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Projects\timesuite-website\public\downloads\"/>
    </mc:Choice>
  </mc:AlternateContent>
  <xr:revisionPtr revIDLastSave="0" documentId="13_ncr:1_{DF4E07BA-0B15-4A87-B36C-2751656CF299}" xr6:coauthVersionLast="47" xr6:coauthVersionMax="47" xr10:uidLastSave="{00000000-0000-0000-0000-000000000000}"/>
  <bookViews>
    <workbookView xWindow="-108" yWindow="252" windowWidth="23256" windowHeight="12816" xr2:uid="{00000000-000D-0000-FFFF-FFFF00000000}"/>
  </bookViews>
  <sheets>
    <sheet name="Start here" sheetId="1" r:id="rId1"/>
    <sheet name="Employees" sheetId="2" r:id="rId2"/>
    <sheet name="Non-working days" sheetId="3" r:id="rId3"/>
    <sheet name="Leave log" sheetId="4" r:id="rId4"/>
    <sheet name="Summary" sheetId="5" r:id="rId5"/>
    <sheet name="Year calendar" sheetId="6" r:id="rId6"/>
  </sheets>
  <definedNames>
    <definedName name="EmployeeIDs">Employees!$A$6:$A$35</definedName>
    <definedName name="_xlnm.Print_Titles" localSheetId="5">'Year calendar'!$A:$A</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10" i="6" l="1"/>
  <c r="A409" i="6"/>
  <c r="A408" i="6"/>
  <c r="AC407" i="6"/>
  <c r="AB407" i="6"/>
  <c r="AA407" i="6"/>
  <c r="C407" i="6"/>
  <c r="B407" i="6"/>
  <c r="A407" i="6"/>
  <c r="A406" i="6"/>
  <c r="A405" i="6"/>
  <c r="AC405" i="6" s="1"/>
  <c r="A404" i="6"/>
  <c r="A403" i="6"/>
  <c r="A402" i="6"/>
  <c r="A401" i="6"/>
  <c r="Q400" i="6"/>
  <c r="N400" i="6"/>
  <c r="L400" i="6"/>
  <c r="I400" i="6"/>
  <c r="A400" i="6"/>
  <c r="AC400" i="6" s="1"/>
  <c r="Z399" i="6"/>
  <c r="Y399" i="6"/>
  <c r="V399" i="6"/>
  <c r="N399" i="6"/>
  <c r="L399" i="6"/>
  <c r="I399" i="6"/>
  <c r="F399" i="6"/>
  <c r="E399" i="6"/>
  <c r="C399" i="6"/>
  <c r="B399" i="6"/>
  <c r="A399" i="6"/>
  <c r="AD399" i="6" s="1"/>
  <c r="AB398" i="6"/>
  <c r="M398" i="6"/>
  <c r="L398" i="6"/>
  <c r="C398" i="6"/>
  <c r="B398" i="6"/>
  <c r="A398" i="6"/>
  <c r="Z398" i="6" s="1"/>
  <c r="V397" i="6"/>
  <c r="S397" i="6"/>
  <c r="R397" i="6"/>
  <c r="Q397" i="6"/>
  <c r="D397" i="6"/>
  <c r="C397" i="6"/>
  <c r="B397" i="6"/>
  <c r="A397" i="6"/>
  <c r="A396" i="6"/>
  <c r="R395" i="6"/>
  <c r="Q395" i="6"/>
  <c r="N395" i="6"/>
  <c r="A395" i="6"/>
  <c r="M395" i="6" s="1"/>
  <c r="V394" i="6"/>
  <c r="S394" i="6"/>
  <c r="R394" i="6"/>
  <c r="I394" i="6"/>
  <c r="F394" i="6"/>
  <c r="E394" i="6"/>
  <c r="D394" i="6"/>
  <c r="A394" i="6"/>
  <c r="AD394" i="6" s="1"/>
  <c r="B393" i="6"/>
  <c r="A393" i="6"/>
  <c r="AB393" i="6" s="1"/>
  <c r="AB392" i="6"/>
  <c r="Q392" i="6"/>
  <c r="N392" i="6"/>
  <c r="L392" i="6"/>
  <c r="I392" i="6"/>
  <c r="B392" i="6"/>
  <c r="A392" i="6"/>
  <c r="AC392" i="6" s="1"/>
  <c r="A391" i="6"/>
  <c r="AC390" i="6"/>
  <c r="C390" i="6"/>
  <c r="A390" i="6"/>
  <c r="AC389" i="6"/>
  <c r="Z389" i="6"/>
  <c r="V389" i="6"/>
  <c r="M389" i="6"/>
  <c r="J389" i="6"/>
  <c r="I389" i="6"/>
  <c r="F389" i="6"/>
  <c r="E389" i="6"/>
  <c r="B389" i="6"/>
  <c r="A389" i="6"/>
  <c r="AD389" i="6" s="1"/>
  <c r="AD388" i="6"/>
  <c r="AA388" i="6"/>
  <c r="Q388" i="6"/>
  <c r="P388" i="6"/>
  <c r="K388" i="6"/>
  <c r="A388" i="6"/>
  <c r="AB388" i="6" s="1"/>
  <c r="V387" i="6"/>
  <c r="U387" i="6"/>
  <c r="C387" i="6"/>
  <c r="B387" i="6"/>
  <c r="A387" i="6"/>
  <c r="X387" i="6" s="1"/>
  <c r="A386" i="6"/>
  <c r="Y385" i="6"/>
  <c r="U385" i="6"/>
  <c r="M385" i="6"/>
  <c r="L385" i="6"/>
  <c r="K385" i="6"/>
  <c r="H385" i="6"/>
  <c r="B385" i="6"/>
  <c r="A385" i="6"/>
  <c r="V385" i="6" s="1"/>
  <c r="R384" i="6"/>
  <c r="Q384" i="6"/>
  <c r="K384" i="6"/>
  <c r="C384" i="6"/>
  <c r="A384" i="6"/>
  <c r="AD384" i="6" s="1"/>
  <c r="U383" i="6"/>
  <c r="T383" i="6"/>
  <c r="Q383" i="6"/>
  <c r="M383" i="6"/>
  <c r="A383" i="6"/>
  <c r="U382" i="6"/>
  <c r="T382" i="6"/>
  <c r="S382" i="6"/>
  <c r="A382" i="6"/>
  <c r="AD381" i="6"/>
  <c r="U381" i="6"/>
  <c r="M381" i="6"/>
  <c r="L381" i="6"/>
  <c r="K381" i="6"/>
  <c r="A381" i="6"/>
  <c r="T381" i="6" s="1"/>
  <c r="A376" i="6"/>
  <c r="U376" i="6" s="1"/>
  <c r="AF375" i="6"/>
  <c r="AA375" i="6"/>
  <c r="X375" i="6"/>
  <c r="L375" i="6"/>
  <c r="E375" i="6"/>
  <c r="D375" i="6"/>
  <c r="C375" i="6"/>
  <c r="A375" i="6"/>
  <c r="W375" i="6" s="1"/>
  <c r="X374" i="6"/>
  <c r="W374" i="6"/>
  <c r="T374" i="6"/>
  <c r="S374" i="6"/>
  <c r="P374" i="6"/>
  <c r="H374" i="6"/>
  <c r="G374" i="6"/>
  <c r="F374" i="6"/>
  <c r="E374" i="6"/>
  <c r="D374" i="6"/>
  <c r="A374" i="6"/>
  <c r="Z374" i="6" s="1"/>
  <c r="AC373" i="6"/>
  <c r="AB373" i="6"/>
  <c r="AA373" i="6"/>
  <c r="X373" i="6"/>
  <c r="U373" i="6"/>
  <c r="N373" i="6"/>
  <c r="K373" i="6"/>
  <c r="G373" i="6"/>
  <c r="F373" i="6"/>
  <c r="E373" i="6"/>
  <c r="A373" i="6"/>
  <c r="Z373" i="6" s="1"/>
  <c r="AD372" i="6"/>
  <c r="AC372" i="6"/>
  <c r="AB372" i="6"/>
  <c r="AA372" i="6"/>
  <c r="V372" i="6"/>
  <c r="O372" i="6"/>
  <c r="L372" i="6"/>
  <c r="H372" i="6"/>
  <c r="G372" i="6"/>
  <c r="F372" i="6"/>
  <c r="B372" i="6"/>
  <c r="A372" i="6"/>
  <c r="Z372" i="6" s="1"/>
  <c r="A371" i="6"/>
  <c r="A370" i="6"/>
  <c r="AF369" i="6"/>
  <c r="AE369" i="6"/>
  <c r="M369" i="6"/>
  <c r="L369" i="6"/>
  <c r="K369" i="6"/>
  <c r="H369" i="6"/>
  <c r="C369" i="6"/>
  <c r="A369" i="6"/>
  <c r="W369" i="6" s="1"/>
  <c r="AA368" i="6"/>
  <c r="A368" i="6"/>
  <c r="AD367" i="6"/>
  <c r="AB367" i="6"/>
  <c r="AA367" i="6"/>
  <c r="W367" i="6"/>
  <c r="U367" i="6"/>
  <c r="T367" i="6"/>
  <c r="S367" i="6"/>
  <c r="P367" i="6"/>
  <c r="O367" i="6"/>
  <c r="N367" i="6"/>
  <c r="K367" i="6"/>
  <c r="H367" i="6"/>
  <c r="G367" i="6"/>
  <c r="F367" i="6"/>
  <c r="E367" i="6"/>
  <c r="D367" i="6"/>
  <c r="C367" i="6"/>
  <c r="A367" i="6"/>
  <c r="Z367" i="6" s="1"/>
  <c r="AC366" i="6"/>
  <c r="AB366" i="6"/>
  <c r="AA366" i="6"/>
  <c r="O366" i="6"/>
  <c r="J366" i="6"/>
  <c r="H366" i="6"/>
  <c r="G366" i="6"/>
  <c r="A366" i="6"/>
  <c r="P366" i="6" s="1"/>
  <c r="AB365" i="6"/>
  <c r="AA365" i="6"/>
  <c r="O365" i="6"/>
  <c r="M365" i="6"/>
  <c r="L365" i="6"/>
  <c r="C365" i="6"/>
  <c r="B365" i="6"/>
  <c r="A365" i="6"/>
  <c r="AD364" i="6"/>
  <c r="AB364" i="6"/>
  <c r="AA364" i="6"/>
  <c r="X364" i="6"/>
  <c r="W364" i="6"/>
  <c r="T364" i="6"/>
  <c r="P364" i="6"/>
  <c r="N364" i="6"/>
  <c r="M364" i="6"/>
  <c r="H364" i="6"/>
  <c r="F364" i="6"/>
  <c r="E364" i="6"/>
  <c r="D364" i="6"/>
  <c r="C364" i="6"/>
  <c r="A364" i="6"/>
  <c r="Z364" i="6" s="1"/>
  <c r="AC363" i="6"/>
  <c r="AB363" i="6"/>
  <c r="L363" i="6"/>
  <c r="H363" i="6"/>
  <c r="C363" i="6"/>
  <c r="B363" i="6"/>
  <c r="A363" i="6"/>
  <c r="W363" i="6" s="1"/>
  <c r="A362" i="6"/>
  <c r="D361" i="6"/>
  <c r="C361" i="6"/>
  <c r="A361" i="6"/>
  <c r="AF360" i="6"/>
  <c r="W360" i="6"/>
  <c r="V360" i="6"/>
  <c r="T360" i="6"/>
  <c r="S360" i="6"/>
  <c r="H360" i="6"/>
  <c r="G360" i="6"/>
  <c r="E360" i="6"/>
  <c r="D360" i="6"/>
  <c r="A360" i="6"/>
  <c r="Z360" i="6" s="1"/>
  <c r="AA359" i="6"/>
  <c r="X359" i="6"/>
  <c r="S359" i="6"/>
  <c r="F359" i="6"/>
  <c r="E359" i="6"/>
  <c r="A359" i="6"/>
  <c r="AB359" i="6" s="1"/>
  <c r="A358" i="6"/>
  <c r="R357" i="6"/>
  <c r="P357" i="6"/>
  <c r="F357" i="6"/>
  <c r="A357" i="6"/>
  <c r="W357" i="6" s="1"/>
  <c r="AF356" i="6"/>
  <c r="AE356" i="6"/>
  <c r="AD356" i="6"/>
  <c r="AC356" i="6"/>
  <c r="T356" i="6"/>
  <c r="P356" i="6"/>
  <c r="O356" i="6"/>
  <c r="N356" i="6"/>
  <c r="G356" i="6"/>
  <c r="F356" i="6"/>
  <c r="E356" i="6"/>
  <c r="D356" i="6"/>
  <c r="A356" i="6"/>
  <c r="Y356" i="6" s="1"/>
  <c r="AB355" i="6"/>
  <c r="AA355" i="6"/>
  <c r="Z355" i="6"/>
  <c r="U355" i="6"/>
  <c r="K355" i="6"/>
  <c r="J355" i="6"/>
  <c r="H355" i="6"/>
  <c r="G355" i="6"/>
  <c r="A355" i="6"/>
  <c r="T355" i="6" s="1"/>
  <c r="AE354" i="6"/>
  <c r="AA354" i="6"/>
  <c r="Z354" i="6"/>
  <c r="P354" i="6"/>
  <c r="O354" i="6"/>
  <c r="N354" i="6"/>
  <c r="M354" i="6"/>
  <c r="E354" i="6"/>
  <c r="D354" i="6"/>
  <c r="C354" i="6"/>
  <c r="A354" i="6"/>
  <c r="V353" i="6"/>
  <c r="U353" i="6"/>
  <c r="T353" i="6"/>
  <c r="S353" i="6"/>
  <c r="D353" i="6"/>
  <c r="C353" i="6"/>
  <c r="A353" i="6"/>
  <c r="AB352" i="6"/>
  <c r="X352" i="6"/>
  <c r="O352" i="6"/>
  <c r="K352" i="6"/>
  <c r="J352" i="6"/>
  <c r="H352" i="6"/>
  <c r="G352" i="6"/>
  <c r="A352" i="6"/>
  <c r="AA352" i="6" s="1"/>
  <c r="N351" i="6"/>
  <c r="A351" i="6"/>
  <c r="AC350" i="6"/>
  <c r="S350" i="6"/>
  <c r="A350" i="6"/>
  <c r="AF349" i="6"/>
  <c r="AE349" i="6"/>
  <c r="U349" i="6"/>
  <c r="T349" i="6"/>
  <c r="R349" i="6"/>
  <c r="O349" i="6"/>
  <c r="H349" i="6"/>
  <c r="F349" i="6"/>
  <c r="E349" i="6"/>
  <c r="D349" i="6"/>
  <c r="A349" i="6"/>
  <c r="Z349" i="6" s="1"/>
  <c r="AC348" i="6"/>
  <c r="AB348" i="6"/>
  <c r="AA348" i="6"/>
  <c r="X348" i="6"/>
  <c r="N348" i="6"/>
  <c r="H348" i="6"/>
  <c r="G348" i="6"/>
  <c r="F348" i="6"/>
  <c r="A348" i="6"/>
  <c r="Z348" i="6" s="1"/>
  <c r="AD347" i="6"/>
  <c r="AC347" i="6"/>
  <c r="AB347" i="6"/>
  <c r="AA347" i="6"/>
  <c r="O347" i="6"/>
  <c r="K347" i="6"/>
  <c r="H347" i="6"/>
  <c r="G347" i="6"/>
  <c r="A347" i="6"/>
  <c r="Z347" i="6" s="1"/>
  <c r="V342" i="6"/>
  <c r="U342" i="6"/>
  <c r="T342" i="6"/>
  <c r="H342" i="6"/>
  <c r="E342" i="6"/>
  <c r="D342" i="6"/>
  <c r="A342" i="6"/>
  <c r="AE342" i="6" s="1"/>
  <c r="AB341" i="6"/>
  <c r="X341" i="6"/>
  <c r="W341" i="6"/>
  <c r="V341" i="6"/>
  <c r="S341" i="6"/>
  <c r="N341" i="6"/>
  <c r="L341" i="6"/>
  <c r="H341" i="6"/>
  <c r="G341" i="6"/>
  <c r="F341" i="6"/>
  <c r="E341" i="6"/>
  <c r="C341" i="6"/>
  <c r="A341" i="6"/>
  <c r="Z341" i="6" s="1"/>
  <c r="AF340" i="6"/>
  <c r="A340" i="6"/>
  <c r="AF339" i="6"/>
  <c r="AE339" i="6"/>
  <c r="W339" i="6"/>
  <c r="U339" i="6"/>
  <c r="T339" i="6"/>
  <c r="S339" i="6"/>
  <c r="O339" i="6"/>
  <c r="K339" i="6"/>
  <c r="H339" i="6"/>
  <c r="G339" i="6"/>
  <c r="E339" i="6"/>
  <c r="D339" i="6"/>
  <c r="C339" i="6"/>
  <c r="A339" i="6"/>
  <c r="AD339" i="6" s="1"/>
  <c r="N338" i="6"/>
  <c r="M338" i="6"/>
  <c r="L338" i="6"/>
  <c r="E338" i="6"/>
  <c r="A338" i="6"/>
  <c r="O338" i="6" s="1"/>
  <c r="AD337" i="6"/>
  <c r="AC337" i="6"/>
  <c r="AB337" i="6"/>
  <c r="AA337" i="6"/>
  <c r="S337" i="6"/>
  <c r="P337" i="6"/>
  <c r="O337" i="6"/>
  <c r="N337" i="6"/>
  <c r="F337" i="6"/>
  <c r="E337" i="6"/>
  <c r="D337" i="6"/>
  <c r="C337" i="6"/>
  <c r="A337" i="6"/>
  <c r="Z337" i="6" s="1"/>
  <c r="AA336" i="6"/>
  <c r="X336" i="6"/>
  <c r="U336" i="6"/>
  <c r="A336" i="6"/>
  <c r="A335" i="6"/>
  <c r="AF334" i="6"/>
  <c r="AA334" i="6"/>
  <c r="Z334" i="6"/>
  <c r="P334" i="6"/>
  <c r="O334" i="6"/>
  <c r="N334" i="6"/>
  <c r="H334" i="6"/>
  <c r="G334" i="6"/>
  <c r="F334" i="6"/>
  <c r="A334" i="6"/>
  <c r="R334" i="6" s="1"/>
  <c r="A333" i="6"/>
  <c r="X332" i="6"/>
  <c r="A332" i="6"/>
  <c r="L331" i="6"/>
  <c r="K331" i="6"/>
  <c r="A331" i="6"/>
  <c r="A330" i="6"/>
  <c r="A329" i="6"/>
  <c r="Y328" i="6"/>
  <c r="X328" i="6"/>
  <c r="L328" i="6"/>
  <c r="K328" i="6"/>
  <c r="J328" i="6"/>
  <c r="I328" i="6"/>
  <c r="A328" i="6"/>
  <c r="U328" i="6" s="1"/>
  <c r="A327" i="6"/>
  <c r="AF327" i="6" s="1"/>
  <c r="A326" i="6"/>
  <c r="L326" i="6" s="1"/>
  <c r="R325" i="6"/>
  <c r="M325" i="6"/>
  <c r="A325" i="6"/>
  <c r="A324" i="6"/>
  <c r="A323" i="6"/>
  <c r="A322" i="6"/>
  <c r="X321" i="6"/>
  <c r="S321" i="6"/>
  <c r="R321" i="6"/>
  <c r="A321" i="6"/>
  <c r="J321" i="6" s="1"/>
  <c r="AB320" i="6"/>
  <c r="Y320" i="6"/>
  <c r="X320" i="6"/>
  <c r="U320" i="6"/>
  <c r="I320" i="6"/>
  <c r="A320" i="6"/>
  <c r="AB319" i="6"/>
  <c r="A319" i="6"/>
  <c r="A318" i="6"/>
  <c r="AC318" i="6" s="1"/>
  <c r="X317" i="6"/>
  <c r="S317" i="6"/>
  <c r="R317" i="6"/>
  <c r="M317" i="6"/>
  <c r="A317" i="6"/>
  <c r="J317" i="6" s="1"/>
  <c r="X316" i="6"/>
  <c r="U316" i="6"/>
  <c r="L316" i="6"/>
  <c r="K316" i="6"/>
  <c r="A316" i="6"/>
  <c r="T316" i="6" s="1"/>
  <c r="Y315" i="6"/>
  <c r="X315" i="6"/>
  <c r="U315" i="6"/>
  <c r="J315" i="6"/>
  <c r="B315" i="6"/>
  <c r="A315" i="6"/>
  <c r="AB315" i="6" s="1"/>
  <c r="A314" i="6"/>
  <c r="X313" i="6"/>
  <c r="A313" i="6"/>
  <c r="AF313" i="6" s="1"/>
  <c r="A308" i="6"/>
  <c r="AB308" i="6" s="1"/>
  <c r="AF307" i="6"/>
  <c r="AC307" i="6"/>
  <c r="AB307" i="6"/>
  <c r="U307" i="6"/>
  <c r="J307" i="6"/>
  <c r="G307" i="6"/>
  <c r="F307" i="6"/>
  <c r="E307" i="6"/>
  <c r="A307" i="6"/>
  <c r="Z307" i="6" s="1"/>
  <c r="AD306" i="6"/>
  <c r="AC306" i="6"/>
  <c r="AB306" i="6"/>
  <c r="AA306" i="6"/>
  <c r="U306" i="6"/>
  <c r="R306" i="6"/>
  <c r="K306" i="6"/>
  <c r="J306" i="6"/>
  <c r="G306" i="6"/>
  <c r="F306" i="6"/>
  <c r="E306" i="6"/>
  <c r="A306" i="6"/>
  <c r="T306" i="6" s="1"/>
  <c r="R305" i="6"/>
  <c r="N305" i="6"/>
  <c r="L305" i="6"/>
  <c r="K305" i="6"/>
  <c r="A305" i="6"/>
  <c r="B305" i="6" s="1"/>
  <c r="AD304" i="6"/>
  <c r="AA304" i="6"/>
  <c r="U304" i="6"/>
  <c r="T304" i="6"/>
  <c r="S304" i="6"/>
  <c r="O304" i="6"/>
  <c r="N304" i="6"/>
  <c r="K304" i="6"/>
  <c r="J304" i="6"/>
  <c r="G304" i="6"/>
  <c r="E304" i="6"/>
  <c r="D304" i="6"/>
  <c r="C304" i="6"/>
  <c r="B304" i="6"/>
  <c r="A304" i="6"/>
  <c r="V304" i="6" s="1"/>
  <c r="AD303" i="6"/>
  <c r="AB303" i="6"/>
  <c r="AA303" i="6"/>
  <c r="Z303" i="6"/>
  <c r="R303" i="6"/>
  <c r="O303" i="6"/>
  <c r="N303" i="6"/>
  <c r="K303" i="6"/>
  <c r="J303" i="6"/>
  <c r="F303" i="6"/>
  <c r="E303" i="6"/>
  <c r="D303" i="6"/>
  <c r="C303" i="6"/>
  <c r="B303" i="6"/>
  <c r="A303" i="6"/>
  <c r="V303" i="6" s="1"/>
  <c r="Z302" i="6"/>
  <c r="V302" i="6"/>
  <c r="N302" i="6"/>
  <c r="M302" i="6"/>
  <c r="B302" i="6"/>
  <c r="A302" i="6"/>
  <c r="AD301" i="6"/>
  <c r="T301" i="6"/>
  <c r="M301" i="6"/>
  <c r="L301" i="6"/>
  <c r="K301" i="6"/>
  <c r="C301" i="6"/>
  <c r="A301" i="6"/>
  <c r="J301" i="6" s="1"/>
  <c r="W300" i="6"/>
  <c r="N300" i="6"/>
  <c r="M300" i="6"/>
  <c r="C300" i="6"/>
  <c r="A300" i="6"/>
  <c r="W299" i="6"/>
  <c r="V299" i="6"/>
  <c r="S299" i="6"/>
  <c r="R299" i="6"/>
  <c r="N299" i="6"/>
  <c r="J299" i="6"/>
  <c r="G299" i="6"/>
  <c r="F299" i="6"/>
  <c r="E299" i="6"/>
  <c r="C299" i="6"/>
  <c r="B299" i="6"/>
  <c r="A299" i="6"/>
  <c r="Y299" i="6" s="1"/>
  <c r="AC298" i="6"/>
  <c r="AB298" i="6"/>
  <c r="AA298" i="6"/>
  <c r="Z298" i="6"/>
  <c r="S298" i="6"/>
  <c r="R298" i="6"/>
  <c r="N298" i="6"/>
  <c r="M298" i="6"/>
  <c r="G298" i="6"/>
  <c r="F298" i="6"/>
  <c r="E298" i="6"/>
  <c r="D298" i="6"/>
  <c r="C298" i="6"/>
  <c r="A298" i="6"/>
  <c r="Y298" i="6" s="1"/>
  <c r="AD297" i="6"/>
  <c r="AC297" i="6"/>
  <c r="AB297" i="6"/>
  <c r="AA297" i="6"/>
  <c r="Z297" i="6"/>
  <c r="T297" i="6"/>
  <c r="S297" i="6"/>
  <c r="O297" i="6"/>
  <c r="N297" i="6"/>
  <c r="J297" i="6"/>
  <c r="G297" i="6"/>
  <c r="F297" i="6"/>
  <c r="E297" i="6"/>
  <c r="D297" i="6"/>
  <c r="A297" i="6"/>
  <c r="Y297" i="6" s="1"/>
  <c r="AD296" i="6"/>
  <c r="AC296" i="6"/>
  <c r="AB296" i="6"/>
  <c r="AA296" i="6"/>
  <c r="J296" i="6"/>
  <c r="G296" i="6"/>
  <c r="F296" i="6"/>
  <c r="E296" i="6"/>
  <c r="A296" i="6"/>
  <c r="Y296" i="6" s="1"/>
  <c r="A295" i="6"/>
  <c r="AE294" i="6"/>
  <c r="A294" i="6"/>
  <c r="U294" i="6" s="1"/>
  <c r="V293" i="6"/>
  <c r="T293" i="6"/>
  <c r="M293" i="6"/>
  <c r="L293" i="6"/>
  <c r="A293" i="6"/>
  <c r="B293" i="6" s="1"/>
  <c r="W292" i="6"/>
  <c r="V292" i="6"/>
  <c r="N292" i="6"/>
  <c r="M292" i="6"/>
  <c r="B292" i="6"/>
  <c r="A292" i="6"/>
  <c r="AA291" i="6"/>
  <c r="Z291" i="6"/>
  <c r="W291" i="6"/>
  <c r="M291" i="6"/>
  <c r="L291" i="6"/>
  <c r="E291" i="6"/>
  <c r="D291" i="6"/>
  <c r="C291" i="6"/>
  <c r="A291" i="6"/>
  <c r="Y291" i="6" s="1"/>
  <c r="AA290" i="6"/>
  <c r="Z290" i="6"/>
  <c r="W290" i="6"/>
  <c r="R290" i="6"/>
  <c r="E290" i="6"/>
  <c r="D290" i="6"/>
  <c r="C290" i="6"/>
  <c r="A290" i="6"/>
  <c r="A289" i="6"/>
  <c r="N289" i="6" s="1"/>
  <c r="AD288" i="6"/>
  <c r="AC288" i="6"/>
  <c r="V288" i="6"/>
  <c r="T288" i="6"/>
  <c r="S288" i="6"/>
  <c r="R288" i="6"/>
  <c r="M288" i="6"/>
  <c r="J288" i="6"/>
  <c r="G288" i="6"/>
  <c r="F288" i="6"/>
  <c r="E288" i="6"/>
  <c r="B288" i="6"/>
  <c r="A288" i="6"/>
  <c r="Y288" i="6" s="1"/>
  <c r="AB287" i="6"/>
  <c r="T287" i="6"/>
  <c r="S287" i="6"/>
  <c r="R287" i="6"/>
  <c r="F287" i="6"/>
  <c r="A287" i="6"/>
  <c r="AC286" i="6"/>
  <c r="T286" i="6"/>
  <c r="S286" i="6"/>
  <c r="L286" i="6"/>
  <c r="G286" i="6"/>
  <c r="A286" i="6"/>
  <c r="K286" i="6" s="1"/>
  <c r="A285" i="6"/>
  <c r="A284" i="6"/>
  <c r="AE284" i="6" s="1"/>
  <c r="B283" i="6"/>
  <c r="A283" i="6"/>
  <c r="V282" i="6"/>
  <c r="R282" i="6"/>
  <c r="A282" i="6"/>
  <c r="A281" i="6"/>
  <c r="AA280" i="6"/>
  <c r="N280" i="6"/>
  <c r="M280" i="6"/>
  <c r="L280" i="6"/>
  <c r="J280" i="6"/>
  <c r="D280" i="6"/>
  <c r="A280" i="6"/>
  <c r="Z279" i="6"/>
  <c r="A279" i="6"/>
  <c r="AB274" i="6"/>
  <c r="Z274" i="6"/>
  <c r="W274" i="6"/>
  <c r="J274" i="6"/>
  <c r="A274" i="6"/>
  <c r="C273" i="6"/>
  <c r="A273" i="6"/>
  <c r="AD272" i="6"/>
  <c r="A272" i="6"/>
  <c r="A271" i="6"/>
  <c r="W270" i="6"/>
  <c r="V270" i="6"/>
  <c r="A270" i="6"/>
  <c r="F270" i="6" s="1"/>
  <c r="AD269" i="6"/>
  <c r="AC269" i="6"/>
  <c r="AB269" i="6"/>
  <c r="AA269" i="6"/>
  <c r="Z269" i="6"/>
  <c r="V269" i="6"/>
  <c r="T269" i="6"/>
  <c r="S269" i="6"/>
  <c r="R269" i="6"/>
  <c r="O269" i="6"/>
  <c r="N269" i="6"/>
  <c r="M269" i="6"/>
  <c r="J269" i="6"/>
  <c r="G269" i="6"/>
  <c r="F269" i="6"/>
  <c r="E269" i="6"/>
  <c r="D269" i="6"/>
  <c r="C269" i="6"/>
  <c r="B269" i="6"/>
  <c r="A269" i="6"/>
  <c r="Y269" i="6" s="1"/>
  <c r="AD268" i="6"/>
  <c r="AA268" i="6"/>
  <c r="Z268" i="6"/>
  <c r="W268" i="6"/>
  <c r="T268" i="6"/>
  <c r="R268" i="6"/>
  <c r="N268" i="6"/>
  <c r="M268" i="6"/>
  <c r="J268" i="6"/>
  <c r="F268" i="6"/>
  <c r="E268" i="6"/>
  <c r="D268" i="6"/>
  <c r="C268" i="6"/>
  <c r="A268" i="6"/>
  <c r="Y268" i="6" s="1"/>
  <c r="O267" i="6"/>
  <c r="N267" i="6"/>
  <c r="A267" i="6"/>
  <c r="A266" i="6"/>
  <c r="AD265" i="6"/>
  <c r="AC265" i="6"/>
  <c r="Z265" i="6"/>
  <c r="W265" i="6"/>
  <c r="V265" i="6"/>
  <c r="T265" i="6"/>
  <c r="R265" i="6"/>
  <c r="Q265" i="6"/>
  <c r="O265" i="6"/>
  <c r="L265" i="6"/>
  <c r="I265" i="6"/>
  <c r="G265" i="6"/>
  <c r="F265" i="6"/>
  <c r="E265" i="6"/>
  <c r="C265" i="6"/>
  <c r="B265" i="6"/>
  <c r="A265" i="6"/>
  <c r="Y265" i="6" s="1"/>
  <c r="A264" i="6"/>
  <c r="D264" i="6" s="1"/>
  <c r="AE263" i="6"/>
  <c r="Z263" i="6"/>
  <c r="W263" i="6"/>
  <c r="O263" i="6"/>
  <c r="M263" i="6"/>
  <c r="K263" i="6"/>
  <c r="A263" i="6"/>
  <c r="I263" i="6" s="1"/>
  <c r="A262" i="6"/>
  <c r="D262" i="6" s="1"/>
  <c r="AA261" i="6"/>
  <c r="U261" i="6"/>
  <c r="A261" i="6"/>
  <c r="A260" i="6"/>
  <c r="AE259" i="6"/>
  <c r="K259" i="6"/>
  <c r="A259" i="6"/>
  <c r="I259" i="6" s="1"/>
  <c r="A258" i="6"/>
  <c r="AE258" i="6" s="1"/>
  <c r="AA257" i="6"/>
  <c r="A257" i="6"/>
  <c r="A256" i="6"/>
  <c r="AE256" i="6" s="1"/>
  <c r="AD255" i="6"/>
  <c r="AC255" i="6"/>
  <c r="W255" i="6"/>
  <c r="V255" i="6"/>
  <c r="T255" i="6"/>
  <c r="R255" i="6"/>
  <c r="Q255" i="6"/>
  <c r="O255" i="6"/>
  <c r="I255" i="6"/>
  <c r="G255" i="6"/>
  <c r="F255" i="6"/>
  <c r="E255" i="6"/>
  <c r="C255" i="6"/>
  <c r="B255" i="6"/>
  <c r="A255" i="6"/>
  <c r="Y255" i="6" s="1"/>
  <c r="I254" i="6"/>
  <c r="A254" i="6"/>
  <c r="A253" i="6"/>
  <c r="AA252" i="6"/>
  <c r="V252" i="6"/>
  <c r="R252" i="6"/>
  <c r="A252" i="6"/>
  <c r="AE251" i="6"/>
  <c r="AD251" i="6"/>
  <c r="Y251" i="6"/>
  <c r="V251" i="6"/>
  <c r="U251" i="6"/>
  <c r="N251" i="6"/>
  <c r="L251" i="6"/>
  <c r="K251" i="6"/>
  <c r="I251" i="6"/>
  <c r="G251" i="6"/>
  <c r="D251" i="6"/>
  <c r="B251" i="6"/>
  <c r="A251" i="6"/>
  <c r="AC251" i="6" s="1"/>
  <c r="V250" i="6"/>
  <c r="S250" i="6"/>
  <c r="A250" i="6"/>
  <c r="Z250" i="6" s="1"/>
  <c r="AE249" i="6"/>
  <c r="A249" i="6"/>
  <c r="A248" i="6"/>
  <c r="D248" i="6" s="1"/>
  <c r="AE247" i="6"/>
  <c r="AA247" i="6"/>
  <c r="Y247" i="6"/>
  <c r="W247" i="6"/>
  <c r="M247" i="6"/>
  <c r="L247" i="6"/>
  <c r="K247" i="6"/>
  <c r="F247" i="6"/>
  <c r="D247" i="6"/>
  <c r="A247" i="6"/>
  <c r="V247" i="6" s="1"/>
  <c r="A246" i="6"/>
  <c r="V246" i="6" s="1"/>
  <c r="A245" i="6"/>
  <c r="A240" i="6"/>
  <c r="AE239" i="6"/>
  <c r="A239" i="6"/>
  <c r="AA239" i="6" s="1"/>
  <c r="A238" i="6"/>
  <c r="A237" i="6"/>
  <c r="AE237" i="6" s="1"/>
  <c r="AB236" i="6"/>
  <c r="AA236" i="6"/>
  <c r="R236" i="6"/>
  <c r="Q236" i="6"/>
  <c r="M236" i="6"/>
  <c r="J236" i="6"/>
  <c r="A236" i="6"/>
  <c r="AE236" i="6" s="1"/>
  <c r="A235" i="6"/>
  <c r="A234" i="6"/>
  <c r="A233" i="6"/>
  <c r="AB232" i="6"/>
  <c r="V232" i="6"/>
  <c r="Q232" i="6"/>
  <c r="K232" i="6"/>
  <c r="I232" i="6"/>
  <c r="H232" i="6"/>
  <c r="A232" i="6"/>
  <c r="AE232" i="6" s="1"/>
  <c r="L231" i="6"/>
  <c r="A231" i="6"/>
  <c r="T231" i="6" s="1"/>
  <c r="S230" i="6"/>
  <c r="G230" i="6"/>
  <c r="A230" i="6"/>
  <c r="AD230" i="6" s="1"/>
  <c r="A229" i="6"/>
  <c r="AB228" i="6"/>
  <c r="W228" i="6"/>
  <c r="Q228" i="6"/>
  <c r="L228" i="6"/>
  <c r="A228" i="6"/>
  <c r="AF228" i="6" s="1"/>
  <c r="AB227" i="6"/>
  <c r="W227" i="6"/>
  <c r="S227" i="6"/>
  <c r="I227" i="6"/>
  <c r="H227" i="6"/>
  <c r="G227" i="6"/>
  <c r="A227" i="6"/>
  <c r="AD227" i="6" s="1"/>
  <c r="A226" i="6"/>
  <c r="Q225" i="6"/>
  <c r="P225" i="6"/>
  <c r="O225" i="6"/>
  <c r="N225" i="6"/>
  <c r="A225" i="6"/>
  <c r="A224" i="6"/>
  <c r="R223" i="6"/>
  <c r="Q223" i="6"/>
  <c r="L223" i="6"/>
  <c r="K223" i="6"/>
  <c r="A223" i="6"/>
  <c r="H223" i="6" s="1"/>
  <c r="A222" i="6"/>
  <c r="AE221" i="6"/>
  <c r="AD221" i="6"/>
  <c r="X221" i="6"/>
  <c r="W221" i="6"/>
  <c r="R221" i="6"/>
  <c r="N221" i="6"/>
  <c r="L221" i="6"/>
  <c r="I221" i="6"/>
  <c r="H221" i="6"/>
  <c r="C221" i="6"/>
  <c r="B221" i="6"/>
  <c r="A221" i="6"/>
  <c r="AF221" i="6" s="1"/>
  <c r="A220" i="6"/>
  <c r="Z219" i="6"/>
  <c r="A219" i="6"/>
  <c r="V219" i="6" s="1"/>
  <c r="I218" i="6"/>
  <c r="H218" i="6"/>
  <c r="A218" i="6"/>
  <c r="AA217" i="6"/>
  <c r="T217" i="6"/>
  <c r="Q217" i="6"/>
  <c r="P217" i="6"/>
  <c r="K217" i="6"/>
  <c r="F217" i="6"/>
  <c r="A217" i="6"/>
  <c r="AF217" i="6" s="1"/>
  <c r="A216" i="6"/>
  <c r="AF215" i="6"/>
  <c r="A215" i="6"/>
  <c r="AA214" i="6"/>
  <c r="A214" i="6"/>
  <c r="AD214" i="6" s="1"/>
  <c r="A213" i="6"/>
  <c r="A212" i="6"/>
  <c r="A211" i="6"/>
  <c r="P206" i="6"/>
  <c r="A206" i="6"/>
  <c r="R206" i="6" s="1"/>
  <c r="AE205" i="6"/>
  <c r="W205" i="6"/>
  <c r="S205" i="6"/>
  <c r="Q205" i="6"/>
  <c r="A205" i="6"/>
  <c r="L205" i="6" s="1"/>
  <c r="AB204" i="6"/>
  <c r="AA204" i="6"/>
  <c r="T204" i="6"/>
  <c r="S204" i="6"/>
  <c r="F204" i="6"/>
  <c r="A204" i="6"/>
  <c r="AD203" i="6"/>
  <c r="T203" i="6"/>
  <c r="N203" i="6"/>
  <c r="J203" i="6"/>
  <c r="H203" i="6"/>
  <c r="G203" i="6"/>
  <c r="D203" i="6"/>
  <c r="A203" i="6"/>
  <c r="Y203" i="6" s="1"/>
  <c r="T202" i="6"/>
  <c r="O202" i="6"/>
  <c r="J202" i="6"/>
  <c r="I202" i="6"/>
  <c r="A202" i="6"/>
  <c r="Z202" i="6" s="1"/>
  <c r="A201" i="6"/>
  <c r="V200" i="6"/>
  <c r="Q200" i="6"/>
  <c r="P200" i="6"/>
  <c r="K200" i="6"/>
  <c r="A200" i="6"/>
  <c r="A199" i="6"/>
  <c r="AB199" i="6" s="1"/>
  <c r="A198" i="6"/>
  <c r="A197" i="6"/>
  <c r="A196" i="6"/>
  <c r="S195" i="6"/>
  <c r="O195" i="6"/>
  <c r="N195" i="6"/>
  <c r="F195" i="6"/>
  <c r="A195" i="6"/>
  <c r="D195" i="6" s="1"/>
  <c r="Z194" i="6"/>
  <c r="Y194" i="6"/>
  <c r="T194" i="6"/>
  <c r="S194" i="6"/>
  <c r="G194" i="6"/>
  <c r="B194" i="6"/>
  <c r="A194" i="6"/>
  <c r="A193" i="6"/>
  <c r="AE192" i="6"/>
  <c r="J192" i="6"/>
  <c r="A192" i="6"/>
  <c r="AE191" i="6"/>
  <c r="AB191" i="6"/>
  <c r="A191" i="6"/>
  <c r="T191" i="6" s="1"/>
  <c r="V190" i="6"/>
  <c r="T190" i="6"/>
  <c r="R190" i="6"/>
  <c r="J190" i="6"/>
  <c r="H190" i="6"/>
  <c r="G190" i="6"/>
  <c r="F190" i="6"/>
  <c r="A190" i="6"/>
  <c r="AA190" i="6" s="1"/>
  <c r="A189" i="6"/>
  <c r="AC188" i="6"/>
  <c r="T188" i="6"/>
  <c r="Q188" i="6"/>
  <c r="O188" i="6"/>
  <c r="K188" i="6"/>
  <c r="C188" i="6"/>
  <c r="A188" i="6"/>
  <c r="U188" i="6" s="1"/>
  <c r="AB187" i="6"/>
  <c r="Z187" i="6"/>
  <c r="Y187" i="6"/>
  <c r="L187" i="6"/>
  <c r="A187" i="6"/>
  <c r="C187" i="6" s="1"/>
  <c r="A186" i="6"/>
  <c r="S186" i="6" s="1"/>
  <c r="AD185" i="6"/>
  <c r="AC185" i="6"/>
  <c r="T185" i="6"/>
  <c r="O185" i="6"/>
  <c r="K185" i="6"/>
  <c r="J185" i="6"/>
  <c r="F185" i="6"/>
  <c r="B185" i="6"/>
  <c r="A185" i="6"/>
  <c r="AB185" i="6" s="1"/>
  <c r="A184" i="6"/>
  <c r="W184" i="6" s="1"/>
  <c r="T183" i="6"/>
  <c r="S183" i="6"/>
  <c r="J183" i="6"/>
  <c r="G183" i="6"/>
  <c r="F183" i="6"/>
  <c r="E183" i="6"/>
  <c r="A183" i="6"/>
  <c r="W183" i="6" s="1"/>
  <c r="Q182" i="6"/>
  <c r="A182" i="6"/>
  <c r="L182" i="6" s="1"/>
  <c r="A181" i="6"/>
  <c r="W181" i="6" s="1"/>
  <c r="A180" i="6"/>
  <c r="K180" i="6" s="1"/>
  <c r="J179" i="6"/>
  <c r="D179" i="6"/>
  <c r="A179" i="6"/>
  <c r="AD178" i="6"/>
  <c r="AC178" i="6"/>
  <c r="Q178" i="6"/>
  <c r="N178" i="6"/>
  <c r="M178" i="6"/>
  <c r="F178" i="6"/>
  <c r="E178" i="6"/>
  <c r="D178" i="6"/>
  <c r="A178" i="6"/>
  <c r="Z178" i="6" s="1"/>
  <c r="A177" i="6"/>
  <c r="AC172" i="6"/>
  <c r="AB172" i="6"/>
  <c r="X172" i="6"/>
  <c r="U172" i="6"/>
  <c r="T172" i="6"/>
  <c r="R172" i="6"/>
  <c r="J172" i="6"/>
  <c r="I172" i="6"/>
  <c r="H172" i="6"/>
  <c r="F172" i="6"/>
  <c r="E172" i="6"/>
  <c r="D172" i="6"/>
  <c r="A172" i="6"/>
  <c r="Z172" i="6" s="1"/>
  <c r="A171" i="6"/>
  <c r="D171" i="6" s="1"/>
  <c r="Y170" i="6"/>
  <c r="Q170" i="6"/>
  <c r="A170" i="6"/>
  <c r="P170" i="6" s="1"/>
  <c r="A169" i="6"/>
  <c r="Y169" i="6" s="1"/>
  <c r="AF168" i="6"/>
  <c r="AD168" i="6"/>
  <c r="AB168" i="6"/>
  <c r="X168" i="6"/>
  <c r="J168" i="6"/>
  <c r="I168" i="6"/>
  <c r="H168" i="6"/>
  <c r="F168" i="6"/>
  <c r="A168" i="6"/>
  <c r="AC168" i="6" s="1"/>
  <c r="AF167" i="6"/>
  <c r="AD167" i="6"/>
  <c r="AC167" i="6"/>
  <c r="AB167" i="6"/>
  <c r="T167" i="6"/>
  <c r="P167" i="6"/>
  <c r="N167" i="6"/>
  <c r="H167" i="6"/>
  <c r="F167" i="6"/>
  <c r="E167" i="6"/>
  <c r="D167" i="6"/>
  <c r="A167" i="6"/>
  <c r="Z167" i="6" s="1"/>
  <c r="A166" i="6"/>
  <c r="X165" i="6"/>
  <c r="U165" i="6"/>
  <c r="N165" i="6"/>
  <c r="A165" i="6"/>
  <c r="M165" i="6" s="1"/>
  <c r="AD164" i="6"/>
  <c r="X164" i="6"/>
  <c r="U164" i="6"/>
  <c r="T164" i="6"/>
  <c r="H164" i="6"/>
  <c r="F164" i="6"/>
  <c r="E164" i="6"/>
  <c r="A164" i="6"/>
  <c r="A163" i="6"/>
  <c r="P163" i="6" s="1"/>
  <c r="A162" i="6"/>
  <c r="AC162" i="6" s="1"/>
  <c r="J161" i="6"/>
  <c r="A161" i="6"/>
  <c r="AB160" i="6"/>
  <c r="Z160" i="6"/>
  <c r="N160" i="6"/>
  <c r="M160" i="6"/>
  <c r="H160" i="6"/>
  <c r="F160" i="6"/>
  <c r="E160" i="6"/>
  <c r="D160" i="6"/>
  <c r="A160" i="6"/>
  <c r="AC160" i="6" s="1"/>
  <c r="A159" i="6"/>
  <c r="X158" i="6"/>
  <c r="P158" i="6"/>
  <c r="A158" i="6"/>
  <c r="V158" i="6" s="1"/>
  <c r="A157" i="6"/>
  <c r="B157" i="6" s="1"/>
  <c r="A156" i="6"/>
  <c r="U155" i="6"/>
  <c r="A155" i="6"/>
  <c r="S155" i="6" s="1"/>
  <c r="A154" i="6"/>
  <c r="A153" i="6"/>
  <c r="T153" i="6" s="1"/>
  <c r="A152" i="6"/>
  <c r="P152" i="6" s="1"/>
  <c r="A151" i="6"/>
  <c r="AB151" i="6" s="1"/>
  <c r="AF150" i="6"/>
  <c r="Z150" i="6"/>
  <c r="P150" i="6"/>
  <c r="H150" i="6"/>
  <c r="A150" i="6"/>
  <c r="AA150" i="6" s="1"/>
  <c r="A149" i="6"/>
  <c r="Y148" i="6"/>
  <c r="X148" i="6"/>
  <c r="V148" i="6"/>
  <c r="A148" i="6"/>
  <c r="A147" i="6"/>
  <c r="U147" i="6" s="1"/>
  <c r="AF146" i="6"/>
  <c r="Y146" i="6"/>
  <c r="X146" i="6"/>
  <c r="N146" i="6"/>
  <c r="M146" i="6"/>
  <c r="H146" i="6"/>
  <c r="F146" i="6"/>
  <c r="E146" i="6"/>
  <c r="D146" i="6"/>
  <c r="B146" i="6"/>
  <c r="A146" i="6"/>
  <c r="AA146" i="6" s="1"/>
  <c r="AD145" i="6"/>
  <c r="T145" i="6"/>
  <c r="S145" i="6"/>
  <c r="R145" i="6"/>
  <c r="J145" i="6"/>
  <c r="C145" i="6"/>
  <c r="A145" i="6"/>
  <c r="L145" i="6" s="1"/>
  <c r="Z144" i="6"/>
  <c r="Y144" i="6"/>
  <c r="X144" i="6"/>
  <c r="A144" i="6"/>
  <c r="A143" i="6"/>
  <c r="L143" i="6" s="1"/>
  <c r="H138" i="6"/>
  <c r="E138" i="6"/>
  <c r="A138" i="6"/>
  <c r="A137" i="6"/>
  <c r="A136" i="6"/>
  <c r="AC135" i="6"/>
  <c r="AA135" i="6"/>
  <c r="X135" i="6"/>
  <c r="U135" i="6"/>
  <c r="T135" i="6"/>
  <c r="P135" i="6"/>
  <c r="K135" i="6"/>
  <c r="J135" i="6"/>
  <c r="I135" i="6"/>
  <c r="F135" i="6"/>
  <c r="E135" i="6"/>
  <c r="B135" i="6"/>
  <c r="A135" i="6"/>
  <c r="AD135" i="6" s="1"/>
  <c r="A134" i="6"/>
  <c r="A133" i="6"/>
  <c r="A132" i="6"/>
  <c r="AB131" i="6"/>
  <c r="A131" i="6"/>
  <c r="Q130" i="6"/>
  <c r="A130" i="6"/>
  <c r="A129" i="6"/>
  <c r="AE128" i="6"/>
  <c r="AC128" i="6"/>
  <c r="T128" i="6"/>
  <c r="D128" i="6"/>
  <c r="A128" i="6"/>
  <c r="A127" i="6"/>
  <c r="Y127" i="6" s="1"/>
  <c r="A126" i="6"/>
  <c r="R125" i="6"/>
  <c r="Q125" i="6"/>
  <c r="C125" i="6"/>
  <c r="A125" i="6"/>
  <c r="A124" i="6"/>
  <c r="O124" i="6" s="1"/>
  <c r="U123" i="6"/>
  <c r="S123" i="6"/>
  <c r="K123" i="6"/>
  <c r="I123" i="6"/>
  <c r="A123" i="6"/>
  <c r="AD123" i="6" s="1"/>
  <c r="AE122" i="6"/>
  <c r="AD122" i="6"/>
  <c r="AC122" i="6"/>
  <c r="V122" i="6"/>
  <c r="Q122" i="6"/>
  <c r="I122" i="6"/>
  <c r="H122" i="6"/>
  <c r="G122" i="6"/>
  <c r="F122" i="6"/>
  <c r="A122" i="6"/>
  <c r="AA122" i="6" s="1"/>
  <c r="AD121" i="6"/>
  <c r="AA121" i="6"/>
  <c r="P121" i="6"/>
  <c r="O121" i="6"/>
  <c r="N121" i="6"/>
  <c r="C121" i="6"/>
  <c r="A121" i="6"/>
  <c r="Q121" i="6" s="1"/>
  <c r="V120" i="6"/>
  <c r="O120" i="6"/>
  <c r="N120" i="6"/>
  <c r="K120" i="6"/>
  <c r="A120" i="6"/>
  <c r="X120" i="6" s="1"/>
  <c r="V119" i="6"/>
  <c r="U119" i="6"/>
  <c r="S119" i="6"/>
  <c r="K119" i="6"/>
  <c r="G119" i="6"/>
  <c r="A119" i="6"/>
  <c r="AD119" i="6" s="1"/>
  <c r="AF118" i="6"/>
  <c r="AE118" i="6"/>
  <c r="AD118" i="6"/>
  <c r="AC118" i="6"/>
  <c r="P118" i="6"/>
  <c r="I118" i="6"/>
  <c r="H118" i="6"/>
  <c r="G118" i="6"/>
  <c r="F118" i="6"/>
  <c r="E118" i="6"/>
  <c r="C118" i="6"/>
  <c r="A118" i="6"/>
  <c r="AA118" i="6" s="1"/>
  <c r="A117" i="6"/>
  <c r="AA116" i="6"/>
  <c r="X116" i="6"/>
  <c r="V116" i="6"/>
  <c r="A116" i="6"/>
  <c r="O116" i="6" s="1"/>
  <c r="AF115" i="6"/>
  <c r="AE115" i="6"/>
  <c r="X115" i="6"/>
  <c r="V115" i="6"/>
  <c r="H115" i="6"/>
  <c r="G115" i="6"/>
  <c r="A115" i="6"/>
  <c r="AF114" i="6"/>
  <c r="V114" i="6"/>
  <c r="U114" i="6"/>
  <c r="S114" i="6"/>
  <c r="Q114" i="6"/>
  <c r="G114" i="6"/>
  <c r="F114" i="6"/>
  <c r="E114" i="6"/>
  <c r="C114" i="6"/>
  <c r="A114" i="6"/>
  <c r="Y114" i="6" s="1"/>
  <c r="A113" i="6"/>
  <c r="P113" i="6" s="1"/>
  <c r="A112" i="6"/>
  <c r="V111" i="6"/>
  <c r="U111" i="6"/>
  <c r="S111" i="6"/>
  <c r="A111" i="6"/>
  <c r="AF110" i="6"/>
  <c r="AC110" i="6"/>
  <c r="AA110" i="6"/>
  <c r="V110" i="6"/>
  <c r="U110" i="6"/>
  <c r="S110" i="6"/>
  <c r="Q110" i="6"/>
  <c r="O110" i="6"/>
  <c r="I110" i="6"/>
  <c r="H110" i="6"/>
  <c r="G110" i="6"/>
  <c r="F110" i="6"/>
  <c r="E110" i="6"/>
  <c r="C110" i="6"/>
  <c r="A110" i="6"/>
  <c r="Y110" i="6" s="1"/>
  <c r="A109" i="6"/>
  <c r="AE109" i="6" s="1"/>
  <c r="A104" i="6"/>
  <c r="I104" i="6" s="1"/>
  <c r="AE103" i="6"/>
  <c r="H103" i="6"/>
  <c r="A103" i="6"/>
  <c r="AF102" i="6"/>
  <c r="AE102" i="6"/>
  <c r="U102" i="6"/>
  <c r="S102" i="6"/>
  <c r="Q102" i="6"/>
  <c r="P102" i="6"/>
  <c r="G102" i="6"/>
  <c r="F102" i="6"/>
  <c r="E102" i="6"/>
  <c r="C102" i="6"/>
  <c r="A102" i="6"/>
  <c r="AA102" i="6" s="1"/>
  <c r="AA101" i="6"/>
  <c r="Y101" i="6"/>
  <c r="S101" i="6"/>
  <c r="A101" i="6"/>
  <c r="C101" i="6" s="1"/>
  <c r="A100" i="6"/>
  <c r="AF99" i="6"/>
  <c r="U99" i="6"/>
  <c r="S99" i="6"/>
  <c r="K99" i="6"/>
  <c r="A99" i="6"/>
  <c r="N99" i="6" s="1"/>
  <c r="AE98" i="6"/>
  <c r="AD98" i="6"/>
  <c r="AC98" i="6"/>
  <c r="V98" i="6"/>
  <c r="I98" i="6"/>
  <c r="H98" i="6"/>
  <c r="G98" i="6"/>
  <c r="F98" i="6"/>
  <c r="A98" i="6"/>
  <c r="AA98" i="6" s="1"/>
  <c r="AC97" i="6"/>
  <c r="AA97" i="6"/>
  <c r="Y97" i="6"/>
  <c r="P97" i="6"/>
  <c r="E97" i="6"/>
  <c r="A97" i="6"/>
  <c r="Y96" i="6"/>
  <c r="X96" i="6"/>
  <c r="V96" i="6"/>
  <c r="P96" i="6"/>
  <c r="E96" i="6"/>
  <c r="A96" i="6"/>
  <c r="AF95" i="6"/>
  <c r="U95" i="6"/>
  <c r="S95" i="6"/>
  <c r="N95" i="6"/>
  <c r="K95" i="6"/>
  <c r="A95" i="6"/>
  <c r="AA94" i="6"/>
  <c r="A94" i="6"/>
  <c r="O94" i="6" s="1"/>
  <c r="U93" i="6"/>
  <c r="S93" i="6"/>
  <c r="Q93" i="6"/>
  <c r="K93" i="6"/>
  <c r="J93" i="6"/>
  <c r="A93" i="6"/>
  <c r="H93" i="6" s="1"/>
  <c r="AD92" i="6"/>
  <c r="AA92" i="6"/>
  <c r="P92" i="6"/>
  <c r="O92" i="6"/>
  <c r="M92" i="6"/>
  <c r="G92" i="6"/>
  <c r="A92" i="6"/>
  <c r="AE92" i="6" s="1"/>
  <c r="U91" i="6"/>
  <c r="S91" i="6"/>
  <c r="Q91" i="6"/>
  <c r="K91" i="6"/>
  <c r="J91" i="6"/>
  <c r="H91" i="6"/>
  <c r="A91" i="6"/>
  <c r="AC91" i="6" s="1"/>
  <c r="AA90" i="6"/>
  <c r="Q90" i="6"/>
  <c r="P90" i="6"/>
  <c r="O90" i="6"/>
  <c r="A90" i="6"/>
  <c r="B89" i="6"/>
  <c r="A89" i="6"/>
  <c r="X88" i="6"/>
  <c r="V88" i="6"/>
  <c r="A88" i="6"/>
  <c r="A87" i="6"/>
  <c r="AE86" i="6"/>
  <c r="X86" i="6"/>
  <c r="A86" i="6"/>
  <c r="G86" i="6" s="1"/>
  <c r="A85" i="6"/>
  <c r="Z84" i="6"/>
  <c r="X84" i="6"/>
  <c r="V84" i="6"/>
  <c r="U84" i="6"/>
  <c r="R84" i="6"/>
  <c r="Q84" i="6"/>
  <c r="K84" i="6"/>
  <c r="I84" i="6"/>
  <c r="H84" i="6"/>
  <c r="G84" i="6"/>
  <c r="F84" i="6"/>
  <c r="C84" i="6"/>
  <c r="B84" i="6"/>
  <c r="A84" i="6"/>
  <c r="AA84" i="6" s="1"/>
  <c r="A83" i="6"/>
  <c r="U83" i="6" s="1"/>
  <c r="AE82" i="6"/>
  <c r="AD82" i="6"/>
  <c r="AA82" i="6"/>
  <c r="V82" i="6"/>
  <c r="U82" i="6"/>
  <c r="I82" i="6"/>
  <c r="H82" i="6"/>
  <c r="G82" i="6"/>
  <c r="F82" i="6"/>
  <c r="C82" i="6"/>
  <c r="A82" i="6"/>
  <c r="Z82" i="6" s="1"/>
  <c r="K81" i="6"/>
  <c r="A81" i="6"/>
  <c r="AE80" i="6"/>
  <c r="AD80" i="6"/>
  <c r="Q80" i="6"/>
  <c r="P80" i="6"/>
  <c r="O80" i="6"/>
  <c r="G80" i="6"/>
  <c r="F80" i="6"/>
  <c r="A80" i="6"/>
  <c r="Y80" i="6" s="1"/>
  <c r="U79" i="6"/>
  <c r="S79" i="6"/>
  <c r="Q79" i="6"/>
  <c r="K79" i="6"/>
  <c r="A79" i="6"/>
  <c r="AC79" i="6" s="1"/>
  <c r="AD78" i="6"/>
  <c r="Q78" i="6"/>
  <c r="P78" i="6"/>
  <c r="O78" i="6"/>
  <c r="A78" i="6"/>
  <c r="M78" i="6" s="1"/>
  <c r="S77" i="6"/>
  <c r="Q77" i="6"/>
  <c r="K77" i="6"/>
  <c r="J77" i="6"/>
  <c r="A77" i="6"/>
  <c r="AC77" i="6" s="1"/>
  <c r="A76" i="6"/>
  <c r="X76" i="6" s="1"/>
  <c r="AD75" i="6"/>
  <c r="K75" i="6"/>
  <c r="A75" i="6"/>
  <c r="AC75" i="6" s="1"/>
  <c r="A70" i="6"/>
  <c r="V70" i="6" s="1"/>
  <c r="AD69" i="6"/>
  <c r="AC69" i="6"/>
  <c r="A69" i="6"/>
  <c r="V68" i="6"/>
  <c r="A68" i="6"/>
  <c r="AF67" i="6"/>
  <c r="AE67" i="6"/>
  <c r="S67" i="6"/>
  <c r="M67" i="6"/>
  <c r="K67" i="6"/>
  <c r="J67" i="6"/>
  <c r="H67" i="6"/>
  <c r="B67" i="6"/>
  <c r="A67" i="6"/>
  <c r="AD67" i="6" s="1"/>
  <c r="L66" i="6"/>
  <c r="J66" i="6"/>
  <c r="A66" i="6"/>
  <c r="A65" i="6"/>
  <c r="Z65" i="6" s="1"/>
  <c r="AA64" i="6"/>
  <c r="X64" i="6"/>
  <c r="R64" i="6"/>
  <c r="P64" i="6"/>
  <c r="O64" i="6"/>
  <c r="H64" i="6"/>
  <c r="G64" i="6"/>
  <c r="F64" i="6"/>
  <c r="A64" i="6"/>
  <c r="Y64" i="6" s="1"/>
  <c r="AE63" i="6"/>
  <c r="AD63" i="6"/>
  <c r="AC63" i="6"/>
  <c r="Z63" i="6"/>
  <c r="X63" i="6"/>
  <c r="T63" i="6"/>
  <c r="P63" i="6"/>
  <c r="O63" i="6"/>
  <c r="N63" i="6"/>
  <c r="M63" i="6"/>
  <c r="G63" i="6"/>
  <c r="F63" i="6"/>
  <c r="E63" i="6"/>
  <c r="D63" i="6"/>
  <c r="C63" i="6"/>
  <c r="B63" i="6"/>
  <c r="A63" i="6"/>
  <c r="Y63" i="6" s="1"/>
  <c r="A62" i="6"/>
  <c r="AF61" i="6"/>
  <c r="AA61" i="6"/>
  <c r="Z61" i="6"/>
  <c r="O61" i="6"/>
  <c r="N61" i="6"/>
  <c r="H61" i="6"/>
  <c r="G61" i="6"/>
  <c r="A61" i="6"/>
  <c r="Y61" i="6" s="1"/>
  <c r="AE60" i="6"/>
  <c r="AD60" i="6"/>
  <c r="O60" i="6"/>
  <c r="N60" i="6"/>
  <c r="L60" i="6"/>
  <c r="C60" i="6"/>
  <c r="B60" i="6"/>
  <c r="A60" i="6"/>
  <c r="X60" i="6" s="1"/>
  <c r="A59" i="6"/>
  <c r="AA59" i="6" s="1"/>
  <c r="AA58" i="6"/>
  <c r="Z58" i="6"/>
  <c r="H58" i="6"/>
  <c r="E58" i="6"/>
  <c r="C58" i="6"/>
  <c r="A58" i="6"/>
  <c r="J57" i="6"/>
  <c r="I57" i="6"/>
  <c r="A57" i="6"/>
  <c r="AC56" i="6"/>
  <c r="R56" i="6"/>
  <c r="P56" i="6"/>
  <c r="A56" i="6"/>
  <c r="X55" i="6"/>
  <c r="U55" i="6"/>
  <c r="K55" i="6"/>
  <c r="J55" i="6"/>
  <c r="I55" i="6"/>
  <c r="A55" i="6"/>
  <c r="Y55" i="6" s="1"/>
  <c r="A54" i="6"/>
  <c r="X54" i="6" s="1"/>
  <c r="A53" i="6"/>
  <c r="Y53" i="6" s="1"/>
  <c r="J52" i="6"/>
  <c r="A52" i="6"/>
  <c r="AC51" i="6"/>
  <c r="A51" i="6"/>
  <c r="B51" i="6" s="1"/>
  <c r="X50" i="6"/>
  <c r="J50" i="6"/>
  <c r="A50" i="6"/>
  <c r="T50" i="6" s="1"/>
  <c r="AF49" i="6"/>
  <c r="X49" i="6"/>
  <c r="T49" i="6"/>
  <c r="S49" i="6"/>
  <c r="J49" i="6"/>
  <c r="I49" i="6"/>
  <c r="H49" i="6"/>
  <c r="A49" i="6"/>
  <c r="AC49" i="6" s="1"/>
  <c r="A48" i="6"/>
  <c r="Y48" i="6" s="1"/>
  <c r="A47" i="6"/>
  <c r="AC47" i="6" s="1"/>
  <c r="A46" i="6"/>
  <c r="Q46" i="6" s="1"/>
  <c r="A45" i="6"/>
  <c r="AC45" i="6" s="1"/>
  <c r="P44" i="6"/>
  <c r="A44" i="6"/>
  <c r="O44" i="6" s="1"/>
  <c r="A43" i="6"/>
  <c r="AA42" i="6"/>
  <c r="X42" i="6"/>
  <c r="Q42" i="6"/>
  <c r="P42" i="6"/>
  <c r="A42" i="6"/>
  <c r="Z42" i="6" s="1"/>
  <c r="A41" i="6"/>
  <c r="AA36" i="6"/>
  <c r="Z36" i="6"/>
  <c r="Y36" i="6"/>
  <c r="P36" i="6"/>
  <c r="O36" i="6"/>
  <c r="I36" i="6"/>
  <c r="H36" i="6"/>
  <c r="G36" i="6"/>
  <c r="E36" i="6"/>
  <c r="A36" i="6"/>
  <c r="R36" i="6" s="1"/>
  <c r="A35" i="6"/>
  <c r="AC35" i="6" s="1"/>
  <c r="A34" i="6"/>
  <c r="Q34" i="6" s="1"/>
  <c r="A33" i="6"/>
  <c r="AE33" i="6" s="1"/>
  <c r="A32" i="6"/>
  <c r="O32" i="6" s="1"/>
  <c r="A31" i="6"/>
  <c r="AE31" i="6" s="1"/>
  <c r="A30" i="6"/>
  <c r="O30" i="6" s="1"/>
  <c r="A29" i="6"/>
  <c r="AF29" i="6" s="1"/>
  <c r="P28" i="6"/>
  <c r="A28" i="6"/>
  <c r="A27" i="6"/>
  <c r="AE27" i="6" s="1"/>
  <c r="A26" i="6"/>
  <c r="Q26" i="6" s="1"/>
  <c r="A25" i="6"/>
  <c r="AE25" i="6" s="1"/>
  <c r="A24" i="6"/>
  <c r="O24" i="6" s="1"/>
  <c r="A23" i="6"/>
  <c r="AA22" i="6"/>
  <c r="X22" i="6"/>
  <c r="Q22" i="6"/>
  <c r="P22" i="6"/>
  <c r="A22" i="6"/>
  <c r="Z22" i="6" s="1"/>
  <c r="A21" i="6"/>
  <c r="A20" i="6"/>
  <c r="R20" i="6" s="1"/>
  <c r="R19" i="6"/>
  <c r="A19" i="6"/>
  <c r="AD19" i="6" s="1"/>
  <c r="Z18" i="6"/>
  <c r="X18" i="6"/>
  <c r="A18" i="6"/>
  <c r="B18" i="6" s="1"/>
  <c r="R17" i="6"/>
  <c r="A17" i="6"/>
  <c r="AD17" i="6" s="1"/>
  <c r="R16" i="6"/>
  <c r="P16" i="6"/>
  <c r="O16" i="6"/>
  <c r="J16" i="6"/>
  <c r="B16" i="6"/>
  <c r="A16" i="6"/>
  <c r="AD16" i="6" s="1"/>
  <c r="X15" i="6"/>
  <c r="W15" i="6"/>
  <c r="P15" i="6"/>
  <c r="A15" i="6"/>
  <c r="C15" i="6" s="1"/>
  <c r="A14" i="6"/>
  <c r="O14" i="6" s="1"/>
  <c r="W13" i="6"/>
  <c r="J13" i="6"/>
  <c r="H13" i="6"/>
  <c r="G13" i="6"/>
  <c r="A13" i="6"/>
  <c r="AD13" i="6" s="1"/>
  <c r="Z12" i="6"/>
  <c r="X12" i="6"/>
  <c r="W12" i="6"/>
  <c r="K12" i="6"/>
  <c r="J12" i="6"/>
  <c r="H12" i="6"/>
  <c r="G12" i="6"/>
  <c r="A12" i="6"/>
  <c r="AD12" i="6" s="1"/>
  <c r="Z11" i="6"/>
  <c r="X11" i="6"/>
  <c r="W11" i="6"/>
  <c r="K11" i="6"/>
  <c r="J11" i="6"/>
  <c r="H11" i="6"/>
  <c r="A11" i="6"/>
  <c r="AD11" i="6" s="1"/>
  <c r="AF10" i="6"/>
  <c r="Z10" i="6"/>
  <c r="X10" i="6"/>
  <c r="W10" i="6"/>
  <c r="J10" i="6"/>
  <c r="G10" i="6"/>
  <c r="C10" i="6"/>
  <c r="B10" i="6"/>
  <c r="A10" i="6"/>
  <c r="AD10" i="6" s="1"/>
  <c r="O9" i="6"/>
  <c r="A9" i="6"/>
  <c r="AD9" i="6" s="1"/>
  <c r="AF8" i="6"/>
  <c r="O8" i="6"/>
  <c r="K8" i="6"/>
  <c r="A8" i="6"/>
  <c r="AD8" i="6" s="1"/>
  <c r="Z7" i="6"/>
  <c r="A7" i="6"/>
  <c r="AD7" i="6" s="1"/>
  <c r="A35" i="5"/>
  <c r="F35" i="5" s="1"/>
  <c r="A34" i="5"/>
  <c r="F34" i="5" s="1"/>
  <c r="C33" i="5"/>
  <c r="A33" i="5"/>
  <c r="F33" i="5" s="1"/>
  <c r="A32" i="5"/>
  <c r="F32" i="5" s="1"/>
  <c r="H31" i="5"/>
  <c r="B31" i="5"/>
  <c r="A31" i="5"/>
  <c r="F31" i="5" s="1"/>
  <c r="C30" i="5"/>
  <c r="A30" i="5"/>
  <c r="F30" i="5" s="1"/>
  <c r="A29" i="5"/>
  <c r="F29" i="5" s="1"/>
  <c r="H28" i="5"/>
  <c r="G28" i="5"/>
  <c r="A28" i="5"/>
  <c r="F28" i="5" s="1"/>
  <c r="A27" i="5"/>
  <c r="F27" i="5" s="1"/>
  <c r="A26" i="5"/>
  <c r="F26" i="5" s="1"/>
  <c r="A25" i="5"/>
  <c r="F25" i="5" s="1"/>
  <c r="A24" i="5"/>
  <c r="F24" i="5" s="1"/>
  <c r="B23" i="5"/>
  <c r="A23" i="5"/>
  <c r="F23" i="5" s="1"/>
  <c r="H22" i="5"/>
  <c r="G22" i="5"/>
  <c r="C22" i="5"/>
  <c r="B22" i="5"/>
  <c r="A22" i="5"/>
  <c r="F22" i="5" s="1"/>
  <c r="A21" i="5"/>
  <c r="F21" i="5" s="1"/>
  <c r="A20" i="5"/>
  <c r="F20" i="5" s="1"/>
  <c r="A19" i="5"/>
  <c r="F19" i="5" s="1"/>
  <c r="A18" i="5"/>
  <c r="F18" i="5" s="1"/>
  <c r="A17" i="5"/>
  <c r="F17" i="5" s="1"/>
  <c r="A16" i="5"/>
  <c r="F16" i="5" s="1"/>
  <c r="H15" i="5"/>
  <c r="C15" i="5"/>
  <c r="B15" i="5"/>
  <c r="A15" i="5"/>
  <c r="F15" i="5" s="1"/>
  <c r="A14" i="5"/>
  <c r="F14" i="5" s="1"/>
  <c r="A13" i="5"/>
  <c r="F13" i="5" s="1"/>
  <c r="H12" i="5"/>
  <c r="G12" i="5"/>
  <c r="A12" i="5"/>
  <c r="F12" i="5" s="1"/>
  <c r="A11" i="5"/>
  <c r="F11" i="5" s="1"/>
  <c r="A10" i="5"/>
  <c r="F10" i="5" s="1"/>
  <c r="A9" i="5"/>
  <c r="F9" i="5" s="1"/>
  <c r="A8" i="5"/>
  <c r="F8" i="5" s="1"/>
  <c r="A7" i="5"/>
  <c r="F7" i="5" s="1"/>
  <c r="A6" i="5"/>
  <c r="B6" i="5" s="1"/>
  <c r="I306" i="4"/>
  <c r="H306" i="4"/>
  <c r="I305" i="4"/>
  <c r="H305" i="4"/>
  <c r="I304" i="4"/>
  <c r="H304" i="4"/>
  <c r="I303" i="4"/>
  <c r="H303" i="4"/>
  <c r="I302" i="4"/>
  <c r="H302" i="4"/>
  <c r="I301" i="4"/>
  <c r="H301" i="4"/>
  <c r="I300" i="4"/>
  <c r="H300" i="4"/>
  <c r="I299" i="4"/>
  <c r="H299" i="4"/>
  <c r="I298" i="4"/>
  <c r="H298" i="4"/>
  <c r="I297" i="4"/>
  <c r="H297" i="4"/>
  <c r="I296" i="4"/>
  <c r="H296" i="4"/>
  <c r="I295" i="4"/>
  <c r="H295" i="4"/>
  <c r="I294" i="4"/>
  <c r="H294" i="4"/>
  <c r="I293" i="4"/>
  <c r="H293" i="4"/>
  <c r="I292" i="4"/>
  <c r="H292" i="4"/>
  <c r="I291" i="4"/>
  <c r="H291" i="4"/>
  <c r="I290" i="4"/>
  <c r="H290" i="4"/>
  <c r="I289" i="4"/>
  <c r="H289" i="4"/>
  <c r="I288" i="4"/>
  <c r="H288" i="4"/>
  <c r="I287" i="4"/>
  <c r="H287" i="4"/>
  <c r="I286" i="4"/>
  <c r="H286" i="4"/>
  <c r="I285" i="4"/>
  <c r="H285" i="4"/>
  <c r="I284" i="4"/>
  <c r="H284" i="4"/>
  <c r="I283" i="4"/>
  <c r="H283" i="4"/>
  <c r="I282" i="4"/>
  <c r="H282" i="4"/>
  <c r="I281" i="4"/>
  <c r="H281" i="4"/>
  <c r="I280" i="4"/>
  <c r="H280" i="4"/>
  <c r="I279" i="4"/>
  <c r="H279" i="4"/>
  <c r="I278" i="4"/>
  <c r="H278" i="4"/>
  <c r="I277" i="4"/>
  <c r="H277" i="4"/>
  <c r="I276" i="4"/>
  <c r="H276" i="4"/>
  <c r="I275" i="4"/>
  <c r="H275" i="4"/>
  <c r="I274" i="4"/>
  <c r="H274" i="4"/>
  <c r="I273" i="4"/>
  <c r="H273" i="4"/>
  <c r="I272" i="4"/>
  <c r="H272" i="4"/>
  <c r="I271" i="4"/>
  <c r="H271" i="4"/>
  <c r="I270" i="4"/>
  <c r="H270" i="4"/>
  <c r="I269" i="4"/>
  <c r="H269" i="4"/>
  <c r="I268" i="4"/>
  <c r="H268" i="4"/>
  <c r="I267" i="4"/>
  <c r="H267" i="4"/>
  <c r="I266" i="4"/>
  <c r="H266" i="4"/>
  <c r="I265" i="4"/>
  <c r="H265" i="4"/>
  <c r="I264" i="4"/>
  <c r="H264" i="4"/>
  <c r="I263" i="4"/>
  <c r="H263" i="4"/>
  <c r="I262" i="4"/>
  <c r="H262" i="4"/>
  <c r="I261" i="4"/>
  <c r="H261" i="4"/>
  <c r="I260" i="4"/>
  <c r="H260" i="4"/>
  <c r="I259" i="4"/>
  <c r="H259" i="4"/>
  <c r="I258" i="4"/>
  <c r="H258" i="4"/>
  <c r="I257" i="4"/>
  <c r="H257" i="4"/>
  <c r="I256" i="4"/>
  <c r="H256" i="4"/>
  <c r="I255" i="4"/>
  <c r="H255" i="4"/>
  <c r="I254" i="4"/>
  <c r="H254" i="4"/>
  <c r="I253" i="4"/>
  <c r="H253" i="4"/>
  <c r="I252" i="4"/>
  <c r="H252" i="4"/>
  <c r="I251" i="4"/>
  <c r="H251" i="4"/>
  <c r="I250" i="4"/>
  <c r="H250" i="4"/>
  <c r="I249" i="4"/>
  <c r="H249" i="4"/>
  <c r="I248" i="4"/>
  <c r="H248" i="4"/>
  <c r="I247" i="4"/>
  <c r="H247" i="4"/>
  <c r="I246" i="4"/>
  <c r="H246" i="4"/>
  <c r="I245" i="4"/>
  <c r="H245" i="4"/>
  <c r="I244" i="4"/>
  <c r="H244" i="4"/>
  <c r="I243" i="4"/>
  <c r="H243" i="4"/>
  <c r="I242" i="4"/>
  <c r="H242" i="4"/>
  <c r="I241" i="4"/>
  <c r="H241" i="4"/>
  <c r="I240" i="4"/>
  <c r="H240" i="4"/>
  <c r="I239" i="4"/>
  <c r="H239" i="4"/>
  <c r="I238" i="4"/>
  <c r="H238" i="4"/>
  <c r="I237" i="4"/>
  <c r="H237" i="4"/>
  <c r="I236" i="4"/>
  <c r="H236" i="4"/>
  <c r="I235" i="4"/>
  <c r="H235" i="4"/>
  <c r="I234" i="4"/>
  <c r="H234" i="4"/>
  <c r="I233" i="4"/>
  <c r="H233" i="4"/>
  <c r="I232" i="4"/>
  <c r="H232" i="4"/>
  <c r="I231" i="4"/>
  <c r="H231" i="4"/>
  <c r="I230" i="4"/>
  <c r="H230" i="4"/>
  <c r="I229" i="4"/>
  <c r="H229" i="4"/>
  <c r="I228" i="4"/>
  <c r="H228" i="4"/>
  <c r="I227" i="4"/>
  <c r="H227" i="4"/>
  <c r="I226" i="4"/>
  <c r="H226" i="4"/>
  <c r="I225" i="4"/>
  <c r="H225" i="4"/>
  <c r="I224" i="4"/>
  <c r="H224" i="4"/>
  <c r="I223" i="4"/>
  <c r="H223" i="4"/>
  <c r="I222" i="4"/>
  <c r="H222" i="4"/>
  <c r="I221" i="4"/>
  <c r="H221" i="4"/>
  <c r="I220" i="4"/>
  <c r="H220" i="4"/>
  <c r="I219" i="4"/>
  <c r="H219" i="4"/>
  <c r="I218" i="4"/>
  <c r="H218" i="4"/>
  <c r="I217" i="4"/>
  <c r="H217" i="4"/>
  <c r="I216" i="4"/>
  <c r="H216" i="4"/>
  <c r="I215" i="4"/>
  <c r="H215" i="4"/>
  <c r="I214" i="4"/>
  <c r="H214" i="4"/>
  <c r="I213" i="4"/>
  <c r="H213" i="4"/>
  <c r="I212" i="4"/>
  <c r="H212" i="4"/>
  <c r="I211" i="4"/>
  <c r="H211" i="4"/>
  <c r="I210" i="4"/>
  <c r="H210" i="4"/>
  <c r="I209" i="4"/>
  <c r="H209" i="4"/>
  <c r="I208" i="4"/>
  <c r="H208" i="4"/>
  <c r="I207" i="4"/>
  <c r="H207" i="4"/>
  <c r="I206" i="4"/>
  <c r="H206" i="4"/>
  <c r="I205" i="4"/>
  <c r="H205" i="4"/>
  <c r="I204" i="4"/>
  <c r="H204" i="4"/>
  <c r="I203" i="4"/>
  <c r="H203" i="4"/>
  <c r="I202" i="4"/>
  <c r="H202" i="4"/>
  <c r="I201" i="4"/>
  <c r="H201" i="4"/>
  <c r="I200" i="4"/>
  <c r="H200" i="4"/>
  <c r="I199" i="4"/>
  <c r="H199" i="4"/>
  <c r="I198" i="4"/>
  <c r="H198" i="4"/>
  <c r="I197" i="4"/>
  <c r="H197" i="4"/>
  <c r="I196" i="4"/>
  <c r="H196" i="4"/>
  <c r="I195" i="4"/>
  <c r="H195" i="4"/>
  <c r="I194" i="4"/>
  <c r="H194" i="4"/>
  <c r="I193" i="4"/>
  <c r="H193" i="4"/>
  <c r="I192" i="4"/>
  <c r="H192" i="4"/>
  <c r="I191" i="4"/>
  <c r="H191" i="4"/>
  <c r="I190" i="4"/>
  <c r="H190" i="4"/>
  <c r="I189" i="4"/>
  <c r="H189" i="4"/>
  <c r="I188" i="4"/>
  <c r="H188" i="4"/>
  <c r="I187" i="4"/>
  <c r="H187" i="4"/>
  <c r="I186" i="4"/>
  <c r="H186" i="4"/>
  <c r="I185" i="4"/>
  <c r="H185" i="4"/>
  <c r="I184" i="4"/>
  <c r="H184" i="4"/>
  <c r="I183" i="4"/>
  <c r="H183" i="4"/>
  <c r="I182" i="4"/>
  <c r="H182" i="4"/>
  <c r="I181" i="4"/>
  <c r="H181" i="4"/>
  <c r="I180" i="4"/>
  <c r="H180" i="4"/>
  <c r="I179" i="4"/>
  <c r="H179" i="4"/>
  <c r="I178" i="4"/>
  <c r="H178" i="4"/>
  <c r="I177" i="4"/>
  <c r="H177" i="4"/>
  <c r="I176" i="4"/>
  <c r="H176" i="4"/>
  <c r="I175" i="4"/>
  <c r="H175" i="4"/>
  <c r="I174" i="4"/>
  <c r="H174" i="4"/>
  <c r="I173" i="4"/>
  <c r="H173" i="4"/>
  <c r="I172" i="4"/>
  <c r="H172" i="4"/>
  <c r="I171" i="4"/>
  <c r="H171" i="4"/>
  <c r="I170" i="4"/>
  <c r="H170" i="4"/>
  <c r="I169" i="4"/>
  <c r="H169" i="4"/>
  <c r="I168" i="4"/>
  <c r="H168" i="4"/>
  <c r="I167" i="4"/>
  <c r="H167" i="4"/>
  <c r="I166" i="4"/>
  <c r="H166" i="4"/>
  <c r="I165" i="4"/>
  <c r="H165" i="4"/>
  <c r="I164" i="4"/>
  <c r="H164" i="4"/>
  <c r="I163" i="4"/>
  <c r="H163" i="4"/>
  <c r="I162" i="4"/>
  <c r="H162" i="4"/>
  <c r="I161" i="4"/>
  <c r="H161" i="4"/>
  <c r="I160" i="4"/>
  <c r="H160" i="4"/>
  <c r="I159" i="4"/>
  <c r="H159" i="4"/>
  <c r="I158" i="4"/>
  <c r="H158" i="4"/>
  <c r="I157" i="4"/>
  <c r="H157" i="4"/>
  <c r="I156" i="4"/>
  <c r="H156" i="4"/>
  <c r="I155" i="4"/>
  <c r="H155" i="4"/>
  <c r="I154" i="4"/>
  <c r="H154" i="4"/>
  <c r="I153" i="4"/>
  <c r="H153" i="4"/>
  <c r="I152" i="4"/>
  <c r="H152" i="4"/>
  <c r="I151" i="4"/>
  <c r="H151" i="4"/>
  <c r="I150" i="4"/>
  <c r="H150" i="4"/>
  <c r="I149" i="4"/>
  <c r="H149" i="4"/>
  <c r="I148" i="4"/>
  <c r="H148" i="4"/>
  <c r="I147" i="4"/>
  <c r="H147" i="4"/>
  <c r="I146" i="4"/>
  <c r="H146" i="4"/>
  <c r="I145" i="4"/>
  <c r="H145" i="4"/>
  <c r="I144" i="4"/>
  <c r="H144" i="4"/>
  <c r="I143" i="4"/>
  <c r="H143" i="4"/>
  <c r="I142" i="4"/>
  <c r="H142" i="4"/>
  <c r="I141" i="4"/>
  <c r="H141" i="4"/>
  <c r="I140" i="4"/>
  <c r="H140" i="4"/>
  <c r="I139" i="4"/>
  <c r="H139" i="4"/>
  <c r="I138" i="4"/>
  <c r="H138" i="4"/>
  <c r="I137" i="4"/>
  <c r="H137" i="4"/>
  <c r="I136" i="4"/>
  <c r="H136" i="4"/>
  <c r="I135" i="4"/>
  <c r="H135" i="4"/>
  <c r="I134" i="4"/>
  <c r="H134" i="4"/>
  <c r="I133" i="4"/>
  <c r="H133" i="4"/>
  <c r="I132" i="4"/>
  <c r="H132" i="4"/>
  <c r="I131" i="4"/>
  <c r="H131" i="4"/>
  <c r="I130" i="4"/>
  <c r="H130" i="4"/>
  <c r="I129" i="4"/>
  <c r="H129" i="4"/>
  <c r="I128" i="4"/>
  <c r="H128" i="4"/>
  <c r="I127" i="4"/>
  <c r="H127" i="4"/>
  <c r="I126" i="4"/>
  <c r="H126" i="4"/>
  <c r="I125" i="4"/>
  <c r="H125" i="4"/>
  <c r="I124" i="4"/>
  <c r="H124" i="4"/>
  <c r="I123" i="4"/>
  <c r="H123" i="4"/>
  <c r="I122" i="4"/>
  <c r="H122" i="4"/>
  <c r="I121" i="4"/>
  <c r="H121" i="4"/>
  <c r="I120" i="4"/>
  <c r="H120" i="4"/>
  <c r="I119" i="4"/>
  <c r="H119" i="4"/>
  <c r="I118" i="4"/>
  <c r="H118" i="4"/>
  <c r="I117" i="4"/>
  <c r="H117" i="4"/>
  <c r="I116" i="4"/>
  <c r="H116" i="4"/>
  <c r="I115" i="4"/>
  <c r="H115" i="4"/>
  <c r="I114" i="4"/>
  <c r="H114" i="4"/>
  <c r="I113" i="4"/>
  <c r="H113" i="4"/>
  <c r="I112" i="4"/>
  <c r="H112" i="4"/>
  <c r="I111" i="4"/>
  <c r="H111" i="4"/>
  <c r="I110" i="4"/>
  <c r="H110" i="4"/>
  <c r="I109" i="4"/>
  <c r="H109" i="4"/>
  <c r="I108" i="4"/>
  <c r="H108" i="4"/>
  <c r="I107" i="4"/>
  <c r="H107" i="4"/>
  <c r="I106" i="4"/>
  <c r="H106" i="4"/>
  <c r="I105" i="4"/>
  <c r="H105" i="4"/>
  <c r="I104" i="4"/>
  <c r="H104" i="4"/>
  <c r="I103" i="4"/>
  <c r="H103" i="4"/>
  <c r="I102" i="4"/>
  <c r="H102" i="4"/>
  <c r="I101" i="4"/>
  <c r="H101" i="4"/>
  <c r="I100" i="4"/>
  <c r="H100" i="4"/>
  <c r="I99" i="4"/>
  <c r="H99" i="4"/>
  <c r="I98" i="4"/>
  <c r="H98" i="4"/>
  <c r="I97" i="4"/>
  <c r="H97" i="4"/>
  <c r="I96" i="4"/>
  <c r="H96" i="4"/>
  <c r="I95" i="4"/>
  <c r="H95" i="4"/>
  <c r="I94" i="4"/>
  <c r="H94" i="4"/>
  <c r="I93" i="4"/>
  <c r="H93" i="4"/>
  <c r="I92" i="4"/>
  <c r="H92" i="4"/>
  <c r="I91" i="4"/>
  <c r="H91" i="4"/>
  <c r="I90" i="4"/>
  <c r="H90" i="4"/>
  <c r="I89" i="4"/>
  <c r="H89" i="4"/>
  <c r="I88" i="4"/>
  <c r="H88" i="4"/>
  <c r="I87" i="4"/>
  <c r="H87" i="4"/>
  <c r="I86" i="4"/>
  <c r="H86" i="4"/>
  <c r="I85" i="4"/>
  <c r="H85" i="4"/>
  <c r="I84" i="4"/>
  <c r="H84" i="4"/>
  <c r="I83" i="4"/>
  <c r="H83" i="4"/>
  <c r="I82" i="4"/>
  <c r="H82" i="4"/>
  <c r="I81" i="4"/>
  <c r="H81" i="4"/>
  <c r="I80" i="4"/>
  <c r="H80" i="4"/>
  <c r="I79" i="4"/>
  <c r="H79" i="4"/>
  <c r="I78" i="4"/>
  <c r="H78" i="4"/>
  <c r="I77" i="4"/>
  <c r="H77" i="4"/>
  <c r="I76" i="4"/>
  <c r="H76" i="4"/>
  <c r="I75" i="4"/>
  <c r="H75" i="4"/>
  <c r="I74" i="4"/>
  <c r="H74" i="4"/>
  <c r="I73" i="4"/>
  <c r="H73" i="4"/>
  <c r="I72" i="4"/>
  <c r="H72" i="4"/>
  <c r="I71" i="4"/>
  <c r="H71" i="4"/>
  <c r="I70" i="4"/>
  <c r="H70" i="4"/>
  <c r="I69" i="4"/>
  <c r="H69" i="4"/>
  <c r="I68" i="4"/>
  <c r="H68" i="4"/>
  <c r="I67" i="4"/>
  <c r="H67" i="4"/>
  <c r="I66" i="4"/>
  <c r="H66" i="4"/>
  <c r="I65" i="4"/>
  <c r="H65" i="4"/>
  <c r="I64" i="4"/>
  <c r="H64" i="4"/>
  <c r="I63" i="4"/>
  <c r="H63" i="4"/>
  <c r="I62" i="4"/>
  <c r="H62" i="4"/>
  <c r="I61" i="4"/>
  <c r="H61" i="4"/>
  <c r="I60" i="4"/>
  <c r="H60" i="4"/>
  <c r="I59" i="4"/>
  <c r="H59" i="4"/>
  <c r="I58" i="4"/>
  <c r="H58" i="4"/>
  <c r="I57" i="4"/>
  <c r="H57" i="4"/>
  <c r="I56" i="4"/>
  <c r="H56" i="4"/>
  <c r="I55" i="4"/>
  <c r="H55" i="4"/>
  <c r="I54" i="4"/>
  <c r="H54" i="4"/>
  <c r="I53" i="4"/>
  <c r="H53" i="4"/>
  <c r="I52" i="4"/>
  <c r="H52" i="4"/>
  <c r="I51" i="4"/>
  <c r="H51" i="4"/>
  <c r="I50" i="4"/>
  <c r="H50" i="4"/>
  <c r="I49" i="4"/>
  <c r="H49" i="4"/>
  <c r="I48" i="4"/>
  <c r="H48" i="4"/>
  <c r="I47" i="4"/>
  <c r="H47" i="4"/>
  <c r="I46" i="4"/>
  <c r="H46" i="4"/>
  <c r="I45" i="4"/>
  <c r="H45" i="4"/>
  <c r="I44" i="4"/>
  <c r="H44" i="4"/>
  <c r="I43" i="4"/>
  <c r="H43" i="4"/>
  <c r="I42" i="4"/>
  <c r="H42" i="4"/>
  <c r="I41" i="4"/>
  <c r="H41" i="4"/>
  <c r="I40" i="4"/>
  <c r="H40" i="4"/>
  <c r="I39" i="4"/>
  <c r="H39" i="4"/>
  <c r="I38" i="4"/>
  <c r="H38" i="4"/>
  <c r="I37" i="4"/>
  <c r="H37" i="4"/>
  <c r="I36" i="4"/>
  <c r="H36" i="4"/>
  <c r="I35" i="4"/>
  <c r="H35" i="4"/>
  <c r="I34" i="4"/>
  <c r="H34" i="4"/>
  <c r="I33" i="4"/>
  <c r="H33" i="4"/>
  <c r="I32" i="4"/>
  <c r="H32" i="4"/>
  <c r="I31" i="4"/>
  <c r="H31" i="4"/>
  <c r="I30" i="4"/>
  <c r="H30" i="4"/>
  <c r="I29" i="4"/>
  <c r="H29" i="4"/>
  <c r="I28" i="4"/>
  <c r="H28" i="4"/>
  <c r="I27" i="4"/>
  <c r="H27" i="4"/>
  <c r="I26" i="4"/>
  <c r="H26" i="4"/>
  <c r="I25" i="4"/>
  <c r="H25" i="4"/>
  <c r="I24" i="4"/>
  <c r="H24" i="4"/>
  <c r="I23" i="4"/>
  <c r="H23" i="4"/>
  <c r="I22" i="4"/>
  <c r="H22" i="4"/>
  <c r="I21" i="4"/>
  <c r="H21" i="4"/>
  <c r="I20" i="4"/>
  <c r="H20" i="4"/>
  <c r="I19" i="4"/>
  <c r="H19" i="4"/>
  <c r="I18" i="4"/>
  <c r="H18" i="4"/>
  <c r="I17" i="4"/>
  <c r="H17" i="4"/>
  <c r="I16" i="4"/>
  <c r="H16" i="4"/>
  <c r="I15" i="4"/>
  <c r="H15" i="4"/>
  <c r="I14" i="4"/>
  <c r="H14" i="4"/>
  <c r="I13" i="4"/>
  <c r="H13" i="4"/>
  <c r="I12" i="4"/>
  <c r="H12" i="4"/>
  <c r="I11" i="4"/>
  <c r="H11" i="4"/>
  <c r="I10" i="4"/>
  <c r="H10" i="4"/>
  <c r="I9" i="4"/>
  <c r="H9" i="4"/>
  <c r="I8" i="4"/>
  <c r="H8" i="4"/>
  <c r="I7" i="4"/>
  <c r="H7" i="4"/>
  <c r="Y323" i="6" l="1"/>
  <c r="X323" i="6"/>
  <c r="U323" i="6"/>
  <c r="R323" i="6"/>
  <c r="C9" i="5"/>
  <c r="C25" i="5"/>
  <c r="R9" i="6"/>
  <c r="AF51" i="6"/>
  <c r="L133" i="6"/>
  <c r="B133" i="6"/>
  <c r="AE133" i="6"/>
  <c r="AB133" i="6"/>
  <c r="T133" i="6"/>
  <c r="Q133" i="6"/>
  <c r="B289" i="6"/>
  <c r="R324" i="6"/>
  <c r="L324" i="6"/>
  <c r="AF324" i="6"/>
  <c r="K324" i="6"/>
  <c r="AB324" i="6"/>
  <c r="J324" i="6"/>
  <c r="Y324" i="6"/>
  <c r="I324" i="6"/>
  <c r="S324" i="6"/>
  <c r="H324" i="6"/>
  <c r="C324" i="6"/>
  <c r="B324" i="6"/>
  <c r="X324" i="6"/>
  <c r="U324" i="6"/>
  <c r="T324" i="6"/>
  <c r="U358" i="6"/>
  <c r="T358" i="6"/>
  <c r="S358" i="6"/>
  <c r="R358" i="6"/>
  <c r="C358" i="6"/>
  <c r="B358" i="6"/>
  <c r="Y371" i="6"/>
  <c r="AA371" i="6"/>
  <c r="P371" i="6"/>
  <c r="F371" i="6"/>
  <c r="Z371" i="6"/>
  <c r="O371" i="6"/>
  <c r="E371" i="6"/>
  <c r="X371" i="6"/>
  <c r="N371" i="6"/>
  <c r="D371" i="6"/>
  <c r="W371" i="6"/>
  <c r="M371" i="6"/>
  <c r="C371" i="6"/>
  <c r="AF371" i="6"/>
  <c r="L371" i="6"/>
  <c r="AE371" i="6"/>
  <c r="K371" i="6"/>
  <c r="AD371" i="6"/>
  <c r="H371" i="6"/>
  <c r="AC371" i="6"/>
  <c r="G371" i="6"/>
  <c r="V371" i="6"/>
  <c r="B371" i="6"/>
  <c r="U371" i="6"/>
  <c r="G9" i="5"/>
  <c r="G7" i="6"/>
  <c r="R8" i="6"/>
  <c r="S9" i="6"/>
  <c r="AE14" i="6"/>
  <c r="I30" i="6"/>
  <c r="AC52" i="6"/>
  <c r="Z52" i="6"/>
  <c r="H52" i="6"/>
  <c r="X52" i="6"/>
  <c r="E52" i="6"/>
  <c r="U52" i="6"/>
  <c r="D52" i="6"/>
  <c r="S52" i="6"/>
  <c r="C52" i="6"/>
  <c r="Y62" i="6"/>
  <c r="AA62" i="6"/>
  <c r="R62" i="6"/>
  <c r="H62" i="6"/>
  <c r="Y68" i="6"/>
  <c r="X68" i="6"/>
  <c r="AB162" i="6"/>
  <c r="R371" i="6"/>
  <c r="Z186" i="6"/>
  <c r="N186" i="6"/>
  <c r="K186" i="6"/>
  <c r="G186" i="6"/>
  <c r="AD186" i="6"/>
  <c r="F186" i="6"/>
  <c r="AB186" i="6"/>
  <c r="W186" i="6"/>
  <c r="U186" i="6"/>
  <c r="AB233" i="6"/>
  <c r="I233" i="6"/>
  <c r="Y289" i="6"/>
  <c r="AC289" i="6"/>
  <c r="G289" i="6"/>
  <c r="AB289" i="6"/>
  <c r="F289" i="6"/>
  <c r="AA289" i="6"/>
  <c r="E289" i="6"/>
  <c r="Z289" i="6"/>
  <c r="D289" i="6"/>
  <c r="S289" i="6"/>
  <c r="R289" i="6"/>
  <c r="O289" i="6"/>
  <c r="E30" i="6"/>
  <c r="Y51" i="6"/>
  <c r="AA51" i="6"/>
  <c r="H51" i="6"/>
  <c r="Z51" i="6"/>
  <c r="E51" i="6"/>
  <c r="S51" i="6"/>
  <c r="D51" i="6"/>
  <c r="R51" i="6"/>
  <c r="C51" i="6"/>
  <c r="P104" i="6"/>
  <c r="AC104" i="6"/>
  <c r="AA104" i="6"/>
  <c r="O104" i="6"/>
  <c r="N104" i="6"/>
  <c r="B186" i="6"/>
  <c r="G25" i="5"/>
  <c r="B9" i="6"/>
  <c r="C14" i="6"/>
  <c r="AE18" i="6"/>
  <c r="R28" i="6"/>
  <c r="I28" i="6"/>
  <c r="AA28" i="6"/>
  <c r="H28" i="6"/>
  <c r="Z28" i="6"/>
  <c r="G28" i="6"/>
  <c r="Y28" i="6"/>
  <c r="E28" i="6"/>
  <c r="O48" i="6"/>
  <c r="B54" i="6"/>
  <c r="X70" i="6"/>
  <c r="H94" i="6"/>
  <c r="X100" i="6"/>
  <c r="V100" i="6"/>
  <c r="P100" i="6"/>
  <c r="E100" i="6"/>
  <c r="O117" i="6"/>
  <c r="N117" i="6"/>
  <c r="F117" i="6"/>
  <c r="E117" i="6"/>
  <c r="M133" i="6"/>
  <c r="M166" i="6"/>
  <c r="E166" i="6"/>
  <c r="AC166" i="6"/>
  <c r="D166" i="6"/>
  <c r="AB166" i="6"/>
  <c r="B166" i="6"/>
  <c r="Z166" i="6"/>
  <c r="Q166" i="6"/>
  <c r="P166" i="6"/>
  <c r="N166" i="6"/>
  <c r="N253" i="6"/>
  <c r="M253" i="6"/>
  <c r="D253" i="6"/>
  <c r="AE253" i="6"/>
  <c r="V253" i="6"/>
  <c r="U253" i="6"/>
  <c r="C253" i="6"/>
  <c r="B7" i="5"/>
  <c r="H9" i="5"/>
  <c r="B14" i="5"/>
  <c r="G20" i="5"/>
  <c r="H25" i="5"/>
  <c r="B30" i="5"/>
  <c r="H7" i="6"/>
  <c r="B8" i="6"/>
  <c r="S8" i="6"/>
  <c r="C9" i="6"/>
  <c r="W9" i="6"/>
  <c r="H10" i="6"/>
  <c r="AE10" i="6"/>
  <c r="K13" i="6"/>
  <c r="H14" i="6"/>
  <c r="AF14" i="6"/>
  <c r="Z15" i="6"/>
  <c r="O28" i="6"/>
  <c r="P48" i="6"/>
  <c r="I51" i="6"/>
  <c r="I52" i="6"/>
  <c r="R54" i="6"/>
  <c r="Y57" i="6"/>
  <c r="X57" i="6"/>
  <c r="U57" i="6"/>
  <c r="K57" i="6"/>
  <c r="M60" i="6"/>
  <c r="U68" i="6"/>
  <c r="U88" i="6"/>
  <c r="M88" i="6"/>
  <c r="K88" i="6"/>
  <c r="I88" i="6"/>
  <c r="I94" i="6"/>
  <c r="Y100" i="6"/>
  <c r="K104" i="6"/>
  <c r="I112" i="6"/>
  <c r="AA112" i="6"/>
  <c r="Y112" i="6"/>
  <c r="P117" i="6"/>
  <c r="X138" i="6"/>
  <c r="Y138" i="6"/>
  <c r="M138" i="6"/>
  <c r="F138" i="6"/>
  <c r="AF138" i="6"/>
  <c r="U149" i="6"/>
  <c r="K149" i="6"/>
  <c r="J149" i="6"/>
  <c r="I149" i="6"/>
  <c r="C149" i="6"/>
  <c r="AD149" i="6"/>
  <c r="AC149" i="6"/>
  <c r="AB149" i="6"/>
  <c r="AA149" i="6"/>
  <c r="U181" i="6"/>
  <c r="AE254" i="6"/>
  <c r="M254" i="6"/>
  <c r="Y283" i="6"/>
  <c r="N283" i="6"/>
  <c r="M283" i="6"/>
  <c r="L283" i="6"/>
  <c r="AA283" i="6"/>
  <c r="E283" i="6"/>
  <c r="V283" i="6"/>
  <c r="O283" i="6"/>
  <c r="D283" i="6"/>
  <c r="C283" i="6"/>
  <c r="Z283" i="6"/>
  <c r="W283" i="6"/>
  <c r="Z332" i="6"/>
  <c r="P332" i="6"/>
  <c r="O332" i="6"/>
  <c r="N332" i="6"/>
  <c r="AB332" i="6"/>
  <c r="H332" i="6"/>
  <c r="AA332" i="6"/>
  <c r="G332" i="6"/>
  <c r="W332" i="6"/>
  <c r="R332" i="6"/>
  <c r="F332" i="6"/>
  <c r="E332" i="6"/>
  <c r="Z351" i="6"/>
  <c r="U351" i="6"/>
  <c r="H351" i="6"/>
  <c r="T351" i="6"/>
  <c r="F351" i="6"/>
  <c r="AF351" i="6"/>
  <c r="R351" i="6"/>
  <c r="E351" i="6"/>
  <c r="AE351" i="6"/>
  <c r="O351" i="6"/>
  <c r="D351" i="6"/>
  <c r="M351" i="6"/>
  <c r="L351" i="6"/>
  <c r="K351" i="6"/>
  <c r="AD351" i="6"/>
  <c r="C351" i="6"/>
  <c r="X351" i="6"/>
  <c r="B351" i="6"/>
  <c r="W351" i="6"/>
  <c r="V351" i="6"/>
  <c r="T371" i="6"/>
  <c r="G7" i="5"/>
  <c r="G14" i="5"/>
  <c r="C17" i="5"/>
  <c r="C23" i="5"/>
  <c r="G30" i="5"/>
  <c r="G33" i="5"/>
  <c r="K7" i="6"/>
  <c r="G8" i="6"/>
  <c r="X8" i="6"/>
  <c r="H9" i="6"/>
  <c r="Z9" i="6"/>
  <c r="K10" i="6"/>
  <c r="AE11" i="6"/>
  <c r="X13" i="6"/>
  <c r="K14" i="6"/>
  <c r="B15" i="6"/>
  <c r="Q28" i="6"/>
  <c r="P51" i="6"/>
  <c r="Q52" i="6"/>
  <c r="U54" i="6"/>
  <c r="Y56" i="6"/>
  <c r="AA56" i="6"/>
  <c r="H56" i="6"/>
  <c r="X56" i="6"/>
  <c r="E56" i="6"/>
  <c r="U56" i="6"/>
  <c r="C56" i="6"/>
  <c r="S56" i="6"/>
  <c r="B56" i="6"/>
  <c r="G59" i="6"/>
  <c r="P109" i="6"/>
  <c r="AC117" i="6"/>
  <c r="N124" i="6"/>
  <c r="R215" i="6"/>
  <c r="Q215" i="6"/>
  <c r="L215" i="6"/>
  <c r="K215" i="6"/>
  <c r="AD215" i="6"/>
  <c r="AA215" i="6"/>
  <c r="H215" i="6"/>
  <c r="G215" i="6"/>
  <c r="S14" i="6"/>
  <c r="Z30" i="6"/>
  <c r="AA30" i="6"/>
  <c r="X30" i="6"/>
  <c r="Q30" i="6"/>
  <c r="P30" i="6"/>
  <c r="AF211" i="6"/>
  <c r="V211" i="6"/>
  <c r="Q211" i="6"/>
  <c r="Z262" i="6"/>
  <c r="R262" i="6"/>
  <c r="G262" i="6"/>
  <c r="AA7" i="6"/>
  <c r="W14" i="6"/>
  <c r="R48" i="6"/>
  <c r="I48" i="6"/>
  <c r="AB48" i="6"/>
  <c r="H48" i="6"/>
  <c r="AA48" i="6"/>
  <c r="G48" i="6"/>
  <c r="Z48" i="6"/>
  <c r="E48" i="6"/>
  <c r="Y94" i="6"/>
  <c r="U94" i="6"/>
  <c r="G94" i="6"/>
  <c r="R94" i="6"/>
  <c r="F94" i="6"/>
  <c r="AF94" i="6"/>
  <c r="Q94" i="6"/>
  <c r="C94" i="6"/>
  <c r="AE94" i="6"/>
  <c r="P94" i="6"/>
  <c r="B94" i="6"/>
  <c r="Q162" i="6"/>
  <c r="P162" i="6"/>
  <c r="N162" i="6"/>
  <c r="M162" i="6"/>
  <c r="Z162" i="6"/>
  <c r="E162" i="6"/>
  <c r="D162" i="6"/>
  <c r="B162" i="6"/>
  <c r="W8" i="6"/>
  <c r="X9" i="6"/>
  <c r="AD18" i="6"/>
  <c r="P18" i="6"/>
  <c r="O18" i="6"/>
  <c r="J18" i="6"/>
  <c r="AF18" i="6"/>
  <c r="H18" i="6"/>
  <c r="Q48" i="6"/>
  <c r="AD86" i="6"/>
  <c r="V86" i="6"/>
  <c r="U86" i="6"/>
  <c r="R86" i="6"/>
  <c r="K86" i="6"/>
  <c r="K94" i="6"/>
  <c r="O101" i="6"/>
  <c r="AE101" i="6"/>
  <c r="N101" i="6"/>
  <c r="AD101" i="6"/>
  <c r="G101" i="6"/>
  <c r="AC101" i="6"/>
  <c r="F101" i="6"/>
  <c r="Q117" i="6"/>
  <c r="Z163" i="6"/>
  <c r="AF163" i="6"/>
  <c r="H163" i="6"/>
  <c r="AD163" i="6"/>
  <c r="F163" i="6"/>
  <c r="AC163" i="6"/>
  <c r="E163" i="6"/>
  <c r="AB163" i="6"/>
  <c r="D163" i="6"/>
  <c r="T163" i="6"/>
  <c r="R163" i="6"/>
  <c r="Q163" i="6"/>
  <c r="Z171" i="6"/>
  <c r="P171" i="6"/>
  <c r="AF171" i="6"/>
  <c r="H171" i="6"/>
  <c r="AD171" i="6"/>
  <c r="F171" i="6"/>
  <c r="AC171" i="6"/>
  <c r="E171" i="6"/>
  <c r="AB171" i="6"/>
  <c r="T171" i="6"/>
  <c r="R171" i="6"/>
  <c r="T220" i="6"/>
  <c r="AD220" i="6"/>
  <c r="Y220" i="6"/>
  <c r="H220" i="6"/>
  <c r="H7" i="5"/>
  <c r="H14" i="5"/>
  <c r="G17" i="5"/>
  <c r="H23" i="5"/>
  <c r="H30" i="5"/>
  <c r="H33" i="5"/>
  <c r="W7" i="6"/>
  <c r="H8" i="6"/>
  <c r="Z8" i="6"/>
  <c r="J9" i="6"/>
  <c r="AF9" i="6"/>
  <c r="O10" i="6"/>
  <c r="G11" i="6"/>
  <c r="AE12" i="6"/>
  <c r="Z13" i="6"/>
  <c r="G18" i="6"/>
  <c r="X20" i="6"/>
  <c r="X28" i="6"/>
  <c r="P32" i="6"/>
  <c r="Q51" i="6"/>
  <c r="R52" i="6"/>
  <c r="I56" i="6"/>
  <c r="AF58" i="6"/>
  <c r="X58" i="6"/>
  <c r="R58" i="6"/>
  <c r="K58" i="6"/>
  <c r="J58" i="6"/>
  <c r="Z66" i="6"/>
  <c r="X66" i="6"/>
  <c r="H86" i="6"/>
  <c r="AD89" i="6"/>
  <c r="J89" i="6"/>
  <c r="H89" i="6"/>
  <c r="V94" i="6"/>
  <c r="O97" i="6"/>
  <c r="N97" i="6"/>
  <c r="AE97" i="6"/>
  <c r="G97" i="6"/>
  <c r="AD97" i="6"/>
  <c r="F97" i="6"/>
  <c r="E101" i="6"/>
  <c r="Y103" i="6"/>
  <c r="X103" i="6"/>
  <c r="V103" i="6"/>
  <c r="I103" i="6"/>
  <c r="Q109" i="6"/>
  <c r="AD117" i="6"/>
  <c r="Z138" i="6"/>
  <c r="Q171" i="6"/>
  <c r="AD179" i="6"/>
  <c r="AC179" i="6"/>
  <c r="I179" i="6"/>
  <c r="AB179" i="6"/>
  <c r="H179" i="6"/>
  <c r="U179" i="6"/>
  <c r="F179" i="6"/>
  <c r="T179" i="6"/>
  <c r="E179" i="6"/>
  <c r="R179" i="6"/>
  <c r="Q179" i="6"/>
  <c r="P179" i="6"/>
  <c r="N193" i="6"/>
  <c r="AF193" i="6"/>
  <c r="AE193" i="6"/>
  <c r="Z193" i="6"/>
  <c r="P193" i="6"/>
  <c r="O193" i="6"/>
  <c r="S240" i="6"/>
  <c r="V240" i="6"/>
  <c r="R240" i="6"/>
  <c r="Q240" i="6"/>
  <c r="M240" i="6"/>
  <c r="AD14" i="6"/>
  <c r="Z14" i="6"/>
  <c r="X14" i="6"/>
  <c r="G14" i="6"/>
  <c r="B14" i="6"/>
  <c r="Y54" i="6"/>
  <c r="I54" i="6"/>
  <c r="H54" i="6"/>
  <c r="E54" i="6"/>
  <c r="AA54" i="6"/>
  <c r="C54" i="6"/>
  <c r="AC94" i="6"/>
  <c r="C7" i="5"/>
  <c r="C14" i="5"/>
  <c r="H20" i="5"/>
  <c r="J7" i="6"/>
  <c r="C8" i="6"/>
  <c r="G9" i="6"/>
  <c r="J14" i="6"/>
  <c r="AD15" i="6"/>
  <c r="J15" i="6"/>
  <c r="AF15" i="6"/>
  <c r="H15" i="6"/>
  <c r="AE15" i="6"/>
  <c r="G15" i="6"/>
  <c r="M51" i="6"/>
  <c r="S54" i="6"/>
  <c r="Y59" i="6"/>
  <c r="Z59" i="6"/>
  <c r="R59" i="6"/>
  <c r="P59" i="6"/>
  <c r="H59" i="6"/>
  <c r="X124" i="6"/>
  <c r="K124" i="6"/>
  <c r="H17" i="5"/>
  <c r="X7" i="6"/>
  <c r="J8" i="6"/>
  <c r="AE8" i="6"/>
  <c r="K9" i="6"/>
  <c r="R10" i="6"/>
  <c r="AA13" i="6"/>
  <c r="R14" i="6"/>
  <c r="O15" i="6"/>
  <c r="R18" i="6"/>
  <c r="Q32" i="6"/>
  <c r="AB51" i="6"/>
  <c r="AF52" i="6"/>
  <c r="J56" i="6"/>
  <c r="Y60" i="6"/>
  <c r="W60" i="6"/>
  <c r="K60" i="6"/>
  <c r="V60" i="6"/>
  <c r="F60" i="6"/>
  <c r="U60" i="6"/>
  <c r="E60" i="6"/>
  <c r="AF60" i="6"/>
  <c r="T60" i="6"/>
  <c r="D60" i="6"/>
  <c r="AC60" i="6"/>
  <c r="P76" i="6"/>
  <c r="J81" i="6"/>
  <c r="U81" i="6"/>
  <c r="S81" i="6"/>
  <c r="Q81" i="6"/>
  <c r="I86" i="6"/>
  <c r="X94" i="6"/>
  <c r="P101" i="6"/>
  <c r="S109" i="6"/>
  <c r="AD115" i="6"/>
  <c r="U115" i="6"/>
  <c r="S115" i="6"/>
  <c r="K115" i="6"/>
  <c r="I115" i="6"/>
  <c r="V124" i="6"/>
  <c r="AA156" i="6"/>
  <c r="P156" i="6"/>
  <c r="N156" i="6"/>
  <c r="M156" i="6"/>
  <c r="H156" i="6"/>
  <c r="AF156" i="6"/>
  <c r="Z156" i="6"/>
  <c r="E156" i="6"/>
  <c r="D156" i="6"/>
  <c r="X161" i="6"/>
  <c r="U161" i="6"/>
  <c r="N161" i="6"/>
  <c r="M161" i="6"/>
  <c r="K193" i="6"/>
  <c r="AA218" i="6"/>
  <c r="AB218" i="6"/>
  <c r="Z218" i="6"/>
  <c r="Y218" i="6"/>
  <c r="P218" i="6"/>
  <c r="K218" i="6"/>
  <c r="H231" i="6"/>
  <c r="Y273" i="6"/>
  <c r="S273" i="6"/>
  <c r="M273" i="6"/>
  <c r="J273" i="6"/>
  <c r="AD273" i="6"/>
  <c r="AC273" i="6"/>
  <c r="W273" i="6"/>
  <c r="T273" i="6"/>
  <c r="G273" i="6"/>
  <c r="P61" i="6"/>
  <c r="AD77" i="6"/>
  <c r="AD79" i="6"/>
  <c r="AD91" i="6"/>
  <c r="P98" i="6"/>
  <c r="AF98" i="6"/>
  <c r="H102" i="6"/>
  <c r="V102" i="6"/>
  <c r="AD110" i="6"/>
  <c r="H114" i="6"/>
  <c r="AA114" i="6"/>
  <c r="Q118" i="6"/>
  <c r="X119" i="6"/>
  <c r="AC121" i="6"/>
  <c r="P122" i="6"/>
  <c r="AF122" i="6"/>
  <c r="V123" i="6"/>
  <c r="S125" i="6"/>
  <c r="AD125" i="6"/>
  <c r="O125" i="6"/>
  <c r="V128" i="6"/>
  <c r="Q128" i="6"/>
  <c r="J128" i="6"/>
  <c r="E128" i="6"/>
  <c r="N130" i="6"/>
  <c r="M130" i="6"/>
  <c r="Y177" i="6"/>
  <c r="X177" i="6"/>
  <c r="AF201" i="6"/>
  <c r="Z201" i="6"/>
  <c r="Y225" i="6"/>
  <c r="Z225" i="6"/>
  <c r="L225" i="6"/>
  <c r="X225" i="6"/>
  <c r="I225" i="6"/>
  <c r="W225" i="6"/>
  <c r="G225" i="6"/>
  <c r="T225" i="6"/>
  <c r="F225" i="6"/>
  <c r="AA225" i="6"/>
  <c r="W235" i="6"/>
  <c r="AD235" i="6"/>
  <c r="V235" i="6"/>
  <c r="V257" i="6"/>
  <c r="W257" i="6"/>
  <c r="E257" i="6"/>
  <c r="T257" i="6"/>
  <c r="D257" i="6"/>
  <c r="Q257" i="6"/>
  <c r="C257" i="6"/>
  <c r="N257" i="6"/>
  <c r="M257" i="6"/>
  <c r="I257" i="6"/>
  <c r="AD257" i="6"/>
  <c r="F257" i="6"/>
  <c r="Z330" i="6"/>
  <c r="AC330" i="6"/>
  <c r="N330" i="6"/>
  <c r="AB330" i="6"/>
  <c r="M330" i="6"/>
  <c r="AA330" i="6"/>
  <c r="H330" i="6"/>
  <c r="X330" i="6"/>
  <c r="G330" i="6"/>
  <c r="W330" i="6"/>
  <c r="S330" i="6"/>
  <c r="P330" i="6"/>
  <c r="O330" i="6"/>
  <c r="F330" i="6"/>
  <c r="X16" i="6"/>
  <c r="E22" i="6"/>
  <c r="E42" i="6"/>
  <c r="R61" i="6"/>
  <c r="U63" i="6"/>
  <c r="AF63" i="6"/>
  <c r="V67" i="6"/>
  <c r="B75" i="6"/>
  <c r="B79" i="6"/>
  <c r="R80" i="6"/>
  <c r="P82" i="6"/>
  <c r="AD84" i="6"/>
  <c r="B91" i="6"/>
  <c r="Q98" i="6"/>
  <c r="I102" i="6"/>
  <c r="X102" i="6"/>
  <c r="P110" i="6"/>
  <c r="AE110" i="6"/>
  <c r="I114" i="6"/>
  <c r="AC114" i="6"/>
  <c r="C116" i="6"/>
  <c r="S118" i="6"/>
  <c r="AE119" i="6"/>
  <c r="X123" i="6"/>
  <c r="M136" i="6"/>
  <c r="E136" i="6"/>
  <c r="T159" i="6"/>
  <c r="AD159" i="6"/>
  <c r="S159" i="6"/>
  <c r="L159" i="6"/>
  <c r="J177" i="6"/>
  <c r="U184" i="6"/>
  <c r="AB194" i="6"/>
  <c r="P194" i="6"/>
  <c r="L194" i="6"/>
  <c r="J194" i="6"/>
  <c r="AD194" i="6"/>
  <c r="I194" i="6"/>
  <c r="J201" i="6"/>
  <c r="AD204" i="6"/>
  <c r="Q204" i="6"/>
  <c r="P204" i="6"/>
  <c r="I204" i="6"/>
  <c r="AE204" i="6"/>
  <c r="H204" i="6"/>
  <c r="B225" i="6"/>
  <c r="AE225" i="6"/>
  <c r="E235" i="6"/>
  <c r="O245" i="6"/>
  <c r="F245" i="6"/>
  <c r="E245" i="6"/>
  <c r="O257" i="6"/>
  <c r="Y274" i="6"/>
  <c r="S274" i="6"/>
  <c r="D274" i="6"/>
  <c r="AD274" i="6"/>
  <c r="R274" i="6"/>
  <c r="C274" i="6"/>
  <c r="AC274" i="6"/>
  <c r="N274" i="6"/>
  <c r="B274" i="6"/>
  <c r="V274" i="6"/>
  <c r="T274" i="6"/>
  <c r="M274" i="6"/>
  <c r="L274" i="6"/>
  <c r="D330" i="6"/>
  <c r="AF16" i="6"/>
  <c r="O19" i="6"/>
  <c r="I22" i="6"/>
  <c r="P24" i="6"/>
  <c r="Q36" i="6"/>
  <c r="I42" i="6"/>
  <c r="E61" i="6"/>
  <c r="W61" i="6"/>
  <c r="K63" i="6"/>
  <c r="V63" i="6"/>
  <c r="Z64" i="6"/>
  <c r="H75" i="6"/>
  <c r="B77" i="6"/>
  <c r="F78" i="6"/>
  <c r="H79" i="6"/>
  <c r="B80" i="6"/>
  <c r="Z80" i="6"/>
  <c r="Q82" i="6"/>
  <c r="O84" i="6"/>
  <c r="AE84" i="6"/>
  <c r="S98" i="6"/>
  <c r="K102" i="6"/>
  <c r="AC102" i="6"/>
  <c r="O114" i="6"/>
  <c r="AD114" i="6"/>
  <c r="N116" i="6"/>
  <c r="U118" i="6"/>
  <c r="H119" i="6"/>
  <c r="AF119" i="6"/>
  <c r="E121" i="6"/>
  <c r="S122" i="6"/>
  <c r="G123" i="6"/>
  <c r="AE123" i="6"/>
  <c r="E125" i="6"/>
  <c r="G128" i="6"/>
  <c r="T130" i="6"/>
  <c r="N136" i="6"/>
  <c r="AA144" i="6"/>
  <c r="H144" i="6"/>
  <c r="F144" i="6"/>
  <c r="E144" i="6"/>
  <c r="D144" i="6"/>
  <c r="AA148" i="6"/>
  <c r="Q148" i="6"/>
  <c r="H148" i="6"/>
  <c r="F148" i="6"/>
  <c r="E148" i="6"/>
  <c r="I159" i="6"/>
  <c r="M177" i="6"/>
  <c r="Y184" i="6"/>
  <c r="K201" i="6"/>
  <c r="C204" i="6"/>
  <c r="C225" i="6"/>
  <c r="AB226" i="6"/>
  <c r="V226" i="6"/>
  <c r="AD226" i="6"/>
  <c r="T226" i="6"/>
  <c r="I226" i="6"/>
  <c r="M235" i="6"/>
  <c r="Y257" i="6"/>
  <c r="AE261" i="6"/>
  <c r="Y261" i="6"/>
  <c r="F261" i="6"/>
  <c r="W261" i="6"/>
  <c r="D261" i="6"/>
  <c r="V261" i="6"/>
  <c r="C261" i="6"/>
  <c r="Q261" i="6"/>
  <c r="M261" i="6"/>
  <c r="L261" i="6"/>
  <c r="K261" i="6"/>
  <c r="K267" i="6"/>
  <c r="AE267" i="6"/>
  <c r="F267" i="6"/>
  <c r="AB267" i="6"/>
  <c r="E267" i="6"/>
  <c r="AA267" i="6"/>
  <c r="Z267" i="6"/>
  <c r="R267" i="6"/>
  <c r="F274" i="6"/>
  <c r="Y282" i="6"/>
  <c r="AB282" i="6"/>
  <c r="M282" i="6"/>
  <c r="AA282" i="6"/>
  <c r="L282" i="6"/>
  <c r="Z282" i="6"/>
  <c r="F282" i="6"/>
  <c r="W282" i="6"/>
  <c r="E282" i="6"/>
  <c r="O282" i="6"/>
  <c r="N282" i="6"/>
  <c r="D282" i="6"/>
  <c r="C282" i="6"/>
  <c r="E330" i="6"/>
  <c r="P19" i="6"/>
  <c r="O22" i="6"/>
  <c r="Q24" i="6"/>
  <c r="X36" i="6"/>
  <c r="O42" i="6"/>
  <c r="Q44" i="6"/>
  <c r="F61" i="6"/>
  <c r="X61" i="6"/>
  <c r="L63" i="6"/>
  <c r="W63" i="6"/>
  <c r="J75" i="6"/>
  <c r="H77" i="6"/>
  <c r="J79" i="6"/>
  <c r="C80" i="6"/>
  <c r="AA80" i="6"/>
  <c r="R82" i="6"/>
  <c r="E98" i="6"/>
  <c r="U98" i="6"/>
  <c r="O102" i="6"/>
  <c r="AD102" i="6"/>
  <c r="P114" i="6"/>
  <c r="AE114" i="6"/>
  <c r="V118" i="6"/>
  <c r="I119" i="6"/>
  <c r="F121" i="6"/>
  <c r="E122" i="6"/>
  <c r="U122" i="6"/>
  <c r="H123" i="6"/>
  <c r="AF123" i="6"/>
  <c r="F125" i="6"/>
  <c r="S128" i="6"/>
  <c r="AF134" i="6"/>
  <c r="N134" i="6"/>
  <c r="V144" i="6"/>
  <c r="D148" i="6"/>
  <c r="J159" i="6"/>
  <c r="AC164" i="6"/>
  <c r="R164" i="6"/>
  <c r="Q164" i="6"/>
  <c r="J164" i="6"/>
  <c r="AF164" i="6"/>
  <c r="I164" i="6"/>
  <c r="N177" i="6"/>
  <c r="Z184" i="6"/>
  <c r="K192" i="6"/>
  <c r="AA192" i="6"/>
  <c r="Z192" i="6"/>
  <c r="P192" i="6"/>
  <c r="O192" i="6"/>
  <c r="F194" i="6"/>
  <c r="T200" i="6"/>
  <c r="AE200" i="6"/>
  <c r="J200" i="6"/>
  <c r="AD200" i="6"/>
  <c r="I200" i="6"/>
  <c r="AA200" i="6"/>
  <c r="G200" i="6"/>
  <c r="Z200" i="6"/>
  <c r="F200" i="6"/>
  <c r="Y201" i="6"/>
  <c r="D225" i="6"/>
  <c r="H226" i="6"/>
  <c r="N235" i="6"/>
  <c r="Z257" i="6"/>
  <c r="B261" i="6"/>
  <c r="D267" i="6"/>
  <c r="G274" i="6"/>
  <c r="B282" i="6"/>
  <c r="AD285" i="6"/>
  <c r="T285" i="6"/>
  <c r="J285" i="6"/>
  <c r="AF331" i="6"/>
  <c r="AE331" i="6"/>
  <c r="AD331" i="6"/>
  <c r="S331" i="6"/>
  <c r="M331" i="6"/>
  <c r="Q146" i="6"/>
  <c r="P168" i="6"/>
  <c r="Q185" i="6"/>
  <c r="AB188" i="6"/>
  <c r="T195" i="6"/>
  <c r="Y202" i="6"/>
  <c r="Z217" i="6"/>
  <c r="AA223" i="6"/>
  <c r="S295" i="6"/>
  <c r="AE295" i="6"/>
  <c r="AD295" i="6"/>
  <c r="T295" i="6"/>
  <c r="R335" i="6"/>
  <c r="H335" i="6"/>
  <c r="AC335" i="6"/>
  <c r="B335" i="6"/>
  <c r="AA335" i="6"/>
  <c r="U335" i="6"/>
  <c r="K335" i="6"/>
  <c r="J335" i="6"/>
  <c r="C335" i="6"/>
  <c r="R168" i="6"/>
  <c r="AD195" i="6"/>
  <c r="AB202" i="6"/>
  <c r="AD223" i="6"/>
  <c r="S229" i="6"/>
  <c r="AD229" i="6"/>
  <c r="AB229" i="6"/>
  <c r="Y272" i="6"/>
  <c r="T272" i="6"/>
  <c r="N272" i="6"/>
  <c r="J272" i="6"/>
  <c r="Y280" i="6"/>
  <c r="T280" i="6"/>
  <c r="G280" i="6"/>
  <c r="AD280" i="6"/>
  <c r="S280" i="6"/>
  <c r="F280" i="6"/>
  <c r="AC280" i="6"/>
  <c r="R280" i="6"/>
  <c r="E280" i="6"/>
  <c r="AB280" i="6"/>
  <c r="O280" i="6"/>
  <c r="V280" i="6"/>
  <c r="J295" i="6"/>
  <c r="S320" i="6"/>
  <c r="T320" i="6"/>
  <c r="L320" i="6"/>
  <c r="K320" i="6"/>
  <c r="AF320" i="6"/>
  <c r="J320" i="6"/>
  <c r="AB335" i="6"/>
  <c r="AD362" i="6"/>
  <c r="T362" i="6"/>
  <c r="S362" i="6"/>
  <c r="L362" i="6"/>
  <c r="AE362" i="6"/>
  <c r="K362" i="6"/>
  <c r="H362" i="6"/>
  <c r="G362" i="6"/>
  <c r="AD391" i="6"/>
  <c r="V391" i="6"/>
  <c r="S391" i="6"/>
  <c r="L391" i="6"/>
  <c r="I391" i="6"/>
  <c r="Z391" i="6"/>
  <c r="Y391" i="6"/>
  <c r="F391" i="6"/>
  <c r="R403" i="6"/>
  <c r="AB403" i="6"/>
  <c r="M150" i="6"/>
  <c r="Q158" i="6"/>
  <c r="P160" i="6"/>
  <c r="J165" i="6"/>
  <c r="Q167" i="6"/>
  <c r="D168" i="6"/>
  <c r="T168" i="6"/>
  <c r="N170" i="6"/>
  <c r="P172" i="6"/>
  <c r="AD172" i="6"/>
  <c r="Y178" i="6"/>
  <c r="Y182" i="6"/>
  <c r="AC183" i="6"/>
  <c r="C185" i="6"/>
  <c r="W185" i="6"/>
  <c r="B187" i="6"/>
  <c r="F188" i="6"/>
  <c r="B195" i="6"/>
  <c r="F202" i="6"/>
  <c r="AD202" i="6"/>
  <c r="X203" i="6"/>
  <c r="G205" i="6"/>
  <c r="Q206" i="6"/>
  <c r="G217" i="6"/>
  <c r="AE217" i="6"/>
  <c r="G223" i="6"/>
  <c r="AF223" i="6"/>
  <c r="AB234" i="6"/>
  <c r="AA234" i="6"/>
  <c r="J234" i="6"/>
  <c r="G250" i="6"/>
  <c r="D272" i="6"/>
  <c r="B280" i="6"/>
  <c r="W280" i="6"/>
  <c r="Y290" i="6"/>
  <c r="O290" i="6"/>
  <c r="N290" i="6"/>
  <c r="M290" i="6"/>
  <c r="AB290" i="6"/>
  <c r="F290" i="6"/>
  <c r="K295" i="6"/>
  <c r="B313" i="6"/>
  <c r="C320" i="6"/>
  <c r="Z336" i="6"/>
  <c r="S336" i="6"/>
  <c r="AD336" i="6"/>
  <c r="P336" i="6"/>
  <c r="D336" i="6"/>
  <c r="AC336" i="6"/>
  <c r="O336" i="6"/>
  <c r="AB336" i="6"/>
  <c r="N336" i="6"/>
  <c r="T336" i="6"/>
  <c r="K336" i="6"/>
  <c r="H336" i="6"/>
  <c r="G336" i="6"/>
  <c r="F336" i="6"/>
  <c r="E391" i="6"/>
  <c r="S403" i="6"/>
  <c r="S135" i="6"/>
  <c r="Z146" i="6"/>
  <c r="N150" i="6"/>
  <c r="X160" i="6"/>
  <c r="B167" i="6"/>
  <c r="R167" i="6"/>
  <c r="E168" i="6"/>
  <c r="U168" i="6"/>
  <c r="Q172" i="6"/>
  <c r="AF172" i="6"/>
  <c r="B178" i="6"/>
  <c r="AD183" i="6"/>
  <c r="E185" i="6"/>
  <c r="Z185" i="6"/>
  <c r="K187" i="6"/>
  <c r="G188" i="6"/>
  <c r="H202" i="6"/>
  <c r="AB203" i="6"/>
  <c r="AB206" i="6"/>
  <c r="Z214" i="6"/>
  <c r="I217" i="6"/>
  <c r="T221" i="6"/>
  <c r="V227" i="6"/>
  <c r="Q227" i="6"/>
  <c r="L227" i="6"/>
  <c r="AF227" i="6"/>
  <c r="K227" i="6"/>
  <c r="AE227" i="6"/>
  <c r="I234" i="6"/>
  <c r="I250" i="6"/>
  <c r="Q252" i="6"/>
  <c r="M252" i="6"/>
  <c r="G252" i="6"/>
  <c r="Z272" i="6"/>
  <c r="C280" i="6"/>
  <c r="Z280" i="6"/>
  <c r="L292" i="6"/>
  <c r="K292" i="6"/>
  <c r="AE292" i="6"/>
  <c r="D292" i="6"/>
  <c r="Z292" i="6"/>
  <c r="C292" i="6"/>
  <c r="R295" i="6"/>
  <c r="S313" i="6"/>
  <c r="H320" i="6"/>
  <c r="E336" i="6"/>
  <c r="T340" i="6"/>
  <c r="K340" i="6"/>
  <c r="J340" i="6"/>
  <c r="H340" i="6"/>
  <c r="AB350" i="6"/>
  <c r="J350" i="6"/>
  <c r="AA350" i="6"/>
  <c r="H350" i="6"/>
  <c r="X350" i="6"/>
  <c r="G350" i="6"/>
  <c r="T350" i="6"/>
  <c r="F350" i="6"/>
  <c r="M368" i="6"/>
  <c r="N368" i="6"/>
  <c r="L368" i="6"/>
  <c r="E368" i="6"/>
  <c r="AF368" i="6"/>
  <c r="D368" i="6"/>
  <c r="AD286" i="6"/>
  <c r="L288" i="6"/>
  <c r="W288" i="6"/>
  <c r="N291" i="6"/>
  <c r="O296" i="6"/>
  <c r="R297" i="6"/>
  <c r="O298" i="6"/>
  <c r="L299" i="6"/>
  <c r="Z299" i="6"/>
  <c r="V301" i="6"/>
  <c r="Z305" i="6"/>
  <c r="N307" i="6"/>
  <c r="Y316" i="6"/>
  <c r="G340" i="6"/>
  <c r="B350" i="6"/>
  <c r="Y354" i="6"/>
  <c r="W354" i="6"/>
  <c r="L354" i="6"/>
  <c r="V354" i="6"/>
  <c r="H354" i="6"/>
  <c r="U354" i="6"/>
  <c r="G354" i="6"/>
  <c r="AF354" i="6"/>
  <c r="R354" i="6"/>
  <c r="F354" i="6"/>
  <c r="X354" i="6"/>
  <c r="M363" i="6"/>
  <c r="C368" i="6"/>
  <c r="Z396" i="6"/>
  <c r="M396" i="6"/>
  <c r="L396" i="6"/>
  <c r="I396" i="6"/>
  <c r="F396" i="6"/>
  <c r="Q247" i="6"/>
  <c r="AB268" i="6"/>
  <c r="AE286" i="6"/>
  <c r="Z288" i="6"/>
  <c r="O291" i="6"/>
  <c r="K294" i="6"/>
  <c r="R296" i="6"/>
  <c r="M299" i="6"/>
  <c r="AA299" i="6"/>
  <c r="B301" i="6"/>
  <c r="W301" i="6"/>
  <c r="M303" i="6"/>
  <c r="M304" i="6"/>
  <c r="AE304" i="6"/>
  <c r="AB305" i="6"/>
  <c r="O306" i="6"/>
  <c r="AE306" i="6"/>
  <c r="P307" i="6"/>
  <c r="S308" i="6"/>
  <c r="H316" i="6"/>
  <c r="AB316" i="6"/>
  <c r="AB328" i="6"/>
  <c r="U340" i="6"/>
  <c r="K350" i="6"/>
  <c r="AF353" i="6"/>
  <c r="L353" i="6"/>
  <c r="AE353" i="6"/>
  <c r="K353" i="6"/>
  <c r="AB353" i="6"/>
  <c r="J353" i="6"/>
  <c r="W353" i="6"/>
  <c r="E353" i="6"/>
  <c r="Z359" i="6"/>
  <c r="P359" i="6"/>
  <c r="O359" i="6"/>
  <c r="N359" i="6"/>
  <c r="AC359" i="6"/>
  <c r="G359" i="6"/>
  <c r="O363" i="6"/>
  <c r="O368" i="6"/>
  <c r="AC383" i="6"/>
  <c r="K383" i="6"/>
  <c r="AF383" i="6"/>
  <c r="H383" i="6"/>
  <c r="AD383" i="6"/>
  <c r="G383" i="6"/>
  <c r="V383" i="6"/>
  <c r="F383" i="6"/>
  <c r="AD397" i="6"/>
  <c r="N397" i="6"/>
  <c r="AC397" i="6"/>
  <c r="I397" i="6"/>
  <c r="AB397" i="6"/>
  <c r="F397" i="6"/>
  <c r="Y397" i="6"/>
  <c r="E397" i="6"/>
  <c r="AB401" i="6"/>
  <c r="AA401" i="6"/>
  <c r="Q401" i="6"/>
  <c r="Y408" i="6"/>
  <c r="U408" i="6"/>
  <c r="AD232" i="6"/>
  <c r="B247" i="6"/>
  <c r="U247" i="6"/>
  <c r="T251" i="6"/>
  <c r="L255" i="6"/>
  <c r="Z255" i="6"/>
  <c r="C270" i="6"/>
  <c r="K284" i="6"/>
  <c r="J286" i="6"/>
  <c r="C288" i="6"/>
  <c r="N288" i="6"/>
  <c r="AA288" i="6"/>
  <c r="B291" i="6"/>
  <c r="V291" i="6"/>
  <c r="S296" i="6"/>
  <c r="AB299" i="6"/>
  <c r="AD305" i="6"/>
  <c r="S307" i="6"/>
  <c r="Y308" i="6"/>
  <c r="I316" i="6"/>
  <c r="AF316" i="6"/>
  <c r="M321" i="6"/>
  <c r="AF328" i="6"/>
  <c r="Y334" i="6"/>
  <c r="W334" i="6"/>
  <c r="E334" i="6"/>
  <c r="X334" i="6"/>
  <c r="V340" i="6"/>
  <c r="S342" i="6"/>
  <c r="R342" i="6"/>
  <c r="K342" i="6"/>
  <c r="AF342" i="6"/>
  <c r="J342" i="6"/>
  <c r="O350" i="6"/>
  <c r="D359" i="6"/>
  <c r="W368" i="6"/>
  <c r="C383" i="6"/>
  <c r="Z390" i="6"/>
  <c r="Q390" i="6"/>
  <c r="N390" i="6"/>
  <c r="M390" i="6"/>
  <c r="L390" i="6"/>
  <c r="AD392" i="6"/>
  <c r="Y392" i="6"/>
  <c r="F392" i="6"/>
  <c r="V392" i="6"/>
  <c r="E392" i="6"/>
  <c r="S392" i="6"/>
  <c r="D392" i="6"/>
  <c r="R392" i="6"/>
  <c r="C392" i="6"/>
  <c r="AD400" i="6"/>
  <c r="AB400" i="6"/>
  <c r="F400" i="6"/>
  <c r="Y400" i="6"/>
  <c r="E400" i="6"/>
  <c r="S400" i="6"/>
  <c r="D400" i="6"/>
  <c r="R400" i="6"/>
  <c r="C400" i="6"/>
  <c r="L401" i="6"/>
  <c r="H228" i="6"/>
  <c r="G232" i="6"/>
  <c r="AF232" i="6"/>
  <c r="I236" i="6"/>
  <c r="C247" i="6"/>
  <c r="M255" i="6"/>
  <c r="AA255" i="6"/>
  <c r="M265" i="6"/>
  <c r="AA265" i="6"/>
  <c r="O268" i="6"/>
  <c r="L269" i="6"/>
  <c r="W269" i="6"/>
  <c r="D288" i="6"/>
  <c r="O288" i="6"/>
  <c r="AB288" i="6"/>
  <c r="T296" i="6"/>
  <c r="W298" i="6"/>
  <c r="D299" i="6"/>
  <c r="O299" i="6"/>
  <c r="D307" i="6"/>
  <c r="T307" i="6"/>
  <c r="J316" i="6"/>
  <c r="AA340" i="6"/>
  <c r="R350" i="6"/>
  <c r="X361" i="6"/>
  <c r="W361" i="6"/>
  <c r="V361" i="6"/>
  <c r="U361" i="6"/>
  <c r="Z363" i="6"/>
  <c r="V363" i="6"/>
  <c r="G363" i="6"/>
  <c r="T363" i="6"/>
  <c r="F363" i="6"/>
  <c r="AF363" i="6"/>
  <c r="S363" i="6"/>
  <c r="E363" i="6"/>
  <c r="AD363" i="6"/>
  <c r="P363" i="6"/>
  <c r="D363" i="6"/>
  <c r="AA363" i="6"/>
  <c r="X368" i="6"/>
  <c r="B400" i="6"/>
  <c r="M401" i="6"/>
  <c r="S407" i="6"/>
  <c r="Z407" i="6"/>
  <c r="L407" i="6"/>
  <c r="E407" i="6"/>
  <c r="D407" i="6"/>
  <c r="G337" i="6"/>
  <c r="T337" i="6"/>
  <c r="AE337" i="6"/>
  <c r="X338" i="6"/>
  <c r="V339" i="6"/>
  <c r="M341" i="6"/>
  <c r="AA341" i="6"/>
  <c r="P347" i="6"/>
  <c r="AE347" i="6"/>
  <c r="O348" i="6"/>
  <c r="AD348" i="6"/>
  <c r="K349" i="6"/>
  <c r="V349" i="6"/>
  <c r="T352" i="6"/>
  <c r="L355" i="6"/>
  <c r="AD355" i="6"/>
  <c r="H356" i="6"/>
  <c r="U356" i="6"/>
  <c r="L360" i="6"/>
  <c r="X360" i="6"/>
  <c r="T369" i="6"/>
  <c r="P372" i="6"/>
  <c r="AF372" i="6"/>
  <c r="O373" i="6"/>
  <c r="AE373" i="6"/>
  <c r="M374" i="6"/>
  <c r="AA374" i="6"/>
  <c r="M375" i="6"/>
  <c r="AE381" i="6"/>
  <c r="S384" i="6"/>
  <c r="R389" i="6"/>
  <c r="Y394" i="6"/>
  <c r="H337" i="6"/>
  <c r="U337" i="6"/>
  <c r="AA338" i="6"/>
  <c r="S347" i="6"/>
  <c r="P348" i="6"/>
  <c r="L349" i="6"/>
  <c r="W349" i="6"/>
  <c r="R355" i="6"/>
  <c r="K356" i="6"/>
  <c r="V356" i="6"/>
  <c r="M360" i="6"/>
  <c r="AA360" i="6"/>
  <c r="V369" i="6"/>
  <c r="S372" i="6"/>
  <c r="P373" i="6"/>
  <c r="N374" i="6"/>
  <c r="AB374" i="6"/>
  <c r="N375" i="6"/>
  <c r="AF381" i="6"/>
  <c r="AC384" i="6"/>
  <c r="S389" i="6"/>
  <c r="AC398" i="6"/>
  <c r="E405" i="6"/>
  <c r="K337" i="6"/>
  <c r="W337" i="6"/>
  <c r="C338" i="6"/>
  <c r="AB338" i="6"/>
  <c r="L339" i="6"/>
  <c r="AA339" i="6"/>
  <c r="D341" i="6"/>
  <c r="O341" i="6"/>
  <c r="AC341" i="6"/>
  <c r="E347" i="6"/>
  <c r="T347" i="6"/>
  <c r="D348" i="6"/>
  <c r="S348" i="6"/>
  <c r="B349" i="6"/>
  <c r="M349" i="6"/>
  <c r="X349" i="6"/>
  <c r="Z352" i="6"/>
  <c r="B355" i="6"/>
  <c r="S355" i="6"/>
  <c r="B356" i="6"/>
  <c r="L356" i="6"/>
  <c r="W356" i="6"/>
  <c r="G357" i="6"/>
  <c r="B360" i="6"/>
  <c r="N360" i="6"/>
  <c r="AC360" i="6"/>
  <c r="O364" i="6"/>
  <c r="M367" i="6"/>
  <c r="X367" i="6"/>
  <c r="B369" i="6"/>
  <c r="E372" i="6"/>
  <c r="T372" i="6"/>
  <c r="D373" i="6"/>
  <c r="S373" i="6"/>
  <c r="C374" i="6"/>
  <c r="O374" i="6"/>
  <c r="AD374" i="6"/>
  <c r="O375" i="6"/>
  <c r="H381" i="6"/>
  <c r="B388" i="6"/>
  <c r="C389" i="6"/>
  <c r="T389" i="6"/>
  <c r="D395" i="6"/>
  <c r="S399" i="6"/>
  <c r="AA405" i="6"/>
  <c r="M337" i="6"/>
  <c r="X337" i="6"/>
  <c r="D338" i="6"/>
  <c r="N339" i="6"/>
  <c r="P341" i="6"/>
  <c r="AF341" i="6"/>
  <c r="F347" i="6"/>
  <c r="U347" i="6"/>
  <c r="E348" i="6"/>
  <c r="T348" i="6"/>
  <c r="C349" i="6"/>
  <c r="N349" i="6"/>
  <c r="AD349" i="6"/>
  <c r="C355" i="6"/>
  <c r="C356" i="6"/>
  <c r="M356" i="6"/>
  <c r="X356" i="6"/>
  <c r="C360" i="6"/>
  <c r="O360" i="6"/>
  <c r="AD360" i="6"/>
  <c r="R46" i="6"/>
  <c r="K65" i="6"/>
  <c r="U65" i="6"/>
  <c r="AE65" i="6"/>
  <c r="Q85" i="6"/>
  <c r="K85" i="6"/>
  <c r="J85" i="6"/>
  <c r="H85" i="6"/>
  <c r="S87" i="6"/>
  <c r="Q87" i="6"/>
  <c r="K87" i="6"/>
  <c r="J87" i="6"/>
  <c r="AA154" i="6"/>
  <c r="Z154" i="6"/>
  <c r="H154" i="6"/>
  <c r="Y154" i="6"/>
  <c r="F154" i="6"/>
  <c r="X154" i="6"/>
  <c r="E154" i="6"/>
  <c r="V154" i="6"/>
  <c r="D154" i="6"/>
  <c r="AF154" i="6"/>
  <c r="Q154" i="6"/>
  <c r="B19" i="5"/>
  <c r="B35" i="5"/>
  <c r="E34" i="6"/>
  <c r="E46" i="6"/>
  <c r="Y50" i="6"/>
  <c r="S62" i="6"/>
  <c r="B65" i="6"/>
  <c r="Y46" i="6"/>
  <c r="J53" i="6"/>
  <c r="AB59" i="6"/>
  <c r="T62" i="6"/>
  <c r="M65" i="6"/>
  <c r="Y66" i="6"/>
  <c r="AE66" i="6"/>
  <c r="V66" i="6"/>
  <c r="M66" i="6"/>
  <c r="D66" i="6"/>
  <c r="AD66" i="6"/>
  <c r="U66" i="6"/>
  <c r="AC66" i="6"/>
  <c r="T66" i="6"/>
  <c r="K66" i="6"/>
  <c r="B66" i="6"/>
  <c r="N66" i="6"/>
  <c r="U70" i="6"/>
  <c r="H70" i="6"/>
  <c r="AE70" i="6"/>
  <c r="R70" i="6"/>
  <c r="G70" i="6"/>
  <c r="AD70" i="6"/>
  <c r="Q70" i="6"/>
  <c r="F70" i="6"/>
  <c r="AA70" i="6"/>
  <c r="P70" i="6"/>
  <c r="C70" i="6"/>
  <c r="V76" i="6"/>
  <c r="I76" i="6"/>
  <c r="U76" i="6"/>
  <c r="H76" i="6"/>
  <c r="AE76" i="6"/>
  <c r="R76" i="6"/>
  <c r="G76" i="6"/>
  <c r="AD76" i="6"/>
  <c r="Q76" i="6"/>
  <c r="F76" i="6"/>
  <c r="B169" i="6"/>
  <c r="C24" i="5"/>
  <c r="C32" i="5"/>
  <c r="G35" i="5"/>
  <c r="G17" i="6"/>
  <c r="E24" i="6"/>
  <c r="H26" i="6"/>
  <c r="X32" i="6"/>
  <c r="Z34" i="6"/>
  <c r="X44" i="6"/>
  <c r="Z46" i="6"/>
  <c r="C50" i="6"/>
  <c r="K53" i="6"/>
  <c r="L62" i="6"/>
  <c r="AD62" i="6"/>
  <c r="S64" i="6"/>
  <c r="AB66" i="6"/>
  <c r="AE68" i="6"/>
  <c r="R68" i="6"/>
  <c r="G68" i="6"/>
  <c r="AD68" i="6"/>
  <c r="Q68" i="6"/>
  <c r="F68" i="6"/>
  <c r="AA68" i="6"/>
  <c r="P68" i="6"/>
  <c r="C68" i="6"/>
  <c r="Z68" i="6"/>
  <c r="O68" i="6"/>
  <c r="B68" i="6"/>
  <c r="Z70" i="6"/>
  <c r="Q83" i="6"/>
  <c r="Y129" i="6"/>
  <c r="W129" i="6"/>
  <c r="U129" i="6"/>
  <c r="L129" i="6"/>
  <c r="P154" i="6"/>
  <c r="C180" i="6"/>
  <c r="W197" i="6"/>
  <c r="V197" i="6"/>
  <c r="AD224" i="6"/>
  <c r="AA224" i="6"/>
  <c r="C237" i="6"/>
  <c r="G8" i="5"/>
  <c r="B10" i="5"/>
  <c r="H11" i="5"/>
  <c r="C13" i="5"/>
  <c r="G16" i="5"/>
  <c r="B18" i="5"/>
  <c r="H19" i="5"/>
  <c r="C21" i="5"/>
  <c r="G24" i="5"/>
  <c r="B26" i="5"/>
  <c r="H27" i="5"/>
  <c r="C29" i="5"/>
  <c r="G32" i="5"/>
  <c r="B34" i="5"/>
  <c r="H35" i="5"/>
  <c r="O7" i="6"/>
  <c r="AE7" i="6"/>
  <c r="AE9" i="6"/>
  <c r="O11" i="6"/>
  <c r="AF11" i="6"/>
  <c r="O12" i="6"/>
  <c r="AF12" i="6"/>
  <c r="O13" i="6"/>
  <c r="AE13" i="6"/>
  <c r="W16" i="6"/>
  <c r="H17" i="6"/>
  <c r="AE17" i="6"/>
  <c r="B19" i="6"/>
  <c r="X19" i="6"/>
  <c r="J20" i="6"/>
  <c r="R22" i="6"/>
  <c r="G24" i="6"/>
  <c r="Y24" i="6"/>
  <c r="I26" i="6"/>
  <c r="AA26" i="6"/>
  <c r="R30" i="6"/>
  <c r="G32" i="6"/>
  <c r="Y32" i="6"/>
  <c r="I34" i="6"/>
  <c r="AA34" i="6"/>
  <c r="R42" i="6"/>
  <c r="G44" i="6"/>
  <c r="Y44" i="6"/>
  <c r="I46" i="6"/>
  <c r="AA46" i="6"/>
  <c r="B49" i="6"/>
  <c r="M49" i="6"/>
  <c r="Z49" i="6"/>
  <c r="D50" i="6"/>
  <c r="Q50" i="6"/>
  <c r="AB50" i="6"/>
  <c r="U53" i="6"/>
  <c r="C59" i="6"/>
  <c r="L59" i="6"/>
  <c r="U59" i="6"/>
  <c r="AD59" i="6"/>
  <c r="J61" i="6"/>
  <c r="S61" i="6"/>
  <c r="AB61" i="6"/>
  <c r="D62" i="6"/>
  <c r="M62" i="6"/>
  <c r="V62" i="6"/>
  <c r="AE62" i="6"/>
  <c r="B64" i="6"/>
  <c r="K64" i="6"/>
  <c r="T64" i="6"/>
  <c r="AC64" i="6"/>
  <c r="E65" i="6"/>
  <c r="O65" i="6"/>
  <c r="E66" i="6"/>
  <c r="P66" i="6"/>
  <c r="AF66" i="6"/>
  <c r="H68" i="6"/>
  <c r="U69" i="6"/>
  <c r="S69" i="6"/>
  <c r="Q69" i="6"/>
  <c r="K69" i="6"/>
  <c r="I70" i="6"/>
  <c r="C76" i="6"/>
  <c r="AA76" i="6"/>
  <c r="S83" i="6"/>
  <c r="AC85" i="6"/>
  <c r="AC87" i="6"/>
  <c r="V90" i="6"/>
  <c r="I90" i="6"/>
  <c r="U90" i="6"/>
  <c r="Z90" i="6"/>
  <c r="K90" i="6"/>
  <c r="Y90" i="6"/>
  <c r="H90" i="6"/>
  <c r="X90" i="6"/>
  <c r="G90" i="6"/>
  <c r="R90" i="6"/>
  <c r="F90" i="6"/>
  <c r="AD90" i="6"/>
  <c r="C112" i="6"/>
  <c r="I129" i="6"/>
  <c r="R137" i="6"/>
  <c r="L137" i="6"/>
  <c r="AD137" i="6"/>
  <c r="K137" i="6"/>
  <c r="AB137" i="6"/>
  <c r="J137" i="6"/>
  <c r="U137" i="6"/>
  <c r="T137" i="6"/>
  <c r="I137" i="6"/>
  <c r="E137" i="6"/>
  <c r="M152" i="6"/>
  <c r="X169" i="6"/>
  <c r="D237" i="6"/>
  <c r="F6" i="5"/>
  <c r="R34" i="6"/>
  <c r="Y65" i="6"/>
  <c r="AB65" i="6"/>
  <c r="S65" i="6"/>
  <c r="J65" i="6"/>
  <c r="AA222" i="6"/>
  <c r="Q222" i="6"/>
  <c r="K222" i="6"/>
  <c r="J222" i="6"/>
  <c r="S222" i="6"/>
  <c r="R222" i="6"/>
  <c r="B222" i="6"/>
  <c r="B20" i="6"/>
  <c r="E26" i="6"/>
  <c r="X34" i="6"/>
  <c r="V65" i="6"/>
  <c r="C6" i="5"/>
  <c r="C19" i="5"/>
  <c r="B24" i="5"/>
  <c r="C27" i="5"/>
  <c r="C35" i="5"/>
  <c r="X17" i="6"/>
  <c r="R24" i="6"/>
  <c r="Y26" i="6"/>
  <c r="G34" i="6"/>
  <c r="Z50" i="6"/>
  <c r="B62" i="6"/>
  <c r="AC62" i="6"/>
  <c r="C65" i="6"/>
  <c r="AA66" i="6"/>
  <c r="S85" i="6"/>
  <c r="X113" i="6"/>
  <c r="K113" i="6"/>
  <c r="V113" i="6"/>
  <c r="I113" i="6"/>
  <c r="AF113" i="6"/>
  <c r="U113" i="6"/>
  <c r="H113" i="6"/>
  <c r="AE113" i="6"/>
  <c r="S113" i="6"/>
  <c r="G113" i="6"/>
  <c r="N113" i="6"/>
  <c r="AD113" i="6"/>
  <c r="F113" i="6"/>
  <c r="AC113" i="6"/>
  <c r="E113" i="6"/>
  <c r="AA113" i="6"/>
  <c r="C113" i="6"/>
  <c r="G6" i="5"/>
  <c r="G11" i="5"/>
  <c r="H20" i="6"/>
  <c r="Z26" i="6"/>
  <c r="E44" i="6"/>
  <c r="Y49" i="6"/>
  <c r="AA50" i="6"/>
  <c r="B59" i="6"/>
  <c r="N65" i="6"/>
  <c r="O66" i="6"/>
  <c r="Z76" i="6"/>
  <c r="U87" i="6"/>
  <c r="O113" i="6"/>
  <c r="I169" i="6"/>
  <c r="H8" i="5"/>
  <c r="C10" i="5"/>
  <c r="G13" i="5"/>
  <c r="H16" i="5"/>
  <c r="C18" i="5"/>
  <c r="G21" i="5"/>
  <c r="H24" i="5"/>
  <c r="C26" i="5"/>
  <c r="G29" i="5"/>
  <c r="H32" i="5"/>
  <c r="C34" i="5"/>
  <c r="P7" i="6"/>
  <c r="AF7" i="6"/>
  <c r="P11" i="6"/>
  <c r="P12" i="6"/>
  <c r="P13" i="6"/>
  <c r="AF13" i="6"/>
  <c r="J17" i="6"/>
  <c r="AF17" i="6"/>
  <c r="G19" i="6"/>
  <c r="Z19" i="6"/>
  <c r="O20" i="6"/>
  <c r="H24" i="6"/>
  <c r="Z24" i="6"/>
  <c r="O26" i="6"/>
  <c r="H32" i="6"/>
  <c r="Z32" i="6"/>
  <c r="O34" i="6"/>
  <c r="H44" i="6"/>
  <c r="Z44" i="6"/>
  <c r="O46" i="6"/>
  <c r="C49" i="6"/>
  <c r="P49" i="6"/>
  <c r="AA49" i="6"/>
  <c r="E50" i="6"/>
  <c r="R50" i="6"/>
  <c r="AC50" i="6"/>
  <c r="T51" i="6"/>
  <c r="M52" i="6"/>
  <c r="AA52" i="6"/>
  <c r="X53" i="6"/>
  <c r="J54" i="6"/>
  <c r="AC54" i="6"/>
  <c r="AF56" i="6"/>
  <c r="S58" i="6"/>
  <c r="D59" i="6"/>
  <c r="M59" i="6"/>
  <c r="V59" i="6"/>
  <c r="AE59" i="6"/>
  <c r="G60" i="6"/>
  <c r="P60" i="6"/>
  <c r="Z60" i="6"/>
  <c r="B61" i="6"/>
  <c r="K61" i="6"/>
  <c r="T61" i="6"/>
  <c r="AC61" i="6"/>
  <c r="E62" i="6"/>
  <c r="N62" i="6"/>
  <c r="W62" i="6"/>
  <c r="AF62" i="6"/>
  <c r="H63" i="6"/>
  <c r="R63" i="6"/>
  <c r="AA63" i="6"/>
  <c r="C64" i="6"/>
  <c r="L64" i="6"/>
  <c r="U64" i="6"/>
  <c r="AD64" i="6"/>
  <c r="F65" i="6"/>
  <c r="P65" i="6"/>
  <c r="AA65" i="6"/>
  <c r="F66" i="6"/>
  <c r="R66" i="6"/>
  <c r="AC67" i="6"/>
  <c r="Q67" i="6"/>
  <c r="G67" i="6"/>
  <c r="Z67" i="6"/>
  <c r="P67" i="6"/>
  <c r="F67" i="6"/>
  <c r="Y67" i="6"/>
  <c r="O67" i="6"/>
  <c r="E67" i="6"/>
  <c r="X67" i="6"/>
  <c r="N67" i="6"/>
  <c r="D67" i="6"/>
  <c r="U67" i="6"/>
  <c r="I68" i="6"/>
  <c r="B69" i="6"/>
  <c r="K70" i="6"/>
  <c r="K76" i="6"/>
  <c r="X78" i="6"/>
  <c r="K78" i="6"/>
  <c r="V78" i="6"/>
  <c r="I78" i="6"/>
  <c r="U78" i="6"/>
  <c r="H78" i="6"/>
  <c r="AE78" i="6"/>
  <c r="R78" i="6"/>
  <c r="G78" i="6"/>
  <c r="Y78" i="6"/>
  <c r="AD85" i="6"/>
  <c r="AD87" i="6"/>
  <c r="B90" i="6"/>
  <c r="AE90" i="6"/>
  <c r="X109" i="6"/>
  <c r="K109" i="6"/>
  <c r="V109" i="6"/>
  <c r="I109" i="6"/>
  <c r="AF109" i="6"/>
  <c r="U109" i="6"/>
  <c r="H109" i="6"/>
  <c r="AD109" i="6"/>
  <c r="N109" i="6"/>
  <c r="AC109" i="6"/>
  <c r="G109" i="6"/>
  <c r="AA109" i="6"/>
  <c r="F109" i="6"/>
  <c r="Y109" i="6"/>
  <c r="E109" i="6"/>
  <c r="E112" i="6"/>
  <c r="Q113" i="6"/>
  <c r="U126" i="6"/>
  <c r="T126" i="6"/>
  <c r="K126" i="6"/>
  <c r="J126" i="6"/>
  <c r="AE126" i="6"/>
  <c r="J129" i="6"/>
  <c r="AB132" i="6"/>
  <c r="V132" i="6"/>
  <c r="U132" i="6"/>
  <c r="L132" i="6"/>
  <c r="J132" i="6"/>
  <c r="Y132" i="6"/>
  <c r="W132" i="6"/>
  <c r="B137" i="6"/>
  <c r="N152" i="6"/>
  <c r="B11" i="5"/>
  <c r="B27" i="5"/>
  <c r="W17" i="6"/>
  <c r="Y20" i="6"/>
  <c r="X46" i="6"/>
  <c r="I53" i="6"/>
  <c r="J62" i="6"/>
  <c r="L65" i="6"/>
  <c r="B85" i="6"/>
  <c r="M154" i="6"/>
  <c r="AF169" i="6"/>
  <c r="T169" i="6"/>
  <c r="H169" i="6"/>
  <c r="AD169" i="6"/>
  <c r="R169" i="6"/>
  <c r="F169" i="6"/>
  <c r="AC169" i="6"/>
  <c r="Q169" i="6"/>
  <c r="E169" i="6"/>
  <c r="AB169" i="6"/>
  <c r="P169" i="6"/>
  <c r="D169" i="6"/>
  <c r="U169" i="6"/>
  <c r="N169" i="6"/>
  <c r="M169" i="6"/>
  <c r="J169" i="6"/>
  <c r="X213" i="6"/>
  <c r="J213" i="6"/>
  <c r="T213" i="6"/>
  <c r="D213" i="6"/>
  <c r="P213" i="6"/>
  <c r="C213" i="6"/>
  <c r="AF213" i="6"/>
  <c r="O213" i="6"/>
  <c r="B213" i="6"/>
  <c r="AD213" i="6"/>
  <c r="W213" i="6"/>
  <c r="V213" i="6"/>
  <c r="N213" i="6"/>
  <c r="AE213" i="6"/>
  <c r="K213" i="6"/>
  <c r="G213" i="6"/>
  <c r="F213" i="6"/>
  <c r="B8" i="5"/>
  <c r="B16" i="5"/>
  <c r="B32" i="5"/>
  <c r="R44" i="6"/>
  <c r="B50" i="6"/>
  <c r="S59" i="6"/>
  <c r="K62" i="6"/>
  <c r="W65" i="6"/>
  <c r="Y76" i="6"/>
  <c r="K83" i="6"/>
  <c r="J83" i="6"/>
  <c r="H83" i="6"/>
  <c r="AD83" i="6"/>
  <c r="B83" i="6"/>
  <c r="N154" i="6"/>
  <c r="U180" i="6"/>
  <c r="Q180" i="6"/>
  <c r="AC180" i="6"/>
  <c r="G180" i="6"/>
  <c r="AB180" i="6"/>
  <c r="F180" i="6"/>
  <c r="W180" i="6"/>
  <c r="E180" i="6"/>
  <c r="AD180" i="6"/>
  <c r="T180" i="6"/>
  <c r="S180" i="6"/>
  <c r="O180" i="6"/>
  <c r="AD237" i="6"/>
  <c r="T237" i="6"/>
  <c r="I237" i="6"/>
  <c r="AC237" i="6"/>
  <c r="R237" i="6"/>
  <c r="G237" i="6"/>
  <c r="Z237" i="6"/>
  <c r="O237" i="6"/>
  <c r="E237" i="6"/>
  <c r="Q237" i="6"/>
  <c r="B237" i="6"/>
  <c r="AA237" i="6"/>
  <c r="L237" i="6"/>
  <c r="Y237" i="6"/>
  <c r="K237" i="6"/>
  <c r="W237" i="6"/>
  <c r="F237" i="6"/>
  <c r="V237" i="6"/>
  <c r="U237" i="6"/>
  <c r="N237" i="6"/>
  <c r="M237" i="6"/>
  <c r="B13" i="5"/>
  <c r="G19" i="5"/>
  <c r="B21" i="5"/>
  <c r="G27" i="5"/>
  <c r="E32" i="6"/>
  <c r="H34" i="6"/>
  <c r="H46" i="6"/>
  <c r="L49" i="6"/>
  <c r="P50" i="6"/>
  <c r="K59" i="6"/>
  <c r="AC59" i="6"/>
  <c r="J64" i="6"/>
  <c r="D65" i="6"/>
  <c r="X65" i="6"/>
  <c r="B70" i="6"/>
  <c r="B76" i="6"/>
  <c r="U85" i="6"/>
  <c r="G10" i="5"/>
  <c r="B12" i="5"/>
  <c r="H13" i="5"/>
  <c r="G18" i="5"/>
  <c r="B20" i="5"/>
  <c r="H21" i="5"/>
  <c r="G26" i="5"/>
  <c r="B28" i="5"/>
  <c r="H29" i="5"/>
  <c r="C31" i="5"/>
  <c r="G34" i="5"/>
  <c r="B7" i="6"/>
  <c r="R7" i="6"/>
  <c r="P8" i="6"/>
  <c r="P9" i="6"/>
  <c r="P10" i="6"/>
  <c r="B11" i="6"/>
  <c r="R11" i="6"/>
  <c r="B12" i="6"/>
  <c r="R12" i="6"/>
  <c r="B13" i="6"/>
  <c r="R13" i="6"/>
  <c r="P14" i="6"/>
  <c r="R15" i="6"/>
  <c r="G16" i="6"/>
  <c r="Z16" i="6"/>
  <c r="O17" i="6"/>
  <c r="W18" i="6"/>
  <c r="H19" i="6"/>
  <c r="AE19" i="6"/>
  <c r="P20" i="6"/>
  <c r="G22" i="6"/>
  <c r="Y22" i="6"/>
  <c r="I24" i="6"/>
  <c r="AA24" i="6"/>
  <c r="P26" i="6"/>
  <c r="G30" i="6"/>
  <c r="Y30" i="6"/>
  <c r="I32" i="6"/>
  <c r="AA32" i="6"/>
  <c r="P34" i="6"/>
  <c r="G42" i="6"/>
  <c r="Y42" i="6"/>
  <c r="I44" i="6"/>
  <c r="AA44" i="6"/>
  <c r="P46" i="6"/>
  <c r="D49" i="6"/>
  <c r="Q49" i="6"/>
  <c r="AB49" i="6"/>
  <c r="H50" i="6"/>
  <c r="S50" i="6"/>
  <c r="AF50" i="6"/>
  <c r="J51" i="6"/>
  <c r="X51" i="6"/>
  <c r="B52" i="6"/>
  <c r="P52" i="6"/>
  <c r="P54" i="6"/>
  <c r="AF54" i="6"/>
  <c r="Q56" i="6"/>
  <c r="B58" i="6"/>
  <c r="U58" i="6"/>
  <c r="E59" i="6"/>
  <c r="N59" i="6"/>
  <c r="W59" i="6"/>
  <c r="AF59" i="6"/>
  <c r="H60" i="6"/>
  <c r="R60" i="6"/>
  <c r="AA60" i="6"/>
  <c r="C61" i="6"/>
  <c r="L61" i="6"/>
  <c r="U61" i="6"/>
  <c r="AD61" i="6"/>
  <c r="F62" i="6"/>
  <c r="O62" i="6"/>
  <c r="X62" i="6"/>
  <c r="J63" i="6"/>
  <c r="S63" i="6"/>
  <c r="AB63" i="6"/>
  <c r="D64" i="6"/>
  <c r="M64" i="6"/>
  <c r="V64" i="6"/>
  <c r="AE64" i="6"/>
  <c r="G65" i="6"/>
  <c r="R65" i="6"/>
  <c r="AC65" i="6"/>
  <c r="G66" i="6"/>
  <c r="S66" i="6"/>
  <c r="K68" i="6"/>
  <c r="H69" i="6"/>
  <c r="M70" i="6"/>
  <c r="M76" i="6"/>
  <c r="B78" i="6"/>
  <c r="Z78" i="6"/>
  <c r="AC83" i="6"/>
  <c r="AE88" i="6"/>
  <c r="R88" i="6"/>
  <c r="G88" i="6"/>
  <c r="AD88" i="6"/>
  <c r="Q88" i="6"/>
  <c r="F88" i="6"/>
  <c r="AA88" i="6"/>
  <c r="P88" i="6"/>
  <c r="C88" i="6"/>
  <c r="Z88" i="6"/>
  <c r="O88" i="6"/>
  <c r="B88" i="6"/>
  <c r="Y88" i="6"/>
  <c r="C90" i="6"/>
  <c r="AF96" i="6"/>
  <c r="U96" i="6"/>
  <c r="H96" i="6"/>
  <c r="AE96" i="6"/>
  <c r="S96" i="6"/>
  <c r="G96" i="6"/>
  <c r="AD96" i="6"/>
  <c r="Q96" i="6"/>
  <c r="F96" i="6"/>
  <c r="O96" i="6"/>
  <c r="N96" i="6"/>
  <c r="AC96" i="6"/>
  <c r="K96" i="6"/>
  <c r="AA96" i="6"/>
  <c r="I96" i="6"/>
  <c r="AF100" i="6"/>
  <c r="U100" i="6"/>
  <c r="H100" i="6"/>
  <c r="AE100" i="6"/>
  <c r="S100" i="6"/>
  <c r="G100" i="6"/>
  <c r="AD100" i="6"/>
  <c r="Q100" i="6"/>
  <c r="F100" i="6"/>
  <c r="O100" i="6"/>
  <c r="N100" i="6"/>
  <c r="AC100" i="6"/>
  <c r="K100" i="6"/>
  <c r="AA100" i="6"/>
  <c r="I100" i="6"/>
  <c r="AD103" i="6"/>
  <c r="Q103" i="6"/>
  <c r="F103" i="6"/>
  <c r="AC103" i="6"/>
  <c r="P103" i="6"/>
  <c r="E103" i="6"/>
  <c r="AA103" i="6"/>
  <c r="O103" i="6"/>
  <c r="C103" i="6"/>
  <c r="U103" i="6"/>
  <c r="S103" i="6"/>
  <c r="N103" i="6"/>
  <c r="AF103" i="6"/>
  <c r="K103" i="6"/>
  <c r="C109" i="6"/>
  <c r="AD111" i="6"/>
  <c r="Q111" i="6"/>
  <c r="F111" i="6"/>
  <c r="AC111" i="6"/>
  <c r="P111" i="6"/>
  <c r="E111" i="6"/>
  <c r="AA111" i="6"/>
  <c r="O111" i="6"/>
  <c r="C111" i="6"/>
  <c r="AF111" i="6"/>
  <c r="K111" i="6"/>
  <c r="AE111" i="6"/>
  <c r="I111" i="6"/>
  <c r="Y111" i="6"/>
  <c r="H111" i="6"/>
  <c r="X111" i="6"/>
  <c r="G111" i="6"/>
  <c r="Y113" i="6"/>
  <c r="G126" i="6"/>
  <c r="F132" i="6"/>
  <c r="X137" i="6"/>
  <c r="Z169" i="6"/>
  <c r="R26" i="6"/>
  <c r="K143" i="6"/>
  <c r="AD143" i="6"/>
  <c r="J143" i="6"/>
  <c r="AC143" i="6"/>
  <c r="I143" i="6"/>
  <c r="AB143" i="6"/>
  <c r="B143" i="6"/>
  <c r="AA143" i="6"/>
  <c r="T143" i="6"/>
  <c r="R143" i="6"/>
  <c r="X26" i="6"/>
  <c r="L50" i="6"/>
  <c r="AB62" i="6"/>
  <c r="AF65" i="6"/>
  <c r="B87" i="6"/>
  <c r="AE260" i="6"/>
  <c r="V260" i="6"/>
  <c r="Q260" i="6"/>
  <c r="S260" i="6"/>
  <c r="M260" i="6"/>
  <c r="T266" i="6"/>
  <c r="G266" i="6"/>
  <c r="D266" i="6"/>
  <c r="AD266" i="6"/>
  <c r="I266" i="6"/>
  <c r="AB266" i="6"/>
  <c r="W266" i="6"/>
  <c r="J266" i="6"/>
  <c r="C11" i="5"/>
  <c r="B17" i="6"/>
  <c r="G20" i="6"/>
  <c r="AA20" i="6"/>
  <c r="G26" i="6"/>
  <c r="R32" i="6"/>
  <c r="Y34" i="6"/>
  <c r="G46" i="6"/>
  <c r="M50" i="6"/>
  <c r="J59" i="6"/>
  <c r="Y70" i="6"/>
  <c r="H87" i="6"/>
  <c r="C8" i="5"/>
  <c r="C16" i="5"/>
  <c r="B29" i="5"/>
  <c r="Z17" i="6"/>
  <c r="W19" i="6"/>
  <c r="X24" i="6"/>
  <c r="T59" i="6"/>
  <c r="C62" i="6"/>
  <c r="U62" i="6"/>
  <c r="AB64" i="6"/>
  <c r="C66" i="6"/>
  <c r="AF112" i="6"/>
  <c r="U112" i="6"/>
  <c r="H112" i="6"/>
  <c r="AE112" i="6"/>
  <c r="S112" i="6"/>
  <c r="G112" i="6"/>
  <c r="AD112" i="6"/>
  <c r="Q112" i="6"/>
  <c r="F112" i="6"/>
  <c r="AC112" i="6"/>
  <c r="P112" i="6"/>
  <c r="V112" i="6"/>
  <c r="O112" i="6"/>
  <c r="N112" i="6"/>
  <c r="K112" i="6"/>
  <c r="AA152" i="6"/>
  <c r="Z152" i="6"/>
  <c r="H152" i="6"/>
  <c r="Y152" i="6"/>
  <c r="F152" i="6"/>
  <c r="X152" i="6"/>
  <c r="E152" i="6"/>
  <c r="V152" i="6"/>
  <c r="D152" i="6"/>
  <c r="AF152" i="6"/>
  <c r="Q152" i="6"/>
  <c r="B9" i="5"/>
  <c r="H10" i="5"/>
  <c r="C12" i="5"/>
  <c r="G15" i="5"/>
  <c r="B17" i="5"/>
  <c r="H18" i="5"/>
  <c r="C20" i="5"/>
  <c r="G23" i="5"/>
  <c r="B25" i="5"/>
  <c r="H26" i="5"/>
  <c r="C28" i="5"/>
  <c r="G31" i="5"/>
  <c r="B33" i="5"/>
  <c r="H34" i="5"/>
  <c r="C7" i="6"/>
  <c r="S7" i="6"/>
  <c r="C11" i="6"/>
  <c r="S11" i="6"/>
  <c r="C12" i="6"/>
  <c r="S12" i="6"/>
  <c r="C13" i="6"/>
  <c r="S13" i="6"/>
  <c r="H16" i="6"/>
  <c r="AE16" i="6"/>
  <c r="P17" i="6"/>
  <c r="J19" i="6"/>
  <c r="AF19" i="6"/>
  <c r="H22" i="6"/>
  <c r="H30" i="6"/>
  <c r="H42" i="6"/>
  <c r="E49" i="6"/>
  <c r="R49" i="6"/>
  <c r="I50" i="6"/>
  <c r="L51" i="6"/>
  <c r="Q54" i="6"/>
  <c r="F59" i="6"/>
  <c r="O59" i="6"/>
  <c r="X59" i="6"/>
  <c r="J60" i="6"/>
  <c r="S60" i="6"/>
  <c r="AB60" i="6"/>
  <c r="D61" i="6"/>
  <c r="M61" i="6"/>
  <c r="V61" i="6"/>
  <c r="AE61" i="6"/>
  <c r="G62" i="6"/>
  <c r="P62" i="6"/>
  <c r="Z62" i="6"/>
  <c r="E64" i="6"/>
  <c r="N64" i="6"/>
  <c r="W64" i="6"/>
  <c r="AF64" i="6"/>
  <c r="H65" i="6"/>
  <c r="T65" i="6"/>
  <c r="AD65" i="6"/>
  <c r="H66" i="6"/>
  <c r="W66" i="6"/>
  <c r="C67" i="6"/>
  <c r="W67" i="6"/>
  <c r="M68" i="6"/>
  <c r="J69" i="6"/>
  <c r="O70" i="6"/>
  <c r="O76" i="6"/>
  <c r="C78" i="6"/>
  <c r="AA78" i="6"/>
  <c r="H88" i="6"/>
  <c r="AC89" i="6"/>
  <c r="U89" i="6"/>
  <c r="S89" i="6"/>
  <c r="Q89" i="6"/>
  <c r="K89" i="6"/>
  <c r="M90" i="6"/>
  <c r="C96" i="6"/>
  <c r="C100" i="6"/>
  <c r="G103" i="6"/>
  <c r="O109" i="6"/>
  <c r="N111" i="6"/>
  <c r="X112" i="6"/>
  <c r="V126" i="6"/>
  <c r="I132" i="6"/>
  <c r="AA137" i="6"/>
  <c r="T157" i="6"/>
  <c r="S157" i="6"/>
  <c r="R157" i="6"/>
  <c r="L157" i="6"/>
  <c r="AC157" i="6"/>
  <c r="X170" i="6"/>
  <c r="J170" i="6"/>
  <c r="U170" i="6"/>
  <c r="I170" i="6"/>
  <c r="AF170" i="6"/>
  <c r="T170" i="6"/>
  <c r="H170" i="6"/>
  <c r="AD170" i="6"/>
  <c r="R170" i="6"/>
  <c r="F170" i="6"/>
  <c r="M170" i="6"/>
  <c r="AC170" i="6"/>
  <c r="E170" i="6"/>
  <c r="AB170" i="6"/>
  <c r="D170" i="6"/>
  <c r="Z170" i="6"/>
  <c r="B170" i="6"/>
  <c r="Q75" i="6"/>
  <c r="H80" i="6"/>
  <c r="U80" i="6"/>
  <c r="AC81" i="6"/>
  <c r="M86" i="6"/>
  <c r="Y86" i="6"/>
  <c r="X92" i="6"/>
  <c r="K92" i="6"/>
  <c r="V92" i="6"/>
  <c r="I92" i="6"/>
  <c r="U92" i="6"/>
  <c r="H92" i="6"/>
  <c r="Q92" i="6"/>
  <c r="AD95" i="6"/>
  <c r="Q95" i="6"/>
  <c r="F95" i="6"/>
  <c r="AC95" i="6"/>
  <c r="P95" i="6"/>
  <c r="E95" i="6"/>
  <c r="AA95" i="6"/>
  <c r="O95" i="6"/>
  <c r="C95" i="6"/>
  <c r="V95" i="6"/>
  <c r="AD99" i="6"/>
  <c r="Q99" i="6"/>
  <c r="F99" i="6"/>
  <c r="AC99" i="6"/>
  <c r="P99" i="6"/>
  <c r="E99" i="6"/>
  <c r="AA99" i="6"/>
  <c r="O99" i="6"/>
  <c r="C99" i="6"/>
  <c r="V99" i="6"/>
  <c r="AF116" i="6"/>
  <c r="U116" i="6"/>
  <c r="H116" i="6"/>
  <c r="AE116" i="6"/>
  <c r="S116" i="6"/>
  <c r="G116" i="6"/>
  <c r="AD116" i="6"/>
  <c r="Q116" i="6"/>
  <c r="F116" i="6"/>
  <c r="AC116" i="6"/>
  <c r="P116" i="6"/>
  <c r="E116" i="6"/>
  <c r="Y116" i="6"/>
  <c r="AB130" i="6"/>
  <c r="K130" i="6"/>
  <c r="W130" i="6"/>
  <c r="J130" i="6"/>
  <c r="V130" i="6"/>
  <c r="G130" i="6"/>
  <c r="U130" i="6"/>
  <c r="E130" i="6"/>
  <c r="AD130" i="6"/>
  <c r="AD219" i="6"/>
  <c r="R219" i="6"/>
  <c r="H219" i="6"/>
  <c r="Y219" i="6"/>
  <c r="O219" i="6"/>
  <c r="D219" i="6"/>
  <c r="X219" i="6"/>
  <c r="N219" i="6"/>
  <c r="C219" i="6"/>
  <c r="W219" i="6"/>
  <c r="L219" i="6"/>
  <c r="B219" i="6"/>
  <c r="P219" i="6"/>
  <c r="AF219" i="6"/>
  <c r="K219" i="6"/>
  <c r="AE219" i="6"/>
  <c r="I219" i="6"/>
  <c r="AA219" i="6"/>
  <c r="G219" i="6"/>
  <c r="AE238" i="6"/>
  <c r="Q238" i="6"/>
  <c r="S75" i="6"/>
  <c r="U77" i="6"/>
  <c r="I80" i="6"/>
  <c r="V80" i="6"/>
  <c r="B81" i="6"/>
  <c r="AD81" i="6"/>
  <c r="K82" i="6"/>
  <c r="X82" i="6"/>
  <c r="M84" i="6"/>
  <c r="Y84" i="6"/>
  <c r="B86" i="6"/>
  <c r="O86" i="6"/>
  <c r="Z86" i="6"/>
  <c r="B92" i="6"/>
  <c r="R92" i="6"/>
  <c r="G95" i="6"/>
  <c r="X95" i="6"/>
  <c r="G99" i="6"/>
  <c r="X99" i="6"/>
  <c r="AF104" i="6"/>
  <c r="U104" i="6"/>
  <c r="H104" i="6"/>
  <c r="AE104" i="6"/>
  <c r="S104" i="6"/>
  <c r="G104" i="6"/>
  <c r="AD104" i="6"/>
  <c r="Q104" i="6"/>
  <c r="F104" i="6"/>
  <c r="V104" i="6"/>
  <c r="AF120" i="6"/>
  <c r="U120" i="6"/>
  <c r="H120" i="6"/>
  <c r="AE120" i="6"/>
  <c r="S120" i="6"/>
  <c r="G120" i="6"/>
  <c r="AD120" i="6"/>
  <c r="Q120" i="6"/>
  <c r="F120" i="6"/>
  <c r="AC120" i="6"/>
  <c r="P120" i="6"/>
  <c r="E120" i="6"/>
  <c r="Y120" i="6"/>
  <c r="AF124" i="6"/>
  <c r="U124" i="6"/>
  <c r="H124" i="6"/>
  <c r="AE124" i="6"/>
  <c r="S124" i="6"/>
  <c r="G124" i="6"/>
  <c r="AD124" i="6"/>
  <c r="Q124" i="6"/>
  <c r="F124" i="6"/>
  <c r="AC124" i="6"/>
  <c r="P124" i="6"/>
  <c r="E124" i="6"/>
  <c r="Y124" i="6"/>
  <c r="B130" i="6"/>
  <c r="AE130" i="6"/>
  <c r="AA158" i="6"/>
  <c r="N158" i="6"/>
  <c r="AF158" i="6"/>
  <c r="M158" i="6"/>
  <c r="Z158" i="6"/>
  <c r="H158" i="6"/>
  <c r="Y158" i="6"/>
  <c r="F158" i="6"/>
  <c r="AF161" i="6"/>
  <c r="T161" i="6"/>
  <c r="H161" i="6"/>
  <c r="AD161" i="6"/>
  <c r="R161" i="6"/>
  <c r="F161" i="6"/>
  <c r="AC161" i="6"/>
  <c r="Q161" i="6"/>
  <c r="E161" i="6"/>
  <c r="AB161" i="6"/>
  <c r="P161" i="6"/>
  <c r="D161" i="6"/>
  <c r="Y161" i="6"/>
  <c r="AF165" i="6"/>
  <c r="T165" i="6"/>
  <c r="H165" i="6"/>
  <c r="AD165" i="6"/>
  <c r="R165" i="6"/>
  <c r="F165" i="6"/>
  <c r="AC165" i="6"/>
  <c r="Q165" i="6"/>
  <c r="E165" i="6"/>
  <c r="AB165" i="6"/>
  <c r="P165" i="6"/>
  <c r="D165" i="6"/>
  <c r="Y165" i="6"/>
  <c r="AF177" i="6"/>
  <c r="AC177" i="6"/>
  <c r="Q177" i="6"/>
  <c r="U177" i="6"/>
  <c r="H177" i="6"/>
  <c r="T177" i="6"/>
  <c r="F177" i="6"/>
  <c r="R177" i="6"/>
  <c r="E177" i="6"/>
  <c r="AD177" i="6"/>
  <c r="P177" i="6"/>
  <c r="D177" i="6"/>
  <c r="Z177" i="6"/>
  <c r="W199" i="6"/>
  <c r="F199" i="6"/>
  <c r="P199" i="6"/>
  <c r="AF199" i="6"/>
  <c r="L199" i="6"/>
  <c r="AE199" i="6"/>
  <c r="K199" i="6"/>
  <c r="V199" i="6"/>
  <c r="T199" i="6"/>
  <c r="J199" i="6"/>
  <c r="G199" i="6"/>
  <c r="Y216" i="6"/>
  <c r="P216" i="6"/>
  <c r="K216" i="6"/>
  <c r="H216" i="6"/>
  <c r="AB216" i="6"/>
  <c r="F219" i="6"/>
  <c r="R238" i="6"/>
  <c r="Z249" i="6"/>
  <c r="O249" i="6"/>
  <c r="E249" i="6"/>
  <c r="Y249" i="6"/>
  <c r="N249" i="6"/>
  <c r="D249" i="6"/>
  <c r="V249" i="6"/>
  <c r="L249" i="6"/>
  <c r="B249" i="6"/>
  <c r="AD249" i="6"/>
  <c r="M249" i="6"/>
  <c r="W249" i="6"/>
  <c r="G249" i="6"/>
  <c r="U249" i="6"/>
  <c r="F249" i="6"/>
  <c r="T249" i="6"/>
  <c r="C249" i="6"/>
  <c r="AA249" i="6"/>
  <c r="R249" i="6"/>
  <c r="Q249" i="6"/>
  <c r="K249" i="6"/>
  <c r="Y271" i="6"/>
  <c r="AD271" i="6"/>
  <c r="T271" i="6"/>
  <c r="J271" i="6"/>
  <c r="AC271" i="6"/>
  <c r="S271" i="6"/>
  <c r="G271" i="6"/>
  <c r="AB271" i="6"/>
  <c r="R271" i="6"/>
  <c r="F271" i="6"/>
  <c r="Z271" i="6"/>
  <c r="N271" i="6"/>
  <c r="D271" i="6"/>
  <c r="W271" i="6"/>
  <c r="M271" i="6"/>
  <c r="C271" i="6"/>
  <c r="V271" i="6"/>
  <c r="AA271" i="6"/>
  <c r="L271" i="6"/>
  <c r="K271" i="6"/>
  <c r="E271" i="6"/>
  <c r="AE271" i="6"/>
  <c r="U271" i="6"/>
  <c r="O271" i="6"/>
  <c r="B271" i="6"/>
  <c r="U75" i="6"/>
  <c r="K80" i="6"/>
  <c r="X80" i="6"/>
  <c r="H81" i="6"/>
  <c r="M82" i="6"/>
  <c r="Y82" i="6"/>
  <c r="C86" i="6"/>
  <c r="P86" i="6"/>
  <c r="AA86" i="6"/>
  <c r="C92" i="6"/>
  <c r="Y92" i="6"/>
  <c r="H95" i="6"/>
  <c r="Y95" i="6"/>
  <c r="X97" i="6"/>
  <c r="K97" i="6"/>
  <c r="V97" i="6"/>
  <c r="I97" i="6"/>
  <c r="AF97" i="6"/>
  <c r="U97" i="6"/>
  <c r="H97" i="6"/>
  <c r="Q97" i="6"/>
  <c r="H99" i="6"/>
  <c r="Y99" i="6"/>
  <c r="X101" i="6"/>
  <c r="K101" i="6"/>
  <c r="V101" i="6"/>
  <c r="I101" i="6"/>
  <c r="AF101" i="6"/>
  <c r="U101" i="6"/>
  <c r="H101" i="6"/>
  <c r="Q101" i="6"/>
  <c r="C104" i="6"/>
  <c r="X104" i="6"/>
  <c r="I116" i="6"/>
  <c r="X117" i="6"/>
  <c r="K117" i="6"/>
  <c r="V117" i="6"/>
  <c r="I117" i="6"/>
  <c r="AF117" i="6"/>
  <c r="U117" i="6"/>
  <c r="H117" i="6"/>
  <c r="AE117" i="6"/>
  <c r="S117" i="6"/>
  <c r="G117" i="6"/>
  <c r="Y117" i="6"/>
  <c r="C120" i="6"/>
  <c r="AA120" i="6"/>
  <c r="C124" i="6"/>
  <c r="AA124" i="6"/>
  <c r="L127" i="6"/>
  <c r="C130" i="6"/>
  <c r="Y131" i="6"/>
  <c r="W131" i="6"/>
  <c r="M131" i="6"/>
  <c r="L131" i="6"/>
  <c r="Y133" i="6"/>
  <c r="J133" i="6"/>
  <c r="W133" i="6"/>
  <c r="I133" i="6"/>
  <c r="V133" i="6"/>
  <c r="F133" i="6"/>
  <c r="U133" i="6"/>
  <c r="D133" i="6"/>
  <c r="AF136" i="6"/>
  <c r="Y136" i="6"/>
  <c r="S136" i="6"/>
  <c r="P136" i="6"/>
  <c r="D158" i="6"/>
  <c r="B161" i="6"/>
  <c r="Z161" i="6"/>
  <c r="B165" i="6"/>
  <c r="Z165" i="6"/>
  <c r="B177" i="6"/>
  <c r="AB177" i="6"/>
  <c r="B199" i="6"/>
  <c r="Q216" i="6"/>
  <c r="Q219" i="6"/>
  <c r="W239" i="6"/>
  <c r="M239" i="6"/>
  <c r="C239" i="6"/>
  <c r="V239" i="6"/>
  <c r="L239" i="6"/>
  <c r="B239" i="6"/>
  <c r="AD239" i="6"/>
  <c r="T239" i="6"/>
  <c r="I239" i="6"/>
  <c r="AC239" i="6"/>
  <c r="N239" i="6"/>
  <c r="Y239" i="6"/>
  <c r="F239" i="6"/>
  <c r="U239" i="6"/>
  <c r="E239" i="6"/>
  <c r="R239" i="6"/>
  <c r="D239" i="6"/>
  <c r="Q239" i="6"/>
  <c r="O239" i="6"/>
  <c r="K239" i="6"/>
  <c r="G239" i="6"/>
  <c r="I249" i="6"/>
  <c r="M80" i="6"/>
  <c r="B82" i="6"/>
  <c r="O82" i="6"/>
  <c r="P84" i="6"/>
  <c r="F86" i="6"/>
  <c r="Q86" i="6"/>
  <c r="F92" i="6"/>
  <c r="Z92" i="6"/>
  <c r="I95" i="6"/>
  <c r="AE95" i="6"/>
  <c r="C97" i="6"/>
  <c r="S97" i="6"/>
  <c r="I99" i="6"/>
  <c r="AE99" i="6"/>
  <c r="E104" i="6"/>
  <c r="Y104" i="6"/>
  <c r="K116" i="6"/>
  <c r="C117" i="6"/>
  <c r="AA117" i="6"/>
  <c r="I120" i="6"/>
  <c r="X121" i="6"/>
  <c r="K121" i="6"/>
  <c r="V121" i="6"/>
  <c r="I121" i="6"/>
  <c r="AF121" i="6"/>
  <c r="U121" i="6"/>
  <c r="H121" i="6"/>
  <c r="AE121" i="6"/>
  <c r="S121" i="6"/>
  <c r="G121" i="6"/>
  <c r="Y121" i="6"/>
  <c r="I124" i="6"/>
  <c r="AA125" i="6"/>
  <c r="L125" i="6"/>
  <c r="Y125" i="6"/>
  <c r="J125" i="6"/>
  <c r="W125" i="6"/>
  <c r="I125" i="6"/>
  <c r="U125" i="6"/>
  <c r="G125" i="6"/>
  <c r="AB125" i="6"/>
  <c r="D130" i="6"/>
  <c r="J131" i="6"/>
  <c r="E158" i="6"/>
  <c r="I161" i="6"/>
  <c r="X162" i="6"/>
  <c r="J162" i="6"/>
  <c r="U162" i="6"/>
  <c r="I162" i="6"/>
  <c r="AF162" i="6"/>
  <c r="T162" i="6"/>
  <c r="H162" i="6"/>
  <c r="AD162" i="6"/>
  <c r="R162" i="6"/>
  <c r="F162" i="6"/>
  <c r="Y162" i="6"/>
  <c r="I165" i="6"/>
  <c r="X166" i="6"/>
  <c r="J166" i="6"/>
  <c r="U166" i="6"/>
  <c r="I166" i="6"/>
  <c r="AF166" i="6"/>
  <c r="T166" i="6"/>
  <c r="H166" i="6"/>
  <c r="AD166" i="6"/>
  <c r="R166" i="6"/>
  <c r="F166" i="6"/>
  <c r="Y166" i="6"/>
  <c r="I177" i="6"/>
  <c r="Z199" i="6"/>
  <c r="T216" i="6"/>
  <c r="T219" i="6"/>
  <c r="Z239" i="6"/>
  <c r="W245" i="6"/>
  <c r="M245" i="6"/>
  <c r="C245" i="6"/>
  <c r="V245" i="6"/>
  <c r="L245" i="6"/>
  <c r="B245" i="6"/>
  <c r="AD245" i="6"/>
  <c r="T245" i="6"/>
  <c r="I245" i="6"/>
  <c r="R245" i="6"/>
  <c r="D245" i="6"/>
  <c r="AC245" i="6"/>
  <c r="N245" i="6"/>
  <c r="AA245" i="6"/>
  <c r="K245" i="6"/>
  <c r="Z245" i="6"/>
  <c r="G245" i="6"/>
  <c r="AE245" i="6"/>
  <c r="Y245" i="6"/>
  <c r="U245" i="6"/>
  <c r="Q245" i="6"/>
  <c r="AC249" i="6"/>
  <c r="AC259" i="6"/>
  <c r="R259" i="6"/>
  <c r="G259" i="6"/>
  <c r="AA259" i="6"/>
  <c r="Q259" i="6"/>
  <c r="F259" i="6"/>
  <c r="Y259" i="6"/>
  <c r="N259" i="6"/>
  <c r="D259" i="6"/>
  <c r="AD259" i="6"/>
  <c r="L259" i="6"/>
  <c r="V259" i="6"/>
  <c r="E259" i="6"/>
  <c r="U259" i="6"/>
  <c r="C259" i="6"/>
  <c r="T259" i="6"/>
  <c r="B259" i="6"/>
  <c r="Z259" i="6"/>
  <c r="W259" i="6"/>
  <c r="O259" i="6"/>
  <c r="M259" i="6"/>
  <c r="N115" i="6"/>
  <c r="Y115" i="6"/>
  <c r="N119" i="6"/>
  <c r="Y119" i="6"/>
  <c r="N123" i="6"/>
  <c r="Y123" i="6"/>
  <c r="N138" i="6"/>
  <c r="M144" i="6"/>
  <c r="AF144" i="6"/>
  <c r="K148" i="6"/>
  <c r="Z148" i="6"/>
  <c r="L149" i="6"/>
  <c r="Q150" i="6"/>
  <c r="Q156" i="6"/>
  <c r="I163" i="6"/>
  <c r="U163" i="6"/>
  <c r="M164" i="6"/>
  <c r="Y164" i="6"/>
  <c r="I167" i="6"/>
  <c r="U167" i="6"/>
  <c r="M168" i="6"/>
  <c r="Y168" i="6"/>
  <c r="I171" i="6"/>
  <c r="U171" i="6"/>
  <c r="M172" i="6"/>
  <c r="Y172" i="6"/>
  <c r="AB189" i="6"/>
  <c r="Z189" i="6"/>
  <c r="T205" i="6"/>
  <c r="H205" i="6"/>
  <c r="AB205" i="6"/>
  <c r="P205" i="6"/>
  <c r="D205" i="6"/>
  <c r="Z205" i="6"/>
  <c r="O205" i="6"/>
  <c r="C205" i="6"/>
  <c r="Y205" i="6"/>
  <c r="N205" i="6"/>
  <c r="B205" i="6"/>
  <c r="X205" i="6"/>
  <c r="AE215" i="6"/>
  <c r="T215" i="6"/>
  <c r="I215" i="6"/>
  <c r="Z215" i="6"/>
  <c r="P215" i="6"/>
  <c r="F215" i="6"/>
  <c r="Y215" i="6"/>
  <c r="O215" i="6"/>
  <c r="D215" i="6"/>
  <c r="X215" i="6"/>
  <c r="N215" i="6"/>
  <c r="C215" i="6"/>
  <c r="V215" i="6"/>
  <c r="AE223" i="6"/>
  <c r="T223" i="6"/>
  <c r="I223" i="6"/>
  <c r="Z223" i="6"/>
  <c r="P223" i="6"/>
  <c r="F223" i="6"/>
  <c r="Y223" i="6"/>
  <c r="O223" i="6"/>
  <c r="D223" i="6"/>
  <c r="X223" i="6"/>
  <c r="N223" i="6"/>
  <c r="C223" i="6"/>
  <c r="V223" i="6"/>
  <c r="W226" i="6"/>
  <c r="G226" i="6"/>
  <c r="Q226" i="6"/>
  <c r="AF226" i="6"/>
  <c r="L226" i="6"/>
  <c r="AE226" i="6"/>
  <c r="K226" i="6"/>
  <c r="J256" i="6"/>
  <c r="I256" i="6"/>
  <c r="AB256" i="6"/>
  <c r="R256" i="6"/>
  <c r="Q256" i="6"/>
  <c r="M256" i="6"/>
  <c r="Y279" i="6"/>
  <c r="V279" i="6"/>
  <c r="L279" i="6"/>
  <c r="B279" i="6"/>
  <c r="AC279" i="6"/>
  <c r="R279" i="6"/>
  <c r="E279" i="6"/>
  <c r="AB279" i="6"/>
  <c r="O279" i="6"/>
  <c r="D279" i="6"/>
  <c r="AA279" i="6"/>
  <c r="N279" i="6"/>
  <c r="C279" i="6"/>
  <c r="W279" i="6"/>
  <c r="K279" i="6"/>
  <c r="U279" i="6"/>
  <c r="J279" i="6"/>
  <c r="AE279" i="6"/>
  <c r="T279" i="6"/>
  <c r="G279" i="6"/>
  <c r="M279" i="6"/>
  <c r="AD279" i="6"/>
  <c r="AC93" i="6"/>
  <c r="K98" i="6"/>
  <c r="X98" i="6"/>
  <c r="K110" i="6"/>
  <c r="X110" i="6"/>
  <c r="K114" i="6"/>
  <c r="X114" i="6"/>
  <c r="C115" i="6"/>
  <c r="O115" i="6"/>
  <c r="AA115" i="6"/>
  <c r="K118" i="6"/>
  <c r="X118" i="6"/>
  <c r="C119" i="6"/>
  <c r="O119" i="6"/>
  <c r="AA119" i="6"/>
  <c r="K122" i="6"/>
  <c r="X122" i="6"/>
  <c r="C123" i="6"/>
  <c r="O123" i="6"/>
  <c r="AA123" i="6"/>
  <c r="U128" i="6"/>
  <c r="N135" i="6"/>
  <c r="AB135" i="6"/>
  <c r="P138" i="6"/>
  <c r="N144" i="6"/>
  <c r="P146" i="6"/>
  <c r="M148" i="6"/>
  <c r="AF148" i="6"/>
  <c r="R149" i="6"/>
  <c r="D150" i="6"/>
  <c r="V150" i="6"/>
  <c r="V156" i="6"/>
  <c r="Q160" i="6"/>
  <c r="J163" i="6"/>
  <c r="X163" i="6"/>
  <c r="B164" i="6"/>
  <c r="N164" i="6"/>
  <c r="Z164" i="6"/>
  <c r="J167" i="6"/>
  <c r="X167" i="6"/>
  <c r="B168" i="6"/>
  <c r="N168" i="6"/>
  <c r="Z168" i="6"/>
  <c r="J171" i="6"/>
  <c r="X171" i="6"/>
  <c r="B172" i="6"/>
  <c r="N172" i="6"/>
  <c r="AB178" i="6"/>
  <c r="P178" i="6"/>
  <c r="X178" i="6"/>
  <c r="J178" i="6"/>
  <c r="U178" i="6"/>
  <c r="I178" i="6"/>
  <c r="AF178" i="6"/>
  <c r="T178" i="6"/>
  <c r="H178" i="6"/>
  <c r="R178" i="6"/>
  <c r="L189" i="6"/>
  <c r="AB195" i="6"/>
  <c r="AE195" i="6"/>
  <c r="P195" i="6"/>
  <c r="C195" i="6"/>
  <c r="Y195" i="6"/>
  <c r="L195" i="6"/>
  <c r="X195" i="6"/>
  <c r="J195" i="6"/>
  <c r="W195" i="6"/>
  <c r="H195" i="6"/>
  <c r="Z195" i="6"/>
  <c r="F205" i="6"/>
  <c r="AD205" i="6"/>
  <c r="B215" i="6"/>
  <c r="W215" i="6"/>
  <c r="AD217" i="6"/>
  <c r="R217" i="6"/>
  <c r="H217" i="6"/>
  <c r="Y217" i="6"/>
  <c r="O217" i="6"/>
  <c r="D217" i="6"/>
  <c r="X217" i="6"/>
  <c r="N217" i="6"/>
  <c r="C217" i="6"/>
  <c r="W217" i="6"/>
  <c r="L217" i="6"/>
  <c r="B217" i="6"/>
  <c r="V217" i="6"/>
  <c r="B223" i="6"/>
  <c r="W223" i="6"/>
  <c r="B226" i="6"/>
  <c r="AD253" i="6"/>
  <c r="T253" i="6"/>
  <c r="I253" i="6"/>
  <c r="AC253" i="6"/>
  <c r="R253" i="6"/>
  <c r="G253" i="6"/>
  <c r="Z253" i="6"/>
  <c r="O253" i="6"/>
  <c r="E253" i="6"/>
  <c r="Q253" i="6"/>
  <c r="B253" i="6"/>
  <c r="AA253" i="6"/>
  <c r="L253" i="6"/>
  <c r="Y253" i="6"/>
  <c r="K253" i="6"/>
  <c r="W253" i="6"/>
  <c r="F253" i="6"/>
  <c r="R254" i="6"/>
  <c r="Q254" i="6"/>
  <c r="J254" i="6"/>
  <c r="G254" i="6"/>
  <c r="AB254" i="6"/>
  <c r="AA254" i="6"/>
  <c r="Z254" i="6"/>
  <c r="AA256" i="6"/>
  <c r="AC263" i="6"/>
  <c r="R263" i="6"/>
  <c r="G263" i="6"/>
  <c r="AA263" i="6"/>
  <c r="Q263" i="6"/>
  <c r="F263" i="6"/>
  <c r="Y263" i="6"/>
  <c r="N263" i="6"/>
  <c r="D263" i="6"/>
  <c r="AD263" i="6"/>
  <c r="L263" i="6"/>
  <c r="V263" i="6"/>
  <c r="E263" i="6"/>
  <c r="U263" i="6"/>
  <c r="C263" i="6"/>
  <c r="T263" i="6"/>
  <c r="B263" i="6"/>
  <c r="F279" i="6"/>
  <c r="B93" i="6"/>
  <c r="AD93" i="6"/>
  <c r="N98" i="6"/>
  <c r="Y98" i="6"/>
  <c r="N102" i="6"/>
  <c r="Y102" i="6"/>
  <c r="N110" i="6"/>
  <c r="N114" i="6"/>
  <c r="E115" i="6"/>
  <c r="P115" i="6"/>
  <c r="AC115" i="6"/>
  <c r="N118" i="6"/>
  <c r="Y118" i="6"/>
  <c r="E119" i="6"/>
  <c r="P119" i="6"/>
  <c r="AC119" i="6"/>
  <c r="N122" i="6"/>
  <c r="Y122" i="6"/>
  <c r="E123" i="6"/>
  <c r="P123" i="6"/>
  <c r="AC123" i="6"/>
  <c r="V138" i="6"/>
  <c r="P144" i="6"/>
  <c r="N148" i="6"/>
  <c r="T149" i="6"/>
  <c r="E150" i="6"/>
  <c r="X150" i="6"/>
  <c r="X156" i="6"/>
  <c r="M163" i="6"/>
  <c r="Y163" i="6"/>
  <c r="D164" i="6"/>
  <c r="P164" i="6"/>
  <c r="AB164" i="6"/>
  <c r="M167" i="6"/>
  <c r="Y167" i="6"/>
  <c r="M171" i="6"/>
  <c r="Y171" i="6"/>
  <c r="N234" i="6"/>
  <c r="K234" i="6"/>
  <c r="B234" i="6"/>
  <c r="Z234" i="6"/>
  <c r="V234" i="6"/>
  <c r="M234" i="6"/>
  <c r="Y270" i="6"/>
  <c r="AE270" i="6"/>
  <c r="U270" i="6"/>
  <c r="K270" i="6"/>
  <c r="AD270" i="6"/>
  <c r="T270" i="6"/>
  <c r="J270" i="6"/>
  <c r="AC270" i="6"/>
  <c r="S270" i="6"/>
  <c r="G270" i="6"/>
  <c r="AA270" i="6"/>
  <c r="O270" i="6"/>
  <c r="E270" i="6"/>
  <c r="Z270" i="6"/>
  <c r="N270" i="6"/>
  <c r="D270" i="6"/>
  <c r="AB270" i="6"/>
  <c r="B270" i="6"/>
  <c r="R270" i="6"/>
  <c r="M270" i="6"/>
  <c r="L270" i="6"/>
  <c r="S279" i="6"/>
  <c r="Y281" i="6"/>
  <c r="W281" i="6"/>
  <c r="M281" i="6"/>
  <c r="V281" i="6"/>
  <c r="L281" i="6"/>
  <c r="B281" i="6"/>
  <c r="AE281" i="6"/>
  <c r="U281" i="6"/>
  <c r="AD281" i="6"/>
  <c r="T281" i="6"/>
  <c r="J281" i="6"/>
  <c r="N281" i="6"/>
  <c r="AC281" i="6"/>
  <c r="K281" i="6"/>
  <c r="AB281" i="6"/>
  <c r="G281" i="6"/>
  <c r="Z281" i="6"/>
  <c r="E281" i="6"/>
  <c r="S281" i="6"/>
  <c r="D281" i="6"/>
  <c r="R281" i="6"/>
  <c r="C281" i="6"/>
  <c r="AA281" i="6"/>
  <c r="O281" i="6"/>
  <c r="F281" i="6"/>
  <c r="M94" i="6"/>
  <c r="C98" i="6"/>
  <c r="O98" i="6"/>
  <c r="F115" i="6"/>
  <c r="Q115" i="6"/>
  <c r="O118" i="6"/>
  <c r="F119" i="6"/>
  <c r="Q119" i="6"/>
  <c r="C122" i="6"/>
  <c r="O122" i="6"/>
  <c r="F123" i="6"/>
  <c r="Q123" i="6"/>
  <c r="AD128" i="6"/>
  <c r="C135" i="6"/>
  <c r="R135" i="6"/>
  <c r="D138" i="6"/>
  <c r="Q144" i="6"/>
  <c r="V146" i="6"/>
  <c r="B148" i="6"/>
  <c r="P148" i="6"/>
  <c r="B149" i="6"/>
  <c r="F150" i="6"/>
  <c r="Y150" i="6"/>
  <c r="F156" i="6"/>
  <c r="Y156" i="6"/>
  <c r="Y160" i="6"/>
  <c r="B163" i="6"/>
  <c r="N163" i="6"/>
  <c r="Q168" i="6"/>
  <c r="B171" i="6"/>
  <c r="N171" i="6"/>
  <c r="T181" i="6"/>
  <c r="Y181" i="6"/>
  <c r="B191" i="6"/>
  <c r="J205" i="6"/>
  <c r="X179" i="6"/>
  <c r="S185" i="6"/>
  <c r="O186" i="6"/>
  <c r="S188" i="6"/>
  <c r="O194" i="6"/>
  <c r="AA194" i="6"/>
  <c r="AD201" i="6"/>
  <c r="P202" i="6"/>
  <c r="AE202" i="6"/>
  <c r="O203" i="6"/>
  <c r="AE203" i="6"/>
  <c r="J204" i="6"/>
  <c r="X204" i="6"/>
  <c r="R218" i="6"/>
  <c r="D221" i="6"/>
  <c r="O221" i="6"/>
  <c r="Y221" i="6"/>
  <c r="H225" i="6"/>
  <c r="R225" i="6"/>
  <c r="AD225" i="6"/>
  <c r="AE228" i="6"/>
  <c r="V230" i="6"/>
  <c r="W233" i="6"/>
  <c r="S233" i="6"/>
  <c r="Y284" i="6"/>
  <c r="AD284" i="6"/>
  <c r="T284" i="6"/>
  <c r="J284" i="6"/>
  <c r="AC284" i="6"/>
  <c r="S284" i="6"/>
  <c r="G284" i="6"/>
  <c r="AB284" i="6"/>
  <c r="R284" i="6"/>
  <c r="F284" i="6"/>
  <c r="AA284" i="6"/>
  <c r="O284" i="6"/>
  <c r="E284" i="6"/>
  <c r="Z284" i="6"/>
  <c r="D284" i="6"/>
  <c r="W284" i="6"/>
  <c r="C284" i="6"/>
  <c r="V284" i="6"/>
  <c r="B284" i="6"/>
  <c r="N284" i="6"/>
  <c r="M284" i="6"/>
  <c r="L284" i="6"/>
  <c r="Y294" i="6"/>
  <c r="AB294" i="6"/>
  <c r="R294" i="6"/>
  <c r="F294" i="6"/>
  <c r="AA294" i="6"/>
  <c r="O294" i="6"/>
  <c r="E294" i="6"/>
  <c r="Z294" i="6"/>
  <c r="N294" i="6"/>
  <c r="D294" i="6"/>
  <c r="W294" i="6"/>
  <c r="M294" i="6"/>
  <c r="C294" i="6"/>
  <c r="T294" i="6"/>
  <c r="S294" i="6"/>
  <c r="L294" i="6"/>
  <c r="AD294" i="6"/>
  <c r="J294" i="6"/>
  <c r="AC294" i="6"/>
  <c r="G294" i="6"/>
  <c r="V294" i="6"/>
  <c r="B294" i="6"/>
  <c r="M179" i="6"/>
  <c r="Y179" i="6"/>
  <c r="F201" i="6"/>
  <c r="R202" i="6"/>
  <c r="Q203" i="6"/>
  <c r="L204" i="6"/>
  <c r="Y204" i="6"/>
  <c r="B218" i="6"/>
  <c r="S218" i="6"/>
  <c r="F221" i="6"/>
  <c r="P221" i="6"/>
  <c r="Z221" i="6"/>
  <c r="Y267" i="6"/>
  <c r="W267" i="6"/>
  <c r="M267" i="6"/>
  <c r="C267" i="6"/>
  <c r="V267" i="6"/>
  <c r="L267" i="6"/>
  <c r="B267" i="6"/>
  <c r="AD267" i="6"/>
  <c r="T267" i="6"/>
  <c r="J267" i="6"/>
  <c r="AC267" i="6"/>
  <c r="S267" i="6"/>
  <c r="G267" i="6"/>
  <c r="U267" i="6"/>
  <c r="AB314" i="6"/>
  <c r="L314" i="6"/>
  <c r="K314" i="6"/>
  <c r="AC314" i="6"/>
  <c r="Z333" i="6"/>
  <c r="AB333" i="6"/>
  <c r="R333" i="6"/>
  <c r="H333" i="6"/>
  <c r="AA333" i="6"/>
  <c r="P333" i="6"/>
  <c r="G333" i="6"/>
  <c r="X333" i="6"/>
  <c r="O333" i="6"/>
  <c r="F333" i="6"/>
  <c r="W333" i="6"/>
  <c r="N333" i="6"/>
  <c r="E333" i="6"/>
  <c r="AF333" i="6"/>
  <c r="M333" i="6"/>
  <c r="AE333" i="6"/>
  <c r="L333" i="6"/>
  <c r="AD333" i="6"/>
  <c r="K333" i="6"/>
  <c r="AC333" i="6"/>
  <c r="J333" i="6"/>
  <c r="D333" i="6"/>
  <c r="C333" i="6"/>
  <c r="B333" i="6"/>
  <c r="V333" i="6"/>
  <c r="U333" i="6"/>
  <c r="T333" i="6"/>
  <c r="B179" i="6"/>
  <c r="N179" i="6"/>
  <c r="Z179" i="6"/>
  <c r="Q183" i="6"/>
  <c r="G185" i="6"/>
  <c r="U185" i="6"/>
  <c r="C186" i="6"/>
  <c r="T186" i="6"/>
  <c r="E188" i="6"/>
  <c r="W188" i="6"/>
  <c r="X190" i="6"/>
  <c r="C194" i="6"/>
  <c r="Q194" i="6"/>
  <c r="AE194" i="6"/>
  <c r="H201" i="6"/>
  <c r="C202" i="6"/>
  <c r="S202" i="6"/>
  <c r="C203" i="6"/>
  <c r="S203" i="6"/>
  <c r="B204" i="6"/>
  <c r="O204" i="6"/>
  <c r="Z204" i="6"/>
  <c r="S214" i="6"/>
  <c r="G218" i="6"/>
  <c r="T218" i="6"/>
  <c r="G221" i="6"/>
  <c r="Q221" i="6"/>
  <c r="AA221" i="6"/>
  <c r="K225" i="6"/>
  <c r="V225" i="6"/>
  <c r="AF225" i="6"/>
  <c r="I228" i="6"/>
  <c r="T229" i="6"/>
  <c r="W231" i="6"/>
  <c r="Q231" i="6"/>
  <c r="T233" i="6"/>
  <c r="AD261" i="6"/>
  <c r="T261" i="6"/>
  <c r="I261" i="6"/>
  <c r="AC261" i="6"/>
  <c r="R261" i="6"/>
  <c r="G261" i="6"/>
  <c r="Z261" i="6"/>
  <c r="O261" i="6"/>
  <c r="E261" i="6"/>
  <c r="N261" i="6"/>
  <c r="V262" i="6"/>
  <c r="S262" i="6"/>
  <c r="Q262" i="6"/>
  <c r="U284" i="6"/>
  <c r="S333" i="6"/>
  <c r="U183" i="6"/>
  <c r="N185" i="6"/>
  <c r="J186" i="6"/>
  <c r="AD188" i="6"/>
  <c r="X194" i="6"/>
  <c r="V201" i="6"/>
  <c r="G204" i="6"/>
  <c r="R204" i="6"/>
  <c r="J218" i="6"/>
  <c r="K221" i="6"/>
  <c r="V221" i="6"/>
  <c r="S228" i="6"/>
  <c r="T230" i="6"/>
  <c r="L230" i="6"/>
  <c r="L235" i="6"/>
  <c r="AE235" i="6"/>
  <c r="I235" i="6"/>
  <c r="AA235" i="6"/>
  <c r="D235" i="6"/>
  <c r="AD247" i="6"/>
  <c r="T247" i="6"/>
  <c r="I247" i="6"/>
  <c r="AC247" i="6"/>
  <c r="R247" i="6"/>
  <c r="G247" i="6"/>
  <c r="Z247" i="6"/>
  <c r="O247" i="6"/>
  <c r="E247" i="6"/>
  <c r="N247" i="6"/>
  <c r="AA251" i="6"/>
  <c r="Q251" i="6"/>
  <c r="F251" i="6"/>
  <c r="Z251" i="6"/>
  <c r="O251" i="6"/>
  <c r="E251" i="6"/>
  <c r="W251" i="6"/>
  <c r="M251" i="6"/>
  <c r="C251" i="6"/>
  <c r="R251" i="6"/>
  <c r="AE252" i="6"/>
  <c r="J252" i="6"/>
  <c r="AB252" i="6"/>
  <c r="I252" i="6"/>
  <c r="Z252" i="6"/>
  <c r="D252" i="6"/>
  <c r="Z406" i="6"/>
  <c r="Y406" i="6"/>
  <c r="L406" i="6"/>
  <c r="K272" i="6"/>
  <c r="U272" i="6"/>
  <c r="AE272" i="6"/>
  <c r="Y285" i="6"/>
  <c r="AC285" i="6"/>
  <c r="S285" i="6"/>
  <c r="G285" i="6"/>
  <c r="AB285" i="6"/>
  <c r="R285" i="6"/>
  <c r="F285" i="6"/>
  <c r="AA285" i="6"/>
  <c r="O285" i="6"/>
  <c r="E285" i="6"/>
  <c r="Z285" i="6"/>
  <c r="N285" i="6"/>
  <c r="D285" i="6"/>
  <c r="U285" i="6"/>
  <c r="L319" i="6"/>
  <c r="K319" i="6"/>
  <c r="AF319" i="6"/>
  <c r="J319" i="6"/>
  <c r="Y319" i="6"/>
  <c r="X319" i="6"/>
  <c r="U319" i="6"/>
  <c r="R319" i="6"/>
  <c r="U327" i="6"/>
  <c r="R327" i="6"/>
  <c r="L327" i="6"/>
  <c r="K327" i="6"/>
  <c r="AB327" i="6"/>
  <c r="Y327" i="6"/>
  <c r="X327" i="6"/>
  <c r="J327" i="6"/>
  <c r="B272" i="6"/>
  <c r="L272" i="6"/>
  <c r="V272" i="6"/>
  <c r="K273" i="6"/>
  <c r="U273" i="6"/>
  <c r="AE273" i="6"/>
  <c r="B285" i="6"/>
  <c r="V285" i="6"/>
  <c r="Y300" i="6"/>
  <c r="AD300" i="6"/>
  <c r="T300" i="6"/>
  <c r="J300" i="6"/>
  <c r="AC300" i="6"/>
  <c r="S300" i="6"/>
  <c r="G300" i="6"/>
  <c r="AB300" i="6"/>
  <c r="R300" i="6"/>
  <c r="F300" i="6"/>
  <c r="AA300" i="6"/>
  <c r="O300" i="6"/>
  <c r="E300" i="6"/>
  <c r="U300" i="6"/>
  <c r="B319" i="6"/>
  <c r="B327" i="6"/>
  <c r="Z376" i="6"/>
  <c r="AD376" i="6"/>
  <c r="T376" i="6"/>
  <c r="H376" i="6"/>
  <c r="AC376" i="6"/>
  <c r="S376" i="6"/>
  <c r="G376" i="6"/>
  <c r="AB376" i="6"/>
  <c r="P376" i="6"/>
  <c r="F376" i="6"/>
  <c r="AA376" i="6"/>
  <c r="O376" i="6"/>
  <c r="E376" i="6"/>
  <c r="N376" i="6"/>
  <c r="M376" i="6"/>
  <c r="AF376" i="6"/>
  <c r="L376" i="6"/>
  <c r="AE376" i="6"/>
  <c r="K376" i="6"/>
  <c r="X376" i="6"/>
  <c r="D376" i="6"/>
  <c r="W376" i="6"/>
  <c r="V376" i="6"/>
  <c r="S232" i="6"/>
  <c r="AE240" i="6"/>
  <c r="K255" i="6"/>
  <c r="U255" i="6"/>
  <c r="AE255" i="6"/>
  <c r="G257" i="6"/>
  <c r="R257" i="6"/>
  <c r="AC257" i="6"/>
  <c r="K265" i="6"/>
  <c r="U265" i="6"/>
  <c r="AE265" i="6"/>
  <c r="G268" i="6"/>
  <c r="S268" i="6"/>
  <c r="AC268" i="6"/>
  <c r="C272" i="6"/>
  <c r="M272" i="6"/>
  <c r="W272" i="6"/>
  <c r="B273" i="6"/>
  <c r="L273" i="6"/>
  <c r="V273" i="6"/>
  <c r="K274" i="6"/>
  <c r="U274" i="6"/>
  <c r="AE274" i="6"/>
  <c r="C285" i="6"/>
  <c r="W285" i="6"/>
  <c r="Y287" i="6"/>
  <c r="AA287" i="6"/>
  <c r="O287" i="6"/>
  <c r="E287" i="6"/>
  <c r="Z287" i="6"/>
  <c r="N287" i="6"/>
  <c r="D287" i="6"/>
  <c r="W287" i="6"/>
  <c r="M287" i="6"/>
  <c r="C287" i="6"/>
  <c r="V287" i="6"/>
  <c r="L287" i="6"/>
  <c r="B287" i="6"/>
  <c r="U287" i="6"/>
  <c r="Y293" i="6"/>
  <c r="AC293" i="6"/>
  <c r="S293" i="6"/>
  <c r="G293" i="6"/>
  <c r="AB293" i="6"/>
  <c r="R293" i="6"/>
  <c r="F293" i="6"/>
  <c r="AA293" i="6"/>
  <c r="O293" i="6"/>
  <c r="E293" i="6"/>
  <c r="Z293" i="6"/>
  <c r="N293" i="6"/>
  <c r="D293" i="6"/>
  <c r="U293" i="6"/>
  <c r="B300" i="6"/>
  <c r="V300" i="6"/>
  <c r="Y302" i="6"/>
  <c r="AD302" i="6"/>
  <c r="T302" i="6"/>
  <c r="J302" i="6"/>
  <c r="U302" i="6"/>
  <c r="G302" i="6"/>
  <c r="AE302" i="6"/>
  <c r="S302" i="6"/>
  <c r="F302" i="6"/>
  <c r="AC302" i="6"/>
  <c r="R302" i="6"/>
  <c r="E302" i="6"/>
  <c r="AB302" i="6"/>
  <c r="O302" i="6"/>
  <c r="D302" i="6"/>
  <c r="W302" i="6"/>
  <c r="I319" i="6"/>
  <c r="I327" i="6"/>
  <c r="C376" i="6"/>
  <c r="W232" i="6"/>
  <c r="K257" i="6"/>
  <c r="U257" i="6"/>
  <c r="AE257" i="6"/>
  <c r="K268" i="6"/>
  <c r="U268" i="6"/>
  <c r="AE268" i="6"/>
  <c r="E272" i="6"/>
  <c r="O272" i="6"/>
  <c r="AA272" i="6"/>
  <c r="D273" i="6"/>
  <c r="N273" i="6"/>
  <c r="Z273" i="6"/>
  <c r="K285" i="6"/>
  <c r="AE285" i="6"/>
  <c r="G287" i="6"/>
  <c r="AC287" i="6"/>
  <c r="C293" i="6"/>
  <c r="W293" i="6"/>
  <c r="Y295" i="6"/>
  <c r="AA295" i="6"/>
  <c r="O295" i="6"/>
  <c r="E295" i="6"/>
  <c r="Z295" i="6"/>
  <c r="N295" i="6"/>
  <c r="D295" i="6"/>
  <c r="W295" i="6"/>
  <c r="M295" i="6"/>
  <c r="C295" i="6"/>
  <c r="V295" i="6"/>
  <c r="L295" i="6"/>
  <c r="B295" i="6"/>
  <c r="U295" i="6"/>
  <c r="D300" i="6"/>
  <c r="Z300" i="6"/>
  <c r="C302" i="6"/>
  <c r="AA302" i="6"/>
  <c r="D240" i="6"/>
  <c r="D255" i="6"/>
  <c r="N255" i="6"/>
  <c r="B257" i="6"/>
  <c r="L257" i="6"/>
  <c r="D265" i="6"/>
  <c r="N265" i="6"/>
  <c r="B268" i="6"/>
  <c r="L268" i="6"/>
  <c r="V268" i="6"/>
  <c r="K269" i="6"/>
  <c r="U269" i="6"/>
  <c r="AE269" i="6"/>
  <c r="F272" i="6"/>
  <c r="R272" i="6"/>
  <c r="AB272" i="6"/>
  <c r="E273" i="6"/>
  <c r="O273" i="6"/>
  <c r="AA273" i="6"/>
  <c r="L285" i="6"/>
  <c r="Y286" i="6"/>
  <c r="AB286" i="6"/>
  <c r="R286" i="6"/>
  <c r="F286" i="6"/>
  <c r="AA286" i="6"/>
  <c r="O286" i="6"/>
  <c r="E286" i="6"/>
  <c r="Z286" i="6"/>
  <c r="N286" i="6"/>
  <c r="D286" i="6"/>
  <c r="W286" i="6"/>
  <c r="M286" i="6"/>
  <c r="C286" i="6"/>
  <c r="U286" i="6"/>
  <c r="J287" i="6"/>
  <c r="AD287" i="6"/>
  <c r="Y292" i="6"/>
  <c r="AD292" i="6"/>
  <c r="T292" i="6"/>
  <c r="J292" i="6"/>
  <c r="AC292" i="6"/>
  <c r="S292" i="6"/>
  <c r="G292" i="6"/>
  <c r="AB292" i="6"/>
  <c r="R292" i="6"/>
  <c r="F292" i="6"/>
  <c r="AA292" i="6"/>
  <c r="O292" i="6"/>
  <c r="E292" i="6"/>
  <c r="U292" i="6"/>
  <c r="J293" i="6"/>
  <c r="AD293" i="6"/>
  <c r="F295" i="6"/>
  <c r="AB295" i="6"/>
  <c r="K300" i="6"/>
  <c r="AE300" i="6"/>
  <c r="K302" i="6"/>
  <c r="X308" i="6"/>
  <c r="I308" i="6"/>
  <c r="U308" i="6"/>
  <c r="H308" i="6"/>
  <c r="T308" i="6"/>
  <c r="C308" i="6"/>
  <c r="L308" i="6"/>
  <c r="K308" i="6"/>
  <c r="J308" i="6"/>
  <c r="AF308" i="6"/>
  <c r="B308" i="6"/>
  <c r="G272" i="6"/>
  <c r="S272" i="6"/>
  <c r="AC272" i="6"/>
  <c r="F273" i="6"/>
  <c r="R273" i="6"/>
  <c r="AB273" i="6"/>
  <c r="E274" i="6"/>
  <c r="O274" i="6"/>
  <c r="AA274" i="6"/>
  <c r="M285" i="6"/>
  <c r="B286" i="6"/>
  <c r="V286" i="6"/>
  <c r="K287" i="6"/>
  <c r="AE287" i="6"/>
  <c r="K293" i="6"/>
  <c r="AE293" i="6"/>
  <c r="G295" i="6"/>
  <c r="AC295" i="6"/>
  <c r="L300" i="6"/>
  <c r="Y301" i="6"/>
  <c r="AE301" i="6"/>
  <c r="AC301" i="6"/>
  <c r="S301" i="6"/>
  <c r="G301" i="6"/>
  <c r="AB301" i="6"/>
  <c r="R301" i="6"/>
  <c r="F301" i="6"/>
  <c r="AA301" i="6"/>
  <c r="O301" i="6"/>
  <c r="E301" i="6"/>
  <c r="Z301" i="6"/>
  <c r="N301" i="6"/>
  <c r="D301" i="6"/>
  <c r="U301" i="6"/>
  <c r="L302" i="6"/>
  <c r="Y305" i="6"/>
  <c r="AA305" i="6"/>
  <c r="O305" i="6"/>
  <c r="E305" i="6"/>
  <c r="W305" i="6"/>
  <c r="M305" i="6"/>
  <c r="C305" i="6"/>
  <c r="V305" i="6"/>
  <c r="J305" i="6"/>
  <c r="U305" i="6"/>
  <c r="G305" i="6"/>
  <c r="T305" i="6"/>
  <c r="F305" i="6"/>
  <c r="AE305" i="6"/>
  <c r="S305" i="6"/>
  <c r="D305" i="6"/>
  <c r="AC305" i="6"/>
  <c r="R308" i="6"/>
  <c r="AB322" i="6"/>
  <c r="M322" i="6"/>
  <c r="L322" i="6"/>
  <c r="K322" i="6"/>
  <c r="H322" i="6"/>
  <c r="Y322" i="6"/>
  <c r="T322" i="6"/>
  <c r="Z331" i="6"/>
  <c r="AB331" i="6"/>
  <c r="R331" i="6"/>
  <c r="H331" i="6"/>
  <c r="AA331" i="6"/>
  <c r="P331" i="6"/>
  <c r="G331" i="6"/>
  <c r="X331" i="6"/>
  <c r="O331" i="6"/>
  <c r="F331" i="6"/>
  <c r="W331" i="6"/>
  <c r="N331" i="6"/>
  <c r="E331" i="6"/>
  <c r="AC331" i="6"/>
  <c r="J331" i="6"/>
  <c r="V331" i="6"/>
  <c r="D331" i="6"/>
  <c r="U331" i="6"/>
  <c r="C331" i="6"/>
  <c r="T331" i="6"/>
  <c r="B331" i="6"/>
  <c r="K280" i="6"/>
  <c r="U280" i="6"/>
  <c r="AE280" i="6"/>
  <c r="G282" i="6"/>
  <c r="S282" i="6"/>
  <c r="AC282" i="6"/>
  <c r="F283" i="6"/>
  <c r="R283" i="6"/>
  <c r="AB283" i="6"/>
  <c r="K288" i="6"/>
  <c r="U288" i="6"/>
  <c r="AE288" i="6"/>
  <c r="J289" i="6"/>
  <c r="T289" i="6"/>
  <c r="AD289" i="6"/>
  <c r="G290" i="6"/>
  <c r="S290" i="6"/>
  <c r="AC290" i="6"/>
  <c r="F291" i="6"/>
  <c r="R291" i="6"/>
  <c r="AB291" i="6"/>
  <c r="K296" i="6"/>
  <c r="U296" i="6"/>
  <c r="AE296" i="6"/>
  <c r="T303" i="6"/>
  <c r="AE303" i="6"/>
  <c r="L335" i="6"/>
  <c r="AD335" i="6"/>
  <c r="S357" i="6"/>
  <c r="J282" i="6"/>
  <c r="T282" i="6"/>
  <c r="AD282" i="6"/>
  <c r="G283" i="6"/>
  <c r="S283" i="6"/>
  <c r="AC283" i="6"/>
  <c r="K289" i="6"/>
  <c r="U289" i="6"/>
  <c r="AE289" i="6"/>
  <c r="J290" i="6"/>
  <c r="T290" i="6"/>
  <c r="AD290" i="6"/>
  <c r="G291" i="6"/>
  <c r="S291" i="6"/>
  <c r="AC291" i="6"/>
  <c r="B296" i="6"/>
  <c r="L296" i="6"/>
  <c r="V296" i="6"/>
  <c r="K297" i="6"/>
  <c r="U297" i="6"/>
  <c r="AE297" i="6"/>
  <c r="J298" i="6"/>
  <c r="T298" i="6"/>
  <c r="AD298" i="6"/>
  <c r="AC299" i="6"/>
  <c r="U303" i="6"/>
  <c r="Y304" i="6"/>
  <c r="AB304" i="6"/>
  <c r="R304" i="6"/>
  <c r="F304" i="6"/>
  <c r="Z304" i="6"/>
  <c r="L304" i="6"/>
  <c r="W304" i="6"/>
  <c r="Y306" i="6"/>
  <c r="Z306" i="6"/>
  <c r="N306" i="6"/>
  <c r="D306" i="6"/>
  <c r="W306" i="6"/>
  <c r="M306" i="6"/>
  <c r="C306" i="6"/>
  <c r="V306" i="6"/>
  <c r="L306" i="6"/>
  <c r="B306" i="6"/>
  <c r="S306" i="6"/>
  <c r="M313" i="6"/>
  <c r="J313" i="6"/>
  <c r="C313" i="6"/>
  <c r="R315" i="6"/>
  <c r="L315" i="6"/>
  <c r="K315" i="6"/>
  <c r="AF315" i="6"/>
  <c r="Z338" i="6"/>
  <c r="AC338" i="6"/>
  <c r="S338" i="6"/>
  <c r="V338" i="6"/>
  <c r="K338" i="6"/>
  <c r="AF338" i="6"/>
  <c r="U338" i="6"/>
  <c r="H338" i="6"/>
  <c r="AE338" i="6"/>
  <c r="T338" i="6"/>
  <c r="G338" i="6"/>
  <c r="AD338" i="6"/>
  <c r="P338" i="6"/>
  <c r="F338" i="6"/>
  <c r="W338" i="6"/>
  <c r="K282" i="6"/>
  <c r="U282" i="6"/>
  <c r="AE282" i="6"/>
  <c r="J283" i="6"/>
  <c r="T283" i="6"/>
  <c r="AD283" i="6"/>
  <c r="L289" i="6"/>
  <c r="V289" i="6"/>
  <c r="K290" i="6"/>
  <c r="U290" i="6"/>
  <c r="AE290" i="6"/>
  <c r="J291" i="6"/>
  <c r="T291" i="6"/>
  <c r="AD291" i="6"/>
  <c r="C296" i="6"/>
  <c r="M296" i="6"/>
  <c r="W296" i="6"/>
  <c r="B297" i="6"/>
  <c r="L297" i="6"/>
  <c r="V297" i="6"/>
  <c r="K298" i="6"/>
  <c r="U298" i="6"/>
  <c r="AE298" i="6"/>
  <c r="T299" i="6"/>
  <c r="AD299" i="6"/>
  <c r="L318" i="6"/>
  <c r="K318" i="6"/>
  <c r="H318" i="6"/>
  <c r="L323" i="6"/>
  <c r="K323" i="6"/>
  <c r="AF323" i="6"/>
  <c r="J323" i="6"/>
  <c r="AB323" i="6"/>
  <c r="I323" i="6"/>
  <c r="AB326" i="6"/>
  <c r="Y326" i="6"/>
  <c r="T326" i="6"/>
  <c r="M326" i="6"/>
  <c r="Y335" i="6"/>
  <c r="Z335" i="6"/>
  <c r="P335" i="6"/>
  <c r="G335" i="6"/>
  <c r="X335" i="6"/>
  <c r="O335" i="6"/>
  <c r="F335" i="6"/>
  <c r="AF335" i="6"/>
  <c r="W335" i="6"/>
  <c r="N335" i="6"/>
  <c r="E335" i="6"/>
  <c r="AE335" i="6"/>
  <c r="V335" i="6"/>
  <c r="M335" i="6"/>
  <c r="D335" i="6"/>
  <c r="S335" i="6"/>
  <c r="Y357" i="6"/>
  <c r="AE357" i="6"/>
  <c r="V357" i="6"/>
  <c r="M357" i="6"/>
  <c r="D357" i="6"/>
  <c r="AD357" i="6"/>
  <c r="U357" i="6"/>
  <c r="L357" i="6"/>
  <c r="C357" i="6"/>
  <c r="AC357" i="6"/>
  <c r="T357" i="6"/>
  <c r="K357" i="6"/>
  <c r="B357" i="6"/>
  <c r="AB357" i="6"/>
  <c r="O357" i="6"/>
  <c r="AA357" i="6"/>
  <c r="N357" i="6"/>
  <c r="Z357" i="6"/>
  <c r="J357" i="6"/>
  <c r="X357" i="6"/>
  <c r="H357" i="6"/>
  <c r="AF357" i="6"/>
  <c r="Q409" i="6"/>
  <c r="E409" i="6"/>
  <c r="AC409" i="6"/>
  <c r="D409" i="6"/>
  <c r="AB409" i="6"/>
  <c r="C409" i="6"/>
  <c r="AA409" i="6"/>
  <c r="B409" i="6"/>
  <c r="Z409" i="6"/>
  <c r="S409" i="6"/>
  <c r="M409" i="6"/>
  <c r="L409" i="6"/>
  <c r="K283" i="6"/>
  <c r="U283" i="6"/>
  <c r="AE283" i="6"/>
  <c r="C289" i="6"/>
  <c r="M289" i="6"/>
  <c r="W289" i="6"/>
  <c r="B290" i="6"/>
  <c r="L290" i="6"/>
  <c r="V290" i="6"/>
  <c r="K291" i="6"/>
  <c r="U291" i="6"/>
  <c r="AE291" i="6"/>
  <c r="D296" i="6"/>
  <c r="N296" i="6"/>
  <c r="Z296" i="6"/>
  <c r="C297" i="6"/>
  <c r="M297" i="6"/>
  <c r="W297" i="6"/>
  <c r="B298" i="6"/>
  <c r="L298" i="6"/>
  <c r="V298" i="6"/>
  <c r="K299" i="6"/>
  <c r="U299" i="6"/>
  <c r="AE299" i="6"/>
  <c r="Y303" i="6"/>
  <c r="AC303" i="6"/>
  <c r="S303" i="6"/>
  <c r="G303" i="6"/>
  <c r="L303" i="6"/>
  <c r="W303" i="6"/>
  <c r="AC304" i="6"/>
  <c r="R313" i="6"/>
  <c r="I315" i="6"/>
  <c r="M318" i="6"/>
  <c r="B323" i="6"/>
  <c r="K326" i="6"/>
  <c r="T335" i="6"/>
  <c r="E357" i="6"/>
  <c r="Z358" i="6"/>
  <c r="AA358" i="6"/>
  <c r="P358" i="6"/>
  <c r="G358" i="6"/>
  <c r="X358" i="6"/>
  <c r="O358" i="6"/>
  <c r="F358" i="6"/>
  <c r="W358" i="6"/>
  <c r="N358" i="6"/>
  <c r="E358" i="6"/>
  <c r="AF358" i="6"/>
  <c r="V358" i="6"/>
  <c r="M358" i="6"/>
  <c r="D358" i="6"/>
  <c r="AE358" i="6"/>
  <c r="L358" i="6"/>
  <c r="AD358" i="6"/>
  <c r="K358" i="6"/>
  <c r="AC358" i="6"/>
  <c r="J358" i="6"/>
  <c r="AB358" i="6"/>
  <c r="H358" i="6"/>
  <c r="Z361" i="6"/>
  <c r="AD361" i="6"/>
  <c r="T361" i="6"/>
  <c r="H361" i="6"/>
  <c r="AC361" i="6"/>
  <c r="S361" i="6"/>
  <c r="G361" i="6"/>
  <c r="AB361" i="6"/>
  <c r="P361" i="6"/>
  <c r="F361" i="6"/>
  <c r="AA361" i="6"/>
  <c r="O361" i="6"/>
  <c r="E361" i="6"/>
  <c r="N361" i="6"/>
  <c r="M361" i="6"/>
  <c r="AF361" i="6"/>
  <c r="L361" i="6"/>
  <c r="AE361" i="6"/>
  <c r="K361" i="6"/>
  <c r="Z370" i="6"/>
  <c r="W370" i="6"/>
  <c r="N370" i="6"/>
  <c r="E370" i="6"/>
  <c r="AF370" i="6"/>
  <c r="V370" i="6"/>
  <c r="M370" i="6"/>
  <c r="D370" i="6"/>
  <c r="AE370" i="6"/>
  <c r="U370" i="6"/>
  <c r="L370" i="6"/>
  <c r="C370" i="6"/>
  <c r="AD370" i="6"/>
  <c r="T370" i="6"/>
  <c r="K370" i="6"/>
  <c r="B370" i="6"/>
  <c r="O370" i="6"/>
  <c r="AC370" i="6"/>
  <c r="J370" i="6"/>
  <c r="AB370" i="6"/>
  <c r="H370" i="6"/>
  <c r="AA370" i="6"/>
  <c r="G370" i="6"/>
  <c r="X370" i="6"/>
  <c r="F370" i="6"/>
  <c r="S370" i="6"/>
  <c r="R370" i="6"/>
  <c r="P370" i="6"/>
  <c r="K307" i="6"/>
  <c r="V307" i="6"/>
  <c r="R316" i="6"/>
  <c r="R328" i="6"/>
  <c r="J332" i="6"/>
  <c r="S332" i="6"/>
  <c r="AC332" i="6"/>
  <c r="J334" i="6"/>
  <c r="S334" i="6"/>
  <c r="AB334" i="6"/>
  <c r="Z340" i="6"/>
  <c r="X340" i="6"/>
  <c r="N340" i="6"/>
  <c r="E340" i="6"/>
  <c r="W340" i="6"/>
  <c r="M340" i="6"/>
  <c r="D340" i="6"/>
  <c r="L340" i="6"/>
  <c r="AB340" i="6"/>
  <c r="Z393" i="6"/>
  <c r="B307" i="6"/>
  <c r="L307" i="6"/>
  <c r="X307" i="6"/>
  <c r="B316" i="6"/>
  <c r="S316" i="6"/>
  <c r="C317" i="6"/>
  <c r="R320" i="6"/>
  <c r="B328" i="6"/>
  <c r="S328" i="6"/>
  <c r="J330" i="6"/>
  <c r="T330" i="6"/>
  <c r="AD330" i="6"/>
  <c r="B332" i="6"/>
  <c r="K332" i="6"/>
  <c r="T332" i="6"/>
  <c r="AD332" i="6"/>
  <c r="B334" i="6"/>
  <c r="K334" i="6"/>
  <c r="T334" i="6"/>
  <c r="AC334" i="6"/>
  <c r="AE336" i="6"/>
  <c r="B340" i="6"/>
  <c r="O340" i="6"/>
  <c r="AC340" i="6"/>
  <c r="Z342" i="6"/>
  <c r="AA342" i="6"/>
  <c r="P342" i="6"/>
  <c r="G342" i="6"/>
  <c r="X342" i="6"/>
  <c r="O342" i="6"/>
  <c r="F342" i="6"/>
  <c r="W342" i="6"/>
  <c r="L342" i="6"/>
  <c r="AB342" i="6"/>
  <c r="Y352" i="6"/>
  <c r="AF352" i="6"/>
  <c r="W352" i="6"/>
  <c r="N352" i="6"/>
  <c r="E352" i="6"/>
  <c r="AE352" i="6"/>
  <c r="V352" i="6"/>
  <c r="M352" i="6"/>
  <c r="D352" i="6"/>
  <c r="AD352" i="6"/>
  <c r="U352" i="6"/>
  <c r="L352" i="6"/>
  <c r="C352" i="6"/>
  <c r="P352" i="6"/>
  <c r="AC352" i="6"/>
  <c r="AA393" i="6"/>
  <c r="C307" i="6"/>
  <c r="M307" i="6"/>
  <c r="Y307" i="6"/>
  <c r="C316" i="6"/>
  <c r="B320" i="6"/>
  <c r="C328" i="6"/>
  <c r="T328" i="6"/>
  <c r="B330" i="6"/>
  <c r="K330" i="6"/>
  <c r="U330" i="6"/>
  <c r="AE330" i="6"/>
  <c r="C332" i="6"/>
  <c r="L332" i="6"/>
  <c r="U332" i="6"/>
  <c r="AE332" i="6"/>
  <c r="C334" i="6"/>
  <c r="L334" i="6"/>
  <c r="U334" i="6"/>
  <c r="AD334" i="6"/>
  <c r="L336" i="6"/>
  <c r="V336" i="6"/>
  <c r="AF336" i="6"/>
  <c r="C340" i="6"/>
  <c r="P340" i="6"/>
  <c r="AD340" i="6"/>
  <c r="B342" i="6"/>
  <c r="M342" i="6"/>
  <c r="AC342" i="6"/>
  <c r="B352" i="6"/>
  <c r="R352" i="6"/>
  <c r="Y353" i="6"/>
  <c r="AA353" i="6"/>
  <c r="R353" i="6"/>
  <c r="H353" i="6"/>
  <c r="Z353" i="6"/>
  <c r="P353" i="6"/>
  <c r="G353" i="6"/>
  <c r="X353" i="6"/>
  <c r="O353" i="6"/>
  <c r="F353" i="6"/>
  <c r="M353" i="6"/>
  <c r="AC353" i="6"/>
  <c r="Z362" i="6"/>
  <c r="AB362" i="6"/>
  <c r="P362" i="6"/>
  <c r="F362" i="6"/>
  <c r="AA362" i="6"/>
  <c r="O362" i="6"/>
  <c r="E362" i="6"/>
  <c r="X362" i="6"/>
  <c r="N362" i="6"/>
  <c r="D362" i="6"/>
  <c r="W362" i="6"/>
  <c r="M362" i="6"/>
  <c r="C362" i="6"/>
  <c r="AF362" i="6"/>
  <c r="V362" i="6"/>
  <c r="U362" i="6"/>
  <c r="U404" i="6"/>
  <c r="T404" i="6"/>
  <c r="S404" i="6"/>
  <c r="J404" i="6"/>
  <c r="Y404" i="6"/>
  <c r="I404" i="6"/>
  <c r="H328" i="6"/>
  <c r="C330" i="6"/>
  <c r="L330" i="6"/>
  <c r="V330" i="6"/>
  <c r="AF330" i="6"/>
  <c r="D332" i="6"/>
  <c r="M332" i="6"/>
  <c r="V332" i="6"/>
  <c r="AF332" i="6"/>
  <c r="D334" i="6"/>
  <c r="M334" i="6"/>
  <c r="V334" i="6"/>
  <c r="AE334" i="6"/>
  <c r="C336" i="6"/>
  <c r="M336" i="6"/>
  <c r="W336" i="6"/>
  <c r="L337" i="6"/>
  <c r="V337" i="6"/>
  <c r="AF337" i="6"/>
  <c r="Z339" i="6"/>
  <c r="AC339" i="6"/>
  <c r="AB339" i="6"/>
  <c r="P339" i="6"/>
  <c r="F339" i="6"/>
  <c r="M339" i="6"/>
  <c r="X339" i="6"/>
  <c r="F340" i="6"/>
  <c r="S340" i="6"/>
  <c r="AE340" i="6"/>
  <c r="C342" i="6"/>
  <c r="N342" i="6"/>
  <c r="AD342" i="6"/>
  <c r="Z350" i="6"/>
  <c r="W350" i="6"/>
  <c r="N350" i="6"/>
  <c r="E350" i="6"/>
  <c r="AF350" i="6"/>
  <c r="V350" i="6"/>
  <c r="M350" i="6"/>
  <c r="D350" i="6"/>
  <c r="AE350" i="6"/>
  <c r="U350" i="6"/>
  <c r="L350" i="6"/>
  <c r="C350" i="6"/>
  <c r="P350" i="6"/>
  <c r="AD350" i="6"/>
  <c r="F352" i="6"/>
  <c r="S352" i="6"/>
  <c r="B353" i="6"/>
  <c r="N353" i="6"/>
  <c r="AD353" i="6"/>
  <c r="Y355" i="6"/>
  <c r="X355" i="6"/>
  <c r="O355" i="6"/>
  <c r="F355" i="6"/>
  <c r="AF355" i="6"/>
  <c r="W355" i="6"/>
  <c r="N355" i="6"/>
  <c r="E355" i="6"/>
  <c r="AE355" i="6"/>
  <c r="V355" i="6"/>
  <c r="M355" i="6"/>
  <c r="D355" i="6"/>
  <c r="P355" i="6"/>
  <c r="AC355" i="6"/>
  <c r="B362" i="6"/>
  <c r="AC362" i="6"/>
  <c r="Z365" i="6"/>
  <c r="AC365" i="6"/>
  <c r="S365" i="6"/>
  <c r="X365" i="6"/>
  <c r="N365" i="6"/>
  <c r="D365" i="6"/>
  <c r="W365" i="6"/>
  <c r="K365" i="6"/>
  <c r="V365" i="6"/>
  <c r="H365" i="6"/>
  <c r="U365" i="6"/>
  <c r="G365" i="6"/>
  <c r="AF365" i="6"/>
  <c r="T365" i="6"/>
  <c r="F365" i="6"/>
  <c r="AE365" i="6"/>
  <c r="P365" i="6"/>
  <c r="E365" i="6"/>
  <c r="AD365" i="6"/>
  <c r="AC387" i="6"/>
  <c r="R387" i="6"/>
  <c r="H387" i="6"/>
  <c r="AA387" i="6"/>
  <c r="Q387" i="6"/>
  <c r="F387" i="6"/>
  <c r="Z387" i="6"/>
  <c r="P387" i="6"/>
  <c r="E387" i="6"/>
  <c r="Y387" i="6"/>
  <c r="N387" i="6"/>
  <c r="D387" i="6"/>
  <c r="T387" i="6"/>
  <c r="M387" i="6"/>
  <c r="L387" i="6"/>
  <c r="AF387" i="6"/>
  <c r="K387" i="6"/>
  <c r="AD387" i="6"/>
  <c r="I387" i="6"/>
  <c r="AD393" i="6"/>
  <c r="V393" i="6"/>
  <c r="F393" i="6"/>
  <c r="S393" i="6"/>
  <c r="E393" i="6"/>
  <c r="R393" i="6"/>
  <c r="D393" i="6"/>
  <c r="AC393" i="6"/>
  <c r="Q393" i="6"/>
  <c r="C393" i="6"/>
  <c r="Y393" i="6"/>
  <c r="N393" i="6"/>
  <c r="M393" i="6"/>
  <c r="L393" i="6"/>
  <c r="I393" i="6"/>
  <c r="Z382" i="6"/>
  <c r="AB382" i="6"/>
  <c r="P382" i="6"/>
  <c r="F382" i="6"/>
  <c r="AA382" i="6"/>
  <c r="O382" i="6"/>
  <c r="E382" i="6"/>
  <c r="X382" i="6"/>
  <c r="N382" i="6"/>
  <c r="D382" i="6"/>
  <c r="W382" i="6"/>
  <c r="M382" i="6"/>
  <c r="C382" i="6"/>
  <c r="V382" i="6"/>
  <c r="H359" i="6"/>
  <c r="T359" i="6"/>
  <c r="AD359" i="6"/>
  <c r="F360" i="6"/>
  <c r="P360" i="6"/>
  <c r="AB360" i="6"/>
  <c r="K363" i="6"/>
  <c r="U363" i="6"/>
  <c r="AE363" i="6"/>
  <c r="G364" i="6"/>
  <c r="S364" i="6"/>
  <c r="AC364" i="6"/>
  <c r="Z369" i="6"/>
  <c r="AC369" i="6"/>
  <c r="S369" i="6"/>
  <c r="G369" i="6"/>
  <c r="AB369" i="6"/>
  <c r="P369" i="6"/>
  <c r="F369" i="6"/>
  <c r="AA369" i="6"/>
  <c r="O369" i="6"/>
  <c r="E369" i="6"/>
  <c r="X369" i="6"/>
  <c r="N369" i="6"/>
  <c r="D369" i="6"/>
  <c r="U369" i="6"/>
  <c r="Z375" i="6"/>
  <c r="AE375" i="6"/>
  <c r="U375" i="6"/>
  <c r="K375" i="6"/>
  <c r="AD375" i="6"/>
  <c r="T375" i="6"/>
  <c r="H375" i="6"/>
  <c r="AC375" i="6"/>
  <c r="S375" i="6"/>
  <c r="G375" i="6"/>
  <c r="AB375" i="6"/>
  <c r="P375" i="6"/>
  <c r="F375" i="6"/>
  <c r="V375" i="6"/>
  <c r="G382" i="6"/>
  <c r="AC382" i="6"/>
  <c r="AD395" i="6"/>
  <c r="Z395" i="6"/>
  <c r="L395" i="6"/>
  <c r="Y395" i="6"/>
  <c r="I395" i="6"/>
  <c r="V395" i="6"/>
  <c r="F395" i="6"/>
  <c r="S395" i="6"/>
  <c r="E395" i="6"/>
  <c r="AA395" i="6"/>
  <c r="V396" i="6"/>
  <c r="N398" i="6"/>
  <c r="L347" i="6"/>
  <c r="V347" i="6"/>
  <c r="AF347" i="6"/>
  <c r="K348" i="6"/>
  <c r="U348" i="6"/>
  <c r="AE348" i="6"/>
  <c r="G349" i="6"/>
  <c r="P349" i="6"/>
  <c r="AA349" i="6"/>
  <c r="G351" i="6"/>
  <c r="P351" i="6"/>
  <c r="AA351" i="6"/>
  <c r="J354" i="6"/>
  <c r="S354" i="6"/>
  <c r="AB354" i="6"/>
  <c r="Z356" i="6"/>
  <c r="K359" i="6"/>
  <c r="U359" i="6"/>
  <c r="AE359" i="6"/>
  <c r="Z366" i="6"/>
  <c r="W366" i="6"/>
  <c r="N366" i="6"/>
  <c r="E366" i="6"/>
  <c r="AF366" i="6"/>
  <c r="V366" i="6"/>
  <c r="M366" i="6"/>
  <c r="D366" i="6"/>
  <c r="AE366" i="6"/>
  <c r="U366" i="6"/>
  <c r="L366" i="6"/>
  <c r="AD366" i="6"/>
  <c r="T366" i="6"/>
  <c r="K366" i="6"/>
  <c r="B366" i="6"/>
  <c r="R366" i="6"/>
  <c r="H382" i="6"/>
  <c r="AD382" i="6"/>
  <c r="AB384" i="6"/>
  <c r="J384" i="6"/>
  <c r="Y384" i="6"/>
  <c r="I384" i="6"/>
  <c r="U384" i="6"/>
  <c r="H384" i="6"/>
  <c r="T384" i="6"/>
  <c r="F384" i="6"/>
  <c r="AA385" i="6"/>
  <c r="AF385" i="6"/>
  <c r="T385" i="6"/>
  <c r="F385" i="6"/>
  <c r="AD385" i="6"/>
  <c r="Q385" i="6"/>
  <c r="E385" i="6"/>
  <c r="AC385" i="6"/>
  <c r="P385" i="6"/>
  <c r="D385" i="6"/>
  <c r="Z385" i="6"/>
  <c r="N385" i="6"/>
  <c r="C385" i="6"/>
  <c r="X385" i="6"/>
  <c r="Y388" i="6"/>
  <c r="U388" i="6"/>
  <c r="I388" i="6"/>
  <c r="T388" i="6"/>
  <c r="H388" i="6"/>
  <c r="S388" i="6"/>
  <c r="F388" i="6"/>
  <c r="R388" i="6"/>
  <c r="C388" i="6"/>
  <c r="AC388" i="6"/>
  <c r="AD390" i="6"/>
  <c r="Y390" i="6"/>
  <c r="I390" i="6"/>
  <c r="V390" i="6"/>
  <c r="F390" i="6"/>
  <c r="S390" i="6"/>
  <c r="E390" i="6"/>
  <c r="R390" i="6"/>
  <c r="D390" i="6"/>
  <c r="AA390" i="6"/>
  <c r="B395" i="6"/>
  <c r="AB395" i="6"/>
  <c r="Y396" i="6"/>
  <c r="Q398" i="6"/>
  <c r="U401" i="6"/>
  <c r="Z401" i="6"/>
  <c r="F401" i="6"/>
  <c r="T401" i="6"/>
  <c r="E401" i="6"/>
  <c r="S401" i="6"/>
  <c r="D401" i="6"/>
  <c r="R401" i="6"/>
  <c r="C401" i="6"/>
  <c r="AC401" i="6"/>
  <c r="R405" i="6"/>
  <c r="Q405" i="6"/>
  <c r="M405" i="6"/>
  <c r="L405" i="6"/>
  <c r="J341" i="6"/>
  <c r="T341" i="6"/>
  <c r="AD341" i="6"/>
  <c r="C347" i="6"/>
  <c r="M347" i="6"/>
  <c r="W347" i="6"/>
  <c r="L348" i="6"/>
  <c r="V348" i="6"/>
  <c r="AF348" i="6"/>
  <c r="AB349" i="6"/>
  <c r="AB351" i="6"/>
  <c r="B354" i="6"/>
  <c r="K354" i="6"/>
  <c r="T354" i="6"/>
  <c r="AC354" i="6"/>
  <c r="R356" i="6"/>
  <c r="AA356" i="6"/>
  <c r="B359" i="6"/>
  <c r="L359" i="6"/>
  <c r="V359" i="6"/>
  <c r="AF359" i="6"/>
  <c r="K364" i="6"/>
  <c r="U364" i="6"/>
  <c r="AE364" i="6"/>
  <c r="C366" i="6"/>
  <c r="S366" i="6"/>
  <c r="Z381" i="6"/>
  <c r="AC381" i="6"/>
  <c r="S381" i="6"/>
  <c r="G381" i="6"/>
  <c r="AB381" i="6"/>
  <c r="P381" i="6"/>
  <c r="F381" i="6"/>
  <c r="AA381" i="6"/>
  <c r="O381" i="6"/>
  <c r="E381" i="6"/>
  <c r="X381" i="6"/>
  <c r="N381" i="6"/>
  <c r="D381" i="6"/>
  <c r="V381" i="6"/>
  <c r="K382" i="6"/>
  <c r="AE382" i="6"/>
  <c r="B390" i="6"/>
  <c r="AB390" i="6"/>
  <c r="C395" i="6"/>
  <c r="AC395" i="6"/>
  <c r="B401" i="6"/>
  <c r="D405" i="6"/>
  <c r="S408" i="6"/>
  <c r="L408" i="6"/>
  <c r="K408" i="6"/>
  <c r="E408" i="6"/>
  <c r="B341" i="6"/>
  <c r="K341" i="6"/>
  <c r="U341" i="6"/>
  <c r="AE341" i="6"/>
  <c r="D347" i="6"/>
  <c r="N347" i="6"/>
  <c r="X347" i="6"/>
  <c r="C348" i="6"/>
  <c r="M348" i="6"/>
  <c r="W348" i="6"/>
  <c r="J349" i="6"/>
  <c r="S349" i="6"/>
  <c r="AC349" i="6"/>
  <c r="J351" i="6"/>
  <c r="S351" i="6"/>
  <c r="AC351" i="6"/>
  <c r="AD354" i="6"/>
  <c r="J356" i="6"/>
  <c r="S356" i="6"/>
  <c r="AB356" i="6"/>
  <c r="C359" i="6"/>
  <c r="M359" i="6"/>
  <c r="W359" i="6"/>
  <c r="K360" i="6"/>
  <c r="U360" i="6"/>
  <c r="AE360" i="6"/>
  <c r="N363" i="6"/>
  <c r="X363" i="6"/>
  <c r="B364" i="6"/>
  <c r="L364" i="6"/>
  <c r="V364" i="6"/>
  <c r="AF364" i="6"/>
  <c r="F366" i="6"/>
  <c r="X366" i="6"/>
  <c r="Z368" i="6"/>
  <c r="AE368" i="6"/>
  <c r="U368" i="6"/>
  <c r="K368" i="6"/>
  <c r="AD368" i="6"/>
  <c r="T368" i="6"/>
  <c r="H368" i="6"/>
  <c r="AC368" i="6"/>
  <c r="S368" i="6"/>
  <c r="G368" i="6"/>
  <c r="AB368" i="6"/>
  <c r="P368" i="6"/>
  <c r="F368" i="6"/>
  <c r="V368" i="6"/>
  <c r="AD369" i="6"/>
  <c r="C381" i="6"/>
  <c r="W381" i="6"/>
  <c r="L382" i="6"/>
  <c r="AF382" i="6"/>
  <c r="J388" i="6"/>
  <c r="AD396" i="6"/>
  <c r="S396" i="6"/>
  <c r="E396" i="6"/>
  <c r="R396" i="6"/>
  <c r="D396" i="6"/>
  <c r="AC396" i="6"/>
  <c r="Q396" i="6"/>
  <c r="C396" i="6"/>
  <c r="AB396" i="6"/>
  <c r="N396" i="6"/>
  <c r="B396" i="6"/>
  <c r="AA396" i="6"/>
  <c r="AD398" i="6"/>
  <c r="Y398" i="6"/>
  <c r="I398" i="6"/>
  <c r="V398" i="6"/>
  <c r="F398" i="6"/>
  <c r="S398" i="6"/>
  <c r="E398" i="6"/>
  <c r="R398" i="6"/>
  <c r="D398" i="6"/>
  <c r="AA398" i="6"/>
  <c r="I401" i="6"/>
  <c r="T408" i="6"/>
  <c r="AC367" i="6"/>
  <c r="K372" i="6"/>
  <c r="U372" i="6"/>
  <c r="AE372" i="6"/>
  <c r="H373" i="6"/>
  <c r="T373" i="6"/>
  <c r="AD373" i="6"/>
  <c r="AC374" i="6"/>
  <c r="L383" i="6"/>
  <c r="X383" i="6"/>
  <c r="L389" i="6"/>
  <c r="Y389" i="6"/>
  <c r="M391" i="6"/>
  <c r="AA391" i="6"/>
  <c r="L394" i="6"/>
  <c r="Z394" i="6"/>
  <c r="M399" i="6"/>
  <c r="AA399" i="6"/>
  <c r="V400" i="6"/>
  <c r="M407" i="6"/>
  <c r="Y383" i="6"/>
  <c r="B391" i="6"/>
  <c r="N391" i="6"/>
  <c r="AB391" i="6"/>
  <c r="M394" i="6"/>
  <c r="AA394" i="6"/>
  <c r="L397" i="6"/>
  <c r="Z397" i="6"/>
  <c r="AB399" i="6"/>
  <c r="M403" i="6"/>
  <c r="Q407" i="6"/>
  <c r="AE367" i="6"/>
  <c r="C372" i="6"/>
  <c r="M372" i="6"/>
  <c r="W372" i="6"/>
  <c r="L373" i="6"/>
  <c r="V373" i="6"/>
  <c r="AF373" i="6"/>
  <c r="K374" i="6"/>
  <c r="U374" i="6"/>
  <c r="AE374" i="6"/>
  <c r="D383" i="6"/>
  <c r="N383" i="6"/>
  <c r="Z383" i="6"/>
  <c r="N389" i="6"/>
  <c r="AA389" i="6"/>
  <c r="C391" i="6"/>
  <c r="Q391" i="6"/>
  <c r="AC391" i="6"/>
  <c r="Z392" i="6"/>
  <c r="B394" i="6"/>
  <c r="N394" i="6"/>
  <c r="AB394" i="6"/>
  <c r="M397" i="6"/>
  <c r="AA397" i="6"/>
  <c r="Q399" i="6"/>
  <c r="AC399" i="6"/>
  <c r="Z400" i="6"/>
  <c r="Q403" i="6"/>
  <c r="L367" i="6"/>
  <c r="V367" i="6"/>
  <c r="AF367" i="6"/>
  <c r="J371" i="6"/>
  <c r="S371" i="6"/>
  <c r="AB371" i="6"/>
  <c r="D372" i="6"/>
  <c r="N372" i="6"/>
  <c r="X372" i="6"/>
  <c r="C373" i="6"/>
  <c r="M373" i="6"/>
  <c r="W373" i="6"/>
  <c r="L374" i="6"/>
  <c r="V374" i="6"/>
  <c r="AF374" i="6"/>
  <c r="E383" i="6"/>
  <c r="P383" i="6"/>
  <c r="D389" i="6"/>
  <c r="Q389" i="6"/>
  <c r="AB389" i="6"/>
  <c r="D391" i="6"/>
  <c r="R391" i="6"/>
  <c r="M392" i="6"/>
  <c r="AA392" i="6"/>
  <c r="C394" i="6"/>
  <c r="Q394" i="6"/>
  <c r="AC394" i="6"/>
  <c r="D399" i="6"/>
  <c r="R399" i="6"/>
  <c r="M400" i="6"/>
  <c r="AA400" i="6"/>
  <c r="AD21" i="6"/>
  <c r="V21" i="6"/>
  <c r="N21" i="6"/>
  <c r="F21" i="6"/>
  <c r="AB21" i="6"/>
  <c r="AD23" i="6"/>
  <c r="V23" i="6"/>
  <c r="N23" i="6"/>
  <c r="F23" i="6"/>
  <c r="S23" i="6"/>
  <c r="S25" i="6"/>
  <c r="J27" i="6"/>
  <c r="J29" i="6"/>
  <c r="S29" i="6"/>
  <c r="J31" i="6"/>
  <c r="AB33" i="6"/>
  <c r="AB35" i="6"/>
  <c r="AD41" i="6"/>
  <c r="V41" i="6"/>
  <c r="N41" i="6"/>
  <c r="F41" i="6"/>
  <c r="AB41" i="6"/>
  <c r="AD43" i="6"/>
  <c r="V43" i="6"/>
  <c r="N43" i="6"/>
  <c r="F43" i="6"/>
  <c r="J43" i="6"/>
  <c r="S43" i="6"/>
  <c r="J47" i="6"/>
  <c r="B21" i="6"/>
  <c r="K21" i="6"/>
  <c r="T21" i="6"/>
  <c r="AC21" i="6"/>
  <c r="B23" i="6"/>
  <c r="K23" i="6"/>
  <c r="T23" i="6"/>
  <c r="AC23" i="6"/>
  <c r="B25" i="6"/>
  <c r="K25" i="6"/>
  <c r="T25" i="6"/>
  <c r="AC25" i="6"/>
  <c r="B27" i="6"/>
  <c r="K27" i="6"/>
  <c r="T27" i="6"/>
  <c r="AC27" i="6"/>
  <c r="B29" i="6"/>
  <c r="K29" i="6"/>
  <c r="T29" i="6"/>
  <c r="AC29" i="6"/>
  <c r="B31" i="6"/>
  <c r="K31" i="6"/>
  <c r="T31" i="6"/>
  <c r="AC31" i="6"/>
  <c r="B33" i="6"/>
  <c r="K33" i="6"/>
  <c r="T33" i="6"/>
  <c r="AC33" i="6"/>
  <c r="B35" i="6"/>
  <c r="K35" i="6"/>
  <c r="T35" i="6"/>
  <c r="B41" i="6"/>
  <c r="K41" i="6"/>
  <c r="T41" i="6"/>
  <c r="AC41" i="6"/>
  <c r="B43" i="6"/>
  <c r="K43" i="6"/>
  <c r="T43" i="6"/>
  <c r="AC43" i="6"/>
  <c r="B45" i="6"/>
  <c r="K45" i="6"/>
  <c r="T45" i="6"/>
  <c r="B47" i="6"/>
  <c r="K47" i="6"/>
  <c r="T47" i="6"/>
  <c r="J25" i="6"/>
  <c r="AB27" i="6"/>
  <c r="S33" i="6"/>
  <c r="AD35" i="6"/>
  <c r="V35" i="6"/>
  <c r="N35" i="6"/>
  <c r="F35" i="6"/>
  <c r="AB43" i="6"/>
  <c r="AD45" i="6"/>
  <c r="V45" i="6"/>
  <c r="N45" i="6"/>
  <c r="F45" i="6"/>
  <c r="AB45" i="6"/>
  <c r="AD47" i="6"/>
  <c r="V47" i="6"/>
  <c r="N47" i="6"/>
  <c r="F47" i="6"/>
  <c r="I7" i="6"/>
  <c r="Q7" i="6"/>
  <c r="Y7" i="6"/>
  <c r="I8" i="6"/>
  <c r="Q8" i="6"/>
  <c r="Y8" i="6"/>
  <c r="I9" i="6"/>
  <c r="Q9" i="6"/>
  <c r="Y9" i="6"/>
  <c r="I10" i="6"/>
  <c r="Q10" i="6"/>
  <c r="Y10" i="6"/>
  <c r="I11" i="6"/>
  <c r="Q11" i="6"/>
  <c r="Y11" i="6"/>
  <c r="I12" i="6"/>
  <c r="Q12" i="6"/>
  <c r="Y12" i="6"/>
  <c r="I13" i="6"/>
  <c r="Q13" i="6"/>
  <c r="Y13" i="6"/>
  <c r="I14" i="6"/>
  <c r="Q14" i="6"/>
  <c r="Y14" i="6"/>
  <c r="I15" i="6"/>
  <c r="Q15" i="6"/>
  <c r="Y15" i="6"/>
  <c r="I16" i="6"/>
  <c r="Q16" i="6"/>
  <c r="Y16" i="6"/>
  <c r="I17" i="6"/>
  <c r="Q17" i="6"/>
  <c r="Y17" i="6"/>
  <c r="I18" i="6"/>
  <c r="Q18" i="6"/>
  <c r="Y18" i="6"/>
  <c r="I19" i="6"/>
  <c r="Q19" i="6"/>
  <c r="Y19" i="6"/>
  <c r="AD20" i="6"/>
  <c r="V20" i="6"/>
  <c r="I20" i="6"/>
  <c r="Q20" i="6"/>
  <c r="Z20" i="6"/>
  <c r="C21" i="6"/>
  <c r="L21" i="6"/>
  <c r="U21" i="6"/>
  <c r="AE21" i="6"/>
  <c r="C23" i="6"/>
  <c r="L23" i="6"/>
  <c r="U23" i="6"/>
  <c r="AE23" i="6"/>
  <c r="C25" i="6"/>
  <c r="L25" i="6"/>
  <c r="U25" i="6"/>
  <c r="C27" i="6"/>
  <c r="L27" i="6"/>
  <c r="U27" i="6"/>
  <c r="C29" i="6"/>
  <c r="L29" i="6"/>
  <c r="U29" i="6"/>
  <c r="AE29" i="6"/>
  <c r="C31" i="6"/>
  <c r="L31" i="6"/>
  <c r="U31" i="6"/>
  <c r="C33" i="6"/>
  <c r="L33" i="6"/>
  <c r="U33" i="6"/>
  <c r="C35" i="6"/>
  <c r="L35" i="6"/>
  <c r="U35" i="6"/>
  <c r="AE35" i="6"/>
  <c r="C41" i="6"/>
  <c r="L41" i="6"/>
  <c r="U41" i="6"/>
  <c r="AE41" i="6"/>
  <c r="C43" i="6"/>
  <c r="L43" i="6"/>
  <c r="U43" i="6"/>
  <c r="AE43" i="6"/>
  <c r="C45" i="6"/>
  <c r="L45" i="6"/>
  <c r="U45" i="6"/>
  <c r="AE45" i="6"/>
  <c r="C47" i="6"/>
  <c r="L47" i="6"/>
  <c r="U47" i="6"/>
  <c r="AE47" i="6"/>
  <c r="J21" i="6"/>
  <c r="AB23" i="6"/>
  <c r="AD25" i="6"/>
  <c r="V25" i="6"/>
  <c r="N25" i="6"/>
  <c r="F25" i="6"/>
  <c r="AB25" i="6"/>
  <c r="AD27" i="6"/>
  <c r="V27" i="6"/>
  <c r="N27" i="6"/>
  <c r="F27" i="6"/>
  <c r="AB29" i="6"/>
  <c r="AD31" i="6"/>
  <c r="V31" i="6"/>
  <c r="N31" i="6"/>
  <c r="F31" i="6"/>
  <c r="AB31" i="6"/>
  <c r="AD33" i="6"/>
  <c r="V33" i="6"/>
  <c r="N33" i="6"/>
  <c r="F33" i="6"/>
  <c r="J35" i="6"/>
  <c r="S41" i="6"/>
  <c r="S45" i="6"/>
  <c r="AB47" i="6"/>
  <c r="D21" i="6"/>
  <c r="M21" i="6"/>
  <c r="W21" i="6"/>
  <c r="AF21" i="6"/>
  <c r="D23" i="6"/>
  <c r="M23" i="6"/>
  <c r="W23" i="6"/>
  <c r="AF23" i="6"/>
  <c r="D25" i="6"/>
  <c r="M25" i="6"/>
  <c r="W25" i="6"/>
  <c r="AF25" i="6"/>
  <c r="D27" i="6"/>
  <c r="M27" i="6"/>
  <c r="W27" i="6"/>
  <c r="AF27" i="6"/>
  <c r="D29" i="6"/>
  <c r="M29" i="6"/>
  <c r="W29" i="6"/>
  <c r="D31" i="6"/>
  <c r="M31" i="6"/>
  <c r="W31" i="6"/>
  <c r="AF31" i="6"/>
  <c r="D33" i="6"/>
  <c r="M33" i="6"/>
  <c r="W33" i="6"/>
  <c r="AF33" i="6"/>
  <c r="D35" i="6"/>
  <c r="M35" i="6"/>
  <c r="W35" i="6"/>
  <c r="AF35" i="6"/>
  <c r="D41" i="6"/>
  <c r="M41" i="6"/>
  <c r="W41" i="6"/>
  <c r="AF41" i="6"/>
  <c r="D43" i="6"/>
  <c r="M43" i="6"/>
  <c r="W43" i="6"/>
  <c r="AF43" i="6"/>
  <c r="D45" i="6"/>
  <c r="M45" i="6"/>
  <c r="W45" i="6"/>
  <c r="AF45" i="6"/>
  <c r="D47" i="6"/>
  <c r="M47" i="6"/>
  <c r="W47" i="6"/>
  <c r="AF47" i="6"/>
  <c r="AE53" i="6"/>
  <c r="W53" i="6"/>
  <c r="O53" i="6"/>
  <c r="G53" i="6"/>
  <c r="AD53" i="6"/>
  <c r="V53" i="6"/>
  <c r="N53" i="6"/>
  <c r="F53" i="6"/>
  <c r="AB53" i="6"/>
  <c r="T53" i="6"/>
  <c r="L53" i="6"/>
  <c r="D53" i="6"/>
  <c r="M53" i="6"/>
  <c r="Z53" i="6"/>
  <c r="AE55" i="6"/>
  <c r="W55" i="6"/>
  <c r="O55" i="6"/>
  <c r="G55" i="6"/>
  <c r="AD55" i="6"/>
  <c r="V55" i="6"/>
  <c r="N55" i="6"/>
  <c r="F55" i="6"/>
  <c r="AB55" i="6"/>
  <c r="T55" i="6"/>
  <c r="L55" i="6"/>
  <c r="D55" i="6"/>
  <c r="M55" i="6"/>
  <c r="Z55" i="6"/>
  <c r="AE57" i="6"/>
  <c r="W57" i="6"/>
  <c r="O57" i="6"/>
  <c r="G57" i="6"/>
  <c r="AD57" i="6"/>
  <c r="V57" i="6"/>
  <c r="N57" i="6"/>
  <c r="F57" i="6"/>
  <c r="AB57" i="6"/>
  <c r="T57" i="6"/>
  <c r="L57" i="6"/>
  <c r="D57" i="6"/>
  <c r="M57" i="6"/>
  <c r="Z57" i="6"/>
  <c r="S21" i="6"/>
  <c r="J23" i="6"/>
  <c r="S27" i="6"/>
  <c r="AD29" i="6"/>
  <c r="V29" i="6"/>
  <c r="N29" i="6"/>
  <c r="F29" i="6"/>
  <c r="S31" i="6"/>
  <c r="J33" i="6"/>
  <c r="S35" i="6"/>
  <c r="J41" i="6"/>
  <c r="J45" i="6"/>
  <c r="S47" i="6"/>
  <c r="AA8" i="6"/>
  <c r="AA9" i="6"/>
  <c r="S10" i="6"/>
  <c r="AA10" i="6"/>
  <c r="AA11" i="6"/>
  <c r="AA12" i="6"/>
  <c r="AA14" i="6"/>
  <c r="K15" i="6"/>
  <c r="S15" i="6"/>
  <c r="AA15" i="6"/>
  <c r="C16" i="6"/>
  <c r="K16" i="6"/>
  <c r="S16" i="6"/>
  <c r="AA16" i="6"/>
  <c r="C17" i="6"/>
  <c r="K17" i="6"/>
  <c r="S17" i="6"/>
  <c r="AA17" i="6"/>
  <c r="C18" i="6"/>
  <c r="K18" i="6"/>
  <c r="S18" i="6"/>
  <c r="AA18" i="6"/>
  <c r="C19" i="6"/>
  <c r="K19" i="6"/>
  <c r="S19" i="6"/>
  <c r="AA19" i="6"/>
  <c r="C20" i="6"/>
  <c r="K20" i="6"/>
  <c r="S20" i="6"/>
  <c r="AB20" i="6"/>
  <c r="E21" i="6"/>
  <c r="O21" i="6"/>
  <c r="X21" i="6"/>
  <c r="AD22" i="6"/>
  <c r="V22" i="6"/>
  <c r="N22" i="6"/>
  <c r="F22" i="6"/>
  <c r="J22" i="6"/>
  <c r="S22" i="6"/>
  <c r="AB22" i="6"/>
  <c r="E23" i="6"/>
  <c r="O23" i="6"/>
  <c r="X23" i="6"/>
  <c r="AD24" i="6"/>
  <c r="V24" i="6"/>
  <c r="N24" i="6"/>
  <c r="F24" i="6"/>
  <c r="J24" i="6"/>
  <c r="S24" i="6"/>
  <c r="AB24" i="6"/>
  <c r="E25" i="6"/>
  <c r="O25" i="6"/>
  <c r="X25" i="6"/>
  <c r="AD26" i="6"/>
  <c r="V26" i="6"/>
  <c r="N26" i="6"/>
  <c r="F26" i="6"/>
  <c r="J26" i="6"/>
  <c r="S26" i="6"/>
  <c r="AB26" i="6"/>
  <c r="E27" i="6"/>
  <c r="O27" i="6"/>
  <c r="X27" i="6"/>
  <c r="AD28" i="6"/>
  <c r="V28" i="6"/>
  <c r="N28" i="6"/>
  <c r="F28" i="6"/>
  <c r="J28" i="6"/>
  <c r="S28" i="6"/>
  <c r="AB28" i="6"/>
  <c r="E29" i="6"/>
  <c r="O29" i="6"/>
  <c r="X29" i="6"/>
  <c r="AD30" i="6"/>
  <c r="V30" i="6"/>
  <c r="N30" i="6"/>
  <c r="F30" i="6"/>
  <c r="J30" i="6"/>
  <c r="S30" i="6"/>
  <c r="AB30" i="6"/>
  <c r="E31" i="6"/>
  <c r="O31" i="6"/>
  <c r="X31" i="6"/>
  <c r="AD32" i="6"/>
  <c r="V32" i="6"/>
  <c r="N32" i="6"/>
  <c r="F32" i="6"/>
  <c r="J32" i="6"/>
  <c r="S32" i="6"/>
  <c r="AB32" i="6"/>
  <c r="E33" i="6"/>
  <c r="O33" i="6"/>
  <c r="X33" i="6"/>
  <c r="AD34" i="6"/>
  <c r="V34" i="6"/>
  <c r="N34" i="6"/>
  <c r="F34" i="6"/>
  <c r="J34" i="6"/>
  <c r="S34" i="6"/>
  <c r="AB34" i="6"/>
  <c r="E35" i="6"/>
  <c r="O35" i="6"/>
  <c r="X35" i="6"/>
  <c r="AD36" i="6"/>
  <c r="V36" i="6"/>
  <c r="N36" i="6"/>
  <c r="F36" i="6"/>
  <c r="J36" i="6"/>
  <c r="S36" i="6"/>
  <c r="AB36" i="6"/>
  <c r="E41" i="6"/>
  <c r="O41" i="6"/>
  <c r="X41" i="6"/>
  <c r="AD42" i="6"/>
  <c r="V42" i="6"/>
  <c r="N42" i="6"/>
  <c r="F42" i="6"/>
  <c r="J42" i="6"/>
  <c r="S42" i="6"/>
  <c r="AB42" i="6"/>
  <c r="E43" i="6"/>
  <c r="O43" i="6"/>
  <c r="X43" i="6"/>
  <c r="AD44" i="6"/>
  <c r="V44" i="6"/>
  <c r="N44" i="6"/>
  <c r="F44" i="6"/>
  <c r="J44" i="6"/>
  <c r="S44" i="6"/>
  <c r="AB44" i="6"/>
  <c r="E45" i="6"/>
  <c r="O45" i="6"/>
  <c r="X45" i="6"/>
  <c r="AD46" i="6"/>
  <c r="V46" i="6"/>
  <c r="N46" i="6"/>
  <c r="F46" i="6"/>
  <c r="J46" i="6"/>
  <c r="S46" i="6"/>
  <c r="AB46" i="6"/>
  <c r="E47" i="6"/>
  <c r="O47" i="6"/>
  <c r="X47" i="6"/>
  <c r="AE48" i="6"/>
  <c r="W48" i="6"/>
  <c r="AD48" i="6"/>
  <c r="V48" i="6"/>
  <c r="N48" i="6"/>
  <c r="F48" i="6"/>
  <c r="J48" i="6"/>
  <c r="S48" i="6"/>
  <c r="AC48" i="6"/>
  <c r="B53" i="6"/>
  <c r="AA53" i="6"/>
  <c r="P55" i="6"/>
  <c r="AA55" i="6"/>
  <c r="B57" i="6"/>
  <c r="P57" i="6"/>
  <c r="AA57" i="6"/>
  <c r="D6" i="5"/>
  <c r="D7" i="5"/>
  <c r="D9" i="5"/>
  <c r="D11" i="5"/>
  <c r="D13" i="5"/>
  <c r="D16" i="5"/>
  <c r="D18" i="5"/>
  <c r="D19" i="5"/>
  <c r="D20" i="5"/>
  <c r="D22" i="5"/>
  <c r="D24" i="5"/>
  <c r="D35" i="5"/>
  <c r="D8" i="6"/>
  <c r="T8" i="6"/>
  <c r="D9" i="6"/>
  <c r="L9" i="6"/>
  <c r="D10" i="6"/>
  <c r="D11" i="6"/>
  <c r="AB11" i="6"/>
  <c r="L12" i="6"/>
  <c r="T12" i="6"/>
  <c r="D13" i="6"/>
  <c r="L14" i="6"/>
  <c r="AB14" i="6"/>
  <c r="L15" i="6"/>
  <c r="T15" i="6"/>
  <c r="AB15" i="6"/>
  <c r="L16" i="6"/>
  <c r="T16" i="6"/>
  <c r="D17" i="6"/>
  <c r="T17" i="6"/>
  <c r="D18" i="6"/>
  <c r="T18" i="6"/>
  <c r="AB18" i="6"/>
  <c r="AB19" i="6"/>
  <c r="K22" i="6"/>
  <c r="T22" i="6"/>
  <c r="G23" i="6"/>
  <c r="Y23" i="6"/>
  <c r="B24" i="6"/>
  <c r="K24" i="6"/>
  <c r="T24" i="6"/>
  <c r="AC24" i="6"/>
  <c r="P25" i="6"/>
  <c r="Y25" i="6"/>
  <c r="B26" i="6"/>
  <c r="G27" i="6"/>
  <c r="P27" i="6"/>
  <c r="B28" i="6"/>
  <c r="T28" i="6"/>
  <c r="P29" i="6"/>
  <c r="B30" i="6"/>
  <c r="T30" i="6"/>
  <c r="AC30" i="6"/>
  <c r="K32" i="6"/>
  <c r="T32" i="6"/>
  <c r="AC32" i="6"/>
  <c r="G33" i="6"/>
  <c r="P33" i="6"/>
  <c r="Y33" i="6"/>
  <c r="B34" i="6"/>
  <c r="K34" i="6"/>
  <c r="T34" i="6"/>
  <c r="AC34" i="6"/>
  <c r="G35" i="6"/>
  <c r="P35" i="6"/>
  <c r="Y35" i="6"/>
  <c r="B36" i="6"/>
  <c r="K36" i="6"/>
  <c r="T36" i="6"/>
  <c r="AC36" i="6"/>
  <c r="P41" i="6"/>
  <c r="Y41" i="6"/>
  <c r="B42" i="6"/>
  <c r="T42" i="6"/>
  <c r="AC42" i="6"/>
  <c r="Y43" i="6"/>
  <c r="AC44" i="6"/>
  <c r="G45" i="6"/>
  <c r="P45" i="6"/>
  <c r="Y45" i="6"/>
  <c r="B46" i="6"/>
  <c r="K46" i="6"/>
  <c r="AC46" i="6"/>
  <c r="G47" i="6"/>
  <c r="P47" i="6"/>
  <c r="Y47" i="6"/>
  <c r="B48" i="6"/>
  <c r="K48" i="6"/>
  <c r="T48" i="6"/>
  <c r="AC53" i="6"/>
  <c r="C55" i="6"/>
  <c r="Q55" i="6"/>
  <c r="AC55" i="6"/>
  <c r="C57" i="6"/>
  <c r="Q57" i="6"/>
  <c r="AC57" i="6"/>
  <c r="P53" i="6"/>
  <c r="B55" i="6"/>
  <c r="AE151" i="6"/>
  <c r="W151" i="6"/>
  <c r="O151" i="6"/>
  <c r="G151" i="6"/>
  <c r="Z151" i="6"/>
  <c r="Q151" i="6"/>
  <c r="H151" i="6"/>
  <c r="Y151" i="6"/>
  <c r="P151" i="6"/>
  <c r="F151" i="6"/>
  <c r="X151" i="6"/>
  <c r="N151" i="6"/>
  <c r="E151" i="6"/>
  <c r="AF151" i="6"/>
  <c r="V151" i="6"/>
  <c r="M151" i="6"/>
  <c r="D151" i="6"/>
  <c r="AA151" i="6"/>
  <c r="I151" i="6"/>
  <c r="T151" i="6"/>
  <c r="B151" i="6"/>
  <c r="U151" i="6"/>
  <c r="S151" i="6"/>
  <c r="R151" i="6"/>
  <c r="L151" i="6"/>
  <c r="K151" i="6"/>
  <c r="AD151" i="6"/>
  <c r="J151" i="6"/>
  <c r="AC151" i="6"/>
  <c r="C151" i="6"/>
  <c r="D10" i="5"/>
  <c r="D12" i="5"/>
  <c r="D15" i="5"/>
  <c r="D17" i="5"/>
  <c r="D21" i="5"/>
  <c r="D23" i="5"/>
  <c r="D26" i="5"/>
  <c r="D28" i="5"/>
  <c r="D30" i="5"/>
  <c r="D32" i="5"/>
  <c r="D7" i="6"/>
  <c r="T7" i="6"/>
  <c r="AB8" i="6"/>
  <c r="AB9" i="6"/>
  <c r="L10" i="6"/>
  <c r="AB10" i="6"/>
  <c r="T11" i="6"/>
  <c r="AB12" i="6"/>
  <c r="L13" i="6"/>
  <c r="AB13" i="6"/>
  <c r="D14" i="6"/>
  <c r="AB16" i="6"/>
  <c r="L17" i="6"/>
  <c r="AB17" i="6"/>
  <c r="L18" i="6"/>
  <c r="D19" i="6"/>
  <c r="T19" i="6"/>
  <c r="D20" i="6"/>
  <c r="L20" i="6"/>
  <c r="T20" i="6"/>
  <c r="AC20" i="6"/>
  <c r="P21" i="6"/>
  <c r="B22" i="6"/>
  <c r="AC22" i="6"/>
  <c r="P23" i="6"/>
  <c r="G25" i="6"/>
  <c r="T26" i="6"/>
  <c r="AC26" i="6"/>
  <c r="K28" i="6"/>
  <c r="AC28" i="6"/>
  <c r="Y29" i="6"/>
  <c r="K30" i="6"/>
  <c r="G31" i="6"/>
  <c r="P31" i="6"/>
  <c r="Y31" i="6"/>
  <c r="B32" i="6"/>
  <c r="G41" i="6"/>
  <c r="K42" i="6"/>
  <c r="G43" i="6"/>
  <c r="P43" i="6"/>
  <c r="B44" i="6"/>
  <c r="K44" i="6"/>
  <c r="T44" i="6"/>
  <c r="T46" i="6"/>
  <c r="AF48" i="6"/>
  <c r="C53" i="6"/>
  <c r="Q53" i="6"/>
  <c r="E6" i="5"/>
  <c r="E7" i="5"/>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7" i="6"/>
  <c r="M7" i="6"/>
  <c r="U7" i="6"/>
  <c r="AC7" i="6"/>
  <c r="E8" i="6"/>
  <c r="M8" i="6"/>
  <c r="U8" i="6"/>
  <c r="AC8" i="6"/>
  <c r="E9" i="6"/>
  <c r="M9" i="6"/>
  <c r="U9" i="6"/>
  <c r="AC9" i="6"/>
  <c r="E10" i="6"/>
  <c r="M10" i="6"/>
  <c r="U10" i="6"/>
  <c r="AC10" i="6"/>
  <c r="E11" i="6"/>
  <c r="M11" i="6"/>
  <c r="U11" i="6"/>
  <c r="AC11" i="6"/>
  <c r="E12" i="6"/>
  <c r="M12" i="6"/>
  <c r="U12" i="6"/>
  <c r="AC12" i="6"/>
  <c r="E13" i="6"/>
  <c r="M13" i="6"/>
  <c r="U13" i="6"/>
  <c r="AC13" i="6"/>
  <c r="E14" i="6"/>
  <c r="M14" i="6"/>
  <c r="U14" i="6"/>
  <c r="AC14" i="6"/>
  <c r="E15" i="6"/>
  <c r="M15" i="6"/>
  <c r="U15" i="6"/>
  <c r="AC15" i="6"/>
  <c r="E16" i="6"/>
  <c r="M16" i="6"/>
  <c r="U16" i="6"/>
  <c r="AC16" i="6"/>
  <c r="E17" i="6"/>
  <c r="M17" i="6"/>
  <c r="U17" i="6"/>
  <c r="AC17" i="6"/>
  <c r="E18" i="6"/>
  <c r="M18" i="6"/>
  <c r="U18" i="6"/>
  <c r="AC18" i="6"/>
  <c r="E19" i="6"/>
  <c r="M19" i="6"/>
  <c r="U19" i="6"/>
  <c r="AC19" i="6"/>
  <c r="E20" i="6"/>
  <c r="M20" i="6"/>
  <c r="U20" i="6"/>
  <c r="AE20" i="6"/>
  <c r="H21" i="6"/>
  <c r="Q21" i="6"/>
  <c r="Z21" i="6"/>
  <c r="C22" i="6"/>
  <c r="L22" i="6"/>
  <c r="U22" i="6"/>
  <c r="AE22" i="6"/>
  <c r="H23" i="6"/>
  <c r="Q23" i="6"/>
  <c r="Z23" i="6"/>
  <c r="C24" i="6"/>
  <c r="L24" i="6"/>
  <c r="U24" i="6"/>
  <c r="AE24" i="6"/>
  <c r="H25" i="6"/>
  <c r="Q25" i="6"/>
  <c r="Z25" i="6"/>
  <c r="C26" i="6"/>
  <c r="L26" i="6"/>
  <c r="U26" i="6"/>
  <c r="AE26" i="6"/>
  <c r="H27" i="6"/>
  <c r="Q27" i="6"/>
  <c r="Z27" i="6"/>
  <c r="C28" i="6"/>
  <c r="L28" i="6"/>
  <c r="U28" i="6"/>
  <c r="AE28" i="6"/>
  <c r="H29" i="6"/>
  <c r="Q29" i="6"/>
  <c r="Z29" i="6"/>
  <c r="C30" i="6"/>
  <c r="L30" i="6"/>
  <c r="U30" i="6"/>
  <c r="AE30" i="6"/>
  <c r="H31" i="6"/>
  <c r="Q31" i="6"/>
  <c r="Z31" i="6"/>
  <c r="C32" i="6"/>
  <c r="L32" i="6"/>
  <c r="U32" i="6"/>
  <c r="AE32" i="6"/>
  <c r="H33" i="6"/>
  <c r="Q33" i="6"/>
  <c r="Z33" i="6"/>
  <c r="C34" i="6"/>
  <c r="L34" i="6"/>
  <c r="U34" i="6"/>
  <c r="AE34" i="6"/>
  <c r="H35" i="6"/>
  <c r="Q35" i="6"/>
  <c r="Z35" i="6"/>
  <c r="C36" i="6"/>
  <c r="L36" i="6"/>
  <c r="U36" i="6"/>
  <c r="AE36" i="6"/>
  <c r="H41" i="6"/>
  <c r="Q41" i="6"/>
  <c r="Z41" i="6"/>
  <c r="C42" i="6"/>
  <c r="L42" i="6"/>
  <c r="U42" i="6"/>
  <c r="AE42" i="6"/>
  <c r="H43" i="6"/>
  <c r="Q43" i="6"/>
  <c r="Z43" i="6"/>
  <c r="C44" i="6"/>
  <c r="L44" i="6"/>
  <c r="U44" i="6"/>
  <c r="AE44" i="6"/>
  <c r="H45" i="6"/>
  <c r="Q45" i="6"/>
  <c r="Z45" i="6"/>
  <c r="C46" i="6"/>
  <c r="L46" i="6"/>
  <c r="U46" i="6"/>
  <c r="AE46" i="6"/>
  <c r="H47" i="6"/>
  <c r="Q47" i="6"/>
  <c r="Z47" i="6"/>
  <c r="C48" i="6"/>
  <c r="L48" i="6"/>
  <c r="U48" i="6"/>
  <c r="AE49" i="6"/>
  <c r="W49" i="6"/>
  <c r="O49" i="6"/>
  <c r="G49" i="6"/>
  <c r="AD49" i="6"/>
  <c r="V49" i="6"/>
  <c r="N49" i="6"/>
  <c r="F49" i="6"/>
  <c r="K49" i="6"/>
  <c r="U49" i="6"/>
  <c r="AE50" i="6"/>
  <c r="W50" i="6"/>
  <c r="O50" i="6"/>
  <c r="G50" i="6"/>
  <c r="AD50" i="6"/>
  <c r="V50" i="6"/>
  <c r="N50" i="6"/>
  <c r="F50" i="6"/>
  <c r="K50" i="6"/>
  <c r="U50" i="6"/>
  <c r="AE51" i="6"/>
  <c r="W51" i="6"/>
  <c r="O51" i="6"/>
  <c r="G51" i="6"/>
  <c r="AD51" i="6"/>
  <c r="V51" i="6"/>
  <c r="N51" i="6"/>
  <c r="F51" i="6"/>
  <c r="K51" i="6"/>
  <c r="U51" i="6"/>
  <c r="AE52" i="6"/>
  <c r="W52" i="6"/>
  <c r="O52" i="6"/>
  <c r="G52" i="6"/>
  <c r="AD52" i="6"/>
  <c r="V52" i="6"/>
  <c r="N52" i="6"/>
  <c r="F52" i="6"/>
  <c r="AB52" i="6"/>
  <c r="T52" i="6"/>
  <c r="L52" i="6"/>
  <c r="K52" i="6"/>
  <c r="Y52" i="6"/>
  <c r="E53" i="6"/>
  <c r="R53" i="6"/>
  <c r="AF53" i="6"/>
  <c r="K54" i="6"/>
  <c r="E55" i="6"/>
  <c r="R55" i="6"/>
  <c r="AF55" i="6"/>
  <c r="K56" i="6"/>
  <c r="E57" i="6"/>
  <c r="R57" i="6"/>
  <c r="AF57" i="6"/>
  <c r="M58" i="6"/>
  <c r="AB69" i="6"/>
  <c r="T69" i="6"/>
  <c r="L69" i="6"/>
  <c r="D69" i="6"/>
  <c r="AA69" i="6"/>
  <c r="R69" i="6"/>
  <c r="I69" i="6"/>
  <c r="Y69" i="6"/>
  <c r="P69" i="6"/>
  <c r="G69" i="6"/>
  <c r="X69" i="6"/>
  <c r="O69" i="6"/>
  <c r="F69" i="6"/>
  <c r="AF69" i="6"/>
  <c r="W69" i="6"/>
  <c r="N69" i="6"/>
  <c r="E69" i="6"/>
  <c r="AE69" i="6"/>
  <c r="V69" i="6"/>
  <c r="M69" i="6"/>
  <c r="C69" i="6"/>
  <c r="Z69" i="6"/>
  <c r="AB75" i="6"/>
  <c r="T75" i="6"/>
  <c r="L75" i="6"/>
  <c r="D75" i="6"/>
  <c r="AA75" i="6"/>
  <c r="R75" i="6"/>
  <c r="I75" i="6"/>
  <c r="Y75" i="6"/>
  <c r="P75" i="6"/>
  <c r="G75" i="6"/>
  <c r="X75" i="6"/>
  <c r="O75" i="6"/>
  <c r="F75" i="6"/>
  <c r="AF75" i="6"/>
  <c r="W75" i="6"/>
  <c r="N75" i="6"/>
  <c r="E75" i="6"/>
  <c r="AE75" i="6"/>
  <c r="V75" i="6"/>
  <c r="M75" i="6"/>
  <c r="C75" i="6"/>
  <c r="Z75" i="6"/>
  <c r="AB77" i="6"/>
  <c r="T77" i="6"/>
  <c r="L77" i="6"/>
  <c r="D77" i="6"/>
  <c r="AA77" i="6"/>
  <c r="R77" i="6"/>
  <c r="I77" i="6"/>
  <c r="Y77" i="6"/>
  <c r="P77" i="6"/>
  <c r="G77" i="6"/>
  <c r="X77" i="6"/>
  <c r="O77" i="6"/>
  <c r="F77" i="6"/>
  <c r="AF77" i="6"/>
  <c r="W77" i="6"/>
  <c r="N77" i="6"/>
  <c r="E77" i="6"/>
  <c r="AE77" i="6"/>
  <c r="V77" i="6"/>
  <c r="M77" i="6"/>
  <c r="C77" i="6"/>
  <c r="Z77" i="6"/>
  <c r="AB79" i="6"/>
  <c r="T79" i="6"/>
  <c r="L79" i="6"/>
  <c r="D79" i="6"/>
  <c r="AA79" i="6"/>
  <c r="R79" i="6"/>
  <c r="I79" i="6"/>
  <c r="Y79" i="6"/>
  <c r="P79" i="6"/>
  <c r="G79" i="6"/>
  <c r="X79" i="6"/>
  <c r="O79" i="6"/>
  <c r="F79" i="6"/>
  <c r="AF79" i="6"/>
  <c r="W79" i="6"/>
  <c r="N79" i="6"/>
  <c r="E79" i="6"/>
  <c r="AE79" i="6"/>
  <c r="V79" i="6"/>
  <c r="M79" i="6"/>
  <c r="C79" i="6"/>
  <c r="Z79" i="6"/>
  <c r="AB81" i="6"/>
  <c r="T81" i="6"/>
  <c r="L81" i="6"/>
  <c r="D81" i="6"/>
  <c r="AA81" i="6"/>
  <c r="R81" i="6"/>
  <c r="I81" i="6"/>
  <c r="Y81" i="6"/>
  <c r="P81" i="6"/>
  <c r="G81" i="6"/>
  <c r="X81" i="6"/>
  <c r="O81" i="6"/>
  <c r="F81" i="6"/>
  <c r="AF81" i="6"/>
  <c r="W81" i="6"/>
  <c r="N81" i="6"/>
  <c r="E81" i="6"/>
  <c r="AE81" i="6"/>
  <c r="V81" i="6"/>
  <c r="M81" i="6"/>
  <c r="C81" i="6"/>
  <c r="Z81" i="6"/>
  <c r="AB83" i="6"/>
  <c r="T83" i="6"/>
  <c r="L83" i="6"/>
  <c r="D83" i="6"/>
  <c r="AA83" i="6"/>
  <c r="R83" i="6"/>
  <c r="I83" i="6"/>
  <c r="Y83" i="6"/>
  <c r="P83" i="6"/>
  <c r="G83" i="6"/>
  <c r="X83" i="6"/>
  <c r="O83" i="6"/>
  <c r="F83" i="6"/>
  <c r="AF83" i="6"/>
  <c r="W83" i="6"/>
  <c r="N83" i="6"/>
  <c r="E83" i="6"/>
  <c r="AE83" i="6"/>
  <c r="V83" i="6"/>
  <c r="M83" i="6"/>
  <c r="C83" i="6"/>
  <c r="Z83" i="6"/>
  <c r="AB85" i="6"/>
  <c r="T85" i="6"/>
  <c r="L85" i="6"/>
  <c r="D85" i="6"/>
  <c r="AA85" i="6"/>
  <c r="R85" i="6"/>
  <c r="I85" i="6"/>
  <c r="Y85" i="6"/>
  <c r="P85" i="6"/>
  <c r="G85" i="6"/>
  <c r="X85" i="6"/>
  <c r="O85" i="6"/>
  <c r="F85" i="6"/>
  <c r="AF85" i="6"/>
  <c r="W85" i="6"/>
  <c r="N85" i="6"/>
  <c r="E85" i="6"/>
  <c r="AE85" i="6"/>
  <c r="V85" i="6"/>
  <c r="M85" i="6"/>
  <c r="C85" i="6"/>
  <c r="Z85" i="6"/>
  <c r="AB87" i="6"/>
  <c r="T87" i="6"/>
  <c r="L87" i="6"/>
  <c r="D87" i="6"/>
  <c r="AA87" i="6"/>
  <c r="R87" i="6"/>
  <c r="I87" i="6"/>
  <c r="Y87" i="6"/>
  <c r="P87" i="6"/>
  <c r="G87" i="6"/>
  <c r="X87" i="6"/>
  <c r="O87" i="6"/>
  <c r="F87" i="6"/>
  <c r="AF87" i="6"/>
  <c r="W87" i="6"/>
  <c r="N87" i="6"/>
  <c r="E87" i="6"/>
  <c r="AE87" i="6"/>
  <c r="V87" i="6"/>
  <c r="M87" i="6"/>
  <c r="C87" i="6"/>
  <c r="Z87" i="6"/>
  <c r="AB89" i="6"/>
  <c r="T89" i="6"/>
  <c r="L89" i="6"/>
  <c r="D89" i="6"/>
  <c r="AA89" i="6"/>
  <c r="R89" i="6"/>
  <c r="I89" i="6"/>
  <c r="Y89" i="6"/>
  <c r="P89" i="6"/>
  <c r="G89" i="6"/>
  <c r="X89" i="6"/>
  <c r="O89" i="6"/>
  <c r="F89" i="6"/>
  <c r="AF89" i="6"/>
  <c r="W89" i="6"/>
  <c r="N89" i="6"/>
  <c r="E89" i="6"/>
  <c r="AE89" i="6"/>
  <c r="V89" i="6"/>
  <c r="M89" i="6"/>
  <c r="C89" i="6"/>
  <c r="Z89" i="6"/>
  <c r="AB91" i="6"/>
  <c r="T91" i="6"/>
  <c r="L91" i="6"/>
  <c r="D91" i="6"/>
  <c r="AA91" i="6"/>
  <c r="R91" i="6"/>
  <c r="I91" i="6"/>
  <c r="Y91" i="6"/>
  <c r="P91" i="6"/>
  <c r="G91" i="6"/>
  <c r="X91" i="6"/>
  <c r="O91" i="6"/>
  <c r="F91" i="6"/>
  <c r="AF91" i="6"/>
  <c r="W91" i="6"/>
  <c r="N91" i="6"/>
  <c r="E91" i="6"/>
  <c r="AE91" i="6"/>
  <c r="V91" i="6"/>
  <c r="M91" i="6"/>
  <c r="C91" i="6"/>
  <c r="Z91" i="6"/>
  <c r="AB93" i="6"/>
  <c r="T93" i="6"/>
  <c r="L93" i="6"/>
  <c r="D93" i="6"/>
  <c r="AA93" i="6"/>
  <c r="R93" i="6"/>
  <c r="I93" i="6"/>
  <c r="Y93" i="6"/>
  <c r="P93" i="6"/>
  <c r="G93" i="6"/>
  <c r="X93" i="6"/>
  <c r="O93" i="6"/>
  <c r="F93" i="6"/>
  <c r="AF93" i="6"/>
  <c r="W93" i="6"/>
  <c r="N93" i="6"/>
  <c r="E93" i="6"/>
  <c r="AE93" i="6"/>
  <c r="V93" i="6"/>
  <c r="M93" i="6"/>
  <c r="C93" i="6"/>
  <c r="Z93" i="6"/>
  <c r="AE147" i="6"/>
  <c r="W147" i="6"/>
  <c r="O147" i="6"/>
  <c r="G147" i="6"/>
  <c r="Z147" i="6"/>
  <c r="Q147" i="6"/>
  <c r="H147" i="6"/>
  <c r="Y147" i="6"/>
  <c r="P147" i="6"/>
  <c r="F147" i="6"/>
  <c r="X147" i="6"/>
  <c r="N147" i="6"/>
  <c r="E147" i="6"/>
  <c r="AF147" i="6"/>
  <c r="V147" i="6"/>
  <c r="M147" i="6"/>
  <c r="D147" i="6"/>
  <c r="R147" i="6"/>
  <c r="AC147" i="6"/>
  <c r="K147" i="6"/>
  <c r="T147" i="6"/>
  <c r="S147" i="6"/>
  <c r="L147" i="6"/>
  <c r="J147" i="6"/>
  <c r="AD147" i="6"/>
  <c r="I147" i="6"/>
  <c r="AB147" i="6"/>
  <c r="C147" i="6"/>
  <c r="AA147" i="6"/>
  <c r="B147" i="6"/>
  <c r="D8" i="5"/>
  <c r="D14" i="5"/>
  <c r="D25" i="5"/>
  <c r="D27" i="5"/>
  <c r="D29" i="5"/>
  <c r="D31" i="5"/>
  <c r="D33" i="5"/>
  <c r="D34" i="5"/>
  <c r="L7" i="6"/>
  <c r="AB7" i="6"/>
  <c r="L8" i="6"/>
  <c r="T9" i="6"/>
  <c r="T10" i="6"/>
  <c r="L11" i="6"/>
  <c r="D12" i="6"/>
  <c r="T13" i="6"/>
  <c r="T14" i="6"/>
  <c r="D15" i="6"/>
  <c r="D16" i="6"/>
  <c r="L19" i="6"/>
  <c r="G21" i="6"/>
  <c r="Y21" i="6"/>
  <c r="K26" i="6"/>
  <c r="Y27" i="6"/>
  <c r="G29" i="6"/>
  <c r="F7" i="6"/>
  <c r="N7" i="6"/>
  <c r="V7" i="6"/>
  <c r="F8" i="6"/>
  <c r="N8" i="6"/>
  <c r="V8" i="6"/>
  <c r="F9" i="6"/>
  <c r="N9" i="6"/>
  <c r="V9" i="6"/>
  <c r="F10" i="6"/>
  <c r="N10" i="6"/>
  <c r="V10" i="6"/>
  <c r="F11" i="6"/>
  <c r="N11" i="6"/>
  <c r="V11" i="6"/>
  <c r="F12" i="6"/>
  <c r="N12" i="6"/>
  <c r="V12" i="6"/>
  <c r="F13" i="6"/>
  <c r="N13" i="6"/>
  <c r="V13" i="6"/>
  <c r="F14" i="6"/>
  <c r="N14" i="6"/>
  <c r="V14" i="6"/>
  <c r="F15" i="6"/>
  <c r="N15" i="6"/>
  <c r="V15" i="6"/>
  <c r="F16" i="6"/>
  <c r="N16" i="6"/>
  <c r="V16" i="6"/>
  <c r="F17" i="6"/>
  <c r="N17" i="6"/>
  <c r="V17" i="6"/>
  <c r="F18" i="6"/>
  <c r="N18" i="6"/>
  <c r="V18" i="6"/>
  <c r="F19" i="6"/>
  <c r="N19" i="6"/>
  <c r="V19" i="6"/>
  <c r="F20" i="6"/>
  <c r="N20" i="6"/>
  <c r="W20" i="6"/>
  <c r="AF20" i="6"/>
  <c r="I21" i="6"/>
  <c r="R21" i="6"/>
  <c r="AA21" i="6"/>
  <c r="D22" i="6"/>
  <c r="M22" i="6"/>
  <c r="W22" i="6"/>
  <c r="AF22" i="6"/>
  <c r="I23" i="6"/>
  <c r="R23" i="6"/>
  <c r="AA23" i="6"/>
  <c r="D24" i="6"/>
  <c r="M24" i="6"/>
  <c r="W24" i="6"/>
  <c r="AF24" i="6"/>
  <c r="I25" i="6"/>
  <c r="R25" i="6"/>
  <c r="AA25" i="6"/>
  <c r="D26" i="6"/>
  <c r="M26" i="6"/>
  <c r="W26" i="6"/>
  <c r="AF26" i="6"/>
  <c r="I27" i="6"/>
  <c r="R27" i="6"/>
  <c r="AA27" i="6"/>
  <c r="D28" i="6"/>
  <c r="M28" i="6"/>
  <c r="W28" i="6"/>
  <c r="AF28" i="6"/>
  <c r="I29" i="6"/>
  <c r="R29" i="6"/>
  <c r="AA29" i="6"/>
  <c r="D30" i="6"/>
  <c r="M30" i="6"/>
  <c r="W30" i="6"/>
  <c r="AF30" i="6"/>
  <c r="I31" i="6"/>
  <c r="R31" i="6"/>
  <c r="AA31" i="6"/>
  <c r="D32" i="6"/>
  <c r="M32" i="6"/>
  <c r="W32" i="6"/>
  <c r="AF32" i="6"/>
  <c r="I33" i="6"/>
  <c r="R33" i="6"/>
  <c r="AA33" i="6"/>
  <c r="D34" i="6"/>
  <c r="M34" i="6"/>
  <c r="W34" i="6"/>
  <c r="AF34" i="6"/>
  <c r="I35" i="6"/>
  <c r="R35" i="6"/>
  <c r="AA35" i="6"/>
  <c r="D36" i="6"/>
  <c r="M36" i="6"/>
  <c r="W36" i="6"/>
  <c r="AF36" i="6"/>
  <c r="I41" i="6"/>
  <c r="R41" i="6"/>
  <c r="AA41" i="6"/>
  <c r="D42" i="6"/>
  <c r="M42" i="6"/>
  <c r="W42" i="6"/>
  <c r="AF42" i="6"/>
  <c r="I43" i="6"/>
  <c r="R43" i="6"/>
  <c r="AA43" i="6"/>
  <c r="D44" i="6"/>
  <c r="M44" i="6"/>
  <c r="W44" i="6"/>
  <c r="AF44" i="6"/>
  <c r="I45" i="6"/>
  <c r="R45" i="6"/>
  <c r="AA45" i="6"/>
  <c r="D46" i="6"/>
  <c r="M46" i="6"/>
  <c r="W46" i="6"/>
  <c r="AF46" i="6"/>
  <c r="I47" i="6"/>
  <c r="R47" i="6"/>
  <c r="AA47" i="6"/>
  <c r="D48" i="6"/>
  <c r="M48" i="6"/>
  <c r="X48" i="6"/>
  <c r="H53" i="6"/>
  <c r="S53" i="6"/>
  <c r="AE54" i="6"/>
  <c r="W54" i="6"/>
  <c r="O54" i="6"/>
  <c r="G54" i="6"/>
  <c r="AD54" i="6"/>
  <c r="V54" i="6"/>
  <c r="N54" i="6"/>
  <c r="F54" i="6"/>
  <c r="AB54" i="6"/>
  <c r="T54" i="6"/>
  <c r="L54" i="6"/>
  <c r="D54" i="6"/>
  <c r="M54" i="6"/>
  <c r="Z54" i="6"/>
  <c r="H55" i="6"/>
  <c r="S55" i="6"/>
  <c r="AE56" i="6"/>
  <c r="W56" i="6"/>
  <c r="O56" i="6"/>
  <c r="G56" i="6"/>
  <c r="AD56" i="6"/>
  <c r="V56" i="6"/>
  <c r="N56" i="6"/>
  <c r="F56" i="6"/>
  <c r="AB56" i="6"/>
  <c r="T56" i="6"/>
  <c r="L56" i="6"/>
  <c r="D56" i="6"/>
  <c r="M56" i="6"/>
  <c r="Z56" i="6"/>
  <c r="H57" i="6"/>
  <c r="S57" i="6"/>
  <c r="Y58" i="6"/>
  <c r="Q58" i="6"/>
  <c r="I58" i="6"/>
  <c r="AE58" i="6"/>
  <c r="W58" i="6"/>
  <c r="O58" i="6"/>
  <c r="G58" i="6"/>
  <c r="AD58" i="6"/>
  <c r="V58" i="6"/>
  <c r="N58" i="6"/>
  <c r="F58" i="6"/>
  <c r="AC58" i="6"/>
  <c r="AB58" i="6"/>
  <c r="T58" i="6"/>
  <c r="L58" i="6"/>
  <c r="D58" i="6"/>
  <c r="P58" i="6"/>
  <c r="AF127" i="6"/>
  <c r="X127" i="6"/>
  <c r="P127" i="6"/>
  <c r="H127" i="6"/>
  <c r="AE127" i="6"/>
  <c r="V127" i="6"/>
  <c r="M127" i="6"/>
  <c r="D127" i="6"/>
  <c r="AC127" i="6"/>
  <c r="T127" i="6"/>
  <c r="K127" i="6"/>
  <c r="B127" i="6"/>
  <c r="N127" i="6"/>
  <c r="Z127" i="6"/>
  <c r="AE134" i="6"/>
  <c r="W134" i="6"/>
  <c r="O134" i="6"/>
  <c r="G134" i="6"/>
  <c r="AD134" i="6"/>
  <c r="U134" i="6"/>
  <c r="L134" i="6"/>
  <c r="C134" i="6"/>
  <c r="AA134" i="6"/>
  <c r="R134" i="6"/>
  <c r="I134" i="6"/>
  <c r="T134" i="6"/>
  <c r="H134" i="6"/>
  <c r="AC134" i="6"/>
  <c r="Q134" i="6"/>
  <c r="E134" i="6"/>
  <c r="P134" i="6"/>
  <c r="AE153" i="6"/>
  <c r="W153" i="6"/>
  <c r="O153" i="6"/>
  <c r="G153" i="6"/>
  <c r="Z153" i="6"/>
  <c r="Q153" i="6"/>
  <c r="H153" i="6"/>
  <c r="Y153" i="6"/>
  <c r="P153" i="6"/>
  <c r="F153" i="6"/>
  <c r="X153" i="6"/>
  <c r="N153" i="6"/>
  <c r="E153" i="6"/>
  <c r="AF153" i="6"/>
  <c r="V153" i="6"/>
  <c r="M153" i="6"/>
  <c r="D153" i="6"/>
  <c r="AD153" i="6"/>
  <c r="L153" i="6"/>
  <c r="AB153" i="6"/>
  <c r="J153" i="6"/>
  <c r="U153" i="6"/>
  <c r="AC196" i="6"/>
  <c r="U196" i="6"/>
  <c r="M196" i="6"/>
  <c r="E196" i="6"/>
  <c r="AF196" i="6"/>
  <c r="W196" i="6"/>
  <c r="N196" i="6"/>
  <c r="D196" i="6"/>
  <c r="AE196" i="6"/>
  <c r="T196" i="6"/>
  <c r="J196" i="6"/>
  <c r="AA196" i="6"/>
  <c r="Q196" i="6"/>
  <c r="G196" i="6"/>
  <c r="Z196" i="6"/>
  <c r="P196" i="6"/>
  <c r="F196" i="6"/>
  <c r="AD196" i="6"/>
  <c r="L196" i="6"/>
  <c r="AB196" i="6"/>
  <c r="K196" i="6"/>
  <c r="Y196" i="6"/>
  <c r="I196" i="6"/>
  <c r="X196" i="6"/>
  <c r="H196" i="6"/>
  <c r="O196" i="6"/>
  <c r="C196" i="6"/>
  <c r="B196" i="6"/>
  <c r="C127" i="6"/>
  <c r="O127" i="6"/>
  <c r="AA127" i="6"/>
  <c r="B134" i="6"/>
  <c r="S134" i="6"/>
  <c r="B153" i="6"/>
  <c r="AA153" i="6"/>
  <c r="AE155" i="6"/>
  <c r="W155" i="6"/>
  <c r="O155" i="6"/>
  <c r="G155" i="6"/>
  <c r="Z155" i="6"/>
  <c r="Q155" i="6"/>
  <c r="H155" i="6"/>
  <c r="Y155" i="6"/>
  <c r="P155" i="6"/>
  <c r="F155" i="6"/>
  <c r="X155" i="6"/>
  <c r="N155" i="6"/>
  <c r="E155" i="6"/>
  <c r="AF155" i="6"/>
  <c r="V155" i="6"/>
  <c r="M155" i="6"/>
  <c r="D155" i="6"/>
  <c r="T155" i="6"/>
  <c r="B155" i="6"/>
  <c r="R155" i="6"/>
  <c r="AA155" i="6"/>
  <c r="R196" i="6"/>
  <c r="AC198" i="6"/>
  <c r="U198" i="6"/>
  <c r="M198" i="6"/>
  <c r="E198" i="6"/>
  <c r="AF198" i="6"/>
  <c r="W198" i="6"/>
  <c r="N198" i="6"/>
  <c r="D198" i="6"/>
  <c r="AD198" i="6"/>
  <c r="S198" i="6"/>
  <c r="I198" i="6"/>
  <c r="Z198" i="6"/>
  <c r="P198" i="6"/>
  <c r="F198" i="6"/>
  <c r="Y198" i="6"/>
  <c r="O198" i="6"/>
  <c r="C198" i="6"/>
  <c r="Q198" i="6"/>
  <c r="AE198" i="6"/>
  <c r="L198" i="6"/>
  <c r="AB198" i="6"/>
  <c r="K198" i="6"/>
  <c r="AA198" i="6"/>
  <c r="J198" i="6"/>
  <c r="R198" i="6"/>
  <c r="H198" i="6"/>
  <c r="G198" i="6"/>
  <c r="AF126" i="6"/>
  <c r="X126" i="6"/>
  <c r="P126" i="6"/>
  <c r="H126" i="6"/>
  <c r="AA126" i="6"/>
  <c r="R126" i="6"/>
  <c r="I126" i="6"/>
  <c r="Y126" i="6"/>
  <c r="O126" i="6"/>
  <c r="F126" i="6"/>
  <c r="L126" i="6"/>
  <c r="W126" i="6"/>
  <c r="E127" i="6"/>
  <c r="Q127" i="6"/>
  <c r="AB127" i="6"/>
  <c r="AF129" i="6"/>
  <c r="X129" i="6"/>
  <c r="P129" i="6"/>
  <c r="H129" i="6"/>
  <c r="AE129" i="6"/>
  <c r="V129" i="6"/>
  <c r="M129" i="6"/>
  <c r="D129" i="6"/>
  <c r="AC129" i="6"/>
  <c r="T129" i="6"/>
  <c r="K129" i="6"/>
  <c r="B129" i="6"/>
  <c r="N129" i="6"/>
  <c r="Z129" i="6"/>
  <c r="AA131" i="6"/>
  <c r="S131" i="6"/>
  <c r="K131" i="6"/>
  <c r="C131" i="6"/>
  <c r="AF131" i="6"/>
  <c r="X131" i="6"/>
  <c r="P131" i="6"/>
  <c r="H131" i="6"/>
  <c r="AC131" i="6"/>
  <c r="R131" i="6"/>
  <c r="G131" i="6"/>
  <c r="Z131" i="6"/>
  <c r="O131" i="6"/>
  <c r="E131" i="6"/>
  <c r="N131" i="6"/>
  <c r="AD131" i="6"/>
  <c r="D134" i="6"/>
  <c r="V134" i="6"/>
  <c r="C153" i="6"/>
  <c r="AC153" i="6"/>
  <c r="C155" i="6"/>
  <c r="AB155" i="6"/>
  <c r="S196" i="6"/>
  <c r="B198" i="6"/>
  <c r="AC212" i="6"/>
  <c r="U212" i="6"/>
  <c r="M212" i="6"/>
  <c r="E212" i="6"/>
  <c r="AF212" i="6"/>
  <c r="W212" i="6"/>
  <c r="N212" i="6"/>
  <c r="D212" i="6"/>
  <c r="AE212" i="6"/>
  <c r="V212" i="6"/>
  <c r="Y212" i="6"/>
  <c r="L212" i="6"/>
  <c r="B212" i="6"/>
  <c r="S212" i="6"/>
  <c r="I212" i="6"/>
  <c r="AD212" i="6"/>
  <c r="R212" i="6"/>
  <c r="H212" i="6"/>
  <c r="O212" i="6"/>
  <c r="AB212" i="6"/>
  <c r="K212" i="6"/>
  <c r="AA212" i="6"/>
  <c r="J212" i="6"/>
  <c r="Z212" i="6"/>
  <c r="G212" i="6"/>
  <c r="P212" i="6"/>
  <c r="F212" i="6"/>
  <c r="C212" i="6"/>
  <c r="AF402" i="6"/>
  <c r="X402" i="6"/>
  <c r="P402" i="6"/>
  <c r="H402" i="6"/>
  <c r="AE402" i="6"/>
  <c r="W402" i="6"/>
  <c r="O402" i="6"/>
  <c r="G402" i="6"/>
  <c r="AD402" i="6"/>
  <c r="V402" i="6"/>
  <c r="N402" i="6"/>
  <c r="F402" i="6"/>
  <c r="AC402" i="6"/>
  <c r="R402" i="6"/>
  <c r="D402" i="6"/>
  <c r="AB402" i="6"/>
  <c r="Q402" i="6"/>
  <c r="C402" i="6"/>
  <c r="AA402" i="6"/>
  <c r="M402" i="6"/>
  <c r="B402" i="6"/>
  <c r="S402" i="6"/>
  <c r="L402" i="6"/>
  <c r="K402" i="6"/>
  <c r="J402" i="6"/>
  <c r="I402" i="6"/>
  <c r="Z402" i="6"/>
  <c r="Y402" i="6"/>
  <c r="U402" i="6"/>
  <c r="T402" i="6"/>
  <c r="E402" i="6"/>
  <c r="AB68" i="6"/>
  <c r="T68" i="6"/>
  <c r="L68" i="6"/>
  <c r="D68" i="6"/>
  <c r="J68" i="6"/>
  <c r="S68" i="6"/>
  <c r="AC68" i="6"/>
  <c r="AB70" i="6"/>
  <c r="T70" i="6"/>
  <c r="L70" i="6"/>
  <c r="D70" i="6"/>
  <c r="J70" i="6"/>
  <c r="S70" i="6"/>
  <c r="AC70" i="6"/>
  <c r="AB76" i="6"/>
  <c r="T76" i="6"/>
  <c r="L76" i="6"/>
  <c r="D76" i="6"/>
  <c r="J76" i="6"/>
  <c r="S76" i="6"/>
  <c r="AC76" i="6"/>
  <c r="AB78" i="6"/>
  <c r="T78" i="6"/>
  <c r="L78" i="6"/>
  <c r="D78" i="6"/>
  <c r="J78" i="6"/>
  <c r="S78" i="6"/>
  <c r="AC78" i="6"/>
  <c r="AB80" i="6"/>
  <c r="T80" i="6"/>
  <c r="L80" i="6"/>
  <c r="D80" i="6"/>
  <c r="J80" i="6"/>
  <c r="S80" i="6"/>
  <c r="AC80" i="6"/>
  <c r="AB82" i="6"/>
  <c r="T82" i="6"/>
  <c r="L82" i="6"/>
  <c r="D82" i="6"/>
  <c r="J82" i="6"/>
  <c r="S82" i="6"/>
  <c r="AC82" i="6"/>
  <c r="AB84" i="6"/>
  <c r="T84" i="6"/>
  <c r="L84" i="6"/>
  <c r="D84" i="6"/>
  <c r="J84" i="6"/>
  <c r="S84" i="6"/>
  <c r="AC84" i="6"/>
  <c r="AB86" i="6"/>
  <c r="T86" i="6"/>
  <c r="L86" i="6"/>
  <c r="D86" i="6"/>
  <c r="J86" i="6"/>
  <c r="S86" i="6"/>
  <c r="AC86" i="6"/>
  <c r="AB88" i="6"/>
  <c r="T88" i="6"/>
  <c r="L88" i="6"/>
  <c r="D88" i="6"/>
  <c r="J88" i="6"/>
  <c r="S88" i="6"/>
  <c r="AC88" i="6"/>
  <c r="AB90" i="6"/>
  <c r="T90" i="6"/>
  <c r="L90" i="6"/>
  <c r="D90" i="6"/>
  <c r="J90" i="6"/>
  <c r="S90" i="6"/>
  <c r="AC90" i="6"/>
  <c r="AB92" i="6"/>
  <c r="T92" i="6"/>
  <c r="L92" i="6"/>
  <c r="D92" i="6"/>
  <c r="J92" i="6"/>
  <c r="S92" i="6"/>
  <c r="AC92" i="6"/>
  <c r="AB94" i="6"/>
  <c r="T94" i="6"/>
  <c r="L94" i="6"/>
  <c r="D94" i="6"/>
  <c r="Z94" i="6"/>
  <c r="J94" i="6"/>
  <c r="S94" i="6"/>
  <c r="AD94" i="6"/>
  <c r="B126" i="6"/>
  <c r="M126" i="6"/>
  <c r="Z126" i="6"/>
  <c r="F127" i="6"/>
  <c r="R127" i="6"/>
  <c r="AD127" i="6"/>
  <c r="K128" i="6"/>
  <c r="C129" i="6"/>
  <c r="O129" i="6"/>
  <c r="AA129" i="6"/>
  <c r="B131" i="6"/>
  <c r="Q131" i="6"/>
  <c r="AE131" i="6"/>
  <c r="M132" i="6"/>
  <c r="F134" i="6"/>
  <c r="X134" i="6"/>
  <c r="AE136" i="6"/>
  <c r="W136" i="6"/>
  <c r="O136" i="6"/>
  <c r="G136" i="6"/>
  <c r="AD136" i="6"/>
  <c r="U136" i="6"/>
  <c r="L136" i="6"/>
  <c r="C136" i="6"/>
  <c r="AC136" i="6"/>
  <c r="T136" i="6"/>
  <c r="K136" i="6"/>
  <c r="B136" i="6"/>
  <c r="AA136" i="6"/>
  <c r="R136" i="6"/>
  <c r="I136" i="6"/>
  <c r="V136" i="6"/>
  <c r="F136" i="6"/>
  <c r="Q136" i="6"/>
  <c r="D136" i="6"/>
  <c r="X136" i="6"/>
  <c r="I153" i="6"/>
  <c r="I155" i="6"/>
  <c r="AC155" i="6"/>
  <c r="AE157" i="6"/>
  <c r="W157" i="6"/>
  <c r="O157" i="6"/>
  <c r="G157" i="6"/>
  <c r="Z157" i="6"/>
  <c r="Q157" i="6"/>
  <c r="H157" i="6"/>
  <c r="Y157" i="6"/>
  <c r="P157" i="6"/>
  <c r="F157" i="6"/>
  <c r="X157" i="6"/>
  <c r="N157" i="6"/>
  <c r="E157" i="6"/>
  <c r="AF157" i="6"/>
  <c r="V157" i="6"/>
  <c r="M157" i="6"/>
  <c r="D157" i="6"/>
  <c r="AB157" i="6"/>
  <c r="J157" i="6"/>
  <c r="U157" i="6"/>
  <c r="C157" i="6"/>
  <c r="AA157" i="6"/>
  <c r="AF182" i="6"/>
  <c r="X182" i="6"/>
  <c r="P182" i="6"/>
  <c r="H182" i="6"/>
  <c r="AA182" i="6"/>
  <c r="R182" i="6"/>
  <c r="I182" i="6"/>
  <c r="AE182" i="6"/>
  <c r="V182" i="6"/>
  <c r="M182" i="6"/>
  <c r="D182" i="6"/>
  <c r="W182" i="6"/>
  <c r="K182" i="6"/>
  <c r="U182" i="6"/>
  <c r="J182" i="6"/>
  <c r="T182" i="6"/>
  <c r="G182" i="6"/>
  <c r="AD182" i="6"/>
  <c r="S182" i="6"/>
  <c r="F182" i="6"/>
  <c r="AC182" i="6"/>
  <c r="E182" i="6"/>
  <c r="AB182" i="6"/>
  <c r="C182" i="6"/>
  <c r="Z182" i="6"/>
  <c r="B182" i="6"/>
  <c r="AC191" i="6"/>
  <c r="U191" i="6"/>
  <c r="M191" i="6"/>
  <c r="E191" i="6"/>
  <c r="AA191" i="6"/>
  <c r="R191" i="6"/>
  <c r="I191" i="6"/>
  <c r="X191" i="6"/>
  <c r="N191" i="6"/>
  <c r="C191" i="6"/>
  <c r="AD191" i="6"/>
  <c r="S191" i="6"/>
  <c r="H191" i="6"/>
  <c r="Z191" i="6"/>
  <c r="L191" i="6"/>
  <c r="Y191" i="6"/>
  <c r="K191" i="6"/>
  <c r="W191" i="6"/>
  <c r="J191" i="6"/>
  <c r="V191" i="6"/>
  <c r="G191" i="6"/>
  <c r="O191" i="6"/>
  <c r="F191" i="6"/>
  <c r="AF191" i="6"/>
  <c r="D191" i="6"/>
  <c r="V196" i="6"/>
  <c r="T198" i="6"/>
  <c r="Q212" i="6"/>
  <c r="C126" i="6"/>
  <c r="N126" i="6"/>
  <c r="AB126" i="6"/>
  <c r="G127" i="6"/>
  <c r="S127" i="6"/>
  <c r="AF128" i="6"/>
  <c r="X128" i="6"/>
  <c r="P128" i="6"/>
  <c r="H128" i="6"/>
  <c r="AA128" i="6"/>
  <c r="R128" i="6"/>
  <c r="I128" i="6"/>
  <c r="Y128" i="6"/>
  <c r="O128" i="6"/>
  <c r="F128" i="6"/>
  <c r="L128" i="6"/>
  <c r="W128" i="6"/>
  <c r="E129" i="6"/>
  <c r="Q129" i="6"/>
  <c r="AB129" i="6"/>
  <c r="D131" i="6"/>
  <c r="T131" i="6"/>
  <c r="AA132" i="6"/>
  <c r="S132" i="6"/>
  <c r="K132" i="6"/>
  <c r="C132" i="6"/>
  <c r="AF132" i="6"/>
  <c r="X132" i="6"/>
  <c r="P132" i="6"/>
  <c r="H132" i="6"/>
  <c r="AC132" i="6"/>
  <c r="R132" i="6"/>
  <c r="G132" i="6"/>
  <c r="Z132" i="6"/>
  <c r="O132" i="6"/>
  <c r="E132" i="6"/>
  <c r="N132" i="6"/>
  <c r="AD132" i="6"/>
  <c r="J134" i="6"/>
  <c r="Y134" i="6"/>
  <c r="K153" i="6"/>
  <c r="J155" i="6"/>
  <c r="AD155" i="6"/>
  <c r="AE159" i="6"/>
  <c r="W159" i="6"/>
  <c r="O159" i="6"/>
  <c r="G159" i="6"/>
  <c r="Z159" i="6"/>
  <c r="Q159" i="6"/>
  <c r="H159" i="6"/>
  <c r="Y159" i="6"/>
  <c r="P159" i="6"/>
  <c r="F159" i="6"/>
  <c r="X159" i="6"/>
  <c r="N159" i="6"/>
  <c r="E159" i="6"/>
  <c r="AF159" i="6"/>
  <c r="V159" i="6"/>
  <c r="M159" i="6"/>
  <c r="D159" i="6"/>
  <c r="R159" i="6"/>
  <c r="AC159" i="6"/>
  <c r="K159" i="6"/>
  <c r="U159" i="6"/>
  <c r="AF181" i="6"/>
  <c r="X181" i="6"/>
  <c r="P181" i="6"/>
  <c r="H181" i="6"/>
  <c r="AE181" i="6"/>
  <c r="V181" i="6"/>
  <c r="M181" i="6"/>
  <c r="D181" i="6"/>
  <c r="AA181" i="6"/>
  <c r="R181" i="6"/>
  <c r="I181" i="6"/>
  <c r="AD181" i="6"/>
  <c r="S181" i="6"/>
  <c r="F181" i="6"/>
  <c r="AC181" i="6"/>
  <c r="Q181" i="6"/>
  <c r="E181" i="6"/>
  <c r="AB181" i="6"/>
  <c r="O181" i="6"/>
  <c r="C181" i="6"/>
  <c r="Z181" i="6"/>
  <c r="N181" i="6"/>
  <c r="B181" i="6"/>
  <c r="L181" i="6"/>
  <c r="J181" i="6"/>
  <c r="AF184" i="6"/>
  <c r="X184" i="6"/>
  <c r="P184" i="6"/>
  <c r="H184" i="6"/>
  <c r="AA184" i="6"/>
  <c r="R184" i="6"/>
  <c r="I184" i="6"/>
  <c r="AE184" i="6"/>
  <c r="V184" i="6"/>
  <c r="M184" i="6"/>
  <c r="D184" i="6"/>
  <c r="T184" i="6"/>
  <c r="G184" i="6"/>
  <c r="AD184" i="6"/>
  <c r="S184" i="6"/>
  <c r="F184" i="6"/>
  <c r="AC184" i="6"/>
  <c r="Q184" i="6"/>
  <c r="E184" i="6"/>
  <c r="AB184" i="6"/>
  <c r="O184" i="6"/>
  <c r="C184" i="6"/>
  <c r="L184" i="6"/>
  <c r="K184" i="6"/>
  <c r="J184" i="6"/>
  <c r="AC189" i="6"/>
  <c r="U189" i="6"/>
  <c r="M189" i="6"/>
  <c r="E189" i="6"/>
  <c r="AA189" i="6"/>
  <c r="R189" i="6"/>
  <c r="I189" i="6"/>
  <c r="Y189" i="6"/>
  <c r="O189" i="6"/>
  <c r="D189" i="6"/>
  <c r="AE189" i="6"/>
  <c r="T189" i="6"/>
  <c r="J189" i="6"/>
  <c r="V189" i="6"/>
  <c r="G189" i="6"/>
  <c r="S189" i="6"/>
  <c r="F189" i="6"/>
  <c r="AF189" i="6"/>
  <c r="Q189" i="6"/>
  <c r="C189" i="6"/>
  <c r="AD189" i="6"/>
  <c r="P189" i="6"/>
  <c r="B189" i="6"/>
  <c r="X189" i="6"/>
  <c r="W189" i="6"/>
  <c r="N189" i="6"/>
  <c r="AC197" i="6"/>
  <c r="U197" i="6"/>
  <c r="M197" i="6"/>
  <c r="E197" i="6"/>
  <c r="AA197" i="6"/>
  <c r="R197" i="6"/>
  <c r="I197" i="6"/>
  <c r="AE197" i="6"/>
  <c r="T197" i="6"/>
  <c r="J197" i="6"/>
  <c r="Z197" i="6"/>
  <c r="P197" i="6"/>
  <c r="F197" i="6"/>
  <c r="Y197" i="6"/>
  <c r="O197" i="6"/>
  <c r="D197" i="6"/>
  <c r="AF197" i="6"/>
  <c r="N197" i="6"/>
  <c r="AD197" i="6"/>
  <c r="L197" i="6"/>
  <c r="AB197" i="6"/>
  <c r="K197" i="6"/>
  <c r="X197" i="6"/>
  <c r="H197" i="6"/>
  <c r="Q197" i="6"/>
  <c r="G197" i="6"/>
  <c r="C197" i="6"/>
  <c r="V198" i="6"/>
  <c r="T212" i="6"/>
  <c r="D126" i="6"/>
  <c r="Q126" i="6"/>
  <c r="AC126" i="6"/>
  <c r="I127" i="6"/>
  <c r="U127" i="6"/>
  <c r="B128" i="6"/>
  <c r="M128" i="6"/>
  <c r="Z128" i="6"/>
  <c r="F129" i="6"/>
  <c r="R129" i="6"/>
  <c r="AD129" i="6"/>
  <c r="F131" i="6"/>
  <c r="U131" i="6"/>
  <c r="B132" i="6"/>
  <c r="Q132" i="6"/>
  <c r="AE132" i="6"/>
  <c r="K134" i="6"/>
  <c r="Z134" i="6"/>
  <c r="H136" i="6"/>
  <c r="Z136" i="6"/>
  <c r="AE145" i="6"/>
  <c r="W145" i="6"/>
  <c r="O145" i="6"/>
  <c r="G145" i="6"/>
  <c r="Z145" i="6"/>
  <c r="Q145" i="6"/>
  <c r="H145" i="6"/>
  <c r="Y145" i="6"/>
  <c r="P145" i="6"/>
  <c r="F145" i="6"/>
  <c r="X145" i="6"/>
  <c r="N145" i="6"/>
  <c r="E145" i="6"/>
  <c r="AF145" i="6"/>
  <c r="V145" i="6"/>
  <c r="M145" i="6"/>
  <c r="D145" i="6"/>
  <c r="AC145" i="6"/>
  <c r="K145" i="6"/>
  <c r="AA145" i="6"/>
  <c r="I145" i="6"/>
  <c r="U145" i="6"/>
  <c r="R153" i="6"/>
  <c r="K155" i="6"/>
  <c r="I157" i="6"/>
  <c r="AD157" i="6"/>
  <c r="B159" i="6"/>
  <c r="AA159" i="6"/>
  <c r="G181" i="6"/>
  <c r="N182" i="6"/>
  <c r="B184" i="6"/>
  <c r="H189" i="6"/>
  <c r="P191" i="6"/>
  <c r="B197" i="6"/>
  <c r="X198" i="6"/>
  <c r="AC211" i="6"/>
  <c r="U211" i="6"/>
  <c r="M211" i="6"/>
  <c r="E211" i="6"/>
  <c r="AA211" i="6"/>
  <c r="R211" i="6"/>
  <c r="I211" i="6"/>
  <c r="X211" i="6"/>
  <c r="N211" i="6"/>
  <c r="C211" i="6"/>
  <c r="AE211" i="6"/>
  <c r="T211" i="6"/>
  <c r="J211" i="6"/>
  <c r="AD211" i="6"/>
  <c r="S211" i="6"/>
  <c r="H211" i="6"/>
  <c r="AB211" i="6"/>
  <c r="L211" i="6"/>
  <c r="Z211" i="6"/>
  <c r="K211" i="6"/>
  <c r="Y211" i="6"/>
  <c r="G211" i="6"/>
  <c r="W211" i="6"/>
  <c r="F211" i="6"/>
  <c r="O211" i="6"/>
  <c r="D211" i="6"/>
  <c r="B211" i="6"/>
  <c r="X212" i="6"/>
  <c r="I59" i="6"/>
  <c r="Q59" i="6"/>
  <c r="I60" i="6"/>
  <c r="Q60" i="6"/>
  <c r="I61" i="6"/>
  <c r="Q61" i="6"/>
  <c r="I62" i="6"/>
  <c r="Q62" i="6"/>
  <c r="I63" i="6"/>
  <c r="Q63" i="6"/>
  <c r="I64" i="6"/>
  <c r="Q64" i="6"/>
  <c r="I65" i="6"/>
  <c r="Q65" i="6"/>
  <c r="I66" i="6"/>
  <c r="Q66" i="6"/>
  <c r="AB67" i="6"/>
  <c r="T67" i="6"/>
  <c r="L67" i="6"/>
  <c r="I67" i="6"/>
  <c r="R67" i="6"/>
  <c r="AA67" i="6"/>
  <c r="E68" i="6"/>
  <c r="N68" i="6"/>
  <c r="W68" i="6"/>
  <c r="AF68" i="6"/>
  <c r="E70" i="6"/>
  <c r="N70" i="6"/>
  <c r="W70" i="6"/>
  <c r="AF70" i="6"/>
  <c r="E76" i="6"/>
  <c r="N76" i="6"/>
  <c r="W76" i="6"/>
  <c r="AF76" i="6"/>
  <c r="E78" i="6"/>
  <c r="N78" i="6"/>
  <c r="W78" i="6"/>
  <c r="AF78" i="6"/>
  <c r="E80" i="6"/>
  <c r="N80" i="6"/>
  <c r="W80" i="6"/>
  <c r="AF80" i="6"/>
  <c r="E82" i="6"/>
  <c r="N82" i="6"/>
  <c r="W82" i="6"/>
  <c r="AF82" i="6"/>
  <c r="E84" i="6"/>
  <c r="N84" i="6"/>
  <c r="W84" i="6"/>
  <c r="AF84" i="6"/>
  <c r="E86" i="6"/>
  <c r="N86" i="6"/>
  <c r="W86" i="6"/>
  <c r="AF86" i="6"/>
  <c r="E88" i="6"/>
  <c r="N88" i="6"/>
  <c r="W88" i="6"/>
  <c r="AF88" i="6"/>
  <c r="E90" i="6"/>
  <c r="N90" i="6"/>
  <c r="W90" i="6"/>
  <c r="AF90" i="6"/>
  <c r="E92" i="6"/>
  <c r="N92" i="6"/>
  <c r="W92" i="6"/>
  <c r="AF92" i="6"/>
  <c r="E94" i="6"/>
  <c r="N94" i="6"/>
  <c r="W94" i="6"/>
  <c r="AB95" i="6"/>
  <c r="T95" i="6"/>
  <c r="L95" i="6"/>
  <c r="D95" i="6"/>
  <c r="Z95" i="6"/>
  <c r="R95" i="6"/>
  <c r="J95" i="6"/>
  <c r="B95" i="6"/>
  <c r="M95" i="6"/>
  <c r="W95" i="6"/>
  <c r="AB96" i="6"/>
  <c r="T96" i="6"/>
  <c r="L96" i="6"/>
  <c r="D96" i="6"/>
  <c r="Z96" i="6"/>
  <c r="R96" i="6"/>
  <c r="J96" i="6"/>
  <c r="B96" i="6"/>
  <c r="M96" i="6"/>
  <c r="W96" i="6"/>
  <c r="AB97" i="6"/>
  <c r="T97" i="6"/>
  <c r="L97" i="6"/>
  <c r="D97" i="6"/>
  <c r="Z97" i="6"/>
  <c r="R97" i="6"/>
  <c r="J97" i="6"/>
  <c r="B97" i="6"/>
  <c r="M97" i="6"/>
  <c r="W97" i="6"/>
  <c r="AB98" i="6"/>
  <c r="T98" i="6"/>
  <c r="L98" i="6"/>
  <c r="D98" i="6"/>
  <c r="Z98" i="6"/>
  <c r="R98" i="6"/>
  <c r="J98" i="6"/>
  <c r="B98" i="6"/>
  <c r="M98" i="6"/>
  <c r="W98" i="6"/>
  <c r="AB99" i="6"/>
  <c r="T99" i="6"/>
  <c r="L99" i="6"/>
  <c r="D99" i="6"/>
  <c r="Z99" i="6"/>
  <c r="R99" i="6"/>
  <c r="J99" i="6"/>
  <c r="B99" i="6"/>
  <c r="M99" i="6"/>
  <c r="W99" i="6"/>
  <c r="AB100" i="6"/>
  <c r="T100" i="6"/>
  <c r="L100" i="6"/>
  <c r="D100" i="6"/>
  <c r="Z100" i="6"/>
  <c r="R100" i="6"/>
  <c r="J100" i="6"/>
  <c r="B100" i="6"/>
  <c r="M100" i="6"/>
  <c r="W100" i="6"/>
  <c r="AB101" i="6"/>
  <c r="T101" i="6"/>
  <c r="L101" i="6"/>
  <c r="D101" i="6"/>
  <c r="Z101" i="6"/>
  <c r="R101" i="6"/>
  <c r="J101" i="6"/>
  <c r="B101" i="6"/>
  <c r="M101" i="6"/>
  <c r="W101" i="6"/>
  <c r="AB102" i="6"/>
  <c r="T102" i="6"/>
  <c r="L102" i="6"/>
  <c r="D102" i="6"/>
  <c r="Z102" i="6"/>
  <c r="R102" i="6"/>
  <c r="J102" i="6"/>
  <c r="B102" i="6"/>
  <c r="M102" i="6"/>
  <c r="W102" i="6"/>
  <c r="AB103" i="6"/>
  <c r="T103" i="6"/>
  <c r="L103" i="6"/>
  <c r="D103" i="6"/>
  <c r="Z103" i="6"/>
  <c r="R103" i="6"/>
  <c r="J103" i="6"/>
  <c r="B103" i="6"/>
  <c r="M103" i="6"/>
  <c r="W103" i="6"/>
  <c r="AB104" i="6"/>
  <c r="T104" i="6"/>
  <c r="L104" i="6"/>
  <c r="D104" i="6"/>
  <c r="Z104" i="6"/>
  <c r="R104" i="6"/>
  <c r="J104" i="6"/>
  <c r="B104" i="6"/>
  <c r="M104" i="6"/>
  <c r="W104" i="6"/>
  <c r="AB109" i="6"/>
  <c r="T109" i="6"/>
  <c r="L109" i="6"/>
  <c r="D109" i="6"/>
  <c r="Z109" i="6"/>
  <c r="R109" i="6"/>
  <c r="J109" i="6"/>
  <c r="B109" i="6"/>
  <c r="M109" i="6"/>
  <c r="W109" i="6"/>
  <c r="AB110" i="6"/>
  <c r="T110" i="6"/>
  <c r="L110" i="6"/>
  <c r="D110" i="6"/>
  <c r="Z110" i="6"/>
  <c r="R110" i="6"/>
  <c r="J110" i="6"/>
  <c r="B110" i="6"/>
  <c r="M110" i="6"/>
  <c r="W110" i="6"/>
  <c r="AB111" i="6"/>
  <c r="T111" i="6"/>
  <c r="L111" i="6"/>
  <c r="D111" i="6"/>
  <c r="Z111" i="6"/>
  <c r="R111" i="6"/>
  <c r="J111" i="6"/>
  <c r="B111" i="6"/>
  <c r="M111" i="6"/>
  <c r="W111" i="6"/>
  <c r="AB112" i="6"/>
  <c r="T112" i="6"/>
  <c r="L112" i="6"/>
  <c r="D112" i="6"/>
  <c r="Z112" i="6"/>
  <c r="R112" i="6"/>
  <c r="J112" i="6"/>
  <c r="B112" i="6"/>
  <c r="M112" i="6"/>
  <c r="W112" i="6"/>
  <c r="AB113" i="6"/>
  <c r="T113" i="6"/>
  <c r="L113" i="6"/>
  <c r="D113" i="6"/>
  <c r="Z113" i="6"/>
  <c r="R113" i="6"/>
  <c r="J113" i="6"/>
  <c r="B113" i="6"/>
  <c r="M113" i="6"/>
  <c r="W113" i="6"/>
  <c r="AB114" i="6"/>
  <c r="T114" i="6"/>
  <c r="L114" i="6"/>
  <c r="D114" i="6"/>
  <c r="Z114" i="6"/>
  <c r="R114" i="6"/>
  <c r="J114" i="6"/>
  <c r="B114" i="6"/>
  <c r="M114" i="6"/>
  <c r="W114" i="6"/>
  <c r="AB115" i="6"/>
  <c r="T115" i="6"/>
  <c r="L115" i="6"/>
  <c r="D115" i="6"/>
  <c r="Z115" i="6"/>
  <c r="R115" i="6"/>
  <c r="J115" i="6"/>
  <c r="B115" i="6"/>
  <c r="M115" i="6"/>
  <c r="W115" i="6"/>
  <c r="AB116" i="6"/>
  <c r="T116" i="6"/>
  <c r="L116" i="6"/>
  <c r="D116" i="6"/>
  <c r="Z116" i="6"/>
  <c r="R116" i="6"/>
  <c r="J116" i="6"/>
  <c r="B116" i="6"/>
  <c r="M116" i="6"/>
  <c r="W116" i="6"/>
  <c r="AB117" i="6"/>
  <c r="T117" i="6"/>
  <c r="L117" i="6"/>
  <c r="D117" i="6"/>
  <c r="Z117" i="6"/>
  <c r="R117" i="6"/>
  <c r="J117" i="6"/>
  <c r="B117" i="6"/>
  <c r="M117" i="6"/>
  <c r="W117" i="6"/>
  <c r="AB118" i="6"/>
  <c r="T118" i="6"/>
  <c r="L118" i="6"/>
  <c r="D118" i="6"/>
  <c r="Z118" i="6"/>
  <c r="R118" i="6"/>
  <c r="J118" i="6"/>
  <c r="B118" i="6"/>
  <c r="M118" i="6"/>
  <c r="W118" i="6"/>
  <c r="AB119" i="6"/>
  <c r="T119" i="6"/>
  <c r="L119" i="6"/>
  <c r="D119" i="6"/>
  <c r="Z119" i="6"/>
  <c r="R119" i="6"/>
  <c r="J119" i="6"/>
  <c r="B119" i="6"/>
  <c r="M119" i="6"/>
  <c r="W119" i="6"/>
  <c r="AB120" i="6"/>
  <c r="T120" i="6"/>
  <c r="L120" i="6"/>
  <c r="D120" i="6"/>
  <c r="Z120" i="6"/>
  <c r="R120" i="6"/>
  <c r="J120" i="6"/>
  <c r="B120" i="6"/>
  <c r="M120" i="6"/>
  <c r="W120" i="6"/>
  <c r="AB121" i="6"/>
  <c r="T121" i="6"/>
  <c r="L121" i="6"/>
  <c r="D121" i="6"/>
  <c r="Z121" i="6"/>
  <c r="R121" i="6"/>
  <c r="J121" i="6"/>
  <c r="B121" i="6"/>
  <c r="M121" i="6"/>
  <c r="W121" i="6"/>
  <c r="AB122" i="6"/>
  <c r="T122" i="6"/>
  <c r="L122" i="6"/>
  <c r="D122" i="6"/>
  <c r="Z122" i="6"/>
  <c r="R122" i="6"/>
  <c r="J122" i="6"/>
  <c r="B122" i="6"/>
  <c r="M122" i="6"/>
  <c r="W122" i="6"/>
  <c r="AB123" i="6"/>
  <c r="T123" i="6"/>
  <c r="L123" i="6"/>
  <c r="D123" i="6"/>
  <c r="Z123" i="6"/>
  <c r="R123" i="6"/>
  <c r="J123" i="6"/>
  <c r="B123" i="6"/>
  <c r="M123" i="6"/>
  <c r="W123" i="6"/>
  <c r="AB124" i="6"/>
  <c r="T124" i="6"/>
  <c r="L124" i="6"/>
  <c r="D124" i="6"/>
  <c r="Z124" i="6"/>
  <c r="R124" i="6"/>
  <c r="J124" i="6"/>
  <c r="B124" i="6"/>
  <c r="M124" i="6"/>
  <c r="W124" i="6"/>
  <c r="AF125" i="6"/>
  <c r="X125" i="6"/>
  <c r="P125" i="6"/>
  <c r="H125" i="6"/>
  <c r="AE125" i="6"/>
  <c r="V125" i="6"/>
  <c r="M125" i="6"/>
  <c r="D125" i="6"/>
  <c r="AC125" i="6"/>
  <c r="T125" i="6"/>
  <c r="K125" i="6"/>
  <c r="B125" i="6"/>
  <c r="N125" i="6"/>
  <c r="Z125" i="6"/>
  <c r="E126" i="6"/>
  <c r="S126" i="6"/>
  <c r="AD126" i="6"/>
  <c r="J127" i="6"/>
  <c r="W127" i="6"/>
  <c r="C128" i="6"/>
  <c r="N128" i="6"/>
  <c r="AB128" i="6"/>
  <c r="G129" i="6"/>
  <c r="S129" i="6"/>
  <c r="AA130" i="6"/>
  <c r="S130" i="6"/>
  <c r="AF130" i="6"/>
  <c r="X130" i="6"/>
  <c r="P130" i="6"/>
  <c r="H130" i="6"/>
  <c r="AC130" i="6"/>
  <c r="R130" i="6"/>
  <c r="I130" i="6"/>
  <c r="Z130" i="6"/>
  <c r="O130" i="6"/>
  <c r="F130" i="6"/>
  <c r="L130" i="6"/>
  <c r="Y130" i="6"/>
  <c r="I131" i="6"/>
  <c r="V131" i="6"/>
  <c r="D132" i="6"/>
  <c r="T132" i="6"/>
  <c r="AA133" i="6"/>
  <c r="S133" i="6"/>
  <c r="K133" i="6"/>
  <c r="C133" i="6"/>
  <c r="AF133" i="6"/>
  <c r="X133" i="6"/>
  <c r="P133" i="6"/>
  <c r="H133" i="6"/>
  <c r="AC133" i="6"/>
  <c r="R133" i="6"/>
  <c r="G133" i="6"/>
  <c r="Z133" i="6"/>
  <c r="O133" i="6"/>
  <c r="E133" i="6"/>
  <c r="N133" i="6"/>
  <c r="AD133" i="6"/>
  <c r="M134" i="6"/>
  <c r="AB134" i="6"/>
  <c r="J136" i="6"/>
  <c r="AB136" i="6"/>
  <c r="B145" i="6"/>
  <c r="AB145" i="6"/>
  <c r="S153" i="6"/>
  <c r="L155" i="6"/>
  <c r="K157" i="6"/>
  <c r="C159" i="6"/>
  <c r="AB159" i="6"/>
  <c r="K181" i="6"/>
  <c r="O182" i="6"/>
  <c r="N184" i="6"/>
  <c r="AF187" i="6"/>
  <c r="X187" i="6"/>
  <c r="P187" i="6"/>
  <c r="H187" i="6"/>
  <c r="AE187" i="6"/>
  <c r="V187" i="6"/>
  <c r="M187" i="6"/>
  <c r="D187" i="6"/>
  <c r="AA187" i="6"/>
  <c r="R187" i="6"/>
  <c r="I187" i="6"/>
  <c r="U187" i="6"/>
  <c r="J187" i="6"/>
  <c r="T187" i="6"/>
  <c r="G187" i="6"/>
  <c r="AD187" i="6"/>
  <c r="S187" i="6"/>
  <c r="F187" i="6"/>
  <c r="AC187" i="6"/>
  <c r="Q187" i="6"/>
  <c r="E187" i="6"/>
  <c r="W187" i="6"/>
  <c r="O187" i="6"/>
  <c r="N187" i="6"/>
  <c r="K189" i="6"/>
  <c r="Q191" i="6"/>
  <c r="S197" i="6"/>
  <c r="P211" i="6"/>
  <c r="AE137" i="6"/>
  <c r="W137" i="6"/>
  <c r="O137" i="6"/>
  <c r="G137" i="6"/>
  <c r="Z137" i="6"/>
  <c r="Q137" i="6"/>
  <c r="H137" i="6"/>
  <c r="Y137" i="6"/>
  <c r="P137" i="6"/>
  <c r="F137" i="6"/>
  <c r="AF137" i="6"/>
  <c r="V137" i="6"/>
  <c r="M137" i="6"/>
  <c r="D137" i="6"/>
  <c r="N137" i="6"/>
  <c r="AC137" i="6"/>
  <c r="AE143" i="6"/>
  <c r="W143" i="6"/>
  <c r="O143" i="6"/>
  <c r="G143" i="6"/>
  <c r="Z143" i="6"/>
  <c r="Q143" i="6"/>
  <c r="H143" i="6"/>
  <c r="Y143" i="6"/>
  <c r="P143" i="6"/>
  <c r="F143" i="6"/>
  <c r="X143" i="6"/>
  <c r="N143" i="6"/>
  <c r="E143" i="6"/>
  <c r="AF143" i="6"/>
  <c r="V143" i="6"/>
  <c r="M143" i="6"/>
  <c r="D143" i="6"/>
  <c r="S143" i="6"/>
  <c r="AC206" i="6"/>
  <c r="U206" i="6"/>
  <c r="M206" i="6"/>
  <c r="E206" i="6"/>
  <c r="AF206" i="6"/>
  <c r="W206" i="6"/>
  <c r="N206" i="6"/>
  <c r="D206" i="6"/>
  <c r="Y206" i="6"/>
  <c r="O206" i="6"/>
  <c r="C206" i="6"/>
  <c r="AE206" i="6"/>
  <c r="T206" i="6"/>
  <c r="J206" i="6"/>
  <c r="AD206" i="6"/>
  <c r="S206" i="6"/>
  <c r="I206" i="6"/>
  <c r="AA206" i="6"/>
  <c r="K206" i="6"/>
  <c r="Z206" i="6"/>
  <c r="H206" i="6"/>
  <c r="X206" i="6"/>
  <c r="G206" i="6"/>
  <c r="V206" i="6"/>
  <c r="F206" i="6"/>
  <c r="AC214" i="6"/>
  <c r="U214" i="6"/>
  <c r="M214" i="6"/>
  <c r="E214" i="6"/>
  <c r="X214" i="6"/>
  <c r="O214" i="6"/>
  <c r="F214" i="6"/>
  <c r="AF214" i="6"/>
  <c r="W214" i="6"/>
  <c r="N214" i="6"/>
  <c r="D214" i="6"/>
  <c r="AE214" i="6"/>
  <c r="V214" i="6"/>
  <c r="L214" i="6"/>
  <c r="C214" i="6"/>
  <c r="AB214" i="6"/>
  <c r="P214" i="6"/>
  <c r="Y214" i="6"/>
  <c r="I214" i="6"/>
  <c r="T214" i="6"/>
  <c r="H214" i="6"/>
  <c r="R214" i="6"/>
  <c r="Q214" i="6"/>
  <c r="K214" i="6"/>
  <c r="J214" i="6"/>
  <c r="AC224" i="6"/>
  <c r="U224" i="6"/>
  <c r="M224" i="6"/>
  <c r="E224" i="6"/>
  <c r="X224" i="6"/>
  <c r="O224" i="6"/>
  <c r="F224" i="6"/>
  <c r="AF224" i="6"/>
  <c r="W224" i="6"/>
  <c r="N224" i="6"/>
  <c r="D224" i="6"/>
  <c r="AE224" i="6"/>
  <c r="V224" i="6"/>
  <c r="L224" i="6"/>
  <c r="C224" i="6"/>
  <c r="Z224" i="6"/>
  <c r="J224" i="6"/>
  <c r="S224" i="6"/>
  <c r="G224" i="6"/>
  <c r="R224" i="6"/>
  <c r="B224" i="6"/>
  <c r="T224" i="6"/>
  <c r="Q224" i="6"/>
  <c r="P224" i="6"/>
  <c r="K224" i="6"/>
  <c r="AB224" i="6"/>
  <c r="H224" i="6"/>
  <c r="AC192" i="6"/>
  <c r="U192" i="6"/>
  <c r="M192" i="6"/>
  <c r="E192" i="6"/>
  <c r="AF192" i="6"/>
  <c r="W192" i="6"/>
  <c r="N192" i="6"/>
  <c r="D192" i="6"/>
  <c r="X192" i="6"/>
  <c r="L192" i="6"/>
  <c r="B192" i="6"/>
  <c r="AD192" i="6"/>
  <c r="S192" i="6"/>
  <c r="AB192" i="6"/>
  <c r="R192" i="6"/>
  <c r="H192" i="6"/>
  <c r="Y192" i="6"/>
  <c r="I192" i="6"/>
  <c r="V192" i="6"/>
  <c r="G192" i="6"/>
  <c r="T192" i="6"/>
  <c r="F192" i="6"/>
  <c r="Q192" i="6"/>
  <c r="C192" i="6"/>
  <c r="AC193" i="6"/>
  <c r="U193" i="6"/>
  <c r="M193" i="6"/>
  <c r="E193" i="6"/>
  <c r="AA193" i="6"/>
  <c r="R193" i="6"/>
  <c r="I193" i="6"/>
  <c r="W193" i="6"/>
  <c r="L193" i="6"/>
  <c r="B193" i="6"/>
  <c r="AD193" i="6"/>
  <c r="S193" i="6"/>
  <c r="H193" i="6"/>
  <c r="AB193" i="6"/>
  <c r="Q193" i="6"/>
  <c r="G193" i="6"/>
  <c r="Y193" i="6"/>
  <c r="J193" i="6"/>
  <c r="X193" i="6"/>
  <c r="F193" i="6"/>
  <c r="V193" i="6"/>
  <c r="D193" i="6"/>
  <c r="T193" i="6"/>
  <c r="C193" i="6"/>
  <c r="B206" i="6"/>
  <c r="B214" i="6"/>
  <c r="AC220" i="6"/>
  <c r="U220" i="6"/>
  <c r="M220" i="6"/>
  <c r="E220" i="6"/>
  <c r="X220" i="6"/>
  <c r="O220" i="6"/>
  <c r="F220" i="6"/>
  <c r="AF220" i="6"/>
  <c r="W220" i="6"/>
  <c r="N220" i="6"/>
  <c r="D220" i="6"/>
  <c r="AE220" i="6"/>
  <c r="V220" i="6"/>
  <c r="L220" i="6"/>
  <c r="C220" i="6"/>
  <c r="R220" i="6"/>
  <c r="B220" i="6"/>
  <c r="AA220" i="6"/>
  <c r="K220" i="6"/>
  <c r="Z220" i="6"/>
  <c r="J220" i="6"/>
  <c r="S220" i="6"/>
  <c r="Q220" i="6"/>
  <c r="P220" i="6"/>
  <c r="I220" i="6"/>
  <c r="AB220" i="6"/>
  <c r="G220" i="6"/>
  <c r="I224" i="6"/>
  <c r="AE135" i="6"/>
  <c r="W135" i="6"/>
  <c r="O135" i="6"/>
  <c r="G135" i="6"/>
  <c r="Z135" i="6"/>
  <c r="Q135" i="6"/>
  <c r="H135" i="6"/>
  <c r="AF135" i="6"/>
  <c r="V135" i="6"/>
  <c r="M135" i="6"/>
  <c r="D135" i="6"/>
  <c r="L135" i="6"/>
  <c r="Y135" i="6"/>
  <c r="C137" i="6"/>
  <c r="S137" i="6"/>
  <c r="AE138" i="6"/>
  <c r="W138" i="6"/>
  <c r="O138" i="6"/>
  <c r="G138" i="6"/>
  <c r="AD138" i="6"/>
  <c r="U138" i="6"/>
  <c r="L138" i="6"/>
  <c r="C138" i="6"/>
  <c r="AC138" i="6"/>
  <c r="T138" i="6"/>
  <c r="K138" i="6"/>
  <c r="B138" i="6"/>
  <c r="AB138" i="6"/>
  <c r="S138" i="6"/>
  <c r="J138" i="6"/>
  <c r="AA138" i="6"/>
  <c r="R138" i="6"/>
  <c r="I138" i="6"/>
  <c r="Q138" i="6"/>
  <c r="C143" i="6"/>
  <c r="U143" i="6"/>
  <c r="AE149" i="6"/>
  <c r="W149" i="6"/>
  <c r="O149" i="6"/>
  <c r="G149" i="6"/>
  <c r="Z149" i="6"/>
  <c r="Q149" i="6"/>
  <c r="H149" i="6"/>
  <c r="Y149" i="6"/>
  <c r="P149" i="6"/>
  <c r="F149" i="6"/>
  <c r="X149" i="6"/>
  <c r="N149" i="6"/>
  <c r="E149" i="6"/>
  <c r="AF149" i="6"/>
  <c r="V149" i="6"/>
  <c r="M149" i="6"/>
  <c r="D149" i="6"/>
  <c r="S149" i="6"/>
  <c r="L206" i="6"/>
  <c r="G214" i="6"/>
  <c r="Y224" i="6"/>
  <c r="AF248" i="6"/>
  <c r="X248" i="6"/>
  <c r="P248" i="6"/>
  <c r="H248" i="6"/>
  <c r="Y248" i="6"/>
  <c r="O248" i="6"/>
  <c r="F248" i="6"/>
  <c r="W248" i="6"/>
  <c r="N248" i="6"/>
  <c r="E248" i="6"/>
  <c r="AD248" i="6"/>
  <c r="U248" i="6"/>
  <c r="L248" i="6"/>
  <c r="C248" i="6"/>
  <c r="AC248" i="6"/>
  <c r="T248" i="6"/>
  <c r="K248" i="6"/>
  <c r="B248" i="6"/>
  <c r="Q248" i="6"/>
  <c r="AE248" i="6"/>
  <c r="M248" i="6"/>
  <c r="AB248" i="6"/>
  <c r="J248" i="6"/>
  <c r="V248" i="6"/>
  <c r="I248" i="6"/>
  <c r="G248" i="6"/>
  <c r="AF264" i="6"/>
  <c r="X264" i="6"/>
  <c r="P264" i="6"/>
  <c r="H264" i="6"/>
  <c r="Y264" i="6"/>
  <c r="O264" i="6"/>
  <c r="F264" i="6"/>
  <c r="W264" i="6"/>
  <c r="N264" i="6"/>
  <c r="E264" i="6"/>
  <c r="AD264" i="6"/>
  <c r="U264" i="6"/>
  <c r="L264" i="6"/>
  <c r="C264" i="6"/>
  <c r="AC264" i="6"/>
  <c r="T264" i="6"/>
  <c r="K264" i="6"/>
  <c r="B264" i="6"/>
  <c r="Q264" i="6"/>
  <c r="AE264" i="6"/>
  <c r="M264" i="6"/>
  <c r="AB264" i="6"/>
  <c r="J264" i="6"/>
  <c r="G264" i="6"/>
  <c r="Z264" i="6"/>
  <c r="V264" i="6"/>
  <c r="I144" i="6"/>
  <c r="R144" i="6"/>
  <c r="I146" i="6"/>
  <c r="R146" i="6"/>
  <c r="I148" i="6"/>
  <c r="R148" i="6"/>
  <c r="I150" i="6"/>
  <c r="R150" i="6"/>
  <c r="I152" i="6"/>
  <c r="R152" i="6"/>
  <c r="I154" i="6"/>
  <c r="R154" i="6"/>
  <c r="I156" i="6"/>
  <c r="R156" i="6"/>
  <c r="I158" i="6"/>
  <c r="R158" i="6"/>
  <c r="I160" i="6"/>
  <c r="R160" i="6"/>
  <c r="J180" i="6"/>
  <c r="K183" i="6"/>
  <c r="AF186" i="6"/>
  <c r="X186" i="6"/>
  <c r="P186" i="6"/>
  <c r="H186" i="6"/>
  <c r="AA186" i="6"/>
  <c r="R186" i="6"/>
  <c r="I186" i="6"/>
  <c r="AE186" i="6"/>
  <c r="V186" i="6"/>
  <c r="M186" i="6"/>
  <c r="D186" i="6"/>
  <c r="L186" i="6"/>
  <c r="Y186" i="6"/>
  <c r="J188" i="6"/>
  <c r="K190" i="6"/>
  <c r="Z190" i="6"/>
  <c r="O201" i="6"/>
  <c r="AE201" i="6"/>
  <c r="AC229" i="6"/>
  <c r="U229" i="6"/>
  <c r="M229" i="6"/>
  <c r="E229" i="6"/>
  <c r="Z229" i="6"/>
  <c r="R229" i="6"/>
  <c r="J229" i="6"/>
  <c r="B229" i="6"/>
  <c r="AA229" i="6"/>
  <c r="P229" i="6"/>
  <c r="F229" i="6"/>
  <c r="Y229" i="6"/>
  <c r="O229" i="6"/>
  <c r="D229" i="6"/>
  <c r="X229" i="6"/>
  <c r="N229" i="6"/>
  <c r="C229" i="6"/>
  <c r="AE229" i="6"/>
  <c r="L229" i="6"/>
  <c r="W229" i="6"/>
  <c r="H229" i="6"/>
  <c r="V229" i="6"/>
  <c r="G229" i="6"/>
  <c r="AF229" i="6"/>
  <c r="V231" i="6"/>
  <c r="AF233" i="6"/>
  <c r="AC233" i="6"/>
  <c r="U233" i="6"/>
  <c r="M233" i="6"/>
  <c r="E233" i="6"/>
  <c r="Z233" i="6"/>
  <c r="R233" i="6"/>
  <c r="J233" i="6"/>
  <c r="B233" i="6"/>
  <c r="AA233" i="6"/>
  <c r="P233" i="6"/>
  <c r="F233" i="6"/>
  <c r="Y233" i="6"/>
  <c r="O233" i="6"/>
  <c r="D233" i="6"/>
  <c r="X233" i="6"/>
  <c r="N233" i="6"/>
  <c r="C233" i="6"/>
  <c r="V233" i="6"/>
  <c r="G233" i="6"/>
  <c r="Q233" i="6"/>
  <c r="AE233" i="6"/>
  <c r="L233" i="6"/>
  <c r="AD233" i="6"/>
  <c r="AF246" i="6"/>
  <c r="X246" i="6"/>
  <c r="P246" i="6"/>
  <c r="H246" i="6"/>
  <c r="Y246" i="6"/>
  <c r="O246" i="6"/>
  <c r="F246" i="6"/>
  <c r="W246" i="6"/>
  <c r="N246" i="6"/>
  <c r="E246" i="6"/>
  <c r="AD246" i="6"/>
  <c r="U246" i="6"/>
  <c r="L246" i="6"/>
  <c r="C246" i="6"/>
  <c r="AC246" i="6"/>
  <c r="T246" i="6"/>
  <c r="K246" i="6"/>
  <c r="B246" i="6"/>
  <c r="AE246" i="6"/>
  <c r="M246" i="6"/>
  <c r="AB246" i="6"/>
  <c r="J246" i="6"/>
  <c r="AA246" i="6"/>
  <c r="I246" i="6"/>
  <c r="Z246" i="6"/>
  <c r="R246" i="6"/>
  <c r="Q246" i="6"/>
  <c r="R248" i="6"/>
  <c r="AF258" i="6"/>
  <c r="X258" i="6"/>
  <c r="P258" i="6"/>
  <c r="H258" i="6"/>
  <c r="Y258" i="6"/>
  <c r="O258" i="6"/>
  <c r="F258" i="6"/>
  <c r="W258" i="6"/>
  <c r="N258" i="6"/>
  <c r="E258" i="6"/>
  <c r="AD258" i="6"/>
  <c r="U258" i="6"/>
  <c r="L258" i="6"/>
  <c r="C258" i="6"/>
  <c r="AC258" i="6"/>
  <c r="T258" i="6"/>
  <c r="K258" i="6"/>
  <c r="B258" i="6"/>
  <c r="AA258" i="6"/>
  <c r="I258" i="6"/>
  <c r="Z258" i="6"/>
  <c r="G258" i="6"/>
  <c r="V258" i="6"/>
  <c r="D258" i="6"/>
  <c r="S258" i="6"/>
  <c r="M258" i="6"/>
  <c r="J258" i="6"/>
  <c r="I264" i="6"/>
  <c r="AE144" i="6"/>
  <c r="W144" i="6"/>
  <c r="O144" i="6"/>
  <c r="G144" i="6"/>
  <c r="J144" i="6"/>
  <c r="S144" i="6"/>
  <c r="AB144" i="6"/>
  <c r="AE146" i="6"/>
  <c r="W146" i="6"/>
  <c r="O146" i="6"/>
  <c r="G146" i="6"/>
  <c r="J146" i="6"/>
  <c r="S146" i="6"/>
  <c r="AB146" i="6"/>
  <c r="AE148" i="6"/>
  <c r="W148" i="6"/>
  <c r="O148" i="6"/>
  <c r="G148" i="6"/>
  <c r="J148" i="6"/>
  <c r="S148" i="6"/>
  <c r="AB148" i="6"/>
  <c r="AE150" i="6"/>
  <c r="W150" i="6"/>
  <c r="O150" i="6"/>
  <c r="G150" i="6"/>
  <c r="J150" i="6"/>
  <c r="S150" i="6"/>
  <c r="AB150" i="6"/>
  <c r="AE152" i="6"/>
  <c r="W152" i="6"/>
  <c r="O152" i="6"/>
  <c r="G152" i="6"/>
  <c r="J152" i="6"/>
  <c r="S152" i="6"/>
  <c r="AB152" i="6"/>
  <c r="AE154" i="6"/>
  <c r="W154" i="6"/>
  <c r="O154" i="6"/>
  <c r="G154" i="6"/>
  <c r="J154" i="6"/>
  <c r="S154" i="6"/>
  <c r="AB154" i="6"/>
  <c r="AE156" i="6"/>
  <c r="W156" i="6"/>
  <c r="O156" i="6"/>
  <c r="G156" i="6"/>
  <c r="J156" i="6"/>
  <c r="S156" i="6"/>
  <c r="AB156" i="6"/>
  <c r="AE158" i="6"/>
  <c r="W158" i="6"/>
  <c r="O158" i="6"/>
  <c r="G158" i="6"/>
  <c r="J158" i="6"/>
  <c r="S158" i="6"/>
  <c r="AB158" i="6"/>
  <c r="AE160" i="6"/>
  <c r="W160" i="6"/>
  <c r="O160" i="6"/>
  <c r="G160" i="6"/>
  <c r="AA160" i="6"/>
  <c r="S160" i="6"/>
  <c r="J160" i="6"/>
  <c r="T160" i="6"/>
  <c r="AD160" i="6"/>
  <c r="AF183" i="6"/>
  <c r="X183" i="6"/>
  <c r="P183" i="6"/>
  <c r="H183" i="6"/>
  <c r="AE183" i="6"/>
  <c r="V183" i="6"/>
  <c r="M183" i="6"/>
  <c r="D183" i="6"/>
  <c r="AA183" i="6"/>
  <c r="R183" i="6"/>
  <c r="I183" i="6"/>
  <c r="L183" i="6"/>
  <c r="Y183" i="6"/>
  <c r="L190" i="6"/>
  <c r="P201" i="6"/>
  <c r="AC216" i="6"/>
  <c r="U216" i="6"/>
  <c r="M216" i="6"/>
  <c r="E216" i="6"/>
  <c r="X216" i="6"/>
  <c r="O216" i="6"/>
  <c r="F216" i="6"/>
  <c r="AF216" i="6"/>
  <c r="W216" i="6"/>
  <c r="N216" i="6"/>
  <c r="D216" i="6"/>
  <c r="AE216" i="6"/>
  <c r="V216" i="6"/>
  <c r="L216" i="6"/>
  <c r="C216" i="6"/>
  <c r="Z216" i="6"/>
  <c r="J216" i="6"/>
  <c r="S216" i="6"/>
  <c r="G216" i="6"/>
  <c r="R216" i="6"/>
  <c r="B216" i="6"/>
  <c r="AA216" i="6"/>
  <c r="AC222" i="6"/>
  <c r="U222" i="6"/>
  <c r="M222" i="6"/>
  <c r="E222" i="6"/>
  <c r="X222" i="6"/>
  <c r="O222" i="6"/>
  <c r="F222" i="6"/>
  <c r="AF222" i="6"/>
  <c r="W222" i="6"/>
  <c r="N222" i="6"/>
  <c r="D222" i="6"/>
  <c r="AE222" i="6"/>
  <c r="V222" i="6"/>
  <c r="L222" i="6"/>
  <c r="C222" i="6"/>
  <c r="AB222" i="6"/>
  <c r="P222" i="6"/>
  <c r="Y222" i="6"/>
  <c r="I222" i="6"/>
  <c r="T222" i="6"/>
  <c r="H222" i="6"/>
  <c r="Z222" i="6"/>
  <c r="I229" i="6"/>
  <c r="AC230" i="6"/>
  <c r="U230" i="6"/>
  <c r="M230" i="6"/>
  <c r="E230" i="6"/>
  <c r="Z230" i="6"/>
  <c r="R230" i="6"/>
  <c r="J230" i="6"/>
  <c r="B230" i="6"/>
  <c r="AA230" i="6"/>
  <c r="P230" i="6"/>
  <c r="F230" i="6"/>
  <c r="Y230" i="6"/>
  <c r="O230" i="6"/>
  <c r="D230" i="6"/>
  <c r="X230" i="6"/>
  <c r="N230" i="6"/>
  <c r="C230" i="6"/>
  <c r="AF230" i="6"/>
  <c r="Q230" i="6"/>
  <c r="AB230" i="6"/>
  <c r="I230" i="6"/>
  <c r="W230" i="6"/>
  <c r="H230" i="6"/>
  <c r="AE230" i="6"/>
  <c r="H233" i="6"/>
  <c r="D246" i="6"/>
  <c r="S248" i="6"/>
  <c r="Q258" i="6"/>
  <c r="R264" i="6"/>
  <c r="Z329" i="6"/>
  <c r="R329" i="6"/>
  <c r="Y329" i="6"/>
  <c r="Q329" i="6"/>
  <c r="I329" i="6"/>
  <c r="AB329" i="6"/>
  <c r="P329" i="6"/>
  <c r="G329" i="6"/>
  <c r="AA329" i="6"/>
  <c r="O329" i="6"/>
  <c r="F329" i="6"/>
  <c r="AF329" i="6"/>
  <c r="T329" i="6"/>
  <c r="E329" i="6"/>
  <c r="AE329" i="6"/>
  <c r="S329" i="6"/>
  <c r="D329" i="6"/>
  <c r="M329" i="6"/>
  <c r="AD329" i="6"/>
  <c r="L329" i="6"/>
  <c r="X329" i="6"/>
  <c r="J329" i="6"/>
  <c r="W329" i="6"/>
  <c r="H329" i="6"/>
  <c r="N329" i="6"/>
  <c r="K329" i="6"/>
  <c r="C329" i="6"/>
  <c r="AC329" i="6"/>
  <c r="V329" i="6"/>
  <c r="U329" i="6"/>
  <c r="B144" i="6"/>
  <c r="K144" i="6"/>
  <c r="T144" i="6"/>
  <c r="AC144" i="6"/>
  <c r="K146" i="6"/>
  <c r="T146" i="6"/>
  <c r="AC146" i="6"/>
  <c r="T148" i="6"/>
  <c r="AC148" i="6"/>
  <c r="B150" i="6"/>
  <c r="K150" i="6"/>
  <c r="T150" i="6"/>
  <c r="AC150" i="6"/>
  <c r="B152" i="6"/>
  <c r="K152" i="6"/>
  <c r="T152" i="6"/>
  <c r="AC152" i="6"/>
  <c r="B154" i="6"/>
  <c r="K154" i="6"/>
  <c r="T154" i="6"/>
  <c r="AC154" i="6"/>
  <c r="B156" i="6"/>
  <c r="K156" i="6"/>
  <c r="T156" i="6"/>
  <c r="AC156" i="6"/>
  <c r="B158" i="6"/>
  <c r="K158" i="6"/>
  <c r="T158" i="6"/>
  <c r="AC158" i="6"/>
  <c r="B160" i="6"/>
  <c r="K160" i="6"/>
  <c r="U160" i="6"/>
  <c r="AF160" i="6"/>
  <c r="AF180" i="6"/>
  <c r="X180" i="6"/>
  <c r="P180" i="6"/>
  <c r="H180" i="6"/>
  <c r="AA180" i="6"/>
  <c r="R180" i="6"/>
  <c r="I180" i="6"/>
  <c r="AE180" i="6"/>
  <c r="V180" i="6"/>
  <c r="M180" i="6"/>
  <c r="D180" i="6"/>
  <c r="L180" i="6"/>
  <c r="Y180" i="6"/>
  <c r="B183" i="6"/>
  <c r="N183" i="6"/>
  <c r="Z183" i="6"/>
  <c r="AF188" i="6"/>
  <c r="X188" i="6"/>
  <c r="P188" i="6"/>
  <c r="H188" i="6"/>
  <c r="AA188" i="6"/>
  <c r="R188" i="6"/>
  <c r="I188" i="6"/>
  <c r="AE188" i="6"/>
  <c r="V188" i="6"/>
  <c r="M188" i="6"/>
  <c r="D188" i="6"/>
  <c r="L188" i="6"/>
  <c r="Y188" i="6"/>
  <c r="AC190" i="6"/>
  <c r="U190" i="6"/>
  <c r="M190" i="6"/>
  <c r="E190" i="6"/>
  <c r="AF190" i="6"/>
  <c r="W190" i="6"/>
  <c r="N190" i="6"/>
  <c r="D190" i="6"/>
  <c r="Y190" i="6"/>
  <c r="O190" i="6"/>
  <c r="C190" i="6"/>
  <c r="AD190" i="6"/>
  <c r="S190" i="6"/>
  <c r="I190" i="6"/>
  <c r="P190" i="6"/>
  <c r="AB190" i="6"/>
  <c r="AC201" i="6"/>
  <c r="U201" i="6"/>
  <c r="M201" i="6"/>
  <c r="E201" i="6"/>
  <c r="AA201" i="6"/>
  <c r="R201" i="6"/>
  <c r="I201" i="6"/>
  <c r="AB201" i="6"/>
  <c r="Q201" i="6"/>
  <c r="G201" i="6"/>
  <c r="X201" i="6"/>
  <c r="N201" i="6"/>
  <c r="C201" i="6"/>
  <c r="W201" i="6"/>
  <c r="L201" i="6"/>
  <c r="B201" i="6"/>
  <c r="S201" i="6"/>
  <c r="K229" i="6"/>
  <c r="AC231" i="6"/>
  <c r="U231" i="6"/>
  <c r="M231" i="6"/>
  <c r="E231" i="6"/>
  <c r="Z231" i="6"/>
  <c r="R231" i="6"/>
  <c r="J231" i="6"/>
  <c r="B231" i="6"/>
  <c r="AA231" i="6"/>
  <c r="P231" i="6"/>
  <c r="F231" i="6"/>
  <c r="Y231" i="6"/>
  <c r="O231" i="6"/>
  <c r="D231" i="6"/>
  <c r="X231" i="6"/>
  <c r="N231" i="6"/>
  <c r="C231" i="6"/>
  <c r="S231" i="6"/>
  <c r="AD231" i="6"/>
  <c r="K231" i="6"/>
  <c r="AB231" i="6"/>
  <c r="I231" i="6"/>
  <c r="AE231" i="6"/>
  <c r="AF238" i="6"/>
  <c r="X238" i="6"/>
  <c r="P238" i="6"/>
  <c r="H238" i="6"/>
  <c r="Y238" i="6"/>
  <c r="O238" i="6"/>
  <c r="F238" i="6"/>
  <c r="W238" i="6"/>
  <c r="N238" i="6"/>
  <c r="E238" i="6"/>
  <c r="AD238" i="6"/>
  <c r="U238" i="6"/>
  <c r="L238" i="6"/>
  <c r="C238" i="6"/>
  <c r="AC238" i="6"/>
  <c r="T238" i="6"/>
  <c r="K238" i="6"/>
  <c r="B238" i="6"/>
  <c r="AA238" i="6"/>
  <c r="I238" i="6"/>
  <c r="Z238" i="6"/>
  <c r="G238" i="6"/>
  <c r="V238" i="6"/>
  <c r="D238" i="6"/>
  <c r="J238" i="6"/>
  <c r="AB238" i="6"/>
  <c r="S238" i="6"/>
  <c r="G246" i="6"/>
  <c r="Z248" i="6"/>
  <c r="R258" i="6"/>
  <c r="S264" i="6"/>
  <c r="B329" i="6"/>
  <c r="C144" i="6"/>
  <c r="L144" i="6"/>
  <c r="U144" i="6"/>
  <c r="AD144" i="6"/>
  <c r="C146" i="6"/>
  <c r="L146" i="6"/>
  <c r="U146" i="6"/>
  <c r="AD146" i="6"/>
  <c r="C148" i="6"/>
  <c r="L148" i="6"/>
  <c r="U148" i="6"/>
  <c r="AD148" i="6"/>
  <c r="C150" i="6"/>
  <c r="L150" i="6"/>
  <c r="U150" i="6"/>
  <c r="AD150" i="6"/>
  <c r="C152" i="6"/>
  <c r="L152" i="6"/>
  <c r="U152" i="6"/>
  <c r="AD152" i="6"/>
  <c r="C154" i="6"/>
  <c r="L154" i="6"/>
  <c r="U154" i="6"/>
  <c r="AD154" i="6"/>
  <c r="C156" i="6"/>
  <c r="L156" i="6"/>
  <c r="U156" i="6"/>
  <c r="AD156" i="6"/>
  <c r="C158" i="6"/>
  <c r="L158" i="6"/>
  <c r="U158" i="6"/>
  <c r="AD158" i="6"/>
  <c r="C160" i="6"/>
  <c r="L160" i="6"/>
  <c r="V160" i="6"/>
  <c r="AE161" i="6"/>
  <c r="W161" i="6"/>
  <c r="O161" i="6"/>
  <c r="G161" i="6"/>
  <c r="AA161" i="6"/>
  <c r="S161" i="6"/>
  <c r="K161" i="6"/>
  <c r="C161" i="6"/>
  <c r="L161" i="6"/>
  <c r="V161" i="6"/>
  <c r="AE162" i="6"/>
  <c r="W162" i="6"/>
  <c r="O162" i="6"/>
  <c r="G162" i="6"/>
  <c r="AA162" i="6"/>
  <c r="S162" i="6"/>
  <c r="K162" i="6"/>
  <c r="C162" i="6"/>
  <c r="L162" i="6"/>
  <c r="V162" i="6"/>
  <c r="AE163" i="6"/>
  <c r="W163" i="6"/>
  <c r="O163" i="6"/>
  <c r="G163" i="6"/>
  <c r="AA163" i="6"/>
  <c r="S163" i="6"/>
  <c r="K163" i="6"/>
  <c r="C163" i="6"/>
  <c r="L163" i="6"/>
  <c r="V163" i="6"/>
  <c r="AE164" i="6"/>
  <c r="W164" i="6"/>
  <c r="O164" i="6"/>
  <c r="G164" i="6"/>
  <c r="AA164" i="6"/>
  <c r="S164" i="6"/>
  <c r="K164" i="6"/>
  <c r="C164" i="6"/>
  <c r="L164" i="6"/>
  <c r="V164" i="6"/>
  <c r="AE165" i="6"/>
  <c r="W165" i="6"/>
  <c r="O165" i="6"/>
  <c r="G165" i="6"/>
  <c r="AA165" i="6"/>
  <c r="S165" i="6"/>
  <c r="K165" i="6"/>
  <c r="C165" i="6"/>
  <c r="L165" i="6"/>
  <c r="V165" i="6"/>
  <c r="AE166" i="6"/>
  <c r="W166" i="6"/>
  <c r="O166" i="6"/>
  <c r="G166" i="6"/>
  <c r="AA166" i="6"/>
  <c r="S166" i="6"/>
  <c r="K166" i="6"/>
  <c r="C166" i="6"/>
  <c r="L166" i="6"/>
  <c r="V166" i="6"/>
  <c r="AE167" i="6"/>
  <c r="W167" i="6"/>
  <c r="O167" i="6"/>
  <c r="G167" i="6"/>
  <c r="AA167" i="6"/>
  <c r="S167" i="6"/>
  <c r="K167" i="6"/>
  <c r="C167" i="6"/>
  <c r="L167" i="6"/>
  <c r="V167" i="6"/>
  <c r="AE168" i="6"/>
  <c r="W168" i="6"/>
  <c r="O168" i="6"/>
  <c r="G168" i="6"/>
  <c r="AA168" i="6"/>
  <c r="S168" i="6"/>
  <c r="K168" i="6"/>
  <c r="C168" i="6"/>
  <c r="L168" i="6"/>
  <c r="V168" i="6"/>
  <c r="AE169" i="6"/>
  <c r="W169" i="6"/>
  <c r="O169" i="6"/>
  <c r="G169" i="6"/>
  <c r="AA169" i="6"/>
  <c r="S169" i="6"/>
  <c r="K169" i="6"/>
  <c r="C169" i="6"/>
  <c r="L169" i="6"/>
  <c r="V169" i="6"/>
  <c r="AE170" i="6"/>
  <c r="W170" i="6"/>
  <c r="O170" i="6"/>
  <c r="G170" i="6"/>
  <c r="AA170" i="6"/>
  <c r="S170" i="6"/>
  <c r="K170" i="6"/>
  <c r="C170" i="6"/>
  <c r="L170" i="6"/>
  <c r="V170" i="6"/>
  <c r="AE171" i="6"/>
  <c r="W171" i="6"/>
  <c r="O171" i="6"/>
  <c r="G171" i="6"/>
  <c r="AA171" i="6"/>
  <c r="S171" i="6"/>
  <c r="K171" i="6"/>
  <c r="C171" i="6"/>
  <c r="L171" i="6"/>
  <c r="V171" i="6"/>
  <c r="AE172" i="6"/>
  <c r="W172" i="6"/>
  <c r="O172" i="6"/>
  <c r="G172" i="6"/>
  <c r="AA172" i="6"/>
  <c r="S172" i="6"/>
  <c r="K172" i="6"/>
  <c r="C172" i="6"/>
  <c r="L172" i="6"/>
  <c r="V172" i="6"/>
  <c r="AE177" i="6"/>
  <c r="W177" i="6"/>
  <c r="O177" i="6"/>
  <c r="G177" i="6"/>
  <c r="AA177" i="6"/>
  <c r="S177" i="6"/>
  <c r="K177" i="6"/>
  <c r="C177" i="6"/>
  <c r="L177" i="6"/>
  <c r="V177" i="6"/>
  <c r="AE178" i="6"/>
  <c r="W178" i="6"/>
  <c r="O178" i="6"/>
  <c r="G178" i="6"/>
  <c r="AA178" i="6"/>
  <c r="S178" i="6"/>
  <c r="K178" i="6"/>
  <c r="C178" i="6"/>
  <c r="L178" i="6"/>
  <c r="V178" i="6"/>
  <c r="AF179" i="6"/>
  <c r="AE179" i="6"/>
  <c r="W179" i="6"/>
  <c r="O179" i="6"/>
  <c r="G179" i="6"/>
  <c r="AA179" i="6"/>
  <c r="S179" i="6"/>
  <c r="K179" i="6"/>
  <c r="C179" i="6"/>
  <c r="L179" i="6"/>
  <c r="V179" i="6"/>
  <c r="B180" i="6"/>
  <c r="N180" i="6"/>
  <c r="Z180" i="6"/>
  <c r="C183" i="6"/>
  <c r="O183" i="6"/>
  <c r="AB183" i="6"/>
  <c r="AF185" i="6"/>
  <c r="X185" i="6"/>
  <c r="P185" i="6"/>
  <c r="H185" i="6"/>
  <c r="AE185" i="6"/>
  <c r="V185" i="6"/>
  <c r="M185" i="6"/>
  <c r="D185" i="6"/>
  <c r="AA185" i="6"/>
  <c r="R185" i="6"/>
  <c r="I185" i="6"/>
  <c r="L185" i="6"/>
  <c r="Y185" i="6"/>
  <c r="E186" i="6"/>
  <c r="Q186" i="6"/>
  <c r="AC186" i="6"/>
  <c r="B188" i="6"/>
  <c r="N188" i="6"/>
  <c r="Z188" i="6"/>
  <c r="B190" i="6"/>
  <c r="Q190" i="6"/>
  <c r="AE190" i="6"/>
  <c r="AC199" i="6"/>
  <c r="U199" i="6"/>
  <c r="M199" i="6"/>
  <c r="E199" i="6"/>
  <c r="AA199" i="6"/>
  <c r="R199" i="6"/>
  <c r="I199" i="6"/>
  <c r="AD199" i="6"/>
  <c r="S199" i="6"/>
  <c r="H199" i="6"/>
  <c r="Y199" i="6"/>
  <c r="O199" i="6"/>
  <c r="D199" i="6"/>
  <c r="X199" i="6"/>
  <c r="N199" i="6"/>
  <c r="C199" i="6"/>
  <c r="Q199" i="6"/>
  <c r="AC200" i="6"/>
  <c r="U200" i="6"/>
  <c r="M200" i="6"/>
  <c r="E200" i="6"/>
  <c r="AF200" i="6"/>
  <c r="W200" i="6"/>
  <c r="N200" i="6"/>
  <c r="D200" i="6"/>
  <c r="AB200" i="6"/>
  <c r="R200" i="6"/>
  <c r="H200" i="6"/>
  <c r="Y200" i="6"/>
  <c r="O200" i="6"/>
  <c r="C200" i="6"/>
  <c r="X200" i="6"/>
  <c r="L200" i="6"/>
  <c r="B200" i="6"/>
  <c r="S200" i="6"/>
  <c r="D201" i="6"/>
  <c r="T201" i="6"/>
  <c r="I216" i="6"/>
  <c r="AD216" i="6"/>
  <c r="G222" i="6"/>
  <c r="AD222" i="6"/>
  <c r="Q229" i="6"/>
  <c r="K230" i="6"/>
  <c r="G231" i="6"/>
  <c r="AF231" i="6"/>
  <c r="K233" i="6"/>
  <c r="M238" i="6"/>
  <c r="S246" i="6"/>
  <c r="AA248" i="6"/>
  <c r="AB258" i="6"/>
  <c r="AA264" i="6"/>
  <c r="AE325" i="6"/>
  <c r="W325" i="6"/>
  <c r="O325" i="6"/>
  <c r="G325" i="6"/>
  <c r="AD325" i="6"/>
  <c r="V325" i="6"/>
  <c r="N325" i="6"/>
  <c r="F325" i="6"/>
  <c r="AA325" i="6"/>
  <c r="Q325" i="6"/>
  <c r="E325" i="6"/>
  <c r="Z325" i="6"/>
  <c r="P325" i="6"/>
  <c r="D325" i="6"/>
  <c r="AB325" i="6"/>
  <c r="L325" i="6"/>
  <c r="Y325" i="6"/>
  <c r="K325" i="6"/>
  <c r="U325" i="6"/>
  <c r="I325" i="6"/>
  <c r="T325" i="6"/>
  <c r="H325" i="6"/>
  <c r="J325" i="6"/>
  <c r="C325" i="6"/>
  <c r="AF325" i="6"/>
  <c r="B325" i="6"/>
  <c r="AC325" i="6"/>
  <c r="X325" i="6"/>
  <c r="S325" i="6"/>
  <c r="AC202" i="6"/>
  <c r="U202" i="6"/>
  <c r="M202" i="6"/>
  <c r="E202" i="6"/>
  <c r="AF202" i="6"/>
  <c r="W202" i="6"/>
  <c r="N202" i="6"/>
  <c r="D202" i="6"/>
  <c r="K202" i="6"/>
  <c r="V202" i="6"/>
  <c r="AC203" i="6"/>
  <c r="U203" i="6"/>
  <c r="M203" i="6"/>
  <c r="E203" i="6"/>
  <c r="AA203" i="6"/>
  <c r="R203" i="6"/>
  <c r="I203" i="6"/>
  <c r="K203" i="6"/>
  <c r="V203" i="6"/>
  <c r="AF203" i="6"/>
  <c r="AC228" i="6"/>
  <c r="U228" i="6"/>
  <c r="M228" i="6"/>
  <c r="E228" i="6"/>
  <c r="Z228" i="6"/>
  <c r="R228" i="6"/>
  <c r="J228" i="6"/>
  <c r="B228" i="6"/>
  <c r="AA228" i="6"/>
  <c r="P228" i="6"/>
  <c r="F228" i="6"/>
  <c r="Y228" i="6"/>
  <c r="O228" i="6"/>
  <c r="D228" i="6"/>
  <c r="X228" i="6"/>
  <c r="N228" i="6"/>
  <c r="C228" i="6"/>
  <c r="T228" i="6"/>
  <c r="AF250" i="6"/>
  <c r="X250" i="6"/>
  <c r="P250" i="6"/>
  <c r="H250" i="6"/>
  <c r="Y250" i="6"/>
  <c r="O250" i="6"/>
  <c r="F250" i="6"/>
  <c r="W250" i="6"/>
  <c r="N250" i="6"/>
  <c r="E250" i="6"/>
  <c r="AD250" i="6"/>
  <c r="U250" i="6"/>
  <c r="L250" i="6"/>
  <c r="C250" i="6"/>
  <c r="AC250" i="6"/>
  <c r="T250" i="6"/>
  <c r="K250" i="6"/>
  <c r="B250" i="6"/>
  <c r="R250" i="6"/>
  <c r="Q250" i="6"/>
  <c r="AE250" i="6"/>
  <c r="M250" i="6"/>
  <c r="AA250" i="6"/>
  <c r="AF260" i="6"/>
  <c r="X260" i="6"/>
  <c r="P260" i="6"/>
  <c r="H260" i="6"/>
  <c r="Y260" i="6"/>
  <c r="O260" i="6"/>
  <c r="F260" i="6"/>
  <c r="W260" i="6"/>
  <c r="N260" i="6"/>
  <c r="E260" i="6"/>
  <c r="AD260" i="6"/>
  <c r="U260" i="6"/>
  <c r="L260" i="6"/>
  <c r="C260" i="6"/>
  <c r="AC260" i="6"/>
  <c r="T260" i="6"/>
  <c r="K260" i="6"/>
  <c r="B260" i="6"/>
  <c r="AB260" i="6"/>
  <c r="J260" i="6"/>
  <c r="AA260" i="6"/>
  <c r="I260" i="6"/>
  <c r="Z260" i="6"/>
  <c r="G260" i="6"/>
  <c r="H194" i="6"/>
  <c r="R194" i="6"/>
  <c r="G195" i="6"/>
  <c r="Q195" i="6"/>
  <c r="B202" i="6"/>
  <c r="L202" i="6"/>
  <c r="X202" i="6"/>
  <c r="B203" i="6"/>
  <c r="L203" i="6"/>
  <c r="W203" i="6"/>
  <c r="AC204" i="6"/>
  <c r="U204" i="6"/>
  <c r="M204" i="6"/>
  <c r="E204" i="6"/>
  <c r="AF204" i="6"/>
  <c r="W204" i="6"/>
  <c r="N204" i="6"/>
  <c r="D204" i="6"/>
  <c r="K204" i="6"/>
  <c r="V204" i="6"/>
  <c r="AC205" i="6"/>
  <c r="U205" i="6"/>
  <c r="M205" i="6"/>
  <c r="E205" i="6"/>
  <c r="AA205" i="6"/>
  <c r="R205" i="6"/>
  <c r="I205" i="6"/>
  <c r="K205" i="6"/>
  <c r="V205" i="6"/>
  <c r="AF205" i="6"/>
  <c r="AC213" i="6"/>
  <c r="U213" i="6"/>
  <c r="M213" i="6"/>
  <c r="E213" i="6"/>
  <c r="AB213" i="6"/>
  <c r="S213" i="6"/>
  <c r="AA213" i="6"/>
  <c r="R213" i="6"/>
  <c r="I213" i="6"/>
  <c r="Z213" i="6"/>
  <c r="Q213" i="6"/>
  <c r="H213" i="6"/>
  <c r="L213" i="6"/>
  <c r="Y213" i="6"/>
  <c r="AC218" i="6"/>
  <c r="U218" i="6"/>
  <c r="M218" i="6"/>
  <c r="E218" i="6"/>
  <c r="X218" i="6"/>
  <c r="O218" i="6"/>
  <c r="F218" i="6"/>
  <c r="AF218" i="6"/>
  <c r="W218" i="6"/>
  <c r="N218" i="6"/>
  <c r="D218" i="6"/>
  <c r="AE218" i="6"/>
  <c r="V218" i="6"/>
  <c r="L218" i="6"/>
  <c r="C218" i="6"/>
  <c r="Q218" i="6"/>
  <c r="AD218" i="6"/>
  <c r="AC226" i="6"/>
  <c r="U226" i="6"/>
  <c r="M226" i="6"/>
  <c r="E226" i="6"/>
  <c r="Z226" i="6"/>
  <c r="R226" i="6"/>
  <c r="J226" i="6"/>
  <c r="AA226" i="6"/>
  <c r="P226" i="6"/>
  <c r="F226" i="6"/>
  <c r="Y226" i="6"/>
  <c r="O226" i="6"/>
  <c r="D226" i="6"/>
  <c r="X226" i="6"/>
  <c r="N226" i="6"/>
  <c r="C226" i="6"/>
  <c r="S226" i="6"/>
  <c r="AC227" i="6"/>
  <c r="U227" i="6"/>
  <c r="M227" i="6"/>
  <c r="E227" i="6"/>
  <c r="Z227" i="6"/>
  <c r="R227" i="6"/>
  <c r="J227" i="6"/>
  <c r="B227" i="6"/>
  <c r="AA227" i="6"/>
  <c r="P227" i="6"/>
  <c r="F227" i="6"/>
  <c r="Y227" i="6"/>
  <c r="O227" i="6"/>
  <c r="D227" i="6"/>
  <c r="X227" i="6"/>
  <c r="N227" i="6"/>
  <c r="C227" i="6"/>
  <c r="T227" i="6"/>
  <c r="G228" i="6"/>
  <c r="V228" i="6"/>
  <c r="L232" i="6"/>
  <c r="AF234" i="6"/>
  <c r="X234" i="6"/>
  <c r="P234" i="6"/>
  <c r="H234" i="6"/>
  <c r="Y234" i="6"/>
  <c r="O234" i="6"/>
  <c r="F234" i="6"/>
  <c r="AD234" i="6"/>
  <c r="U234" i="6"/>
  <c r="L234" i="6"/>
  <c r="C234" i="6"/>
  <c r="AC234" i="6"/>
  <c r="T234" i="6"/>
  <c r="S234" i="6"/>
  <c r="G234" i="6"/>
  <c r="R234" i="6"/>
  <c r="E234" i="6"/>
  <c r="AE234" i="6"/>
  <c r="Q234" i="6"/>
  <c r="D234" i="6"/>
  <c r="W234" i="6"/>
  <c r="D250" i="6"/>
  <c r="AB250" i="6"/>
  <c r="D260" i="6"/>
  <c r="AF262" i="6"/>
  <c r="X262" i="6"/>
  <c r="P262" i="6"/>
  <c r="H262" i="6"/>
  <c r="Y262" i="6"/>
  <c r="O262" i="6"/>
  <c r="F262" i="6"/>
  <c r="W262" i="6"/>
  <c r="N262" i="6"/>
  <c r="E262" i="6"/>
  <c r="AD262" i="6"/>
  <c r="U262" i="6"/>
  <c r="L262" i="6"/>
  <c r="C262" i="6"/>
  <c r="AC262" i="6"/>
  <c r="T262" i="6"/>
  <c r="K262" i="6"/>
  <c r="B262" i="6"/>
  <c r="AE262" i="6"/>
  <c r="M262" i="6"/>
  <c r="AB262" i="6"/>
  <c r="J262" i="6"/>
  <c r="AA262" i="6"/>
  <c r="I262" i="6"/>
  <c r="AE314" i="6"/>
  <c r="W314" i="6"/>
  <c r="O314" i="6"/>
  <c r="G314" i="6"/>
  <c r="AD314" i="6"/>
  <c r="V314" i="6"/>
  <c r="N314" i="6"/>
  <c r="F314" i="6"/>
  <c r="AA314" i="6"/>
  <c r="Q314" i="6"/>
  <c r="E314" i="6"/>
  <c r="Z314" i="6"/>
  <c r="P314" i="6"/>
  <c r="D314" i="6"/>
  <c r="X314" i="6"/>
  <c r="J314" i="6"/>
  <c r="U314" i="6"/>
  <c r="I314" i="6"/>
  <c r="S314" i="6"/>
  <c r="C314" i="6"/>
  <c r="AF314" i="6"/>
  <c r="R314" i="6"/>
  <c r="B314" i="6"/>
  <c r="Y314" i="6"/>
  <c r="T314" i="6"/>
  <c r="M314" i="6"/>
  <c r="H314" i="6"/>
  <c r="AE318" i="6"/>
  <c r="W318" i="6"/>
  <c r="O318" i="6"/>
  <c r="G318" i="6"/>
  <c r="AD318" i="6"/>
  <c r="V318" i="6"/>
  <c r="N318" i="6"/>
  <c r="F318" i="6"/>
  <c r="AA318" i="6"/>
  <c r="Q318" i="6"/>
  <c r="E318" i="6"/>
  <c r="Z318" i="6"/>
  <c r="P318" i="6"/>
  <c r="D318" i="6"/>
  <c r="X318" i="6"/>
  <c r="J318" i="6"/>
  <c r="U318" i="6"/>
  <c r="I318" i="6"/>
  <c r="S318" i="6"/>
  <c r="C318" i="6"/>
  <c r="AF318" i="6"/>
  <c r="R318" i="6"/>
  <c r="B318" i="6"/>
  <c r="AB318" i="6"/>
  <c r="Y318" i="6"/>
  <c r="T318" i="6"/>
  <c r="AC194" i="6"/>
  <c r="U194" i="6"/>
  <c r="M194" i="6"/>
  <c r="E194" i="6"/>
  <c r="AF194" i="6"/>
  <c r="W194" i="6"/>
  <c r="N194" i="6"/>
  <c r="D194" i="6"/>
  <c r="K194" i="6"/>
  <c r="V194" i="6"/>
  <c r="AC195" i="6"/>
  <c r="U195" i="6"/>
  <c r="M195" i="6"/>
  <c r="E195" i="6"/>
  <c r="AA195" i="6"/>
  <c r="R195" i="6"/>
  <c r="I195" i="6"/>
  <c r="K195" i="6"/>
  <c r="V195" i="6"/>
  <c r="AF195" i="6"/>
  <c r="G202" i="6"/>
  <c r="Q202" i="6"/>
  <c r="AA202" i="6"/>
  <c r="F203" i="6"/>
  <c r="P203" i="6"/>
  <c r="Z203" i="6"/>
  <c r="K228" i="6"/>
  <c r="AD228" i="6"/>
  <c r="AC232" i="6"/>
  <c r="U232" i="6"/>
  <c r="M232" i="6"/>
  <c r="E232" i="6"/>
  <c r="Z232" i="6"/>
  <c r="R232" i="6"/>
  <c r="J232" i="6"/>
  <c r="B232" i="6"/>
  <c r="AA232" i="6"/>
  <c r="P232" i="6"/>
  <c r="F232" i="6"/>
  <c r="Y232" i="6"/>
  <c r="O232" i="6"/>
  <c r="D232" i="6"/>
  <c r="X232" i="6"/>
  <c r="N232" i="6"/>
  <c r="C232" i="6"/>
  <c r="T232" i="6"/>
  <c r="AF240" i="6"/>
  <c r="X240" i="6"/>
  <c r="P240" i="6"/>
  <c r="H240" i="6"/>
  <c r="Y240" i="6"/>
  <c r="O240" i="6"/>
  <c r="F240" i="6"/>
  <c r="W240" i="6"/>
  <c r="N240" i="6"/>
  <c r="E240" i="6"/>
  <c r="AD240" i="6"/>
  <c r="U240" i="6"/>
  <c r="L240" i="6"/>
  <c r="C240" i="6"/>
  <c r="AC240" i="6"/>
  <c r="T240" i="6"/>
  <c r="K240" i="6"/>
  <c r="B240" i="6"/>
  <c r="AB240" i="6"/>
  <c r="J240" i="6"/>
  <c r="AA240" i="6"/>
  <c r="I240" i="6"/>
  <c r="Z240" i="6"/>
  <c r="G240" i="6"/>
  <c r="J250" i="6"/>
  <c r="R260" i="6"/>
  <c r="Y266" i="6"/>
  <c r="Q266" i="6"/>
  <c r="AF266" i="6"/>
  <c r="X266" i="6"/>
  <c r="P266" i="6"/>
  <c r="H266" i="6"/>
  <c r="AA266" i="6"/>
  <c r="O266" i="6"/>
  <c r="F266" i="6"/>
  <c r="Z266" i="6"/>
  <c r="N266" i="6"/>
  <c r="E266" i="6"/>
  <c r="V266" i="6"/>
  <c r="L266" i="6"/>
  <c r="C266" i="6"/>
  <c r="AE266" i="6"/>
  <c r="U266" i="6"/>
  <c r="K266" i="6"/>
  <c r="B266" i="6"/>
  <c r="S266" i="6"/>
  <c r="R266" i="6"/>
  <c r="M266" i="6"/>
  <c r="AC266" i="6"/>
  <c r="AE386" i="6"/>
  <c r="W386" i="6"/>
  <c r="O386" i="6"/>
  <c r="G386" i="6"/>
  <c r="X386" i="6"/>
  <c r="N386" i="6"/>
  <c r="E386" i="6"/>
  <c r="AF386" i="6"/>
  <c r="V386" i="6"/>
  <c r="M386" i="6"/>
  <c r="D386" i="6"/>
  <c r="U386" i="6"/>
  <c r="J386" i="6"/>
  <c r="T386" i="6"/>
  <c r="I386" i="6"/>
  <c r="AD386" i="6"/>
  <c r="S386" i="6"/>
  <c r="H386" i="6"/>
  <c r="P386" i="6"/>
  <c r="AC386" i="6"/>
  <c r="L386" i="6"/>
  <c r="AB386" i="6"/>
  <c r="K386" i="6"/>
  <c r="AA386" i="6"/>
  <c r="F386" i="6"/>
  <c r="Z386" i="6"/>
  <c r="R386" i="6"/>
  <c r="Q386" i="6"/>
  <c r="Y386" i="6"/>
  <c r="C386" i="6"/>
  <c r="B386" i="6"/>
  <c r="AF236" i="6"/>
  <c r="X236" i="6"/>
  <c r="P236" i="6"/>
  <c r="H236" i="6"/>
  <c r="Y236" i="6"/>
  <c r="O236" i="6"/>
  <c r="F236" i="6"/>
  <c r="W236" i="6"/>
  <c r="N236" i="6"/>
  <c r="E236" i="6"/>
  <c r="AD236" i="6"/>
  <c r="U236" i="6"/>
  <c r="L236" i="6"/>
  <c r="C236" i="6"/>
  <c r="AC236" i="6"/>
  <c r="T236" i="6"/>
  <c r="K236" i="6"/>
  <c r="B236" i="6"/>
  <c r="S236" i="6"/>
  <c r="AF256" i="6"/>
  <c r="X256" i="6"/>
  <c r="P256" i="6"/>
  <c r="H256" i="6"/>
  <c r="Y256" i="6"/>
  <c r="O256" i="6"/>
  <c r="F256" i="6"/>
  <c r="W256" i="6"/>
  <c r="N256" i="6"/>
  <c r="E256" i="6"/>
  <c r="AD256" i="6"/>
  <c r="U256" i="6"/>
  <c r="L256" i="6"/>
  <c r="C256" i="6"/>
  <c r="AC256" i="6"/>
  <c r="T256" i="6"/>
  <c r="K256" i="6"/>
  <c r="B256" i="6"/>
  <c r="S256" i="6"/>
  <c r="AE321" i="6"/>
  <c r="W321" i="6"/>
  <c r="O321" i="6"/>
  <c r="G321" i="6"/>
  <c r="AD321" i="6"/>
  <c r="V321" i="6"/>
  <c r="N321" i="6"/>
  <c r="F321" i="6"/>
  <c r="AA321" i="6"/>
  <c r="Q321" i="6"/>
  <c r="E321" i="6"/>
  <c r="Z321" i="6"/>
  <c r="P321" i="6"/>
  <c r="D321" i="6"/>
  <c r="AB321" i="6"/>
  <c r="L321" i="6"/>
  <c r="Y321" i="6"/>
  <c r="K321" i="6"/>
  <c r="U321" i="6"/>
  <c r="I321" i="6"/>
  <c r="T321" i="6"/>
  <c r="H321" i="6"/>
  <c r="AC321" i="6"/>
  <c r="AF235" i="6"/>
  <c r="X235" i="6"/>
  <c r="P235" i="6"/>
  <c r="H235" i="6"/>
  <c r="AC235" i="6"/>
  <c r="T235" i="6"/>
  <c r="K235" i="6"/>
  <c r="B235" i="6"/>
  <c r="AB235" i="6"/>
  <c r="S235" i="6"/>
  <c r="J235" i="6"/>
  <c r="Z235" i="6"/>
  <c r="Q235" i="6"/>
  <c r="G235" i="6"/>
  <c r="Y235" i="6"/>
  <c r="O235" i="6"/>
  <c r="F235" i="6"/>
  <c r="R235" i="6"/>
  <c r="D236" i="6"/>
  <c r="V236" i="6"/>
  <c r="AF254" i="6"/>
  <c r="X254" i="6"/>
  <c r="P254" i="6"/>
  <c r="H254" i="6"/>
  <c r="Y254" i="6"/>
  <c r="O254" i="6"/>
  <c r="F254" i="6"/>
  <c r="W254" i="6"/>
  <c r="N254" i="6"/>
  <c r="E254" i="6"/>
  <c r="AD254" i="6"/>
  <c r="U254" i="6"/>
  <c r="L254" i="6"/>
  <c r="C254" i="6"/>
  <c r="AC254" i="6"/>
  <c r="T254" i="6"/>
  <c r="K254" i="6"/>
  <c r="B254" i="6"/>
  <c r="S254" i="6"/>
  <c r="D256" i="6"/>
  <c r="V256" i="6"/>
  <c r="AE317" i="6"/>
  <c r="W317" i="6"/>
  <c r="O317" i="6"/>
  <c r="G317" i="6"/>
  <c r="AD317" i="6"/>
  <c r="V317" i="6"/>
  <c r="N317" i="6"/>
  <c r="F317" i="6"/>
  <c r="AA317" i="6"/>
  <c r="Q317" i="6"/>
  <c r="E317" i="6"/>
  <c r="Z317" i="6"/>
  <c r="P317" i="6"/>
  <c r="D317" i="6"/>
  <c r="AB317" i="6"/>
  <c r="L317" i="6"/>
  <c r="Y317" i="6"/>
  <c r="K317" i="6"/>
  <c r="U317" i="6"/>
  <c r="I317" i="6"/>
  <c r="T317" i="6"/>
  <c r="H317" i="6"/>
  <c r="AC317" i="6"/>
  <c r="B321" i="6"/>
  <c r="AF321" i="6"/>
  <c r="AE326" i="6"/>
  <c r="W326" i="6"/>
  <c r="O326" i="6"/>
  <c r="G326" i="6"/>
  <c r="AD326" i="6"/>
  <c r="V326" i="6"/>
  <c r="N326" i="6"/>
  <c r="F326" i="6"/>
  <c r="AA326" i="6"/>
  <c r="Q326" i="6"/>
  <c r="E326" i="6"/>
  <c r="Z326" i="6"/>
  <c r="P326" i="6"/>
  <c r="D326" i="6"/>
  <c r="X326" i="6"/>
  <c r="J326" i="6"/>
  <c r="U326" i="6"/>
  <c r="I326" i="6"/>
  <c r="S326" i="6"/>
  <c r="C326" i="6"/>
  <c r="AF326" i="6"/>
  <c r="R326" i="6"/>
  <c r="B326" i="6"/>
  <c r="AC326" i="6"/>
  <c r="AC215" i="6"/>
  <c r="U215" i="6"/>
  <c r="M215" i="6"/>
  <c r="E215" i="6"/>
  <c r="J215" i="6"/>
  <c r="S215" i="6"/>
  <c r="AB215" i="6"/>
  <c r="AC217" i="6"/>
  <c r="U217" i="6"/>
  <c r="M217" i="6"/>
  <c r="E217" i="6"/>
  <c r="J217" i="6"/>
  <c r="S217" i="6"/>
  <c r="AB217" i="6"/>
  <c r="AC219" i="6"/>
  <c r="U219" i="6"/>
  <c r="M219" i="6"/>
  <c r="E219" i="6"/>
  <c r="J219" i="6"/>
  <c r="S219" i="6"/>
  <c r="AB219" i="6"/>
  <c r="AC221" i="6"/>
  <c r="U221" i="6"/>
  <c r="M221" i="6"/>
  <c r="E221" i="6"/>
  <c r="J221" i="6"/>
  <c r="S221" i="6"/>
  <c r="AB221" i="6"/>
  <c r="AC223" i="6"/>
  <c r="U223" i="6"/>
  <c r="M223" i="6"/>
  <c r="E223" i="6"/>
  <c r="J223" i="6"/>
  <c r="S223" i="6"/>
  <c r="AB223" i="6"/>
  <c r="AC225" i="6"/>
  <c r="U225" i="6"/>
  <c r="M225" i="6"/>
  <c r="E225" i="6"/>
  <c r="J225" i="6"/>
  <c r="S225" i="6"/>
  <c r="AB225" i="6"/>
  <c r="C235" i="6"/>
  <c r="U235" i="6"/>
  <c r="G236" i="6"/>
  <c r="Z236" i="6"/>
  <c r="AF252" i="6"/>
  <c r="X252" i="6"/>
  <c r="P252" i="6"/>
  <c r="H252" i="6"/>
  <c r="Y252" i="6"/>
  <c r="O252" i="6"/>
  <c r="F252" i="6"/>
  <c r="W252" i="6"/>
  <c r="N252" i="6"/>
  <c r="E252" i="6"/>
  <c r="AD252" i="6"/>
  <c r="U252" i="6"/>
  <c r="L252" i="6"/>
  <c r="C252" i="6"/>
  <c r="AC252" i="6"/>
  <c r="T252" i="6"/>
  <c r="K252" i="6"/>
  <c r="B252" i="6"/>
  <c r="S252" i="6"/>
  <c r="D254" i="6"/>
  <c r="V254" i="6"/>
  <c r="G256" i="6"/>
  <c r="Z256" i="6"/>
  <c r="AE313" i="6"/>
  <c r="W313" i="6"/>
  <c r="O313" i="6"/>
  <c r="G313" i="6"/>
  <c r="AD313" i="6"/>
  <c r="V313" i="6"/>
  <c r="N313" i="6"/>
  <c r="F313" i="6"/>
  <c r="AA313" i="6"/>
  <c r="Q313" i="6"/>
  <c r="E313" i="6"/>
  <c r="Z313" i="6"/>
  <c r="P313" i="6"/>
  <c r="D313" i="6"/>
  <c r="AB313" i="6"/>
  <c r="L313" i="6"/>
  <c r="Y313" i="6"/>
  <c r="K313" i="6"/>
  <c r="U313" i="6"/>
  <c r="I313" i="6"/>
  <c r="T313" i="6"/>
  <c r="H313" i="6"/>
  <c r="AC313" i="6"/>
  <c r="B317" i="6"/>
  <c r="AF317" i="6"/>
  <c r="C321" i="6"/>
  <c r="AE322" i="6"/>
  <c r="W322" i="6"/>
  <c r="O322" i="6"/>
  <c r="G322" i="6"/>
  <c r="AD322" i="6"/>
  <c r="V322" i="6"/>
  <c r="N322" i="6"/>
  <c r="F322" i="6"/>
  <c r="AA322" i="6"/>
  <c r="Q322" i="6"/>
  <c r="E322" i="6"/>
  <c r="Z322" i="6"/>
  <c r="P322" i="6"/>
  <c r="D322" i="6"/>
  <c r="X322" i="6"/>
  <c r="J322" i="6"/>
  <c r="U322" i="6"/>
  <c r="I322" i="6"/>
  <c r="S322" i="6"/>
  <c r="C322" i="6"/>
  <c r="AF322" i="6"/>
  <c r="R322" i="6"/>
  <c r="B322" i="6"/>
  <c r="AC322" i="6"/>
  <c r="H326" i="6"/>
  <c r="AE315" i="6"/>
  <c r="W315" i="6"/>
  <c r="O315" i="6"/>
  <c r="G315" i="6"/>
  <c r="AD315" i="6"/>
  <c r="V315" i="6"/>
  <c r="N315" i="6"/>
  <c r="F315" i="6"/>
  <c r="AA315" i="6"/>
  <c r="Q315" i="6"/>
  <c r="E315" i="6"/>
  <c r="Z315" i="6"/>
  <c r="P315" i="6"/>
  <c r="D315" i="6"/>
  <c r="M315" i="6"/>
  <c r="AC315" i="6"/>
  <c r="AE319" i="6"/>
  <c r="W319" i="6"/>
  <c r="O319" i="6"/>
  <c r="G319" i="6"/>
  <c r="AD319" i="6"/>
  <c r="V319" i="6"/>
  <c r="N319" i="6"/>
  <c r="F319" i="6"/>
  <c r="AA319" i="6"/>
  <c r="Q319" i="6"/>
  <c r="E319" i="6"/>
  <c r="Z319" i="6"/>
  <c r="P319" i="6"/>
  <c r="D319" i="6"/>
  <c r="M319" i="6"/>
  <c r="AC319" i="6"/>
  <c r="AE323" i="6"/>
  <c r="W323" i="6"/>
  <c r="O323" i="6"/>
  <c r="G323" i="6"/>
  <c r="AD323" i="6"/>
  <c r="V323" i="6"/>
  <c r="N323" i="6"/>
  <c r="F323" i="6"/>
  <c r="AA323" i="6"/>
  <c r="Q323" i="6"/>
  <c r="E323" i="6"/>
  <c r="Z323" i="6"/>
  <c r="P323" i="6"/>
  <c r="D323" i="6"/>
  <c r="M323" i="6"/>
  <c r="AC323" i="6"/>
  <c r="AE327" i="6"/>
  <c r="W327" i="6"/>
  <c r="O327" i="6"/>
  <c r="G327" i="6"/>
  <c r="AD327" i="6"/>
  <c r="V327" i="6"/>
  <c r="N327" i="6"/>
  <c r="F327" i="6"/>
  <c r="AA327" i="6"/>
  <c r="Q327" i="6"/>
  <c r="E327" i="6"/>
  <c r="Z327" i="6"/>
  <c r="P327" i="6"/>
  <c r="D327" i="6"/>
  <c r="M327" i="6"/>
  <c r="AC327" i="6"/>
  <c r="AF237" i="6"/>
  <c r="X237" i="6"/>
  <c r="P237" i="6"/>
  <c r="H237" i="6"/>
  <c r="J237" i="6"/>
  <c r="S237" i="6"/>
  <c r="AB237" i="6"/>
  <c r="AF239" i="6"/>
  <c r="X239" i="6"/>
  <c r="P239" i="6"/>
  <c r="H239" i="6"/>
  <c r="J239" i="6"/>
  <c r="S239" i="6"/>
  <c r="AB239" i="6"/>
  <c r="AF245" i="6"/>
  <c r="X245" i="6"/>
  <c r="P245" i="6"/>
  <c r="H245" i="6"/>
  <c r="J245" i="6"/>
  <c r="S245" i="6"/>
  <c r="AB245" i="6"/>
  <c r="AF247" i="6"/>
  <c r="X247" i="6"/>
  <c r="P247" i="6"/>
  <c r="H247" i="6"/>
  <c r="J247" i="6"/>
  <c r="S247" i="6"/>
  <c r="AB247" i="6"/>
  <c r="AF249" i="6"/>
  <c r="X249" i="6"/>
  <c r="P249" i="6"/>
  <c r="H249" i="6"/>
  <c r="J249" i="6"/>
  <c r="S249" i="6"/>
  <c r="AB249" i="6"/>
  <c r="AF251" i="6"/>
  <c r="X251" i="6"/>
  <c r="P251" i="6"/>
  <c r="H251" i="6"/>
  <c r="J251" i="6"/>
  <c r="S251" i="6"/>
  <c r="AB251" i="6"/>
  <c r="AF253" i="6"/>
  <c r="X253" i="6"/>
  <c r="P253" i="6"/>
  <c r="H253" i="6"/>
  <c r="J253" i="6"/>
  <c r="S253" i="6"/>
  <c r="AB253" i="6"/>
  <c r="AF255" i="6"/>
  <c r="X255" i="6"/>
  <c r="P255" i="6"/>
  <c r="H255" i="6"/>
  <c r="J255" i="6"/>
  <c r="S255" i="6"/>
  <c r="AB255" i="6"/>
  <c r="AF257" i="6"/>
  <c r="X257" i="6"/>
  <c r="P257" i="6"/>
  <c r="H257" i="6"/>
  <c r="J257" i="6"/>
  <c r="S257" i="6"/>
  <c r="AB257" i="6"/>
  <c r="AF259" i="6"/>
  <c r="X259" i="6"/>
  <c r="P259" i="6"/>
  <c r="H259" i="6"/>
  <c r="J259" i="6"/>
  <c r="S259" i="6"/>
  <c r="AB259" i="6"/>
  <c r="AF261" i="6"/>
  <c r="X261" i="6"/>
  <c r="P261" i="6"/>
  <c r="H261" i="6"/>
  <c r="J261" i="6"/>
  <c r="S261" i="6"/>
  <c r="AB261" i="6"/>
  <c r="AF263" i="6"/>
  <c r="X263" i="6"/>
  <c r="P263" i="6"/>
  <c r="H263" i="6"/>
  <c r="J263" i="6"/>
  <c r="S263" i="6"/>
  <c r="AB263" i="6"/>
  <c r="AF265" i="6"/>
  <c r="X265" i="6"/>
  <c r="P265" i="6"/>
  <c r="H265" i="6"/>
  <c r="J265" i="6"/>
  <c r="S265" i="6"/>
  <c r="AB265" i="6"/>
  <c r="AE308" i="6"/>
  <c r="W308" i="6"/>
  <c r="O308" i="6"/>
  <c r="G308" i="6"/>
  <c r="AD308" i="6"/>
  <c r="V308" i="6"/>
  <c r="N308" i="6"/>
  <c r="F308" i="6"/>
  <c r="AA308" i="6"/>
  <c r="Q308" i="6"/>
  <c r="E308" i="6"/>
  <c r="Z308" i="6"/>
  <c r="P308" i="6"/>
  <c r="D308" i="6"/>
  <c r="M308" i="6"/>
  <c r="AC308" i="6"/>
  <c r="C315" i="6"/>
  <c r="S315" i="6"/>
  <c r="AE316" i="6"/>
  <c r="W316" i="6"/>
  <c r="O316" i="6"/>
  <c r="G316" i="6"/>
  <c r="AD316" i="6"/>
  <c r="V316" i="6"/>
  <c r="N316" i="6"/>
  <c r="F316" i="6"/>
  <c r="AA316" i="6"/>
  <c r="Q316" i="6"/>
  <c r="E316" i="6"/>
  <c r="Z316" i="6"/>
  <c r="P316" i="6"/>
  <c r="D316" i="6"/>
  <c r="M316" i="6"/>
  <c r="AC316" i="6"/>
  <c r="C319" i="6"/>
  <c r="S319" i="6"/>
  <c r="AE320" i="6"/>
  <c r="W320" i="6"/>
  <c r="O320" i="6"/>
  <c r="G320" i="6"/>
  <c r="AD320" i="6"/>
  <c r="V320" i="6"/>
  <c r="N320" i="6"/>
  <c r="F320" i="6"/>
  <c r="AA320" i="6"/>
  <c r="Q320" i="6"/>
  <c r="E320" i="6"/>
  <c r="Z320" i="6"/>
  <c r="P320" i="6"/>
  <c r="D320" i="6"/>
  <c r="M320" i="6"/>
  <c r="AC320" i="6"/>
  <c r="C323" i="6"/>
  <c r="S323" i="6"/>
  <c r="AE324" i="6"/>
  <c r="W324" i="6"/>
  <c r="O324" i="6"/>
  <c r="G324" i="6"/>
  <c r="AD324" i="6"/>
  <c r="V324" i="6"/>
  <c r="N324" i="6"/>
  <c r="F324" i="6"/>
  <c r="AA324" i="6"/>
  <c r="Q324" i="6"/>
  <c r="E324" i="6"/>
  <c r="Z324" i="6"/>
  <c r="P324" i="6"/>
  <c r="D324" i="6"/>
  <c r="M324" i="6"/>
  <c r="AC324" i="6"/>
  <c r="C327" i="6"/>
  <c r="S327" i="6"/>
  <c r="AE328" i="6"/>
  <c r="W328" i="6"/>
  <c r="O328" i="6"/>
  <c r="G328" i="6"/>
  <c r="AD328" i="6"/>
  <c r="V328" i="6"/>
  <c r="N328" i="6"/>
  <c r="F328" i="6"/>
  <c r="AA328" i="6"/>
  <c r="Q328" i="6"/>
  <c r="E328" i="6"/>
  <c r="Z328" i="6"/>
  <c r="P328" i="6"/>
  <c r="D328" i="6"/>
  <c r="M328" i="6"/>
  <c r="AC328" i="6"/>
  <c r="H315" i="6"/>
  <c r="T315" i="6"/>
  <c r="H319" i="6"/>
  <c r="T319" i="6"/>
  <c r="H323" i="6"/>
  <c r="T323" i="6"/>
  <c r="H327" i="6"/>
  <c r="T327" i="6"/>
  <c r="AF410" i="6"/>
  <c r="X410" i="6"/>
  <c r="P410" i="6"/>
  <c r="H410" i="6"/>
  <c r="AE410" i="6"/>
  <c r="W410" i="6"/>
  <c r="O410" i="6"/>
  <c r="G410" i="6"/>
  <c r="AD410" i="6"/>
  <c r="V410" i="6"/>
  <c r="N410" i="6"/>
  <c r="F410" i="6"/>
  <c r="AC410" i="6"/>
  <c r="R410" i="6"/>
  <c r="D410" i="6"/>
  <c r="AB410" i="6"/>
  <c r="Q410" i="6"/>
  <c r="C410" i="6"/>
  <c r="AA410" i="6"/>
  <c r="M410" i="6"/>
  <c r="B410" i="6"/>
  <c r="Z410" i="6"/>
  <c r="I410" i="6"/>
  <c r="Y410" i="6"/>
  <c r="E410" i="6"/>
  <c r="S410" i="6"/>
  <c r="L410" i="6"/>
  <c r="K410" i="6"/>
  <c r="AF406" i="6"/>
  <c r="X406" i="6"/>
  <c r="P406" i="6"/>
  <c r="H406" i="6"/>
  <c r="AE406" i="6"/>
  <c r="W406" i="6"/>
  <c r="O406" i="6"/>
  <c r="G406" i="6"/>
  <c r="AD406" i="6"/>
  <c r="V406" i="6"/>
  <c r="N406" i="6"/>
  <c r="F406" i="6"/>
  <c r="AC406" i="6"/>
  <c r="R406" i="6"/>
  <c r="D406" i="6"/>
  <c r="AB406" i="6"/>
  <c r="Q406" i="6"/>
  <c r="C406" i="6"/>
  <c r="AA406" i="6"/>
  <c r="M406" i="6"/>
  <c r="B406" i="6"/>
  <c r="K406" i="6"/>
  <c r="J406" i="6"/>
  <c r="U406" i="6"/>
  <c r="T406" i="6"/>
  <c r="S406" i="6"/>
  <c r="J410" i="6"/>
  <c r="H267" i="6"/>
  <c r="P267" i="6"/>
  <c r="X267" i="6"/>
  <c r="AF267" i="6"/>
  <c r="H268" i="6"/>
  <c r="P268" i="6"/>
  <c r="X268" i="6"/>
  <c r="AF268" i="6"/>
  <c r="H269" i="6"/>
  <c r="P269" i="6"/>
  <c r="X269" i="6"/>
  <c r="AF269" i="6"/>
  <c r="H270" i="6"/>
  <c r="P270" i="6"/>
  <c r="X270" i="6"/>
  <c r="AF270" i="6"/>
  <c r="H271" i="6"/>
  <c r="P271" i="6"/>
  <c r="X271" i="6"/>
  <c r="AF271" i="6"/>
  <c r="H272" i="6"/>
  <c r="P272" i="6"/>
  <c r="X272" i="6"/>
  <c r="AF272" i="6"/>
  <c r="H273" i="6"/>
  <c r="P273" i="6"/>
  <c r="X273" i="6"/>
  <c r="AF273" i="6"/>
  <c r="H274" i="6"/>
  <c r="P274" i="6"/>
  <c r="X274" i="6"/>
  <c r="AF274" i="6"/>
  <c r="H279" i="6"/>
  <c r="P279" i="6"/>
  <c r="X279" i="6"/>
  <c r="AF279" i="6"/>
  <c r="H280" i="6"/>
  <c r="P280" i="6"/>
  <c r="X280" i="6"/>
  <c r="AF280" i="6"/>
  <c r="H281" i="6"/>
  <c r="P281" i="6"/>
  <c r="X281" i="6"/>
  <c r="AF281" i="6"/>
  <c r="H282" i="6"/>
  <c r="P282" i="6"/>
  <c r="X282" i="6"/>
  <c r="AF282" i="6"/>
  <c r="H283" i="6"/>
  <c r="P283" i="6"/>
  <c r="X283" i="6"/>
  <c r="AF283" i="6"/>
  <c r="H284" i="6"/>
  <c r="P284" i="6"/>
  <c r="X284" i="6"/>
  <c r="AF284" i="6"/>
  <c r="H285" i="6"/>
  <c r="P285" i="6"/>
  <c r="X285" i="6"/>
  <c r="AF285" i="6"/>
  <c r="H286" i="6"/>
  <c r="P286" i="6"/>
  <c r="X286" i="6"/>
  <c r="AF286" i="6"/>
  <c r="H287" i="6"/>
  <c r="P287" i="6"/>
  <c r="X287" i="6"/>
  <c r="AF287" i="6"/>
  <c r="H288" i="6"/>
  <c r="P288" i="6"/>
  <c r="X288" i="6"/>
  <c r="AF288" i="6"/>
  <c r="H289" i="6"/>
  <c r="P289" i="6"/>
  <c r="X289" i="6"/>
  <c r="AF289" i="6"/>
  <c r="H290" i="6"/>
  <c r="P290" i="6"/>
  <c r="X290" i="6"/>
  <c r="AF290" i="6"/>
  <c r="H291" i="6"/>
  <c r="P291" i="6"/>
  <c r="X291" i="6"/>
  <c r="AF291" i="6"/>
  <c r="H292" i="6"/>
  <c r="P292" i="6"/>
  <c r="X292" i="6"/>
  <c r="AF292" i="6"/>
  <c r="H293" i="6"/>
  <c r="P293" i="6"/>
  <c r="X293" i="6"/>
  <c r="AF293" i="6"/>
  <c r="H294" i="6"/>
  <c r="P294" i="6"/>
  <c r="X294" i="6"/>
  <c r="AF294" i="6"/>
  <c r="H295" i="6"/>
  <c r="P295" i="6"/>
  <c r="X295" i="6"/>
  <c r="AF295" i="6"/>
  <c r="H296" i="6"/>
  <c r="P296" i="6"/>
  <c r="X296" i="6"/>
  <c r="AF296" i="6"/>
  <c r="H297" i="6"/>
  <c r="P297" i="6"/>
  <c r="X297" i="6"/>
  <c r="AF297" i="6"/>
  <c r="H298" i="6"/>
  <c r="P298" i="6"/>
  <c r="X298" i="6"/>
  <c r="AF298" i="6"/>
  <c r="H299" i="6"/>
  <c r="P299" i="6"/>
  <c r="X299" i="6"/>
  <c r="AF299" i="6"/>
  <c r="H300" i="6"/>
  <c r="P300" i="6"/>
  <c r="X300" i="6"/>
  <c r="AF300" i="6"/>
  <c r="H301" i="6"/>
  <c r="P301" i="6"/>
  <c r="X301" i="6"/>
  <c r="AF301" i="6"/>
  <c r="H302" i="6"/>
  <c r="P302" i="6"/>
  <c r="X302" i="6"/>
  <c r="AF302" i="6"/>
  <c r="H303" i="6"/>
  <c r="P303" i="6"/>
  <c r="X303" i="6"/>
  <c r="AF303" i="6"/>
  <c r="H304" i="6"/>
  <c r="P304" i="6"/>
  <c r="X304" i="6"/>
  <c r="AF304" i="6"/>
  <c r="H305" i="6"/>
  <c r="P305" i="6"/>
  <c r="X305" i="6"/>
  <c r="AF305" i="6"/>
  <c r="H306" i="6"/>
  <c r="P306" i="6"/>
  <c r="X306" i="6"/>
  <c r="AF306" i="6"/>
  <c r="H307" i="6"/>
  <c r="Q307" i="6"/>
  <c r="E406" i="6"/>
  <c r="T410" i="6"/>
  <c r="I267" i="6"/>
  <c r="Q267" i="6"/>
  <c r="I268" i="6"/>
  <c r="Q268" i="6"/>
  <c r="I269" i="6"/>
  <c r="Q269" i="6"/>
  <c r="I270" i="6"/>
  <c r="Q270" i="6"/>
  <c r="I271" i="6"/>
  <c r="Q271" i="6"/>
  <c r="I272" i="6"/>
  <c r="Q272" i="6"/>
  <c r="I273" i="6"/>
  <c r="Q273" i="6"/>
  <c r="I274" i="6"/>
  <c r="Q274" i="6"/>
  <c r="I279" i="6"/>
  <c r="Q279" i="6"/>
  <c r="I280" i="6"/>
  <c r="Q280" i="6"/>
  <c r="I281" i="6"/>
  <c r="Q281" i="6"/>
  <c r="I282" i="6"/>
  <c r="Q282" i="6"/>
  <c r="I283" i="6"/>
  <c r="Q283" i="6"/>
  <c r="I284" i="6"/>
  <c r="Q284" i="6"/>
  <c r="I285" i="6"/>
  <c r="Q285" i="6"/>
  <c r="I286" i="6"/>
  <c r="Q286" i="6"/>
  <c r="I287" i="6"/>
  <c r="Q287" i="6"/>
  <c r="I288" i="6"/>
  <c r="Q288" i="6"/>
  <c r="I289" i="6"/>
  <c r="Q289" i="6"/>
  <c r="I290" i="6"/>
  <c r="Q290" i="6"/>
  <c r="I291" i="6"/>
  <c r="Q291" i="6"/>
  <c r="I292" i="6"/>
  <c r="Q292" i="6"/>
  <c r="I293" i="6"/>
  <c r="Q293" i="6"/>
  <c r="I294" i="6"/>
  <c r="Q294" i="6"/>
  <c r="I295" i="6"/>
  <c r="Q295" i="6"/>
  <c r="I296" i="6"/>
  <c r="Q296" i="6"/>
  <c r="I297" i="6"/>
  <c r="Q297" i="6"/>
  <c r="I298" i="6"/>
  <c r="Q298" i="6"/>
  <c r="I299" i="6"/>
  <c r="Q299" i="6"/>
  <c r="I300" i="6"/>
  <c r="Q300" i="6"/>
  <c r="I301" i="6"/>
  <c r="Q301" i="6"/>
  <c r="I302" i="6"/>
  <c r="Q302" i="6"/>
  <c r="I303" i="6"/>
  <c r="Q303" i="6"/>
  <c r="I304" i="6"/>
  <c r="Q304" i="6"/>
  <c r="I305" i="6"/>
  <c r="Q305" i="6"/>
  <c r="I306" i="6"/>
  <c r="Q306" i="6"/>
  <c r="AE307" i="6"/>
  <c r="W307" i="6"/>
  <c r="O307" i="6"/>
  <c r="AD307" i="6"/>
  <c r="I307" i="6"/>
  <c r="R307" i="6"/>
  <c r="AA307" i="6"/>
  <c r="AF403" i="6"/>
  <c r="X403" i="6"/>
  <c r="P403" i="6"/>
  <c r="H403" i="6"/>
  <c r="AE403" i="6"/>
  <c r="W403" i="6"/>
  <c r="O403" i="6"/>
  <c r="G403" i="6"/>
  <c r="AD403" i="6"/>
  <c r="V403" i="6"/>
  <c r="N403" i="6"/>
  <c r="F403" i="6"/>
  <c r="Y403" i="6"/>
  <c r="K403" i="6"/>
  <c r="U403" i="6"/>
  <c r="J403" i="6"/>
  <c r="T403" i="6"/>
  <c r="I403" i="6"/>
  <c r="AA403" i="6"/>
  <c r="D403" i="6"/>
  <c r="Z403" i="6"/>
  <c r="C403" i="6"/>
  <c r="L403" i="6"/>
  <c r="E403" i="6"/>
  <c r="AC403" i="6"/>
  <c r="B403" i="6"/>
  <c r="I406" i="6"/>
  <c r="U410" i="6"/>
  <c r="AE384" i="6"/>
  <c r="W384" i="6"/>
  <c r="O384" i="6"/>
  <c r="G384" i="6"/>
  <c r="X384" i="6"/>
  <c r="N384" i="6"/>
  <c r="E384" i="6"/>
  <c r="AF384" i="6"/>
  <c r="V384" i="6"/>
  <c r="M384" i="6"/>
  <c r="D384" i="6"/>
  <c r="L384" i="6"/>
  <c r="Z384" i="6"/>
  <c r="AF404" i="6"/>
  <c r="X404" i="6"/>
  <c r="P404" i="6"/>
  <c r="H404" i="6"/>
  <c r="AE404" i="6"/>
  <c r="W404" i="6"/>
  <c r="O404" i="6"/>
  <c r="G404" i="6"/>
  <c r="AD404" i="6"/>
  <c r="V404" i="6"/>
  <c r="N404" i="6"/>
  <c r="F404" i="6"/>
  <c r="AC404" i="6"/>
  <c r="R404" i="6"/>
  <c r="D404" i="6"/>
  <c r="AB404" i="6"/>
  <c r="Q404" i="6"/>
  <c r="C404" i="6"/>
  <c r="AA404" i="6"/>
  <c r="M404" i="6"/>
  <c r="B404" i="6"/>
  <c r="L404" i="6"/>
  <c r="K404" i="6"/>
  <c r="Z404" i="6"/>
  <c r="B384" i="6"/>
  <c r="P384" i="6"/>
  <c r="AA384" i="6"/>
  <c r="AE388" i="6"/>
  <c r="W388" i="6"/>
  <c r="O388" i="6"/>
  <c r="G388" i="6"/>
  <c r="X388" i="6"/>
  <c r="N388" i="6"/>
  <c r="E388" i="6"/>
  <c r="AF388" i="6"/>
  <c r="V388" i="6"/>
  <c r="M388" i="6"/>
  <c r="D388" i="6"/>
  <c r="L388" i="6"/>
  <c r="Z388" i="6"/>
  <c r="E404" i="6"/>
  <c r="AF405" i="6"/>
  <c r="X405" i="6"/>
  <c r="P405" i="6"/>
  <c r="H405" i="6"/>
  <c r="AE405" i="6"/>
  <c r="W405" i="6"/>
  <c r="O405" i="6"/>
  <c r="G405" i="6"/>
  <c r="AD405" i="6"/>
  <c r="V405" i="6"/>
  <c r="N405" i="6"/>
  <c r="F405" i="6"/>
  <c r="Y405" i="6"/>
  <c r="K405" i="6"/>
  <c r="U405" i="6"/>
  <c r="J405" i="6"/>
  <c r="T405" i="6"/>
  <c r="I405" i="6"/>
  <c r="Z405" i="6"/>
  <c r="C405" i="6"/>
  <c r="S405" i="6"/>
  <c r="B405" i="6"/>
  <c r="AB405" i="6"/>
  <c r="AF408" i="6"/>
  <c r="X408" i="6"/>
  <c r="P408" i="6"/>
  <c r="H408" i="6"/>
  <c r="AE408" i="6"/>
  <c r="W408" i="6"/>
  <c r="O408" i="6"/>
  <c r="G408" i="6"/>
  <c r="AD408" i="6"/>
  <c r="V408" i="6"/>
  <c r="N408" i="6"/>
  <c r="F408" i="6"/>
  <c r="AC408" i="6"/>
  <c r="R408" i="6"/>
  <c r="D408" i="6"/>
  <c r="AB408" i="6"/>
  <c r="Q408" i="6"/>
  <c r="C408" i="6"/>
  <c r="AA408" i="6"/>
  <c r="M408" i="6"/>
  <c r="B408" i="6"/>
  <c r="J408" i="6"/>
  <c r="Z408" i="6"/>
  <c r="I408" i="6"/>
  <c r="I330" i="6"/>
  <c r="Q330" i="6"/>
  <c r="Y330" i="6"/>
  <c r="I331" i="6"/>
  <c r="Q331" i="6"/>
  <c r="Y331" i="6"/>
  <c r="I332" i="6"/>
  <c r="Q332" i="6"/>
  <c r="Y332" i="6"/>
  <c r="I333" i="6"/>
  <c r="Q333" i="6"/>
  <c r="Y333" i="6"/>
  <c r="I334" i="6"/>
  <c r="Q334" i="6"/>
  <c r="I335" i="6"/>
  <c r="Q335" i="6"/>
  <c r="I336" i="6"/>
  <c r="Q336" i="6"/>
  <c r="Y336" i="6"/>
  <c r="I337" i="6"/>
  <c r="Q337" i="6"/>
  <c r="Y337" i="6"/>
  <c r="I338" i="6"/>
  <c r="Q338" i="6"/>
  <c r="Y338" i="6"/>
  <c r="I339" i="6"/>
  <c r="Q339" i="6"/>
  <c r="Y339" i="6"/>
  <c r="I340" i="6"/>
  <c r="Q340" i="6"/>
  <c r="Y340" i="6"/>
  <c r="I341" i="6"/>
  <c r="Q341" i="6"/>
  <c r="Y341" i="6"/>
  <c r="I342" i="6"/>
  <c r="Q342" i="6"/>
  <c r="Y342" i="6"/>
  <c r="I347" i="6"/>
  <c r="Q347" i="6"/>
  <c r="Y347" i="6"/>
  <c r="I348" i="6"/>
  <c r="Q348" i="6"/>
  <c r="Y348" i="6"/>
  <c r="I349" i="6"/>
  <c r="Q349" i="6"/>
  <c r="Y349" i="6"/>
  <c r="I350" i="6"/>
  <c r="Q350" i="6"/>
  <c r="Y350" i="6"/>
  <c r="I351" i="6"/>
  <c r="Q351" i="6"/>
  <c r="Y351" i="6"/>
  <c r="I352" i="6"/>
  <c r="Q352" i="6"/>
  <c r="I353" i="6"/>
  <c r="Q353" i="6"/>
  <c r="I354" i="6"/>
  <c r="Q354" i="6"/>
  <c r="I355" i="6"/>
  <c r="Q355" i="6"/>
  <c r="I356" i="6"/>
  <c r="Q356" i="6"/>
  <c r="I357" i="6"/>
  <c r="Q357" i="6"/>
  <c r="I358" i="6"/>
  <c r="Q358" i="6"/>
  <c r="Y358" i="6"/>
  <c r="I359" i="6"/>
  <c r="Q359" i="6"/>
  <c r="Y359" i="6"/>
  <c r="I360" i="6"/>
  <c r="Q360" i="6"/>
  <c r="Y360" i="6"/>
  <c r="I361" i="6"/>
  <c r="Q361" i="6"/>
  <c r="Y361" i="6"/>
  <c r="I362" i="6"/>
  <c r="Q362" i="6"/>
  <c r="Y362" i="6"/>
  <c r="I363" i="6"/>
  <c r="Q363" i="6"/>
  <c r="Y363" i="6"/>
  <c r="I364" i="6"/>
  <c r="Q364" i="6"/>
  <c r="Y364" i="6"/>
  <c r="I365" i="6"/>
  <c r="Q365" i="6"/>
  <c r="Y365" i="6"/>
  <c r="I366" i="6"/>
  <c r="Q366" i="6"/>
  <c r="Y366" i="6"/>
  <c r="I367" i="6"/>
  <c r="Q367" i="6"/>
  <c r="Y367" i="6"/>
  <c r="I368" i="6"/>
  <c r="Q368" i="6"/>
  <c r="Y368" i="6"/>
  <c r="I369" i="6"/>
  <c r="Q369" i="6"/>
  <c r="Y369" i="6"/>
  <c r="I370" i="6"/>
  <c r="Q370" i="6"/>
  <c r="Y370" i="6"/>
  <c r="I371" i="6"/>
  <c r="Q371" i="6"/>
  <c r="I372" i="6"/>
  <c r="Q372" i="6"/>
  <c r="Y372" i="6"/>
  <c r="I373" i="6"/>
  <c r="Q373" i="6"/>
  <c r="Y373" i="6"/>
  <c r="I374" i="6"/>
  <c r="Q374" i="6"/>
  <c r="Y374" i="6"/>
  <c r="I375" i="6"/>
  <c r="Q375" i="6"/>
  <c r="Y375" i="6"/>
  <c r="I376" i="6"/>
  <c r="Q376" i="6"/>
  <c r="Y376" i="6"/>
  <c r="I381" i="6"/>
  <c r="Q381" i="6"/>
  <c r="Y381" i="6"/>
  <c r="I382" i="6"/>
  <c r="Q382" i="6"/>
  <c r="Y382" i="6"/>
  <c r="AE383" i="6"/>
  <c r="W383" i="6"/>
  <c r="O383" i="6"/>
  <c r="I383" i="6"/>
  <c r="R383" i="6"/>
  <c r="AA383" i="6"/>
  <c r="I385" i="6"/>
  <c r="R385" i="6"/>
  <c r="AF407" i="6"/>
  <c r="X407" i="6"/>
  <c r="P407" i="6"/>
  <c r="H407" i="6"/>
  <c r="AE407" i="6"/>
  <c r="W407" i="6"/>
  <c r="O407" i="6"/>
  <c r="G407" i="6"/>
  <c r="AD407" i="6"/>
  <c r="V407" i="6"/>
  <c r="N407" i="6"/>
  <c r="F407" i="6"/>
  <c r="Y407" i="6"/>
  <c r="K407" i="6"/>
  <c r="U407" i="6"/>
  <c r="J407" i="6"/>
  <c r="T407" i="6"/>
  <c r="I407" i="6"/>
  <c r="R407" i="6"/>
  <c r="R330" i="6"/>
  <c r="B336" i="6"/>
  <c r="J336" i="6"/>
  <c r="R336" i="6"/>
  <c r="B337" i="6"/>
  <c r="J337" i="6"/>
  <c r="R337" i="6"/>
  <c r="B338" i="6"/>
  <c r="J338" i="6"/>
  <c r="R338" i="6"/>
  <c r="B339" i="6"/>
  <c r="J339" i="6"/>
  <c r="R339" i="6"/>
  <c r="R340" i="6"/>
  <c r="R341" i="6"/>
  <c r="B347" i="6"/>
  <c r="J347" i="6"/>
  <c r="R347" i="6"/>
  <c r="B348" i="6"/>
  <c r="J348" i="6"/>
  <c r="R348" i="6"/>
  <c r="J359" i="6"/>
  <c r="R359" i="6"/>
  <c r="J360" i="6"/>
  <c r="R360" i="6"/>
  <c r="B361" i="6"/>
  <c r="J361" i="6"/>
  <c r="R361" i="6"/>
  <c r="J362" i="6"/>
  <c r="R362" i="6"/>
  <c r="J363" i="6"/>
  <c r="R363" i="6"/>
  <c r="J364" i="6"/>
  <c r="R364" i="6"/>
  <c r="J365" i="6"/>
  <c r="R365" i="6"/>
  <c r="B367" i="6"/>
  <c r="J367" i="6"/>
  <c r="R367" i="6"/>
  <c r="B368" i="6"/>
  <c r="J368" i="6"/>
  <c r="R368" i="6"/>
  <c r="J369" i="6"/>
  <c r="R369" i="6"/>
  <c r="J372" i="6"/>
  <c r="R372" i="6"/>
  <c r="B373" i="6"/>
  <c r="J373" i="6"/>
  <c r="R373" i="6"/>
  <c r="B374" i="6"/>
  <c r="J374" i="6"/>
  <c r="R374" i="6"/>
  <c r="B375" i="6"/>
  <c r="J375" i="6"/>
  <c r="R375" i="6"/>
  <c r="B376" i="6"/>
  <c r="J376" i="6"/>
  <c r="R376" i="6"/>
  <c r="B381" i="6"/>
  <c r="J381" i="6"/>
  <c r="R381" i="6"/>
  <c r="B382" i="6"/>
  <c r="J382" i="6"/>
  <c r="R382" i="6"/>
  <c r="B383" i="6"/>
  <c r="J383" i="6"/>
  <c r="S383" i="6"/>
  <c r="AB383" i="6"/>
  <c r="AE385" i="6"/>
  <c r="W385" i="6"/>
  <c r="O385" i="6"/>
  <c r="G385" i="6"/>
  <c r="J385" i="6"/>
  <c r="S385" i="6"/>
  <c r="AB385" i="6"/>
  <c r="AE387" i="6"/>
  <c r="W387" i="6"/>
  <c r="O387" i="6"/>
  <c r="G387" i="6"/>
  <c r="J387" i="6"/>
  <c r="S387" i="6"/>
  <c r="AB387" i="6"/>
  <c r="AF389" i="6"/>
  <c r="X389" i="6"/>
  <c r="P389" i="6"/>
  <c r="H389" i="6"/>
  <c r="AE389" i="6"/>
  <c r="W389" i="6"/>
  <c r="O389" i="6"/>
  <c r="G389" i="6"/>
  <c r="K389" i="6"/>
  <c r="U389" i="6"/>
  <c r="AF409" i="6"/>
  <c r="X409" i="6"/>
  <c r="P409" i="6"/>
  <c r="H409" i="6"/>
  <c r="AE409" i="6"/>
  <c r="W409" i="6"/>
  <c r="O409" i="6"/>
  <c r="G409" i="6"/>
  <c r="AD409" i="6"/>
  <c r="V409" i="6"/>
  <c r="N409" i="6"/>
  <c r="F409" i="6"/>
  <c r="Y409" i="6"/>
  <c r="K409" i="6"/>
  <c r="U409" i="6"/>
  <c r="J409" i="6"/>
  <c r="T409" i="6"/>
  <c r="I409" i="6"/>
  <c r="R409" i="6"/>
  <c r="J390" i="6"/>
  <c r="T390" i="6"/>
  <c r="J391" i="6"/>
  <c r="T391" i="6"/>
  <c r="J392" i="6"/>
  <c r="T392" i="6"/>
  <c r="J393" i="6"/>
  <c r="T393" i="6"/>
  <c r="J394" i="6"/>
  <c r="T394" i="6"/>
  <c r="J395" i="6"/>
  <c r="T395" i="6"/>
  <c r="J396" i="6"/>
  <c r="T396" i="6"/>
  <c r="J397" i="6"/>
  <c r="T397" i="6"/>
  <c r="J398" i="6"/>
  <c r="T398" i="6"/>
  <c r="J399" i="6"/>
  <c r="T399" i="6"/>
  <c r="J400" i="6"/>
  <c r="T400" i="6"/>
  <c r="J401" i="6"/>
  <c r="AF390" i="6"/>
  <c r="X390" i="6"/>
  <c r="P390" i="6"/>
  <c r="H390" i="6"/>
  <c r="AE390" i="6"/>
  <c r="W390" i="6"/>
  <c r="O390" i="6"/>
  <c r="G390" i="6"/>
  <c r="K390" i="6"/>
  <c r="U390" i="6"/>
  <c r="AF391" i="6"/>
  <c r="X391" i="6"/>
  <c r="P391" i="6"/>
  <c r="H391" i="6"/>
  <c r="AE391" i="6"/>
  <c r="W391" i="6"/>
  <c r="O391" i="6"/>
  <c r="G391" i="6"/>
  <c r="K391" i="6"/>
  <c r="U391" i="6"/>
  <c r="AF392" i="6"/>
  <c r="X392" i="6"/>
  <c r="P392" i="6"/>
  <c r="H392" i="6"/>
  <c r="AE392" i="6"/>
  <c r="W392" i="6"/>
  <c r="O392" i="6"/>
  <c r="G392" i="6"/>
  <c r="K392" i="6"/>
  <c r="U392" i="6"/>
  <c r="AF393" i="6"/>
  <c r="X393" i="6"/>
  <c r="P393" i="6"/>
  <c r="H393" i="6"/>
  <c r="AE393" i="6"/>
  <c r="W393" i="6"/>
  <c r="O393" i="6"/>
  <c r="G393" i="6"/>
  <c r="K393" i="6"/>
  <c r="U393" i="6"/>
  <c r="AF394" i="6"/>
  <c r="X394" i="6"/>
  <c r="P394" i="6"/>
  <c r="H394" i="6"/>
  <c r="AE394" i="6"/>
  <c r="W394" i="6"/>
  <c r="O394" i="6"/>
  <c r="G394" i="6"/>
  <c r="K394" i="6"/>
  <c r="U394" i="6"/>
  <c r="AF395" i="6"/>
  <c r="X395" i="6"/>
  <c r="P395" i="6"/>
  <c r="H395" i="6"/>
  <c r="AE395" i="6"/>
  <c r="W395" i="6"/>
  <c r="O395" i="6"/>
  <c r="G395" i="6"/>
  <c r="K395" i="6"/>
  <c r="U395" i="6"/>
  <c r="AF396" i="6"/>
  <c r="X396" i="6"/>
  <c r="P396" i="6"/>
  <c r="H396" i="6"/>
  <c r="AE396" i="6"/>
  <c r="W396" i="6"/>
  <c r="O396" i="6"/>
  <c r="G396" i="6"/>
  <c r="K396" i="6"/>
  <c r="U396" i="6"/>
  <c r="AF397" i="6"/>
  <c r="X397" i="6"/>
  <c r="P397" i="6"/>
  <c r="H397" i="6"/>
  <c r="AE397" i="6"/>
  <c r="W397" i="6"/>
  <c r="O397" i="6"/>
  <c r="G397" i="6"/>
  <c r="K397" i="6"/>
  <c r="U397" i="6"/>
  <c r="AF398" i="6"/>
  <c r="X398" i="6"/>
  <c r="P398" i="6"/>
  <c r="H398" i="6"/>
  <c r="AE398" i="6"/>
  <c r="W398" i="6"/>
  <c r="O398" i="6"/>
  <c r="G398" i="6"/>
  <c r="K398" i="6"/>
  <c r="U398" i="6"/>
  <c r="AF399" i="6"/>
  <c r="X399" i="6"/>
  <c r="P399" i="6"/>
  <c r="H399" i="6"/>
  <c r="AE399" i="6"/>
  <c r="W399" i="6"/>
  <c r="O399" i="6"/>
  <c r="G399" i="6"/>
  <c r="K399" i="6"/>
  <c r="U399" i="6"/>
  <c r="AF400" i="6"/>
  <c r="X400" i="6"/>
  <c r="P400" i="6"/>
  <c r="H400" i="6"/>
  <c r="AE400" i="6"/>
  <c r="W400" i="6"/>
  <c r="O400" i="6"/>
  <c r="G400" i="6"/>
  <c r="K400" i="6"/>
  <c r="U400" i="6"/>
  <c r="AF401" i="6"/>
  <c r="X401" i="6"/>
  <c r="P401" i="6"/>
  <c r="H401" i="6"/>
  <c r="AE401" i="6"/>
  <c r="W401" i="6"/>
  <c r="O401" i="6"/>
  <c r="G401" i="6"/>
  <c r="AD401" i="6"/>
  <c r="V401" i="6"/>
  <c r="N401" i="6"/>
  <c r="K401" i="6"/>
  <c r="Y401" i="6"/>
  <c r="H6" i="5" l="1"/>
</calcChain>
</file>

<file path=xl/sharedStrings.xml><?xml version="1.0" encoding="utf-8"?>
<sst xmlns="http://schemas.openxmlformats.org/spreadsheetml/2006/main" count="111" uniqueCount="87">
  <si>
    <t>TimeHR employee holiday tracker</t>
  </si>
  <si>
    <t>A free operational planner for up to 30 people. Version 1.0, prepared 21 August 2026.</t>
  </si>
  <si>
    <t>What this workbook does</t>
  </si>
  <si>
    <t>Enter your people and their agreed allowances, record holiday requests, and use the Summary and Year calendar sheets to see approved, pending and remaining days. Nothing in this file is sent to TimeHR.</t>
  </si>
  <si>
    <t>01</t>
  </si>
  <si>
    <t>Set the year</t>
  </si>
  <si>
    <t>Open Year calendar and change the year in the yellow cell if needed.</t>
  </si>
  <si>
    <t>02</t>
  </si>
  <si>
    <t>Add your people</t>
  </si>
  <si>
    <t>Replace the clearly labelled example on Employees, then add up to 30 people and their agreed allowance.</t>
  </si>
  <si>
    <t>03</t>
  </si>
  <si>
    <t>Add non-working dates</t>
  </si>
  <si>
    <t>Optionally enter public holidays or company closure dates so they are excluded from working-day totals.</t>
  </si>
  <si>
    <t>04</t>
  </si>
  <si>
    <t>Record requests</t>
  </si>
  <si>
    <t>Use Leave log for approved, pending or declined requests. For a single half day, use First day = Half day.</t>
  </si>
  <si>
    <t>05</t>
  </si>
  <si>
    <t>Review the plan</t>
  </si>
  <si>
    <t>Summary shows balances. Year calendar gives a people-by-day view: A is approved and P is pending.</t>
  </si>
  <si>
    <t>Legend</t>
  </si>
  <si>
    <t>Yellow cells</t>
  </si>
  <si>
    <t>You can edit these.</t>
  </si>
  <si>
    <t>A</t>
  </si>
  <si>
    <t>Approved holiday.</t>
  </si>
  <si>
    <t>P</t>
  </si>
  <si>
    <t>Pending holiday.</t>
  </si>
  <si>
    <t>Formula</t>
  </si>
  <si>
    <t>Calculated automatically.</t>
  </si>
  <si>
    <t>Important boundary</t>
  </si>
  <si>
    <t>This workbook does not calculate statutory holiday entitlement or provide legal advice. Enter the allowance that applies to each person. For current UK guidance, use the official GOV.UK holiday entitlement calculator.</t>
  </si>
  <si>
    <t>GOV.UK holiday entitlement calculator</t>
  </si>
  <si>
    <t>When a spreadsheet becomes hard to manage</t>
  </si>
  <si>
    <t>Time Off lets employees request holiday in one shared system, checks allowance, team cover and company policies, then books safe requests or gives a manager the reason to decide.</t>
  </si>
  <si>
    <t>See Time Off pricing</t>
  </si>
  <si>
    <t>Employees</t>
  </si>
  <si>
    <t>Yellow cells are editable. Replace or delete the example row before using the workbook.</t>
  </si>
  <si>
    <t>Employee ID</t>
  </si>
  <si>
    <t>Name</t>
  </si>
  <si>
    <t>Team</t>
  </si>
  <si>
    <t>Annual allowance (days)</t>
  </si>
  <si>
    <t>Carry-over (days)</t>
  </si>
  <si>
    <t>Active</t>
  </si>
  <si>
    <t>Notes</t>
  </si>
  <si>
    <t>E001</t>
  </si>
  <si>
    <t>Alex Morgan</t>
  </si>
  <si>
    <t>Operations</t>
  </si>
  <si>
    <t>Yes</t>
  </si>
  <si>
    <t>Example row. Replace or delete.</t>
  </si>
  <si>
    <t>Non-working days</t>
  </si>
  <si>
    <t>Optional: enter dates your whole organisation does not work. They are excluded from leave totals.</t>
  </si>
  <si>
    <t>Date</t>
  </si>
  <si>
    <t>Leave log</t>
  </si>
  <si>
    <t>One row per request. First and last day choices adjust the calculated working-day total for half-day boundaries.</t>
  </si>
  <si>
    <t>Start date</t>
  </si>
  <si>
    <t>End date</t>
  </si>
  <si>
    <t>First day</t>
  </si>
  <si>
    <t>Last day</t>
  </si>
  <si>
    <t>Status</t>
  </si>
  <si>
    <t>Working days</t>
  </si>
  <si>
    <t>Check</t>
  </si>
  <si>
    <t>Full day</t>
  </si>
  <si>
    <t>Approved</t>
  </si>
  <si>
    <t>Example request. Replace or delete.</t>
  </si>
  <si>
    <t>Half day</t>
  </si>
  <si>
    <t>Pending</t>
  </si>
  <si>
    <t>Example half day. Replace or delete.</t>
  </si>
  <si>
    <t>Holiday summary</t>
  </si>
  <si>
    <t>Approved and pending days are calculated from Leave log. Remaining excludes pending requests.</t>
  </si>
  <si>
    <t>Allowance</t>
  </si>
  <si>
    <t>Carry-over</t>
  </si>
  <si>
    <t>Remaining</t>
  </si>
  <si>
    <t>Year calendar</t>
  </si>
  <si>
    <t>A = approved, P = pending. Change the year in the yellow cell. Weekends are shaded.</t>
  </si>
  <si>
    <t>Year</t>
  </si>
  <si>
    <t>January</t>
  </si>
  <si>
    <t>Employee</t>
  </si>
  <si>
    <t>February</t>
  </si>
  <si>
    <t>March</t>
  </si>
  <si>
    <t>April</t>
  </si>
  <si>
    <t>May</t>
  </si>
  <si>
    <t>June</t>
  </si>
  <si>
    <t>July</t>
  </si>
  <si>
    <t>August</t>
  </si>
  <si>
    <t>September</t>
  </si>
  <si>
    <t>October</t>
  </si>
  <si>
    <t>November</t>
  </si>
  <si>
    <t>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</si>
</sst>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 mmm\ yyyy"/>
  </numFmts>
  <fonts count="16" x14ac:knownFonts="1">
    <font>
      <sz val="11"/>
      <color theme="1"/>
      <name val="Calibri"/>
      <family val="2"/>
      <scheme val="minor"/>
    </font>
    <font>
      <b/>
      <sz val="22"/>
      <color rgb="FFF4F0E7"/>
      <name val="Arial"/>
    </font>
    <font>
      <sz val="10"/>
      <color rgb="FFD8D2C6"/>
      <name val="Arial"/>
    </font>
    <font>
      <b/>
      <sz val="16"/>
      <color rgb="FF17201D"/>
      <name val="Arial"/>
    </font>
    <font>
      <sz val="10"/>
      <color rgb="FF17201D"/>
      <name val="Arial"/>
    </font>
    <font>
      <b/>
      <sz val="9"/>
      <color rgb="FF8A6F19"/>
      <name val="Arial"/>
    </font>
    <font>
      <b/>
      <sz val="10"/>
      <color rgb="FF17201D"/>
      <name val="Arial"/>
    </font>
    <font>
      <sz val="9"/>
      <color rgb="FF17201D"/>
      <name val="Arial"/>
    </font>
    <font>
      <b/>
      <sz val="14"/>
      <color rgb="FF17201D"/>
      <name val="Arial"/>
    </font>
    <font>
      <b/>
      <sz val="9"/>
      <color rgb="FF17201D"/>
      <name val="Arial"/>
    </font>
    <font>
      <sz val="12"/>
      <color theme="10"/>
      <name val="Calibri"/>
      <family val="2"/>
      <scheme val="minor"/>
    </font>
    <font>
      <b/>
      <sz val="9"/>
      <color rgb="FFFFFFFF"/>
      <name val="Arial"/>
    </font>
    <font>
      <b/>
      <sz val="12"/>
      <color rgb="FFF4F0E7"/>
      <name val="Arial"/>
    </font>
    <font>
      <b/>
      <sz val="8"/>
      <color rgb="FFFFFFFF"/>
      <name val="Arial"/>
    </font>
    <font>
      <sz val="8"/>
      <color rgb="FF17201D"/>
      <name val="Arial"/>
    </font>
    <font>
      <b/>
      <sz val="8"/>
      <color rgb="FF17201D"/>
      <name val="Arial"/>
    </font>
  </fonts>
  <fills count="8">
    <fill>
      <patternFill patternType="none"/>
    </fill>
    <fill>
      <patternFill patternType="gray125"/>
    </fill>
    <fill>
      <patternFill patternType="solid">
        <fgColor rgb="FF17201D"/>
      </patternFill>
    </fill>
    <fill>
      <patternFill patternType="solid">
        <fgColor rgb="FFFFF2C7"/>
      </patternFill>
    </fill>
    <fill>
      <patternFill patternType="solid">
        <fgColor rgb="FFA7BCAC"/>
      </patternFill>
    </fill>
    <fill>
      <patternFill patternType="solid">
        <fgColor rgb="FFD7C47E"/>
      </patternFill>
    </fill>
    <fill>
      <patternFill patternType="solid">
        <fgColor rgb="FFDDD8CD"/>
      </patternFill>
    </fill>
    <fill>
      <patternFill patternType="solid">
        <fgColor rgb="FFFFFFFF"/>
      </patternFill>
    </fill>
  </fills>
  <borders count="3">
    <border>
      <left/>
      <right/>
      <top/>
      <bottom/>
      <diagonal/>
    </border>
    <border>
      <left/>
      <right/>
      <top/>
      <bottom style="thin">
        <color rgb="FFC9C4B9"/>
      </bottom>
      <diagonal/>
    </border>
    <border>
      <left style="thin">
        <color rgb="FFC9C4B9"/>
      </left>
      <right style="thin">
        <color rgb="FFC9C4B9"/>
      </right>
      <top style="thin">
        <color rgb="FFC9C4B9"/>
      </top>
      <bottom style="thin">
        <color rgb="FFC9C4B9"/>
      </bottom>
      <diagonal/>
    </border>
  </borders>
  <cellStyleXfs count="2">
    <xf numFmtId="0" fontId="0" fillId="0" borderId="0"/>
    <xf numFmtId="0" fontId="10" fillId="0" borderId="0"/>
  </cellStyleXfs>
  <cellXfs count="32">
    <xf numFmtId="0" fontId="0" fillId="0" borderId="0" xfId="0"/>
    <xf numFmtId="0" fontId="5" fillId="0" borderId="1" xfId="0" applyFont="1" applyBorder="1"/>
    <xf numFmtId="0" fontId="6" fillId="0" borderId="1" xfId="0" applyFont="1" applyBorder="1"/>
    <xf numFmtId="0" fontId="8" fillId="0" borderId="0" xfId="0" applyFont="1"/>
    <xf numFmtId="0" fontId="9" fillId="3" borderId="2" xfId="0" applyFont="1" applyFill="1" applyBorder="1" applyAlignment="1">
      <alignment horizontal="center"/>
    </xf>
    <xf numFmtId="0" fontId="7" fillId="0" borderId="0" xfId="0" applyFont="1"/>
    <xf numFmtId="0" fontId="9" fillId="4" borderId="2" xfId="0" applyFont="1" applyFill="1" applyBorder="1" applyAlignment="1">
      <alignment horizontal="center"/>
    </xf>
    <xf numFmtId="0" fontId="9" fillId="5" borderId="2" xfId="0" applyFont="1" applyFill="1" applyBorder="1" applyAlignment="1">
      <alignment horizontal="center"/>
    </xf>
    <xf numFmtId="0" fontId="9" fillId="6" borderId="2" xfId="0" applyFont="1" applyFill="1" applyBorder="1" applyAlignment="1">
      <alignment horizontal="center"/>
    </xf>
    <xf numFmtId="0" fontId="10" fillId="0" borderId="0" xfId="1"/>
    <xf numFmtId="0" fontId="11" fillId="2" borderId="2" xfId="0" applyFont="1" applyFill="1" applyBorder="1" applyAlignment="1">
      <alignment vertical="center" wrapText="1"/>
    </xf>
    <xf numFmtId="0" fontId="7" fillId="3" borderId="2" xfId="0" applyFont="1" applyFill="1" applyBorder="1" applyAlignment="1" applyProtection="1">
      <alignment vertical="top" wrapText="1"/>
      <protection locked="0"/>
    </xf>
    <xf numFmtId="164" fontId="7" fillId="3" borderId="2" xfId="0" applyNumberFormat="1" applyFont="1" applyFill="1" applyBorder="1" applyAlignment="1" applyProtection="1">
      <alignment vertical="top" wrapText="1"/>
      <protection locked="0"/>
    </xf>
    <xf numFmtId="165" fontId="7" fillId="3" borderId="2" xfId="0" applyNumberFormat="1" applyFont="1" applyFill="1" applyBorder="1" applyAlignment="1" applyProtection="1">
      <alignment vertical="top" wrapText="1"/>
      <protection locked="0"/>
    </xf>
    <xf numFmtId="164" fontId="7" fillId="6" borderId="2" xfId="0" applyNumberFormat="1" applyFont="1" applyFill="1" applyBorder="1" applyAlignment="1">
      <alignment vertical="top" wrapText="1"/>
    </xf>
    <xf numFmtId="0" fontId="7" fillId="6" borderId="2" xfId="0" applyFont="1" applyFill="1" applyBorder="1" applyAlignment="1">
      <alignment vertical="top" wrapText="1"/>
    </xf>
    <xf numFmtId="0" fontId="7" fillId="6" borderId="2" xfId="0" applyFont="1" applyFill="1" applyBorder="1" applyAlignment="1">
      <alignment vertical="top"/>
    </xf>
    <xf numFmtId="164" fontId="7" fillId="6" borderId="2" xfId="0" applyNumberFormat="1" applyFont="1" applyFill="1" applyBorder="1" applyAlignment="1">
      <alignment vertical="top"/>
    </xf>
    <xf numFmtId="0" fontId="6" fillId="0" borderId="0" xfId="0" applyFont="1"/>
    <xf numFmtId="0" fontId="6" fillId="3" borderId="2" xfId="0" applyFont="1" applyFill="1" applyBorder="1" applyProtection="1">
      <protection locked="0"/>
    </xf>
    <xf numFmtId="0" fontId="13" fillId="2" borderId="2" xfId="0" applyFont="1" applyFill="1" applyBorder="1"/>
    <xf numFmtId="0" fontId="13" fillId="2" borderId="2" xfId="0" applyFont="1" applyFill="1" applyBorder="1" applyAlignment="1">
      <alignment horizontal="center"/>
    </xf>
    <xf numFmtId="0" fontId="14" fillId="6" borderId="2" xfId="0" applyFont="1" applyFill="1" applyBorder="1"/>
    <xf numFmtId="0" fontId="15" fillId="7" borderId="2" xfId="0" applyFont="1" applyFill="1" applyBorder="1" applyAlignment="1">
      <alignment horizontal="center" vertical="center"/>
    </xf>
    <xf numFmtId="0" fontId="7" fillId="0" borderId="1" xfId="0" applyFont="1" applyBorder="1" applyAlignment="1">
      <alignment vertical="top" wrapText="1"/>
    </xf>
    <xf numFmtId="0" fontId="0" fillId="0" borderId="1" xfId="0" applyBorder="1"/>
    <xf numFmtId="0" fontId="2" fillId="2" borderId="0" xfId="0" applyFont="1" applyFill="1" applyAlignment="1">
      <alignment vertical="center" wrapText="1"/>
    </xf>
    <xf numFmtId="0" fontId="0" fillId="0" borderId="0" xfId="0"/>
    <xf numFmtId="0" fontId="4" fillId="0" borderId="0" xfId="0" applyFont="1" applyAlignment="1">
      <alignment vertical="top" wrapText="1"/>
    </xf>
    <xf numFmtId="0" fontId="3" fillId="0" borderId="0" xfId="0" applyFont="1"/>
    <xf numFmtId="0" fontId="1" fillId="2" borderId="0" xfId="0" applyFont="1" applyFill="1" applyAlignment="1">
      <alignment vertical="center"/>
    </xf>
    <xf numFmtId="0" fontId="12" fillId="2" borderId="0" xfId="0" applyFont="1" applyFill="1" applyAlignment="1">
      <alignment vertical="center"/>
    </xf>
  </cellXfs>
  <cellStyles count="2">
    <cellStyle name="Hyperlink" xfId="1" builtinId="8"/>
    <cellStyle name="Normal" xfId="0" builtinId="0"/>
  </cellStyles>
  <dxfs count="38">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EEEAE1"/>
        </patternFill>
      </fill>
    </dxf>
    <dxf>
      <fill>
        <patternFill patternType="solid">
          <fgColor rgb="FFD7C47E"/>
        </patternFill>
      </fill>
    </dxf>
    <dxf>
      <fill>
        <patternFill patternType="solid">
          <fgColor rgb="FFA7BCAC"/>
        </patternFill>
      </fill>
    </dxf>
    <dxf>
      <fill>
        <patternFill patternType="solid">
          <fgColor rgb="FFD89A92"/>
        </patternFill>
      </fill>
    </dxf>
    <dxf>
      <fill>
        <patternFill patternType="solid">
          <fgColor rgb="FFD89A9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mployeeTable" displayName="EmployeeTable" ref="A5:G35">
  <autoFilter ref="A5:G35" xr:uid="{00000000-0009-0000-0100-000001000000}"/>
  <tableColumns count="7">
    <tableColumn id="1" xr3:uid="{00000000-0010-0000-0000-000001000000}" name="Employee ID"/>
    <tableColumn id="2" xr3:uid="{00000000-0010-0000-0000-000002000000}" name="Name"/>
    <tableColumn id="3" xr3:uid="{00000000-0010-0000-0000-000003000000}" name="Team"/>
    <tableColumn id="4" xr3:uid="{00000000-0010-0000-0000-000004000000}" name="Annual allowance (days)"/>
    <tableColumn id="5" xr3:uid="{00000000-0010-0000-0000-000005000000}" name="Carry-over (days)"/>
    <tableColumn id="6" xr3:uid="{00000000-0010-0000-0000-000006000000}" name="Active"/>
    <tableColumn id="7" xr3:uid="{00000000-0010-0000-0000-000007000000}" name="Not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onWorkingDayTable" displayName="NonWorkingDayTable" ref="A5:C45">
  <autoFilter ref="A5:C45" xr:uid="{00000000-0009-0000-0100-000002000000}"/>
  <tableColumns count="3">
    <tableColumn id="1" xr3:uid="{00000000-0010-0000-0100-000001000000}" name="Date"/>
    <tableColumn id="2" xr3:uid="{00000000-0010-0000-0100-000002000000}" name="Name"/>
    <tableColumn id="3" xr3:uid="{00000000-0010-0000-0100-000003000000}" name="Note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LeaveLogTable" displayName="LeaveLogTable" ref="A6:I306">
  <autoFilter ref="A6:I306" xr:uid="{00000000-0009-0000-0100-000003000000}"/>
  <tableColumns count="9">
    <tableColumn id="1" xr3:uid="{00000000-0010-0000-0200-000001000000}" name="Employee ID"/>
    <tableColumn id="2" xr3:uid="{00000000-0010-0000-0200-000002000000}" name="Start date"/>
    <tableColumn id="3" xr3:uid="{00000000-0010-0000-0200-000003000000}" name="End date"/>
    <tableColumn id="4" xr3:uid="{00000000-0010-0000-0200-000004000000}" name="First day"/>
    <tableColumn id="5" xr3:uid="{00000000-0010-0000-0200-000005000000}" name="Last day"/>
    <tableColumn id="6" xr3:uid="{00000000-0010-0000-0200-000006000000}" name="Status"/>
    <tableColumn id="7" xr3:uid="{00000000-0010-0000-0200-000007000000}" name="Notes"/>
    <tableColumn id="8" xr3:uid="{00000000-0010-0000-0200-000008000000}" name="Working days"/>
    <tableColumn id="9" xr3:uid="{00000000-0010-0000-0200-000009000000}" name="Check"/>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ummaryTable" displayName="SummaryTable" ref="A5:H35">
  <autoFilter ref="A5:H35" xr:uid="{00000000-0009-0000-0100-000004000000}"/>
  <tableColumns count="8">
    <tableColumn id="1" xr3:uid="{00000000-0010-0000-0300-000001000000}" name="Employee ID"/>
    <tableColumn id="2" xr3:uid="{00000000-0010-0000-0300-000002000000}" name="Name"/>
    <tableColumn id="3" xr3:uid="{00000000-0010-0000-0300-000003000000}" name="Team"/>
    <tableColumn id="4" xr3:uid="{00000000-0010-0000-0300-000004000000}" name="Allowance"/>
    <tableColumn id="5" xr3:uid="{00000000-0010-0000-0300-000005000000}" name="Carry-over"/>
    <tableColumn id="6" xr3:uid="{00000000-0010-0000-0300-000006000000}" name="Approved"/>
    <tableColumn id="7" xr3:uid="{00000000-0010-0000-0300-000007000000}" name="Pending"/>
    <tableColumn id="8" xr3:uid="{00000000-0010-0000-0300-000008000000}" name="Remainin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timehr.io/pricing" TargetMode="External"/><Relationship Id="rId1" Type="http://schemas.openxmlformats.org/officeDocument/2006/relationships/hyperlink" Target="https://www.gov.uk/calculate-your-holiday-entitlement"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showGridLines="0" tabSelected="1" workbookViewId="0">
      <pane xSplit="1" ySplit="3" topLeftCell="B4" activePane="bottomRight" state="frozen"/>
      <selection pane="topRight"/>
      <selection pane="bottomLeft"/>
      <selection pane="bottomRight" sqref="A1:F1"/>
    </sheetView>
  </sheetViews>
  <sheetFormatPr defaultRowHeight="14.4" x14ac:dyDescent="0.3"/>
  <cols>
    <col min="1" max="1" width="5" customWidth="1"/>
    <col min="2" max="5" width="25" customWidth="1"/>
    <col min="6" max="6" width="8" customWidth="1"/>
  </cols>
  <sheetData>
    <row r="1" spans="1:6" ht="42" customHeight="1" x14ac:dyDescent="0.3">
      <c r="A1" s="30" t="s">
        <v>0</v>
      </c>
      <c r="B1" s="27"/>
      <c r="C1" s="27"/>
      <c r="D1" s="27"/>
      <c r="E1" s="27"/>
      <c r="F1" s="27"/>
    </row>
    <row r="2" spans="1:6" ht="31.95" customHeight="1" x14ac:dyDescent="0.3">
      <c r="A2" s="26" t="s">
        <v>1</v>
      </c>
      <c r="B2" s="27"/>
      <c r="C2" s="27"/>
      <c r="D2" s="27"/>
      <c r="E2" s="27"/>
      <c r="F2" s="27"/>
    </row>
    <row r="4" spans="1:6" ht="21" x14ac:dyDescent="0.4">
      <c r="B4" s="29" t="s">
        <v>2</v>
      </c>
      <c r="C4" s="27"/>
      <c r="D4" s="27"/>
      <c r="E4" s="27"/>
    </row>
    <row r="5" spans="1:6" x14ac:dyDescent="0.3">
      <c r="B5" s="28" t="s">
        <v>3</v>
      </c>
      <c r="C5" s="27"/>
      <c r="D5" s="27"/>
      <c r="E5" s="27"/>
    </row>
    <row r="6" spans="1:6" x14ac:dyDescent="0.3">
      <c r="B6" s="27"/>
      <c r="C6" s="27"/>
      <c r="D6" s="27"/>
      <c r="E6" s="27"/>
    </row>
    <row r="8" spans="1:6" ht="37.950000000000003" customHeight="1" x14ac:dyDescent="0.3">
      <c r="B8" s="1" t="s">
        <v>4</v>
      </c>
      <c r="C8" s="2" t="s">
        <v>5</v>
      </c>
      <c r="D8" s="24" t="s">
        <v>6</v>
      </c>
      <c r="E8" s="25"/>
    </row>
    <row r="9" spans="1:6" ht="37.950000000000003" customHeight="1" x14ac:dyDescent="0.3">
      <c r="B9" s="1" t="s">
        <v>7</v>
      </c>
      <c r="C9" s="2" t="s">
        <v>8</v>
      </c>
      <c r="D9" s="24" t="s">
        <v>9</v>
      </c>
      <c r="E9" s="25"/>
    </row>
    <row r="10" spans="1:6" ht="37.950000000000003" customHeight="1" x14ac:dyDescent="0.3">
      <c r="B10" s="1" t="s">
        <v>10</v>
      </c>
      <c r="C10" s="2" t="s">
        <v>11</v>
      </c>
      <c r="D10" s="24" t="s">
        <v>12</v>
      </c>
      <c r="E10" s="25"/>
    </row>
    <row r="11" spans="1:6" ht="37.950000000000003" customHeight="1" x14ac:dyDescent="0.3">
      <c r="B11" s="1" t="s">
        <v>13</v>
      </c>
      <c r="C11" s="2" t="s">
        <v>14</v>
      </c>
      <c r="D11" s="24" t="s">
        <v>15</v>
      </c>
      <c r="E11" s="25"/>
    </row>
    <row r="12" spans="1:6" ht="37.950000000000003" customHeight="1" x14ac:dyDescent="0.3">
      <c r="B12" s="1" t="s">
        <v>16</v>
      </c>
      <c r="C12" s="2" t="s">
        <v>17</v>
      </c>
      <c r="D12" s="24" t="s">
        <v>18</v>
      </c>
      <c r="E12" s="25"/>
    </row>
    <row r="15" spans="1:6" ht="17.399999999999999" x14ac:dyDescent="0.3">
      <c r="B15" s="3" t="s">
        <v>19</v>
      </c>
    </row>
    <row r="17" spans="2:5" x14ac:dyDescent="0.3">
      <c r="B17" s="4" t="s">
        <v>20</v>
      </c>
      <c r="C17" s="5" t="s">
        <v>21</v>
      </c>
    </row>
    <row r="18" spans="2:5" x14ac:dyDescent="0.3">
      <c r="B18" s="6" t="s">
        <v>22</v>
      </c>
      <c r="C18" s="5" t="s">
        <v>23</v>
      </c>
    </row>
    <row r="19" spans="2:5" x14ac:dyDescent="0.3">
      <c r="B19" s="7" t="s">
        <v>24</v>
      </c>
      <c r="C19" s="5" t="s">
        <v>25</v>
      </c>
    </row>
    <row r="20" spans="2:5" x14ac:dyDescent="0.3">
      <c r="B20" s="8" t="s">
        <v>26</v>
      </c>
      <c r="C20" s="5" t="s">
        <v>27</v>
      </c>
    </row>
    <row r="23" spans="2:5" ht="17.399999999999999" x14ac:dyDescent="0.3">
      <c r="B23" s="3" t="s">
        <v>28</v>
      </c>
    </row>
    <row r="24" spans="2:5" x14ac:dyDescent="0.3">
      <c r="B24" s="28" t="s">
        <v>29</v>
      </c>
      <c r="C24" s="27"/>
      <c r="D24" s="27"/>
      <c r="E24" s="27"/>
    </row>
    <row r="25" spans="2:5" x14ac:dyDescent="0.3">
      <c r="B25" s="27"/>
      <c r="C25" s="27"/>
      <c r="D25" s="27"/>
      <c r="E25" s="27"/>
    </row>
    <row r="26" spans="2:5" x14ac:dyDescent="0.3">
      <c r="B26" s="27"/>
      <c r="C26" s="27"/>
      <c r="D26" s="27"/>
      <c r="E26" s="27"/>
    </row>
    <row r="27" spans="2:5" ht="15.6" x14ac:dyDescent="0.3">
      <c r="B27" s="9" t="s">
        <v>30</v>
      </c>
    </row>
    <row r="29" spans="2:5" ht="17.399999999999999" x14ac:dyDescent="0.3">
      <c r="B29" s="3" t="s">
        <v>31</v>
      </c>
    </row>
    <row r="30" spans="2:5" x14ac:dyDescent="0.3">
      <c r="B30" s="28" t="s">
        <v>32</v>
      </c>
      <c r="C30" s="27"/>
      <c r="D30" s="27"/>
      <c r="E30" s="27"/>
    </row>
    <row r="31" spans="2:5" x14ac:dyDescent="0.3">
      <c r="B31" s="27"/>
      <c r="C31" s="27"/>
      <c r="D31" s="27"/>
      <c r="E31" s="27"/>
    </row>
    <row r="32" spans="2:5" ht="15.6" x14ac:dyDescent="0.3">
      <c r="B32" s="9" t="s">
        <v>33</v>
      </c>
    </row>
  </sheetData>
  <mergeCells count="11">
    <mergeCell ref="A1:F1"/>
    <mergeCell ref="B24:E26"/>
    <mergeCell ref="B5:E6"/>
    <mergeCell ref="D9:E9"/>
    <mergeCell ref="D12:E12"/>
    <mergeCell ref="D8:E8"/>
    <mergeCell ref="A2:F2"/>
    <mergeCell ref="B30:E31"/>
    <mergeCell ref="D10:E10"/>
    <mergeCell ref="B4:E4"/>
    <mergeCell ref="D11:E11"/>
  </mergeCells>
  <hyperlinks>
    <hyperlink ref="B27" r:id="rId1" xr:uid="{00000000-0004-0000-0000-000000000000}"/>
    <hyperlink ref="B32" r:id="rId2" xr:uid="{00000000-0004-0000-0000-000001000000}"/>
  </hyperlinks>
  <pageMargins left="0.75" right="0.75" top="1" bottom="1" header="0.5" footer="0.5"/>
  <pageSetup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5"/>
  <sheetViews>
    <sheetView showGridLines="0" workbookViewId="0">
      <pane ySplit="5" topLeftCell="A6" activePane="bottomLeft" state="frozen"/>
      <selection pane="bottomLeft"/>
    </sheetView>
  </sheetViews>
  <sheetFormatPr defaultRowHeight="14.4" x14ac:dyDescent="0.3"/>
  <cols>
    <col min="1" max="1" width="16" customWidth="1"/>
    <col min="2" max="2" width="24" customWidth="1"/>
    <col min="3" max="4" width="22" customWidth="1"/>
    <col min="5" max="5" width="19" customWidth="1"/>
    <col min="6" max="6" width="12" customWidth="1"/>
    <col min="7" max="7" width="34" customWidth="1"/>
  </cols>
  <sheetData>
    <row r="1" spans="1:7" ht="42" customHeight="1" x14ac:dyDescent="0.3">
      <c r="A1" s="30" t="s">
        <v>34</v>
      </c>
      <c r="B1" s="27"/>
      <c r="C1" s="27"/>
      <c r="D1" s="27"/>
      <c r="E1" s="27"/>
      <c r="F1" s="27"/>
      <c r="G1" s="27"/>
    </row>
    <row r="2" spans="1:7" ht="31.95" customHeight="1" x14ac:dyDescent="0.3">
      <c r="A2" s="26" t="s">
        <v>35</v>
      </c>
      <c r="B2" s="27"/>
      <c r="C2" s="27"/>
      <c r="D2" s="27"/>
      <c r="E2" s="27"/>
      <c r="F2" s="27"/>
      <c r="G2" s="27"/>
    </row>
    <row r="5" spans="1:7" ht="28.05" customHeight="1" x14ac:dyDescent="0.3">
      <c r="A5" s="10" t="s">
        <v>36</v>
      </c>
      <c r="B5" s="10" t="s">
        <v>37</v>
      </c>
      <c r="C5" s="10" t="s">
        <v>38</v>
      </c>
      <c r="D5" s="10" t="s">
        <v>39</v>
      </c>
      <c r="E5" s="10" t="s">
        <v>40</v>
      </c>
      <c r="F5" s="10" t="s">
        <v>41</v>
      </c>
      <c r="G5" s="10" t="s">
        <v>42</v>
      </c>
    </row>
    <row r="6" spans="1:7" x14ac:dyDescent="0.3">
      <c r="A6" s="11" t="s">
        <v>43</v>
      </c>
      <c r="B6" s="11" t="s">
        <v>44</v>
      </c>
      <c r="C6" s="11" t="s">
        <v>45</v>
      </c>
      <c r="D6" s="12">
        <v>25</v>
      </c>
      <c r="E6" s="12">
        <v>3</v>
      </c>
      <c r="F6" s="11" t="s">
        <v>46</v>
      </c>
      <c r="G6" s="11" t="s">
        <v>47</v>
      </c>
    </row>
    <row r="7" spans="1:7" x14ac:dyDescent="0.3">
      <c r="A7" s="11"/>
      <c r="B7" s="11"/>
      <c r="C7" s="11"/>
      <c r="D7" s="12"/>
      <c r="E7" s="12"/>
      <c r="F7" s="11"/>
      <c r="G7" s="11"/>
    </row>
    <row r="8" spans="1:7" x14ac:dyDescent="0.3">
      <c r="A8" s="11"/>
      <c r="B8" s="11"/>
      <c r="C8" s="11"/>
      <c r="D8" s="12"/>
      <c r="E8" s="12"/>
      <c r="F8" s="11"/>
      <c r="G8" s="11"/>
    </row>
    <row r="9" spans="1:7" x14ac:dyDescent="0.3">
      <c r="A9" s="11"/>
      <c r="B9" s="11"/>
      <c r="C9" s="11"/>
      <c r="D9" s="12"/>
      <c r="E9" s="12"/>
      <c r="F9" s="11"/>
      <c r="G9" s="11"/>
    </row>
    <row r="10" spans="1:7" x14ac:dyDescent="0.3">
      <c r="A10" s="11"/>
      <c r="B10" s="11"/>
      <c r="C10" s="11"/>
      <c r="D10" s="12"/>
      <c r="E10" s="12"/>
      <c r="F10" s="11"/>
      <c r="G10" s="11"/>
    </row>
    <row r="11" spans="1:7" x14ac:dyDescent="0.3">
      <c r="A11" s="11"/>
      <c r="B11" s="11"/>
      <c r="C11" s="11"/>
      <c r="D11" s="12"/>
      <c r="E11" s="12"/>
      <c r="F11" s="11"/>
      <c r="G11" s="11"/>
    </row>
    <row r="12" spans="1:7" x14ac:dyDescent="0.3">
      <c r="A12" s="11"/>
      <c r="B12" s="11"/>
      <c r="C12" s="11"/>
      <c r="D12" s="12"/>
      <c r="E12" s="12"/>
      <c r="F12" s="11"/>
      <c r="G12" s="11"/>
    </row>
    <row r="13" spans="1:7" x14ac:dyDescent="0.3">
      <c r="A13" s="11"/>
      <c r="B13" s="11"/>
      <c r="C13" s="11"/>
      <c r="D13" s="12"/>
      <c r="E13" s="12"/>
      <c r="F13" s="11"/>
      <c r="G13" s="11"/>
    </row>
    <row r="14" spans="1:7" x14ac:dyDescent="0.3">
      <c r="A14" s="11"/>
      <c r="B14" s="11"/>
      <c r="C14" s="11"/>
      <c r="D14" s="12"/>
      <c r="E14" s="12"/>
      <c r="F14" s="11"/>
      <c r="G14" s="11"/>
    </row>
    <row r="15" spans="1:7" x14ac:dyDescent="0.3">
      <c r="A15" s="11"/>
      <c r="B15" s="11"/>
      <c r="C15" s="11"/>
      <c r="D15" s="12"/>
      <c r="E15" s="12"/>
      <c r="F15" s="11"/>
      <c r="G15" s="11"/>
    </row>
    <row r="16" spans="1:7" x14ac:dyDescent="0.3">
      <c r="A16" s="11"/>
      <c r="B16" s="11"/>
      <c r="C16" s="11"/>
      <c r="D16" s="12"/>
      <c r="E16" s="12"/>
      <c r="F16" s="11"/>
      <c r="G16" s="11"/>
    </row>
    <row r="17" spans="1:7" x14ac:dyDescent="0.3">
      <c r="A17" s="11"/>
      <c r="B17" s="11"/>
      <c r="C17" s="11"/>
      <c r="D17" s="12"/>
      <c r="E17" s="12"/>
      <c r="F17" s="11"/>
      <c r="G17" s="11"/>
    </row>
    <row r="18" spans="1:7" x14ac:dyDescent="0.3">
      <c r="A18" s="11"/>
      <c r="B18" s="11"/>
      <c r="C18" s="11"/>
      <c r="D18" s="12"/>
      <c r="E18" s="12"/>
      <c r="F18" s="11"/>
      <c r="G18" s="11"/>
    </row>
    <row r="19" spans="1:7" x14ac:dyDescent="0.3">
      <c r="A19" s="11"/>
      <c r="B19" s="11"/>
      <c r="C19" s="11"/>
      <c r="D19" s="12"/>
      <c r="E19" s="12"/>
      <c r="F19" s="11"/>
      <c r="G19" s="11"/>
    </row>
    <row r="20" spans="1:7" x14ac:dyDescent="0.3">
      <c r="A20" s="11"/>
      <c r="B20" s="11"/>
      <c r="C20" s="11"/>
      <c r="D20" s="12"/>
      <c r="E20" s="12"/>
      <c r="F20" s="11"/>
      <c r="G20" s="11"/>
    </row>
    <row r="21" spans="1:7" x14ac:dyDescent="0.3">
      <c r="A21" s="11"/>
      <c r="B21" s="11"/>
      <c r="C21" s="11"/>
      <c r="D21" s="12"/>
      <c r="E21" s="12"/>
      <c r="F21" s="11"/>
      <c r="G21" s="11"/>
    </row>
    <row r="22" spans="1:7" x14ac:dyDescent="0.3">
      <c r="A22" s="11"/>
      <c r="B22" s="11"/>
      <c r="C22" s="11"/>
      <c r="D22" s="12"/>
      <c r="E22" s="12"/>
      <c r="F22" s="11"/>
      <c r="G22" s="11"/>
    </row>
    <row r="23" spans="1:7" x14ac:dyDescent="0.3">
      <c r="A23" s="11"/>
      <c r="B23" s="11"/>
      <c r="C23" s="11"/>
      <c r="D23" s="12"/>
      <c r="E23" s="12"/>
      <c r="F23" s="11"/>
      <c r="G23" s="11"/>
    </row>
    <row r="24" spans="1:7" x14ac:dyDescent="0.3">
      <c r="A24" s="11"/>
      <c r="B24" s="11"/>
      <c r="C24" s="11"/>
      <c r="D24" s="12"/>
      <c r="E24" s="12"/>
      <c r="F24" s="11"/>
      <c r="G24" s="11"/>
    </row>
    <row r="25" spans="1:7" x14ac:dyDescent="0.3">
      <c r="A25" s="11"/>
      <c r="B25" s="11"/>
      <c r="C25" s="11"/>
      <c r="D25" s="12"/>
      <c r="E25" s="12"/>
      <c r="F25" s="11"/>
      <c r="G25" s="11"/>
    </row>
    <row r="26" spans="1:7" x14ac:dyDescent="0.3">
      <c r="A26" s="11"/>
      <c r="B26" s="11"/>
      <c r="C26" s="11"/>
      <c r="D26" s="12"/>
      <c r="E26" s="12"/>
      <c r="F26" s="11"/>
      <c r="G26" s="11"/>
    </row>
    <row r="27" spans="1:7" x14ac:dyDescent="0.3">
      <c r="A27" s="11"/>
      <c r="B27" s="11"/>
      <c r="C27" s="11"/>
      <c r="D27" s="12"/>
      <c r="E27" s="12"/>
      <c r="F27" s="11"/>
      <c r="G27" s="11"/>
    </row>
    <row r="28" spans="1:7" x14ac:dyDescent="0.3">
      <c r="A28" s="11"/>
      <c r="B28" s="11"/>
      <c r="C28" s="11"/>
      <c r="D28" s="12"/>
      <c r="E28" s="12"/>
      <c r="F28" s="11"/>
      <c r="G28" s="11"/>
    </row>
    <row r="29" spans="1:7" x14ac:dyDescent="0.3">
      <c r="A29" s="11"/>
      <c r="B29" s="11"/>
      <c r="C29" s="11"/>
      <c r="D29" s="12"/>
      <c r="E29" s="12"/>
      <c r="F29" s="11"/>
      <c r="G29" s="11"/>
    </row>
    <row r="30" spans="1:7" x14ac:dyDescent="0.3">
      <c r="A30" s="11"/>
      <c r="B30" s="11"/>
      <c r="C30" s="11"/>
      <c r="D30" s="12"/>
      <c r="E30" s="12"/>
      <c r="F30" s="11"/>
      <c r="G30" s="11"/>
    </row>
    <row r="31" spans="1:7" x14ac:dyDescent="0.3">
      <c r="A31" s="11"/>
      <c r="B31" s="11"/>
      <c r="C31" s="11"/>
      <c r="D31" s="12"/>
      <c r="E31" s="12"/>
      <c r="F31" s="11"/>
      <c r="G31" s="11"/>
    </row>
    <row r="32" spans="1:7" x14ac:dyDescent="0.3">
      <c r="A32" s="11"/>
      <c r="B32" s="11"/>
      <c r="C32" s="11"/>
      <c r="D32" s="12"/>
      <c r="E32" s="12"/>
      <c r="F32" s="11"/>
      <c r="G32" s="11"/>
    </row>
    <row r="33" spans="1:7" x14ac:dyDescent="0.3">
      <c r="A33" s="11"/>
      <c r="B33" s="11"/>
      <c r="C33" s="11"/>
      <c r="D33" s="12"/>
      <c r="E33" s="12"/>
      <c r="F33" s="11"/>
      <c r="G33" s="11"/>
    </row>
    <row r="34" spans="1:7" x14ac:dyDescent="0.3">
      <c r="A34" s="11"/>
      <c r="B34" s="11"/>
      <c r="C34" s="11"/>
      <c r="D34" s="12"/>
      <c r="E34" s="12"/>
      <c r="F34" s="11"/>
      <c r="G34" s="11"/>
    </row>
    <row r="35" spans="1:7" x14ac:dyDescent="0.3">
      <c r="A35" s="11"/>
      <c r="B35" s="11"/>
      <c r="C35" s="11"/>
      <c r="D35" s="12"/>
      <c r="E35" s="12"/>
      <c r="F35" s="11"/>
      <c r="G35" s="11"/>
    </row>
  </sheetData>
  <sheetProtection sheet="1" selectLockedCells="1" selectUnlockedCells="1"/>
  <mergeCells count="2">
    <mergeCell ref="A2:G2"/>
    <mergeCell ref="A1:G1"/>
  </mergeCells>
  <dataValidations count="1">
    <dataValidation type="list" allowBlank="1" showInputMessage="1" showErrorMessage="1" errorTitle="Choose from the list" error="Use one of the available options." promptTitle="Choose a value" prompt="Choose whether this person appears in the calendar." sqref="F6:F35" xr:uid="{00000000-0002-0000-0100-000000000000}">
      <formula1>"Yes,No"</formula1>
    </dataValidation>
  </dataValidations>
  <pageMargins left="0.75" right="0.75" top="1" bottom="1" header="0.5" footer="0.5"/>
  <pageSetup fitToHeight="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45"/>
  <sheetViews>
    <sheetView showGridLines="0" workbookViewId="0">
      <pane ySplit="5" topLeftCell="A6" activePane="bottomLeft" state="frozen"/>
      <selection pane="bottomLeft"/>
    </sheetView>
  </sheetViews>
  <sheetFormatPr defaultRowHeight="14.4" x14ac:dyDescent="0.3"/>
  <cols>
    <col min="1" max="1" width="16" customWidth="1"/>
    <col min="2" max="2" width="30" customWidth="1"/>
    <col min="3" max="3" width="44" customWidth="1"/>
  </cols>
  <sheetData>
    <row r="1" spans="1:3" ht="42" customHeight="1" x14ac:dyDescent="0.3">
      <c r="A1" s="30" t="s">
        <v>48</v>
      </c>
      <c r="B1" s="27"/>
      <c r="C1" s="27"/>
    </row>
    <row r="2" spans="1:3" ht="31.95" customHeight="1" x14ac:dyDescent="0.3">
      <c r="A2" s="26" t="s">
        <v>49</v>
      </c>
      <c r="B2" s="27"/>
      <c r="C2" s="27"/>
    </row>
    <row r="5" spans="1:3" ht="28.05" customHeight="1" x14ac:dyDescent="0.3">
      <c r="A5" s="10" t="s">
        <v>50</v>
      </c>
      <c r="B5" s="10" t="s">
        <v>37</v>
      </c>
      <c r="C5" s="10" t="s">
        <v>42</v>
      </c>
    </row>
    <row r="6" spans="1:3" x14ac:dyDescent="0.3">
      <c r="A6" s="13"/>
      <c r="B6" s="11"/>
      <c r="C6" s="11"/>
    </row>
    <row r="7" spans="1:3" x14ac:dyDescent="0.3">
      <c r="A7" s="13"/>
      <c r="B7" s="11"/>
      <c r="C7" s="11"/>
    </row>
    <row r="8" spans="1:3" x14ac:dyDescent="0.3">
      <c r="A8" s="13"/>
      <c r="B8" s="11"/>
      <c r="C8" s="11"/>
    </row>
    <row r="9" spans="1:3" x14ac:dyDescent="0.3">
      <c r="A9" s="13"/>
      <c r="B9" s="11"/>
      <c r="C9" s="11"/>
    </row>
    <row r="10" spans="1:3" x14ac:dyDescent="0.3">
      <c r="A10" s="13"/>
      <c r="B10" s="11"/>
      <c r="C10" s="11"/>
    </row>
    <row r="11" spans="1:3" x14ac:dyDescent="0.3">
      <c r="A11" s="13"/>
      <c r="B11" s="11"/>
      <c r="C11" s="11"/>
    </row>
    <row r="12" spans="1:3" x14ac:dyDescent="0.3">
      <c r="A12" s="13"/>
      <c r="B12" s="11"/>
      <c r="C12" s="11"/>
    </row>
    <row r="13" spans="1:3" x14ac:dyDescent="0.3">
      <c r="A13" s="13"/>
      <c r="B13" s="11"/>
      <c r="C13" s="11"/>
    </row>
    <row r="14" spans="1:3" x14ac:dyDescent="0.3">
      <c r="A14" s="13"/>
      <c r="B14" s="11"/>
      <c r="C14" s="11"/>
    </row>
    <row r="15" spans="1:3" x14ac:dyDescent="0.3">
      <c r="A15" s="13"/>
      <c r="B15" s="11"/>
      <c r="C15" s="11"/>
    </row>
    <row r="16" spans="1:3" x14ac:dyDescent="0.3">
      <c r="A16" s="13"/>
      <c r="B16" s="11"/>
      <c r="C16" s="11"/>
    </row>
    <row r="17" spans="1:3" x14ac:dyDescent="0.3">
      <c r="A17" s="13"/>
      <c r="B17" s="11"/>
      <c r="C17" s="11"/>
    </row>
    <row r="18" spans="1:3" x14ac:dyDescent="0.3">
      <c r="A18" s="13"/>
      <c r="B18" s="11"/>
      <c r="C18" s="11"/>
    </row>
    <row r="19" spans="1:3" x14ac:dyDescent="0.3">
      <c r="A19" s="13"/>
      <c r="B19" s="11"/>
      <c r="C19" s="11"/>
    </row>
    <row r="20" spans="1:3" x14ac:dyDescent="0.3">
      <c r="A20" s="13"/>
      <c r="B20" s="11"/>
      <c r="C20" s="11"/>
    </row>
    <row r="21" spans="1:3" x14ac:dyDescent="0.3">
      <c r="A21" s="13"/>
      <c r="B21" s="11"/>
      <c r="C21" s="11"/>
    </row>
    <row r="22" spans="1:3" x14ac:dyDescent="0.3">
      <c r="A22" s="13"/>
      <c r="B22" s="11"/>
      <c r="C22" s="11"/>
    </row>
    <row r="23" spans="1:3" x14ac:dyDescent="0.3">
      <c r="A23" s="13"/>
      <c r="B23" s="11"/>
      <c r="C23" s="11"/>
    </row>
    <row r="24" spans="1:3" x14ac:dyDescent="0.3">
      <c r="A24" s="13"/>
      <c r="B24" s="11"/>
      <c r="C24" s="11"/>
    </row>
    <row r="25" spans="1:3" x14ac:dyDescent="0.3">
      <c r="A25" s="13"/>
      <c r="B25" s="11"/>
      <c r="C25" s="11"/>
    </row>
    <row r="26" spans="1:3" x14ac:dyDescent="0.3">
      <c r="A26" s="13"/>
      <c r="B26" s="11"/>
      <c r="C26" s="11"/>
    </row>
    <row r="27" spans="1:3" x14ac:dyDescent="0.3">
      <c r="A27" s="13"/>
      <c r="B27" s="11"/>
      <c r="C27" s="11"/>
    </row>
    <row r="28" spans="1:3" x14ac:dyDescent="0.3">
      <c r="A28" s="13"/>
      <c r="B28" s="11"/>
      <c r="C28" s="11"/>
    </row>
    <row r="29" spans="1:3" x14ac:dyDescent="0.3">
      <c r="A29" s="13"/>
      <c r="B29" s="11"/>
      <c r="C29" s="11"/>
    </row>
    <row r="30" spans="1:3" x14ac:dyDescent="0.3">
      <c r="A30" s="13"/>
      <c r="B30" s="11"/>
      <c r="C30" s="11"/>
    </row>
    <row r="31" spans="1:3" x14ac:dyDescent="0.3">
      <c r="A31" s="13"/>
      <c r="B31" s="11"/>
      <c r="C31" s="11"/>
    </row>
    <row r="32" spans="1:3" x14ac:dyDescent="0.3">
      <c r="A32" s="13"/>
      <c r="B32" s="11"/>
      <c r="C32" s="11"/>
    </row>
    <row r="33" spans="1:3" x14ac:dyDescent="0.3">
      <c r="A33" s="13"/>
      <c r="B33" s="11"/>
      <c r="C33" s="11"/>
    </row>
    <row r="34" spans="1:3" x14ac:dyDescent="0.3">
      <c r="A34" s="13"/>
      <c r="B34" s="11"/>
      <c r="C34" s="11"/>
    </row>
    <row r="35" spans="1:3" x14ac:dyDescent="0.3">
      <c r="A35" s="13"/>
      <c r="B35" s="11"/>
      <c r="C35" s="11"/>
    </row>
    <row r="36" spans="1:3" x14ac:dyDescent="0.3">
      <c r="A36" s="13"/>
      <c r="B36" s="11"/>
      <c r="C36" s="11"/>
    </row>
    <row r="37" spans="1:3" x14ac:dyDescent="0.3">
      <c r="A37" s="13"/>
      <c r="B37" s="11"/>
      <c r="C37" s="11"/>
    </row>
    <row r="38" spans="1:3" x14ac:dyDescent="0.3">
      <c r="A38" s="13"/>
      <c r="B38" s="11"/>
      <c r="C38" s="11"/>
    </row>
    <row r="39" spans="1:3" x14ac:dyDescent="0.3">
      <c r="A39" s="13"/>
      <c r="B39" s="11"/>
      <c r="C39" s="11"/>
    </row>
    <row r="40" spans="1:3" x14ac:dyDescent="0.3">
      <c r="A40" s="13"/>
      <c r="B40" s="11"/>
      <c r="C40" s="11"/>
    </row>
    <row r="41" spans="1:3" x14ac:dyDescent="0.3">
      <c r="A41" s="13"/>
      <c r="B41" s="11"/>
      <c r="C41" s="11"/>
    </row>
    <row r="42" spans="1:3" x14ac:dyDescent="0.3">
      <c r="A42" s="13"/>
      <c r="B42" s="11"/>
      <c r="C42" s="11"/>
    </row>
    <row r="43" spans="1:3" x14ac:dyDescent="0.3">
      <c r="A43" s="13"/>
      <c r="B43" s="11"/>
      <c r="C43" s="11"/>
    </row>
    <row r="44" spans="1:3" x14ac:dyDescent="0.3">
      <c r="A44" s="13"/>
      <c r="B44" s="11"/>
      <c r="C44" s="11"/>
    </row>
    <row r="45" spans="1:3" x14ac:dyDescent="0.3">
      <c r="A45" s="13"/>
      <c r="B45" s="11"/>
      <c r="C45" s="11"/>
    </row>
  </sheetData>
  <sheetProtection sheet="1" selectLockedCells="1" selectUnlockedCells="1"/>
  <mergeCells count="2">
    <mergeCell ref="A1:C1"/>
    <mergeCell ref="A2:C2"/>
  </mergeCells>
  <pageMargins left="0.75" right="0.75" top="1" bottom="1" header="0.5" footer="0.5"/>
  <pageSetup fitToHeight="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06"/>
  <sheetViews>
    <sheetView showGridLines="0" workbookViewId="0">
      <pane ySplit="6" topLeftCell="A7" activePane="bottomLeft" state="frozen"/>
      <selection pane="bottomLeft"/>
    </sheetView>
  </sheetViews>
  <sheetFormatPr defaultRowHeight="14.4" x14ac:dyDescent="0.3"/>
  <cols>
    <col min="1" max="1" width="16" customWidth="1"/>
    <col min="2" max="5" width="15" customWidth="1"/>
    <col min="6" max="6" width="14" customWidth="1"/>
    <col min="7" max="7" width="34" customWidth="1"/>
    <col min="8" max="8" width="16" customWidth="1"/>
    <col min="9" max="9" width="24" customWidth="1"/>
  </cols>
  <sheetData>
    <row r="1" spans="1:9" ht="42" customHeight="1" x14ac:dyDescent="0.3">
      <c r="A1" s="30" t="s">
        <v>51</v>
      </c>
      <c r="B1" s="27"/>
      <c r="C1" s="27"/>
      <c r="D1" s="27"/>
      <c r="E1" s="27"/>
      <c r="F1" s="27"/>
      <c r="G1" s="27"/>
      <c r="H1" s="27"/>
      <c r="I1" s="27"/>
    </row>
    <row r="2" spans="1:9" ht="31.95" customHeight="1" x14ac:dyDescent="0.3">
      <c r="A2" s="26" t="s">
        <v>52</v>
      </c>
      <c r="B2" s="27"/>
      <c r="C2" s="27"/>
      <c r="D2" s="27"/>
      <c r="E2" s="27"/>
      <c r="F2" s="27"/>
      <c r="G2" s="27"/>
      <c r="H2" s="27"/>
      <c r="I2" s="27"/>
    </row>
    <row r="6" spans="1:9" ht="28.05" customHeight="1" x14ac:dyDescent="0.3">
      <c r="A6" s="10" t="s">
        <v>36</v>
      </c>
      <c r="B6" s="10" t="s">
        <v>53</v>
      </c>
      <c r="C6" s="10" t="s">
        <v>54</v>
      </c>
      <c r="D6" s="10" t="s">
        <v>55</v>
      </c>
      <c r="E6" s="10" t="s">
        <v>56</v>
      </c>
      <c r="F6" s="10" t="s">
        <v>57</v>
      </c>
      <c r="G6" s="10" t="s">
        <v>42</v>
      </c>
      <c r="H6" s="10" t="s">
        <v>58</v>
      </c>
      <c r="I6" s="10" t="s">
        <v>59</v>
      </c>
    </row>
    <row r="7" spans="1:9" x14ac:dyDescent="0.3">
      <c r="A7" s="11" t="s">
        <v>43</v>
      </c>
      <c r="B7" s="13">
        <v>46279</v>
      </c>
      <c r="C7" s="13">
        <v>46283</v>
      </c>
      <c r="D7" s="11" t="s">
        <v>60</v>
      </c>
      <c r="E7" s="11" t="s">
        <v>60</v>
      </c>
      <c r="F7" s="11" t="s">
        <v>61</v>
      </c>
      <c r="G7" s="11" t="s">
        <v>62</v>
      </c>
      <c r="H7" s="14">
        <f>IF(OR(A7="",B7="",C7="",B7&gt;C7),"",MAX(0,NETWORKDAYS.INTL(B7,C7,1,'Non-working days'!$A$6:$A$45)-IF(D7="Half day",0.5,0)-IF(AND(E7="Half day",C7&lt;&gt;B7),0.5,0)))</f>
        <v>5</v>
      </c>
      <c r="I7" s="15" t="str">
        <f>IF(A7="","",IF(COUNTIF(Employees!$A$6:$A$35,A7)=0,"Unknown employee ID",IF(B7&gt;C7,"Check dates",IF(AND(B7=C7,E7="Half day"),"Use First day for a single half day","OK"))))</f>
        <v>OK</v>
      </c>
    </row>
    <row r="8" spans="1:9" x14ac:dyDescent="0.3">
      <c r="A8" s="11" t="s">
        <v>43</v>
      </c>
      <c r="B8" s="13">
        <v>46297</v>
      </c>
      <c r="C8" s="13">
        <v>46297</v>
      </c>
      <c r="D8" s="11" t="s">
        <v>63</v>
      </c>
      <c r="E8" s="11" t="s">
        <v>60</v>
      </c>
      <c r="F8" s="11" t="s">
        <v>64</v>
      </c>
      <c r="G8" s="11" t="s">
        <v>65</v>
      </c>
      <c r="H8" s="14">
        <f>IF(OR(A8="",B8="",C8="",B8&gt;C8),"",MAX(0,NETWORKDAYS.INTL(B8,C8,1,'Non-working days'!$A$6:$A$45)-IF(D8="Half day",0.5,0)-IF(AND(E8="Half day",C8&lt;&gt;B8),0.5,0)))</f>
        <v>0.5</v>
      </c>
      <c r="I8" s="15" t="str">
        <f>IF(A8="","",IF(COUNTIF(Employees!$A$6:$A$35,A8)=0,"Unknown employee ID",IF(B8&gt;C8,"Check dates",IF(AND(B8=C8,E8="Half day"),"Use First day for a single half day","OK"))))</f>
        <v>OK</v>
      </c>
    </row>
    <row r="9" spans="1:9" x14ac:dyDescent="0.3">
      <c r="A9" s="11"/>
      <c r="B9" s="13"/>
      <c r="C9" s="13"/>
      <c r="D9" s="11"/>
      <c r="E9" s="11"/>
      <c r="F9" s="11"/>
      <c r="G9" s="11"/>
      <c r="H9" s="14" t="str">
        <f>IF(OR(A9="",B9="",C9="",B9&gt;C9),"",MAX(0,NETWORKDAYS.INTL(B9,C9,1,'Non-working days'!$A$6:$A$45)-IF(D9="Half day",0.5,0)-IF(AND(E9="Half day",C9&lt;&gt;B9),0.5,0)))</f>
        <v/>
      </c>
      <c r="I9" s="15" t="str">
        <f>IF(A9="","",IF(COUNTIF(Employees!$A$6:$A$35,A9)=0,"Unknown employee ID",IF(B9&gt;C9,"Check dates",IF(AND(B9=C9,E9="Half day"),"Use First day for a single half day","OK"))))</f>
        <v/>
      </c>
    </row>
    <row r="10" spans="1:9" x14ac:dyDescent="0.3">
      <c r="A10" s="11"/>
      <c r="B10" s="13"/>
      <c r="C10" s="13"/>
      <c r="D10" s="11"/>
      <c r="E10" s="11"/>
      <c r="F10" s="11"/>
      <c r="G10" s="11"/>
      <c r="H10" s="14" t="str">
        <f>IF(OR(A10="",B10="",C10="",B10&gt;C10),"",MAX(0,NETWORKDAYS.INTL(B10,C10,1,'Non-working days'!$A$6:$A$45)-IF(D10="Half day",0.5,0)-IF(AND(E10="Half day",C10&lt;&gt;B10),0.5,0)))</f>
        <v/>
      </c>
      <c r="I10" s="15" t="str">
        <f>IF(A10="","",IF(COUNTIF(Employees!$A$6:$A$35,A10)=0,"Unknown employee ID",IF(B10&gt;C10,"Check dates",IF(AND(B10=C10,E10="Half day"),"Use First day for a single half day","OK"))))</f>
        <v/>
      </c>
    </row>
    <row r="11" spans="1:9" x14ac:dyDescent="0.3">
      <c r="A11" s="11"/>
      <c r="B11" s="13"/>
      <c r="C11" s="13"/>
      <c r="D11" s="11"/>
      <c r="E11" s="11"/>
      <c r="F11" s="11"/>
      <c r="G11" s="11"/>
      <c r="H11" s="14" t="str">
        <f>IF(OR(A11="",B11="",C11="",B11&gt;C11),"",MAX(0,NETWORKDAYS.INTL(B11,C11,1,'Non-working days'!$A$6:$A$45)-IF(D11="Half day",0.5,0)-IF(AND(E11="Half day",C11&lt;&gt;B11),0.5,0)))</f>
        <v/>
      </c>
      <c r="I11" s="15" t="str">
        <f>IF(A11="","",IF(COUNTIF(Employees!$A$6:$A$35,A11)=0,"Unknown employee ID",IF(B11&gt;C11,"Check dates",IF(AND(B11=C11,E11="Half day"),"Use First day for a single half day","OK"))))</f>
        <v/>
      </c>
    </row>
    <row r="12" spans="1:9" x14ac:dyDescent="0.3">
      <c r="A12" s="11"/>
      <c r="B12" s="13"/>
      <c r="C12" s="13"/>
      <c r="D12" s="11"/>
      <c r="E12" s="11"/>
      <c r="F12" s="11"/>
      <c r="G12" s="11"/>
      <c r="H12" s="14" t="str">
        <f>IF(OR(A12="",B12="",C12="",B12&gt;C12),"",MAX(0,NETWORKDAYS.INTL(B12,C12,1,'Non-working days'!$A$6:$A$45)-IF(D12="Half day",0.5,0)-IF(AND(E12="Half day",C12&lt;&gt;B12),0.5,0)))</f>
        <v/>
      </c>
      <c r="I12" s="15" t="str">
        <f>IF(A12="","",IF(COUNTIF(Employees!$A$6:$A$35,A12)=0,"Unknown employee ID",IF(B12&gt;C12,"Check dates",IF(AND(B12=C12,E12="Half day"),"Use First day for a single half day","OK"))))</f>
        <v/>
      </c>
    </row>
    <row r="13" spans="1:9" x14ac:dyDescent="0.3">
      <c r="A13" s="11"/>
      <c r="B13" s="13"/>
      <c r="C13" s="13"/>
      <c r="D13" s="11"/>
      <c r="E13" s="11"/>
      <c r="F13" s="11"/>
      <c r="G13" s="11"/>
      <c r="H13" s="14" t="str">
        <f>IF(OR(A13="",B13="",C13="",B13&gt;C13),"",MAX(0,NETWORKDAYS.INTL(B13,C13,1,'Non-working days'!$A$6:$A$45)-IF(D13="Half day",0.5,0)-IF(AND(E13="Half day",C13&lt;&gt;B13),0.5,0)))</f>
        <v/>
      </c>
      <c r="I13" s="15" t="str">
        <f>IF(A13="","",IF(COUNTIF(Employees!$A$6:$A$35,A13)=0,"Unknown employee ID",IF(B13&gt;C13,"Check dates",IF(AND(B13=C13,E13="Half day"),"Use First day for a single half day","OK"))))</f>
        <v/>
      </c>
    </row>
    <row r="14" spans="1:9" x14ac:dyDescent="0.3">
      <c r="A14" s="11"/>
      <c r="B14" s="13"/>
      <c r="C14" s="13"/>
      <c r="D14" s="11"/>
      <c r="E14" s="11"/>
      <c r="F14" s="11"/>
      <c r="G14" s="11"/>
      <c r="H14" s="14" t="str">
        <f>IF(OR(A14="",B14="",C14="",B14&gt;C14),"",MAX(0,NETWORKDAYS.INTL(B14,C14,1,'Non-working days'!$A$6:$A$45)-IF(D14="Half day",0.5,0)-IF(AND(E14="Half day",C14&lt;&gt;B14),0.5,0)))</f>
        <v/>
      </c>
      <c r="I14" s="15" t="str">
        <f>IF(A14="","",IF(COUNTIF(Employees!$A$6:$A$35,A14)=0,"Unknown employee ID",IF(B14&gt;C14,"Check dates",IF(AND(B14=C14,E14="Half day"),"Use First day for a single half day","OK"))))</f>
        <v/>
      </c>
    </row>
    <row r="15" spans="1:9" x14ac:dyDescent="0.3">
      <c r="A15" s="11"/>
      <c r="B15" s="13"/>
      <c r="C15" s="13"/>
      <c r="D15" s="11"/>
      <c r="E15" s="11"/>
      <c r="F15" s="11"/>
      <c r="G15" s="11"/>
      <c r="H15" s="14" t="str">
        <f>IF(OR(A15="",B15="",C15="",B15&gt;C15),"",MAX(0,NETWORKDAYS.INTL(B15,C15,1,'Non-working days'!$A$6:$A$45)-IF(D15="Half day",0.5,0)-IF(AND(E15="Half day",C15&lt;&gt;B15),0.5,0)))</f>
        <v/>
      </c>
      <c r="I15" s="15" t="str">
        <f>IF(A15="","",IF(COUNTIF(Employees!$A$6:$A$35,A15)=0,"Unknown employee ID",IF(B15&gt;C15,"Check dates",IF(AND(B15=C15,E15="Half day"),"Use First day for a single half day","OK"))))</f>
        <v/>
      </c>
    </row>
    <row r="16" spans="1:9" x14ac:dyDescent="0.3">
      <c r="A16" s="11"/>
      <c r="B16" s="13"/>
      <c r="C16" s="13"/>
      <c r="D16" s="11"/>
      <c r="E16" s="11"/>
      <c r="F16" s="11"/>
      <c r="G16" s="11"/>
      <c r="H16" s="14" t="str">
        <f>IF(OR(A16="",B16="",C16="",B16&gt;C16),"",MAX(0,NETWORKDAYS.INTL(B16,C16,1,'Non-working days'!$A$6:$A$45)-IF(D16="Half day",0.5,0)-IF(AND(E16="Half day",C16&lt;&gt;B16),0.5,0)))</f>
        <v/>
      </c>
      <c r="I16" s="15" t="str">
        <f>IF(A16="","",IF(COUNTIF(Employees!$A$6:$A$35,A16)=0,"Unknown employee ID",IF(B16&gt;C16,"Check dates",IF(AND(B16=C16,E16="Half day"),"Use First day for a single half day","OK"))))</f>
        <v/>
      </c>
    </row>
    <row r="17" spans="1:9" x14ac:dyDescent="0.3">
      <c r="A17" s="11"/>
      <c r="B17" s="13"/>
      <c r="C17" s="13"/>
      <c r="D17" s="11"/>
      <c r="E17" s="11"/>
      <c r="F17" s="11"/>
      <c r="G17" s="11"/>
      <c r="H17" s="14" t="str">
        <f>IF(OR(A17="",B17="",C17="",B17&gt;C17),"",MAX(0,NETWORKDAYS.INTL(B17,C17,1,'Non-working days'!$A$6:$A$45)-IF(D17="Half day",0.5,0)-IF(AND(E17="Half day",C17&lt;&gt;B17),0.5,0)))</f>
        <v/>
      </c>
      <c r="I17" s="15" t="str">
        <f>IF(A17="","",IF(COUNTIF(Employees!$A$6:$A$35,A17)=0,"Unknown employee ID",IF(B17&gt;C17,"Check dates",IF(AND(B17=C17,E17="Half day"),"Use First day for a single half day","OK"))))</f>
        <v/>
      </c>
    </row>
    <row r="18" spans="1:9" x14ac:dyDescent="0.3">
      <c r="A18" s="11"/>
      <c r="B18" s="13"/>
      <c r="C18" s="13"/>
      <c r="D18" s="11"/>
      <c r="E18" s="11"/>
      <c r="F18" s="11"/>
      <c r="G18" s="11"/>
      <c r="H18" s="14" t="str">
        <f>IF(OR(A18="",B18="",C18="",B18&gt;C18),"",MAX(0,NETWORKDAYS.INTL(B18,C18,1,'Non-working days'!$A$6:$A$45)-IF(D18="Half day",0.5,0)-IF(AND(E18="Half day",C18&lt;&gt;B18),0.5,0)))</f>
        <v/>
      </c>
      <c r="I18" s="15" t="str">
        <f>IF(A18="","",IF(COUNTIF(Employees!$A$6:$A$35,A18)=0,"Unknown employee ID",IF(B18&gt;C18,"Check dates",IF(AND(B18=C18,E18="Half day"),"Use First day for a single half day","OK"))))</f>
        <v/>
      </c>
    </row>
    <row r="19" spans="1:9" x14ac:dyDescent="0.3">
      <c r="A19" s="11"/>
      <c r="B19" s="13"/>
      <c r="C19" s="13"/>
      <c r="D19" s="11"/>
      <c r="E19" s="11"/>
      <c r="F19" s="11"/>
      <c r="G19" s="11"/>
      <c r="H19" s="14" t="str">
        <f>IF(OR(A19="",B19="",C19="",B19&gt;C19),"",MAX(0,NETWORKDAYS.INTL(B19,C19,1,'Non-working days'!$A$6:$A$45)-IF(D19="Half day",0.5,0)-IF(AND(E19="Half day",C19&lt;&gt;B19),0.5,0)))</f>
        <v/>
      </c>
      <c r="I19" s="15" t="str">
        <f>IF(A19="","",IF(COUNTIF(Employees!$A$6:$A$35,A19)=0,"Unknown employee ID",IF(B19&gt;C19,"Check dates",IF(AND(B19=C19,E19="Half day"),"Use First day for a single half day","OK"))))</f>
        <v/>
      </c>
    </row>
    <row r="20" spans="1:9" x14ac:dyDescent="0.3">
      <c r="A20" s="11"/>
      <c r="B20" s="13"/>
      <c r="C20" s="13"/>
      <c r="D20" s="11"/>
      <c r="E20" s="11"/>
      <c r="F20" s="11"/>
      <c r="G20" s="11"/>
      <c r="H20" s="14" t="str">
        <f>IF(OR(A20="",B20="",C20="",B20&gt;C20),"",MAX(0,NETWORKDAYS.INTL(B20,C20,1,'Non-working days'!$A$6:$A$45)-IF(D20="Half day",0.5,0)-IF(AND(E20="Half day",C20&lt;&gt;B20),0.5,0)))</f>
        <v/>
      </c>
      <c r="I20" s="15" t="str">
        <f>IF(A20="","",IF(COUNTIF(Employees!$A$6:$A$35,A20)=0,"Unknown employee ID",IF(B20&gt;C20,"Check dates",IF(AND(B20=C20,E20="Half day"),"Use First day for a single half day","OK"))))</f>
        <v/>
      </c>
    </row>
    <row r="21" spans="1:9" x14ac:dyDescent="0.3">
      <c r="A21" s="11"/>
      <c r="B21" s="13"/>
      <c r="C21" s="13"/>
      <c r="D21" s="11"/>
      <c r="E21" s="11"/>
      <c r="F21" s="11"/>
      <c r="G21" s="11"/>
      <c r="H21" s="14" t="str">
        <f>IF(OR(A21="",B21="",C21="",B21&gt;C21),"",MAX(0,NETWORKDAYS.INTL(B21,C21,1,'Non-working days'!$A$6:$A$45)-IF(D21="Half day",0.5,0)-IF(AND(E21="Half day",C21&lt;&gt;B21),0.5,0)))</f>
        <v/>
      </c>
      <c r="I21" s="15" t="str">
        <f>IF(A21="","",IF(COUNTIF(Employees!$A$6:$A$35,A21)=0,"Unknown employee ID",IF(B21&gt;C21,"Check dates",IF(AND(B21=C21,E21="Half day"),"Use First day for a single half day","OK"))))</f>
        <v/>
      </c>
    </row>
    <row r="22" spans="1:9" x14ac:dyDescent="0.3">
      <c r="A22" s="11"/>
      <c r="B22" s="13"/>
      <c r="C22" s="13"/>
      <c r="D22" s="11"/>
      <c r="E22" s="11"/>
      <c r="F22" s="11"/>
      <c r="G22" s="11"/>
      <c r="H22" s="14" t="str">
        <f>IF(OR(A22="",B22="",C22="",B22&gt;C22),"",MAX(0,NETWORKDAYS.INTL(B22,C22,1,'Non-working days'!$A$6:$A$45)-IF(D22="Half day",0.5,0)-IF(AND(E22="Half day",C22&lt;&gt;B22),0.5,0)))</f>
        <v/>
      </c>
      <c r="I22" s="15" t="str">
        <f>IF(A22="","",IF(COUNTIF(Employees!$A$6:$A$35,A22)=0,"Unknown employee ID",IF(B22&gt;C22,"Check dates",IF(AND(B22=C22,E22="Half day"),"Use First day for a single half day","OK"))))</f>
        <v/>
      </c>
    </row>
    <row r="23" spans="1:9" x14ac:dyDescent="0.3">
      <c r="A23" s="11"/>
      <c r="B23" s="13"/>
      <c r="C23" s="13"/>
      <c r="D23" s="11"/>
      <c r="E23" s="11"/>
      <c r="F23" s="11"/>
      <c r="G23" s="11"/>
      <c r="H23" s="14" t="str">
        <f>IF(OR(A23="",B23="",C23="",B23&gt;C23),"",MAX(0,NETWORKDAYS.INTL(B23,C23,1,'Non-working days'!$A$6:$A$45)-IF(D23="Half day",0.5,0)-IF(AND(E23="Half day",C23&lt;&gt;B23),0.5,0)))</f>
        <v/>
      </c>
      <c r="I23" s="15" t="str">
        <f>IF(A23="","",IF(COUNTIF(Employees!$A$6:$A$35,A23)=0,"Unknown employee ID",IF(B23&gt;C23,"Check dates",IF(AND(B23=C23,E23="Half day"),"Use First day for a single half day","OK"))))</f>
        <v/>
      </c>
    </row>
    <row r="24" spans="1:9" x14ac:dyDescent="0.3">
      <c r="A24" s="11"/>
      <c r="B24" s="13"/>
      <c r="C24" s="13"/>
      <c r="D24" s="11"/>
      <c r="E24" s="11"/>
      <c r="F24" s="11"/>
      <c r="G24" s="11"/>
      <c r="H24" s="14" t="str">
        <f>IF(OR(A24="",B24="",C24="",B24&gt;C24),"",MAX(0,NETWORKDAYS.INTL(B24,C24,1,'Non-working days'!$A$6:$A$45)-IF(D24="Half day",0.5,0)-IF(AND(E24="Half day",C24&lt;&gt;B24),0.5,0)))</f>
        <v/>
      </c>
      <c r="I24" s="15" t="str">
        <f>IF(A24="","",IF(COUNTIF(Employees!$A$6:$A$35,A24)=0,"Unknown employee ID",IF(B24&gt;C24,"Check dates",IF(AND(B24=C24,E24="Half day"),"Use First day for a single half day","OK"))))</f>
        <v/>
      </c>
    </row>
    <row r="25" spans="1:9" x14ac:dyDescent="0.3">
      <c r="A25" s="11"/>
      <c r="B25" s="13"/>
      <c r="C25" s="13"/>
      <c r="D25" s="11"/>
      <c r="E25" s="11"/>
      <c r="F25" s="11"/>
      <c r="G25" s="11"/>
      <c r="H25" s="14" t="str">
        <f>IF(OR(A25="",B25="",C25="",B25&gt;C25),"",MAX(0,NETWORKDAYS.INTL(B25,C25,1,'Non-working days'!$A$6:$A$45)-IF(D25="Half day",0.5,0)-IF(AND(E25="Half day",C25&lt;&gt;B25),0.5,0)))</f>
        <v/>
      </c>
      <c r="I25" s="15" t="str">
        <f>IF(A25="","",IF(COUNTIF(Employees!$A$6:$A$35,A25)=0,"Unknown employee ID",IF(B25&gt;C25,"Check dates",IF(AND(B25=C25,E25="Half day"),"Use First day for a single half day","OK"))))</f>
        <v/>
      </c>
    </row>
    <row r="26" spans="1:9" x14ac:dyDescent="0.3">
      <c r="A26" s="11"/>
      <c r="B26" s="13"/>
      <c r="C26" s="13"/>
      <c r="D26" s="11"/>
      <c r="E26" s="11"/>
      <c r="F26" s="11"/>
      <c r="G26" s="11"/>
      <c r="H26" s="14" t="str">
        <f>IF(OR(A26="",B26="",C26="",B26&gt;C26),"",MAX(0,NETWORKDAYS.INTL(B26,C26,1,'Non-working days'!$A$6:$A$45)-IF(D26="Half day",0.5,0)-IF(AND(E26="Half day",C26&lt;&gt;B26),0.5,0)))</f>
        <v/>
      </c>
      <c r="I26" s="15" t="str">
        <f>IF(A26="","",IF(COUNTIF(Employees!$A$6:$A$35,A26)=0,"Unknown employee ID",IF(B26&gt;C26,"Check dates",IF(AND(B26=C26,E26="Half day"),"Use First day for a single half day","OK"))))</f>
        <v/>
      </c>
    </row>
    <row r="27" spans="1:9" x14ac:dyDescent="0.3">
      <c r="A27" s="11"/>
      <c r="B27" s="13"/>
      <c r="C27" s="13"/>
      <c r="D27" s="11"/>
      <c r="E27" s="11"/>
      <c r="F27" s="11"/>
      <c r="G27" s="11"/>
      <c r="H27" s="14" t="str">
        <f>IF(OR(A27="",B27="",C27="",B27&gt;C27),"",MAX(0,NETWORKDAYS.INTL(B27,C27,1,'Non-working days'!$A$6:$A$45)-IF(D27="Half day",0.5,0)-IF(AND(E27="Half day",C27&lt;&gt;B27),0.5,0)))</f>
        <v/>
      </c>
      <c r="I27" s="15" t="str">
        <f>IF(A27="","",IF(COUNTIF(Employees!$A$6:$A$35,A27)=0,"Unknown employee ID",IF(B27&gt;C27,"Check dates",IF(AND(B27=C27,E27="Half day"),"Use First day for a single half day","OK"))))</f>
        <v/>
      </c>
    </row>
    <row r="28" spans="1:9" x14ac:dyDescent="0.3">
      <c r="A28" s="11"/>
      <c r="B28" s="13"/>
      <c r="C28" s="13"/>
      <c r="D28" s="11"/>
      <c r="E28" s="11"/>
      <c r="F28" s="11"/>
      <c r="G28" s="11"/>
      <c r="H28" s="14" t="str">
        <f>IF(OR(A28="",B28="",C28="",B28&gt;C28),"",MAX(0,NETWORKDAYS.INTL(B28,C28,1,'Non-working days'!$A$6:$A$45)-IF(D28="Half day",0.5,0)-IF(AND(E28="Half day",C28&lt;&gt;B28),0.5,0)))</f>
        <v/>
      </c>
      <c r="I28" s="15" t="str">
        <f>IF(A28="","",IF(COUNTIF(Employees!$A$6:$A$35,A28)=0,"Unknown employee ID",IF(B28&gt;C28,"Check dates",IF(AND(B28=C28,E28="Half day"),"Use First day for a single half day","OK"))))</f>
        <v/>
      </c>
    </row>
    <row r="29" spans="1:9" x14ac:dyDescent="0.3">
      <c r="A29" s="11"/>
      <c r="B29" s="13"/>
      <c r="C29" s="13"/>
      <c r="D29" s="11"/>
      <c r="E29" s="11"/>
      <c r="F29" s="11"/>
      <c r="G29" s="11"/>
      <c r="H29" s="14" t="str">
        <f>IF(OR(A29="",B29="",C29="",B29&gt;C29),"",MAX(0,NETWORKDAYS.INTL(B29,C29,1,'Non-working days'!$A$6:$A$45)-IF(D29="Half day",0.5,0)-IF(AND(E29="Half day",C29&lt;&gt;B29),0.5,0)))</f>
        <v/>
      </c>
      <c r="I29" s="15" t="str">
        <f>IF(A29="","",IF(COUNTIF(Employees!$A$6:$A$35,A29)=0,"Unknown employee ID",IF(B29&gt;C29,"Check dates",IF(AND(B29=C29,E29="Half day"),"Use First day for a single half day","OK"))))</f>
        <v/>
      </c>
    </row>
    <row r="30" spans="1:9" x14ac:dyDescent="0.3">
      <c r="A30" s="11"/>
      <c r="B30" s="13"/>
      <c r="C30" s="13"/>
      <c r="D30" s="11"/>
      <c r="E30" s="11"/>
      <c r="F30" s="11"/>
      <c r="G30" s="11"/>
      <c r="H30" s="14" t="str">
        <f>IF(OR(A30="",B30="",C30="",B30&gt;C30),"",MAX(0,NETWORKDAYS.INTL(B30,C30,1,'Non-working days'!$A$6:$A$45)-IF(D30="Half day",0.5,0)-IF(AND(E30="Half day",C30&lt;&gt;B30),0.5,0)))</f>
        <v/>
      </c>
      <c r="I30" s="15" t="str">
        <f>IF(A30="","",IF(COUNTIF(Employees!$A$6:$A$35,A30)=0,"Unknown employee ID",IF(B30&gt;C30,"Check dates",IF(AND(B30=C30,E30="Half day"),"Use First day for a single half day","OK"))))</f>
        <v/>
      </c>
    </row>
    <row r="31" spans="1:9" x14ac:dyDescent="0.3">
      <c r="A31" s="11"/>
      <c r="B31" s="13"/>
      <c r="C31" s="13"/>
      <c r="D31" s="11"/>
      <c r="E31" s="11"/>
      <c r="F31" s="11"/>
      <c r="G31" s="11"/>
      <c r="H31" s="14" t="str">
        <f>IF(OR(A31="",B31="",C31="",B31&gt;C31),"",MAX(0,NETWORKDAYS.INTL(B31,C31,1,'Non-working days'!$A$6:$A$45)-IF(D31="Half day",0.5,0)-IF(AND(E31="Half day",C31&lt;&gt;B31),0.5,0)))</f>
        <v/>
      </c>
      <c r="I31" s="15" t="str">
        <f>IF(A31="","",IF(COUNTIF(Employees!$A$6:$A$35,A31)=0,"Unknown employee ID",IF(B31&gt;C31,"Check dates",IF(AND(B31=C31,E31="Half day"),"Use First day for a single half day","OK"))))</f>
        <v/>
      </c>
    </row>
    <row r="32" spans="1:9" x14ac:dyDescent="0.3">
      <c r="A32" s="11"/>
      <c r="B32" s="13"/>
      <c r="C32" s="13"/>
      <c r="D32" s="11"/>
      <c r="E32" s="11"/>
      <c r="F32" s="11"/>
      <c r="G32" s="11"/>
      <c r="H32" s="14" t="str">
        <f>IF(OR(A32="",B32="",C32="",B32&gt;C32),"",MAX(0,NETWORKDAYS.INTL(B32,C32,1,'Non-working days'!$A$6:$A$45)-IF(D32="Half day",0.5,0)-IF(AND(E32="Half day",C32&lt;&gt;B32),0.5,0)))</f>
        <v/>
      </c>
      <c r="I32" s="15" t="str">
        <f>IF(A32="","",IF(COUNTIF(Employees!$A$6:$A$35,A32)=0,"Unknown employee ID",IF(B32&gt;C32,"Check dates",IF(AND(B32=C32,E32="Half day"),"Use First day for a single half day","OK"))))</f>
        <v/>
      </c>
    </row>
    <row r="33" spans="1:9" x14ac:dyDescent="0.3">
      <c r="A33" s="11"/>
      <c r="B33" s="13"/>
      <c r="C33" s="13"/>
      <c r="D33" s="11"/>
      <c r="E33" s="11"/>
      <c r="F33" s="11"/>
      <c r="G33" s="11"/>
      <c r="H33" s="14" t="str">
        <f>IF(OR(A33="",B33="",C33="",B33&gt;C33),"",MAX(0,NETWORKDAYS.INTL(B33,C33,1,'Non-working days'!$A$6:$A$45)-IF(D33="Half day",0.5,0)-IF(AND(E33="Half day",C33&lt;&gt;B33),0.5,0)))</f>
        <v/>
      </c>
      <c r="I33" s="15" t="str">
        <f>IF(A33="","",IF(COUNTIF(Employees!$A$6:$A$35,A33)=0,"Unknown employee ID",IF(B33&gt;C33,"Check dates",IF(AND(B33=C33,E33="Half day"),"Use First day for a single half day","OK"))))</f>
        <v/>
      </c>
    </row>
    <row r="34" spans="1:9" x14ac:dyDescent="0.3">
      <c r="A34" s="11"/>
      <c r="B34" s="13"/>
      <c r="C34" s="13"/>
      <c r="D34" s="11"/>
      <c r="E34" s="11"/>
      <c r="F34" s="11"/>
      <c r="G34" s="11"/>
      <c r="H34" s="14" t="str">
        <f>IF(OR(A34="",B34="",C34="",B34&gt;C34),"",MAX(0,NETWORKDAYS.INTL(B34,C34,1,'Non-working days'!$A$6:$A$45)-IF(D34="Half day",0.5,0)-IF(AND(E34="Half day",C34&lt;&gt;B34),0.5,0)))</f>
        <v/>
      </c>
      <c r="I34" s="15" t="str">
        <f>IF(A34="","",IF(COUNTIF(Employees!$A$6:$A$35,A34)=0,"Unknown employee ID",IF(B34&gt;C34,"Check dates",IF(AND(B34=C34,E34="Half day"),"Use First day for a single half day","OK"))))</f>
        <v/>
      </c>
    </row>
    <row r="35" spans="1:9" x14ac:dyDescent="0.3">
      <c r="A35" s="11"/>
      <c r="B35" s="13"/>
      <c r="C35" s="13"/>
      <c r="D35" s="11"/>
      <c r="E35" s="11"/>
      <c r="F35" s="11"/>
      <c r="G35" s="11"/>
      <c r="H35" s="14" t="str">
        <f>IF(OR(A35="",B35="",C35="",B35&gt;C35),"",MAX(0,NETWORKDAYS.INTL(B35,C35,1,'Non-working days'!$A$6:$A$45)-IF(D35="Half day",0.5,0)-IF(AND(E35="Half day",C35&lt;&gt;B35),0.5,0)))</f>
        <v/>
      </c>
      <c r="I35" s="15" t="str">
        <f>IF(A35="","",IF(COUNTIF(Employees!$A$6:$A$35,A35)=0,"Unknown employee ID",IF(B35&gt;C35,"Check dates",IF(AND(B35=C35,E35="Half day"),"Use First day for a single half day","OK"))))</f>
        <v/>
      </c>
    </row>
    <row r="36" spans="1:9" x14ac:dyDescent="0.3">
      <c r="A36" s="11"/>
      <c r="B36" s="13"/>
      <c r="C36" s="13"/>
      <c r="D36" s="11"/>
      <c r="E36" s="11"/>
      <c r="F36" s="11"/>
      <c r="G36" s="11"/>
      <c r="H36" s="14" t="str">
        <f>IF(OR(A36="",B36="",C36="",B36&gt;C36),"",MAX(0,NETWORKDAYS.INTL(B36,C36,1,'Non-working days'!$A$6:$A$45)-IF(D36="Half day",0.5,0)-IF(AND(E36="Half day",C36&lt;&gt;B36),0.5,0)))</f>
        <v/>
      </c>
      <c r="I36" s="15" t="str">
        <f>IF(A36="","",IF(COUNTIF(Employees!$A$6:$A$35,A36)=0,"Unknown employee ID",IF(B36&gt;C36,"Check dates",IF(AND(B36=C36,E36="Half day"),"Use First day for a single half day","OK"))))</f>
        <v/>
      </c>
    </row>
    <row r="37" spans="1:9" x14ac:dyDescent="0.3">
      <c r="A37" s="11"/>
      <c r="B37" s="13"/>
      <c r="C37" s="13"/>
      <c r="D37" s="11"/>
      <c r="E37" s="11"/>
      <c r="F37" s="11"/>
      <c r="G37" s="11"/>
      <c r="H37" s="14" t="str">
        <f>IF(OR(A37="",B37="",C37="",B37&gt;C37),"",MAX(0,NETWORKDAYS.INTL(B37,C37,1,'Non-working days'!$A$6:$A$45)-IF(D37="Half day",0.5,0)-IF(AND(E37="Half day",C37&lt;&gt;B37),0.5,0)))</f>
        <v/>
      </c>
      <c r="I37" s="15" t="str">
        <f>IF(A37="","",IF(COUNTIF(Employees!$A$6:$A$35,A37)=0,"Unknown employee ID",IF(B37&gt;C37,"Check dates",IF(AND(B37=C37,E37="Half day"),"Use First day for a single half day","OK"))))</f>
        <v/>
      </c>
    </row>
    <row r="38" spans="1:9" x14ac:dyDescent="0.3">
      <c r="A38" s="11"/>
      <c r="B38" s="13"/>
      <c r="C38" s="13"/>
      <c r="D38" s="11"/>
      <c r="E38" s="11"/>
      <c r="F38" s="11"/>
      <c r="G38" s="11"/>
      <c r="H38" s="14" t="str">
        <f>IF(OR(A38="",B38="",C38="",B38&gt;C38),"",MAX(0,NETWORKDAYS.INTL(B38,C38,1,'Non-working days'!$A$6:$A$45)-IF(D38="Half day",0.5,0)-IF(AND(E38="Half day",C38&lt;&gt;B38),0.5,0)))</f>
        <v/>
      </c>
      <c r="I38" s="15" t="str">
        <f>IF(A38="","",IF(COUNTIF(Employees!$A$6:$A$35,A38)=0,"Unknown employee ID",IF(B38&gt;C38,"Check dates",IF(AND(B38=C38,E38="Half day"),"Use First day for a single half day","OK"))))</f>
        <v/>
      </c>
    </row>
    <row r="39" spans="1:9" x14ac:dyDescent="0.3">
      <c r="A39" s="11"/>
      <c r="B39" s="13"/>
      <c r="C39" s="13"/>
      <c r="D39" s="11"/>
      <c r="E39" s="11"/>
      <c r="F39" s="11"/>
      <c r="G39" s="11"/>
      <c r="H39" s="14" t="str">
        <f>IF(OR(A39="",B39="",C39="",B39&gt;C39),"",MAX(0,NETWORKDAYS.INTL(B39,C39,1,'Non-working days'!$A$6:$A$45)-IF(D39="Half day",0.5,0)-IF(AND(E39="Half day",C39&lt;&gt;B39),0.5,0)))</f>
        <v/>
      </c>
      <c r="I39" s="15" t="str">
        <f>IF(A39="","",IF(COUNTIF(Employees!$A$6:$A$35,A39)=0,"Unknown employee ID",IF(B39&gt;C39,"Check dates",IF(AND(B39=C39,E39="Half day"),"Use First day for a single half day","OK"))))</f>
        <v/>
      </c>
    </row>
    <row r="40" spans="1:9" x14ac:dyDescent="0.3">
      <c r="A40" s="11"/>
      <c r="B40" s="13"/>
      <c r="C40" s="13"/>
      <c r="D40" s="11"/>
      <c r="E40" s="11"/>
      <c r="F40" s="11"/>
      <c r="G40" s="11"/>
      <c r="H40" s="14" t="str">
        <f>IF(OR(A40="",B40="",C40="",B40&gt;C40),"",MAX(0,NETWORKDAYS.INTL(B40,C40,1,'Non-working days'!$A$6:$A$45)-IF(D40="Half day",0.5,0)-IF(AND(E40="Half day",C40&lt;&gt;B40),0.5,0)))</f>
        <v/>
      </c>
      <c r="I40" s="15" t="str">
        <f>IF(A40="","",IF(COUNTIF(Employees!$A$6:$A$35,A40)=0,"Unknown employee ID",IF(B40&gt;C40,"Check dates",IF(AND(B40=C40,E40="Half day"),"Use First day for a single half day","OK"))))</f>
        <v/>
      </c>
    </row>
    <row r="41" spans="1:9" x14ac:dyDescent="0.3">
      <c r="A41" s="11"/>
      <c r="B41" s="13"/>
      <c r="C41" s="13"/>
      <c r="D41" s="11"/>
      <c r="E41" s="11"/>
      <c r="F41" s="11"/>
      <c r="G41" s="11"/>
      <c r="H41" s="14" t="str">
        <f>IF(OR(A41="",B41="",C41="",B41&gt;C41),"",MAX(0,NETWORKDAYS.INTL(B41,C41,1,'Non-working days'!$A$6:$A$45)-IF(D41="Half day",0.5,0)-IF(AND(E41="Half day",C41&lt;&gt;B41),0.5,0)))</f>
        <v/>
      </c>
      <c r="I41" s="15" t="str">
        <f>IF(A41="","",IF(COUNTIF(Employees!$A$6:$A$35,A41)=0,"Unknown employee ID",IF(B41&gt;C41,"Check dates",IF(AND(B41=C41,E41="Half day"),"Use First day for a single half day","OK"))))</f>
        <v/>
      </c>
    </row>
    <row r="42" spans="1:9" x14ac:dyDescent="0.3">
      <c r="A42" s="11"/>
      <c r="B42" s="13"/>
      <c r="C42" s="13"/>
      <c r="D42" s="11"/>
      <c r="E42" s="11"/>
      <c r="F42" s="11"/>
      <c r="G42" s="11"/>
      <c r="H42" s="14" t="str">
        <f>IF(OR(A42="",B42="",C42="",B42&gt;C42),"",MAX(0,NETWORKDAYS.INTL(B42,C42,1,'Non-working days'!$A$6:$A$45)-IF(D42="Half day",0.5,0)-IF(AND(E42="Half day",C42&lt;&gt;B42),0.5,0)))</f>
        <v/>
      </c>
      <c r="I42" s="15" t="str">
        <f>IF(A42="","",IF(COUNTIF(Employees!$A$6:$A$35,A42)=0,"Unknown employee ID",IF(B42&gt;C42,"Check dates",IF(AND(B42=C42,E42="Half day"),"Use First day for a single half day","OK"))))</f>
        <v/>
      </c>
    </row>
    <row r="43" spans="1:9" x14ac:dyDescent="0.3">
      <c r="A43" s="11"/>
      <c r="B43" s="13"/>
      <c r="C43" s="13"/>
      <c r="D43" s="11"/>
      <c r="E43" s="11"/>
      <c r="F43" s="11"/>
      <c r="G43" s="11"/>
      <c r="H43" s="14" t="str">
        <f>IF(OR(A43="",B43="",C43="",B43&gt;C43),"",MAX(0,NETWORKDAYS.INTL(B43,C43,1,'Non-working days'!$A$6:$A$45)-IF(D43="Half day",0.5,0)-IF(AND(E43="Half day",C43&lt;&gt;B43),0.5,0)))</f>
        <v/>
      </c>
      <c r="I43" s="15" t="str">
        <f>IF(A43="","",IF(COUNTIF(Employees!$A$6:$A$35,A43)=0,"Unknown employee ID",IF(B43&gt;C43,"Check dates",IF(AND(B43=C43,E43="Half day"),"Use First day for a single half day","OK"))))</f>
        <v/>
      </c>
    </row>
    <row r="44" spans="1:9" x14ac:dyDescent="0.3">
      <c r="A44" s="11"/>
      <c r="B44" s="13"/>
      <c r="C44" s="13"/>
      <c r="D44" s="11"/>
      <c r="E44" s="11"/>
      <c r="F44" s="11"/>
      <c r="G44" s="11"/>
      <c r="H44" s="14" t="str">
        <f>IF(OR(A44="",B44="",C44="",B44&gt;C44),"",MAX(0,NETWORKDAYS.INTL(B44,C44,1,'Non-working days'!$A$6:$A$45)-IF(D44="Half day",0.5,0)-IF(AND(E44="Half day",C44&lt;&gt;B44),0.5,0)))</f>
        <v/>
      </c>
      <c r="I44" s="15" t="str">
        <f>IF(A44="","",IF(COUNTIF(Employees!$A$6:$A$35,A44)=0,"Unknown employee ID",IF(B44&gt;C44,"Check dates",IF(AND(B44=C44,E44="Half day"),"Use First day for a single half day","OK"))))</f>
        <v/>
      </c>
    </row>
    <row r="45" spans="1:9" x14ac:dyDescent="0.3">
      <c r="A45" s="11"/>
      <c r="B45" s="13"/>
      <c r="C45" s="13"/>
      <c r="D45" s="11"/>
      <c r="E45" s="11"/>
      <c r="F45" s="11"/>
      <c r="G45" s="11"/>
      <c r="H45" s="14" t="str">
        <f>IF(OR(A45="",B45="",C45="",B45&gt;C45),"",MAX(0,NETWORKDAYS.INTL(B45,C45,1,'Non-working days'!$A$6:$A$45)-IF(D45="Half day",0.5,0)-IF(AND(E45="Half day",C45&lt;&gt;B45),0.5,0)))</f>
        <v/>
      </c>
      <c r="I45" s="15" t="str">
        <f>IF(A45="","",IF(COUNTIF(Employees!$A$6:$A$35,A45)=0,"Unknown employee ID",IF(B45&gt;C45,"Check dates",IF(AND(B45=C45,E45="Half day"),"Use First day for a single half day","OK"))))</f>
        <v/>
      </c>
    </row>
    <row r="46" spans="1:9" x14ac:dyDescent="0.3">
      <c r="A46" s="11"/>
      <c r="B46" s="13"/>
      <c r="C46" s="13"/>
      <c r="D46" s="11"/>
      <c r="E46" s="11"/>
      <c r="F46" s="11"/>
      <c r="G46" s="11"/>
      <c r="H46" s="14" t="str">
        <f>IF(OR(A46="",B46="",C46="",B46&gt;C46),"",MAX(0,NETWORKDAYS.INTL(B46,C46,1,'Non-working days'!$A$6:$A$45)-IF(D46="Half day",0.5,0)-IF(AND(E46="Half day",C46&lt;&gt;B46),0.5,0)))</f>
        <v/>
      </c>
      <c r="I46" s="15" t="str">
        <f>IF(A46="","",IF(COUNTIF(Employees!$A$6:$A$35,A46)=0,"Unknown employee ID",IF(B46&gt;C46,"Check dates",IF(AND(B46=C46,E46="Half day"),"Use First day for a single half day","OK"))))</f>
        <v/>
      </c>
    </row>
    <row r="47" spans="1:9" x14ac:dyDescent="0.3">
      <c r="A47" s="11"/>
      <c r="B47" s="13"/>
      <c r="C47" s="13"/>
      <c r="D47" s="11"/>
      <c r="E47" s="11"/>
      <c r="F47" s="11"/>
      <c r="G47" s="11"/>
      <c r="H47" s="14" t="str">
        <f>IF(OR(A47="",B47="",C47="",B47&gt;C47),"",MAX(0,NETWORKDAYS.INTL(B47,C47,1,'Non-working days'!$A$6:$A$45)-IF(D47="Half day",0.5,0)-IF(AND(E47="Half day",C47&lt;&gt;B47),0.5,0)))</f>
        <v/>
      </c>
      <c r="I47" s="15" t="str">
        <f>IF(A47="","",IF(COUNTIF(Employees!$A$6:$A$35,A47)=0,"Unknown employee ID",IF(B47&gt;C47,"Check dates",IF(AND(B47=C47,E47="Half day"),"Use First day for a single half day","OK"))))</f>
        <v/>
      </c>
    </row>
    <row r="48" spans="1:9" x14ac:dyDescent="0.3">
      <c r="A48" s="11"/>
      <c r="B48" s="13"/>
      <c r="C48" s="13"/>
      <c r="D48" s="11"/>
      <c r="E48" s="11"/>
      <c r="F48" s="11"/>
      <c r="G48" s="11"/>
      <c r="H48" s="14" t="str">
        <f>IF(OR(A48="",B48="",C48="",B48&gt;C48),"",MAX(0,NETWORKDAYS.INTL(B48,C48,1,'Non-working days'!$A$6:$A$45)-IF(D48="Half day",0.5,0)-IF(AND(E48="Half day",C48&lt;&gt;B48),0.5,0)))</f>
        <v/>
      </c>
      <c r="I48" s="15" t="str">
        <f>IF(A48="","",IF(COUNTIF(Employees!$A$6:$A$35,A48)=0,"Unknown employee ID",IF(B48&gt;C48,"Check dates",IF(AND(B48=C48,E48="Half day"),"Use First day for a single half day","OK"))))</f>
        <v/>
      </c>
    </row>
    <row r="49" spans="1:9" x14ac:dyDescent="0.3">
      <c r="A49" s="11"/>
      <c r="B49" s="13"/>
      <c r="C49" s="13"/>
      <c r="D49" s="11"/>
      <c r="E49" s="11"/>
      <c r="F49" s="11"/>
      <c r="G49" s="11"/>
      <c r="H49" s="14" t="str">
        <f>IF(OR(A49="",B49="",C49="",B49&gt;C49),"",MAX(0,NETWORKDAYS.INTL(B49,C49,1,'Non-working days'!$A$6:$A$45)-IF(D49="Half day",0.5,0)-IF(AND(E49="Half day",C49&lt;&gt;B49),0.5,0)))</f>
        <v/>
      </c>
      <c r="I49" s="15" t="str">
        <f>IF(A49="","",IF(COUNTIF(Employees!$A$6:$A$35,A49)=0,"Unknown employee ID",IF(B49&gt;C49,"Check dates",IF(AND(B49=C49,E49="Half day"),"Use First day for a single half day","OK"))))</f>
        <v/>
      </c>
    </row>
    <row r="50" spans="1:9" x14ac:dyDescent="0.3">
      <c r="A50" s="11"/>
      <c r="B50" s="13"/>
      <c r="C50" s="13"/>
      <c r="D50" s="11"/>
      <c r="E50" s="11"/>
      <c r="F50" s="11"/>
      <c r="G50" s="11"/>
      <c r="H50" s="14" t="str">
        <f>IF(OR(A50="",B50="",C50="",B50&gt;C50),"",MAX(0,NETWORKDAYS.INTL(B50,C50,1,'Non-working days'!$A$6:$A$45)-IF(D50="Half day",0.5,0)-IF(AND(E50="Half day",C50&lt;&gt;B50),0.5,0)))</f>
        <v/>
      </c>
      <c r="I50" s="15" t="str">
        <f>IF(A50="","",IF(COUNTIF(Employees!$A$6:$A$35,A50)=0,"Unknown employee ID",IF(B50&gt;C50,"Check dates",IF(AND(B50=C50,E50="Half day"),"Use First day for a single half day","OK"))))</f>
        <v/>
      </c>
    </row>
    <row r="51" spans="1:9" x14ac:dyDescent="0.3">
      <c r="A51" s="11"/>
      <c r="B51" s="13"/>
      <c r="C51" s="13"/>
      <c r="D51" s="11"/>
      <c r="E51" s="11"/>
      <c r="F51" s="11"/>
      <c r="G51" s="11"/>
      <c r="H51" s="14" t="str">
        <f>IF(OR(A51="",B51="",C51="",B51&gt;C51),"",MAX(0,NETWORKDAYS.INTL(B51,C51,1,'Non-working days'!$A$6:$A$45)-IF(D51="Half day",0.5,0)-IF(AND(E51="Half day",C51&lt;&gt;B51),0.5,0)))</f>
        <v/>
      </c>
      <c r="I51" s="15" t="str">
        <f>IF(A51="","",IF(COUNTIF(Employees!$A$6:$A$35,A51)=0,"Unknown employee ID",IF(B51&gt;C51,"Check dates",IF(AND(B51=C51,E51="Half day"),"Use First day for a single half day","OK"))))</f>
        <v/>
      </c>
    </row>
    <row r="52" spans="1:9" x14ac:dyDescent="0.3">
      <c r="A52" s="11"/>
      <c r="B52" s="13"/>
      <c r="C52" s="13"/>
      <c r="D52" s="11"/>
      <c r="E52" s="11"/>
      <c r="F52" s="11"/>
      <c r="G52" s="11"/>
      <c r="H52" s="14" t="str">
        <f>IF(OR(A52="",B52="",C52="",B52&gt;C52),"",MAX(0,NETWORKDAYS.INTL(B52,C52,1,'Non-working days'!$A$6:$A$45)-IF(D52="Half day",0.5,0)-IF(AND(E52="Half day",C52&lt;&gt;B52),0.5,0)))</f>
        <v/>
      </c>
      <c r="I52" s="15" t="str">
        <f>IF(A52="","",IF(COUNTIF(Employees!$A$6:$A$35,A52)=0,"Unknown employee ID",IF(B52&gt;C52,"Check dates",IF(AND(B52=C52,E52="Half day"),"Use First day for a single half day","OK"))))</f>
        <v/>
      </c>
    </row>
    <row r="53" spans="1:9" x14ac:dyDescent="0.3">
      <c r="A53" s="11"/>
      <c r="B53" s="13"/>
      <c r="C53" s="13"/>
      <c r="D53" s="11"/>
      <c r="E53" s="11"/>
      <c r="F53" s="11"/>
      <c r="G53" s="11"/>
      <c r="H53" s="14" t="str">
        <f>IF(OR(A53="",B53="",C53="",B53&gt;C53),"",MAX(0,NETWORKDAYS.INTL(B53,C53,1,'Non-working days'!$A$6:$A$45)-IF(D53="Half day",0.5,0)-IF(AND(E53="Half day",C53&lt;&gt;B53),0.5,0)))</f>
        <v/>
      </c>
      <c r="I53" s="15" t="str">
        <f>IF(A53="","",IF(COUNTIF(Employees!$A$6:$A$35,A53)=0,"Unknown employee ID",IF(B53&gt;C53,"Check dates",IF(AND(B53=C53,E53="Half day"),"Use First day for a single half day","OK"))))</f>
        <v/>
      </c>
    </row>
    <row r="54" spans="1:9" x14ac:dyDescent="0.3">
      <c r="A54" s="11"/>
      <c r="B54" s="13"/>
      <c r="C54" s="13"/>
      <c r="D54" s="11"/>
      <c r="E54" s="11"/>
      <c r="F54" s="11"/>
      <c r="G54" s="11"/>
      <c r="H54" s="14" t="str">
        <f>IF(OR(A54="",B54="",C54="",B54&gt;C54),"",MAX(0,NETWORKDAYS.INTL(B54,C54,1,'Non-working days'!$A$6:$A$45)-IF(D54="Half day",0.5,0)-IF(AND(E54="Half day",C54&lt;&gt;B54),0.5,0)))</f>
        <v/>
      </c>
      <c r="I54" s="15" t="str">
        <f>IF(A54="","",IF(COUNTIF(Employees!$A$6:$A$35,A54)=0,"Unknown employee ID",IF(B54&gt;C54,"Check dates",IF(AND(B54=C54,E54="Half day"),"Use First day for a single half day","OK"))))</f>
        <v/>
      </c>
    </row>
    <row r="55" spans="1:9" x14ac:dyDescent="0.3">
      <c r="A55" s="11"/>
      <c r="B55" s="13"/>
      <c r="C55" s="13"/>
      <c r="D55" s="11"/>
      <c r="E55" s="11"/>
      <c r="F55" s="11"/>
      <c r="G55" s="11"/>
      <c r="H55" s="14" t="str">
        <f>IF(OR(A55="",B55="",C55="",B55&gt;C55),"",MAX(0,NETWORKDAYS.INTL(B55,C55,1,'Non-working days'!$A$6:$A$45)-IF(D55="Half day",0.5,0)-IF(AND(E55="Half day",C55&lt;&gt;B55),0.5,0)))</f>
        <v/>
      </c>
      <c r="I55" s="15" t="str">
        <f>IF(A55="","",IF(COUNTIF(Employees!$A$6:$A$35,A55)=0,"Unknown employee ID",IF(B55&gt;C55,"Check dates",IF(AND(B55=C55,E55="Half day"),"Use First day for a single half day","OK"))))</f>
        <v/>
      </c>
    </row>
    <row r="56" spans="1:9" x14ac:dyDescent="0.3">
      <c r="A56" s="11"/>
      <c r="B56" s="13"/>
      <c r="C56" s="13"/>
      <c r="D56" s="11"/>
      <c r="E56" s="11"/>
      <c r="F56" s="11"/>
      <c r="G56" s="11"/>
      <c r="H56" s="14" t="str">
        <f>IF(OR(A56="",B56="",C56="",B56&gt;C56),"",MAX(0,NETWORKDAYS.INTL(B56,C56,1,'Non-working days'!$A$6:$A$45)-IF(D56="Half day",0.5,0)-IF(AND(E56="Half day",C56&lt;&gt;B56),0.5,0)))</f>
        <v/>
      </c>
      <c r="I56" s="15" t="str">
        <f>IF(A56="","",IF(COUNTIF(Employees!$A$6:$A$35,A56)=0,"Unknown employee ID",IF(B56&gt;C56,"Check dates",IF(AND(B56=C56,E56="Half day"),"Use First day for a single half day","OK"))))</f>
        <v/>
      </c>
    </row>
    <row r="57" spans="1:9" x14ac:dyDescent="0.3">
      <c r="A57" s="11"/>
      <c r="B57" s="13"/>
      <c r="C57" s="13"/>
      <c r="D57" s="11"/>
      <c r="E57" s="11"/>
      <c r="F57" s="11"/>
      <c r="G57" s="11"/>
      <c r="H57" s="14" t="str">
        <f>IF(OR(A57="",B57="",C57="",B57&gt;C57),"",MAX(0,NETWORKDAYS.INTL(B57,C57,1,'Non-working days'!$A$6:$A$45)-IF(D57="Half day",0.5,0)-IF(AND(E57="Half day",C57&lt;&gt;B57),0.5,0)))</f>
        <v/>
      </c>
      <c r="I57" s="15" t="str">
        <f>IF(A57="","",IF(COUNTIF(Employees!$A$6:$A$35,A57)=0,"Unknown employee ID",IF(B57&gt;C57,"Check dates",IF(AND(B57=C57,E57="Half day"),"Use First day for a single half day","OK"))))</f>
        <v/>
      </c>
    </row>
    <row r="58" spans="1:9" x14ac:dyDescent="0.3">
      <c r="A58" s="11"/>
      <c r="B58" s="13"/>
      <c r="C58" s="13"/>
      <c r="D58" s="11"/>
      <c r="E58" s="11"/>
      <c r="F58" s="11"/>
      <c r="G58" s="11"/>
      <c r="H58" s="14" t="str">
        <f>IF(OR(A58="",B58="",C58="",B58&gt;C58),"",MAX(0,NETWORKDAYS.INTL(B58,C58,1,'Non-working days'!$A$6:$A$45)-IF(D58="Half day",0.5,0)-IF(AND(E58="Half day",C58&lt;&gt;B58),0.5,0)))</f>
        <v/>
      </c>
      <c r="I58" s="15" t="str">
        <f>IF(A58="","",IF(COUNTIF(Employees!$A$6:$A$35,A58)=0,"Unknown employee ID",IF(B58&gt;C58,"Check dates",IF(AND(B58=C58,E58="Half day"),"Use First day for a single half day","OK"))))</f>
        <v/>
      </c>
    </row>
    <row r="59" spans="1:9" x14ac:dyDescent="0.3">
      <c r="A59" s="11"/>
      <c r="B59" s="13"/>
      <c r="C59" s="13"/>
      <c r="D59" s="11"/>
      <c r="E59" s="11"/>
      <c r="F59" s="11"/>
      <c r="G59" s="11"/>
      <c r="H59" s="14" t="str">
        <f>IF(OR(A59="",B59="",C59="",B59&gt;C59),"",MAX(0,NETWORKDAYS.INTL(B59,C59,1,'Non-working days'!$A$6:$A$45)-IF(D59="Half day",0.5,0)-IF(AND(E59="Half day",C59&lt;&gt;B59),0.5,0)))</f>
        <v/>
      </c>
      <c r="I59" s="15" t="str">
        <f>IF(A59="","",IF(COUNTIF(Employees!$A$6:$A$35,A59)=0,"Unknown employee ID",IF(B59&gt;C59,"Check dates",IF(AND(B59=C59,E59="Half day"),"Use First day for a single half day","OK"))))</f>
        <v/>
      </c>
    </row>
    <row r="60" spans="1:9" x14ac:dyDescent="0.3">
      <c r="A60" s="11"/>
      <c r="B60" s="13"/>
      <c r="C60" s="13"/>
      <c r="D60" s="11"/>
      <c r="E60" s="11"/>
      <c r="F60" s="11"/>
      <c r="G60" s="11"/>
      <c r="H60" s="14" t="str">
        <f>IF(OR(A60="",B60="",C60="",B60&gt;C60),"",MAX(0,NETWORKDAYS.INTL(B60,C60,1,'Non-working days'!$A$6:$A$45)-IF(D60="Half day",0.5,0)-IF(AND(E60="Half day",C60&lt;&gt;B60),0.5,0)))</f>
        <v/>
      </c>
      <c r="I60" s="15" t="str">
        <f>IF(A60="","",IF(COUNTIF(Employees!$A$6:$A$35,A60)=0,"Unknown employee ID",IF(B60&gt;C60,"Check dates",IF(AND(B60=C60,E60="Half day"),"Use First day for a single half day","OK"))))</f>
        <v/>
      </c>
    </row>
    <row r="61" spans="1:9" x14ac:dyDescent="0.3">
      <c r="A61" s="11"/>
      <c r="B61" s="13"/>
      <c r="C61" s="13"/>
      <c r="D61" s="11"/>
      <c r="E61" s="11"/>
      <c r="F61" s="11"/>
      <c r="G61" s="11"/>
      <c r="H61" s="14" t="str">
        <f>IF(OR(A61="",B61="",C61="",B61&gt;C61),"",MAX(0,NETWORKDAYS.INTL(B61,C61,1,'Non-working days'!$A$6:$A$45)-IF(D61="Half day",0.5,0)-IF(AND(E61="Half day",C61&lt;&gt;B61),0.5,0)))</f>
        <v/>
      </c>
      <c r="I61" s="15" t="str">
        <f>IF(A61="","",IF(COUNTIF(Employees!$A$6:$A$35,A61)=0,"Unknown employee ID",IF(B61&gt;C61,"Check dates",IF(AND(B61=C61,E61="Half day"),"Use First day for a single half day","OK"))))</f>
        <v/>
      </c>
    </row>
    <row r="62" spans="1:9" x14ac:dyDescent="0.3">
      <c r="A62" s="11"/>
      <c r="B62" s="13"/>
      <c r="C62" s="13"/>
      <c r="D62" s="11"/>
      <c r="E62" s="11"/>
      <c r="F62" s="11"/>
      <c r="G62" s="11"/>
      <c r="H62" s="14" t="str">
        <f>IF(OR(A62="",B62="",C62="",B62&gt;C62),"",MAX(0,NETWORKDAYS.INTL(B62,C62,1,'Non-working days'!$A$6:$A$45)-IF(D62="Half day",0.5,0)-IF(AND(E62="Half day",C62&lt;&gt;B62),0.5,0)))</f>
        <v/>
      </c>
      <c r="I62" s="15" t="str">
        <f>IF(A62="","",IF(COUNTIF(Employees!$A$6:$A$35,A62)=0,"Unknown employee ID",IF(B62&gt;C62,"Check dates",IF(AND(B62=C62,E62="Half day"),"Use First day for a single half day","OK"))))</f>
        <v/>
      </c>
    </row>
    <row r="63" spans="1:9" x14ac:dyDescent="0.3">
      <c r="A63" s="11"/>
      <c r="B63" s="13"/>
      <c r="C63" s="13"/>
      <c r="D63" s="11"/>
      <c r="E63" s="11"/>
      <c r="F63" s="11"/>
      <c r="G63" s="11"/>
      <c r="H63" s="14" t="str">
        <f>IF(OR(A63="",B63="",C63="",B63&gt;C63),"",MAX(0,NETWORKDAYS.INTL(B63,C63,1,'Non-working days'!$A$6:$A$45)-IF(D63="Half day",0.5,0)-IF(AND(E63="Half day",C63&lt;&gt;B63),0.5,0)))</f>
        <v/>
      </c>
      <c r="I63" s="15" t="str">
        <f>IF(A63="","",IF(COUNTIF(Employees!$A$6:$A$35,A63)=0,"Unknown employee ID",IF(B63&gt;C63,"Check dates",IF(AND(B63=C63,E63="Half day"),"Use First day for a single half day","OK"))))</f>
        <v/>
      </c>
    </row>
    <row r="64" spans="1:9" x14ac:dyDescent="0.3">
      <c r="A64" s="11"/>
      <c r="B64" s="13"/>
      <c r="C64" s="13"/>
      <c r="D64" s="11"/>
      <c r="E64" s="11"/>
      <c r="F64" s="11"/>
      <c r="G64" s="11"/>
      <c r="H64" s="14" t="str">
        <f>IF(OR(A64="",B64="",C64="",B64&gt;C64),"",MAX(0,NETWORKDAYS.INTL(B64,C64,1,'Non-working days'!$A$6:$A$45)-IF(D64="Half day",0.5,0)-IF(AND(E64="Half day",C64&lt;&gt;B64),0.5,0)))</f>
        <v/>
      </c>
      <c r="I64" s="15" t="str">
        <f>IF(A64="","",IF(COUNTIF(Employees!$A$6:$A$35,A64)=0,"Unknown employee ID",IF(B64&gt;C64,"Check dates",IF(AND(B64=C64,E64="Half day"),"Use First day for a single half day","OK"))))</f>
        <v/>
      </c>
    </row>
    <row r="65" spans="1:9" x14ac:dyDescent="0.3">
      <c r="A65" s="11"/>
      <c r="B65" s="13"/>
      <c r="C65" s="13"/>
      <c r="D65" s="11"/>
      <c r="E65" s="11"/>
      <c r="F65" s="11"/>
      <c r="G65" s="11"/>
      <c r="H65" s="14" t="str">
        <f>IF(OR(A65="",B65="",C65="",B65&gt;C65),"",MAX(0,NETWORKDAYS.INTL(B65,C65,1,'Non-working days'!$A$6:$A$45)-IF(D65="Half day",0.5,0)-IF(AND(E65="Half day",C65&lt;&gt;B65),0.5,0)))</f>
        <v/>
      </c>
      <c r="I65" s="15" t="str">
        <f>IF(A65="","",IF(COUNTIF(Employees!$A$6:$A$35,A65)=0,"Unknown employee ID",IF(B65&gt;C65,"Check dates",IF(AND(B65=C65,E65="Half day"),"Use First day for a single half day","OK"))))</f>
        <v/>
      </c>
    </row>
    <row r="66" spans="1:9" x14ac:dyDescent="0.3">
      <c r="A66" s="11"/>
      <c r="B66" s="13"/>
      <c r="C66" s="13"/>
      <c r="D66" s="11"/>
      <c r="E66" s="11"/>
      <c r="F66" s="11"/>
      <c r="G66" s="11"/>
      <c r="H66" s="14" t="str">
        <f>IF(OR(A66="",B66="",C66="",B66&gt;C66),"",MAX(0,NETWORKDAYS.INTL(B66,C66,1,'Non-working days'!$A$6:$A$45)-IF(D66="Half day",0.5,0)-IF(AND(E66="Half day",C66&lt;&gt;B66),0.5,0)))</f>
        <v/>
      </c>
      <c r="I66" s="15" t="str">
        <f>IF(A66="","",IF(COUNTIF(Employees!$A$6:$A$35,A66)=0,"Unknown employee ID",IF(B66&gt;C66,"Check dates",IF(AND(B66=C66,E66="Half day"),"Use First day for a single half day","OK"))))</f>
        <v/>
      </c>
    </row>
    <row r="67" spans="1:9" x14ac:dyDescent="0.3">
      <c r="A67" s="11"/>
      <c r="B67" s="13"/>
      <c r="C67" s="13"/>
      <c r="D67" s="11"/>
      <c r="E67" s="11"/>
      <c r="F67" s="11"/>
      <c r="G67" s="11"/>
      <c r="H67" s="14" t="str">
        <f>IF(OR(A67="",B67="",C67="",B67&gt;C67),"",MAX(0,NETWORKDAYS.INTL(B67,C67,1,'Non-working days'!$A$6:$A$45)-IF(D67="Half day",0.5,0)-IF(AND(E67="Half day",C67&lt;&gt;B67),0.5,0)))</f>
        <v/>
      </c>
      <c r="I67" s="15" t="str">
        <f>IF(A67="","",IF(COUNTIF(Employees!$A$6:$A$35,A67)=0,"Unknown employee ID",IF(B67&gt;C67,"Check dates",IF(AND(B67=C67,E67="Half day"),"Use First day for a single half day","OK"))))</f>
        <v/>
      </c>
    </row>
    <row r="68" spans="1:9" x14ac:dyDescent="0.3">
      <c r="A68" s="11"/>
      <c r="B68" s="13"/>
      <c r="C68" s="13"/>
      <c r="D68" s="11"/>
      <c r="E68" s="11"/>
      <c r="F68" s="11"/>
      <c r="G68" s="11"/>
      <c r="H68" s="14" t="str">
        <f>IF(OR(A68="",B68="",C68="",B68&gt;C68),"",MAX(0,NETWORKDAYS.INTL(B68,C68,1,'Non-working days'!$A$6:$A$45)-IF(D68="Half day",0.5,0)-IF(AND(E68="Half day",C68&lt;&gt;B68),0.5,0)))</f>
        <v/>
      </c>
      <c r="I68" s="15" t="str">
        <f>IF(A68="","",IF(COUNTIF(Employees!$A$6:$A$35,A68)=0,"Unknown employee ID",IF(B68&gt;C68,"Check dates",IF(AND(B68=C68,E68="Half day"),"Use First day for a single half day","OK"))))</f>
        <v/>
      </c>
    </row>
    <row r="69" spans="1:9" x14ac:dyDescent="0.3">
      <c r="A69" s="11"/>
      <c r="B69" s="13"/>
      <c r="C69" s="13"/>
      <c r="D69" s="11"/>
      <c r="E69" s="11"/>
      <c r="F69" s="11"/>
      <c r="G69" s="11"/>
      <c r="H69" s="14" t="str">
        <f>IF(OR(A69="",B69="",C69="",B69&gt;C69),"",MAX(0,NETWORKDAYS.INTL(B69,C69,1,'Non-working days'!$A$6:$A$45)-IF(D69="Half day",0.5,0)-IF(AND(E69="Half day",C69&lt;&gt;B69),0.5,0)))</f>
        <v/>
      </c>
      <c r="I69" s="15" t="str">
        <f>IF(A69="","",IF(COUNTIF(Employees!$A$6:$A$35,A69)=0,"Unknown employee ID",IF(B69&gt;C69,"Check dates",IF(AND(B69=C69,E69="Half day"),"Use First day for a single half day","OK"))))</f>
        <v/>
      </c>
    </row>
    <row r="70" spans="1:9" x14ac:dyDescent="0.3">
      <c r="A70" s="11"/>
      <c r="B70" s="13"/>
      <c r="C70" s="13"/>
      <c r="D70" s="11"/>
      <c r="E70" s="11"/>
      <c r="F70" s="11"/>
      <c r="G70" s="11"/>
      <c r="H70" s="14" t="str">
        <f>IF(OR(A70="",B70="",C70="",B70&gt;C70),"",MAX(0,NETWORKDAYS.INTL(B70,C70,1,'Non-working days'!$A$6:$A$45)-IF(D70="Half day",0.5,0)-IF(AND(E70="Half day",C70&lt;&gt;B70),0.5,0)))</f>
        <v/>
      </c>
      <c r="I70" s="15" t="str">
        <f>IF(A70="","",IF(COUNTIF(Employees!$A$6:$A$35,A70)=0,"Unknown employee ID",IF(B70&gt;C70,"Check dates",IF(AND(B70=C70,E70="Half day"),"Use First day for a single half day","OK"))))</f>
        <v/>
      </c>
    </row>
    <row r="71" spans="1:9" x14ac:dyDescent="0.3">
      <c r="A71" s="11"/>
      <c r="B71" s="13"/>
      <c r="C71" s="13"/>
      <c r="D71" s="11"/>
      <c r="E71" s="11"/>
      <c r="F71" s="11"/>
      <c r="G71" s="11"/>
      <c r="H71" s="14" t="str">
        <f>IF(OR(A71="",B71="",C71="",B71&gt;C71),"",MAX(0,NETWORKDAYS.INTL(B71,C71,1,'Non-working days'!$A$6:$A$45)-IF(D71="Half day",0.5,0)-IF(AND(E71="Half day",C71&lt;&gt;B71),0.5,0)))</f>
        <v/>
      </c>
      <c r="I71" s="15" t="str">
        <f>IF(A71="","",IF(COUNTIF(Employees!$A$6:$A$35,A71)=0,"Unknown employee ID",IF(B71&gt;C71,"Check dates",IF(AND(B71=C71,E71="Half day"),"Use First day for a single half day","OK"))))</f>
        <v/>
      </c>
    </row>
    <row r="72" spans="1:9" x14ac:dyDescent="0.3">
      <c r="A72" s="11"/>
      <c r="B72" s="13"/>
      <c r="C72" s="13"/>
      <c r="D72" s="11"/>
      <c r="E72" s="11"/>
      <c r="F72" s="11"/>
      <c r="G72" s="11"/>
      <c r="H72" s="14" t="str">
        <f>IF(OR(A72="",B72="",C72="",B72&gt;C72),"",MAX(0,NETWORKDAYS.INTL(B72,C72,1,'Non-working days'!$A$6:$A$45)-IF(D72="Half day",0.5,0)-IF(AND(E72="Half day",C72&lt;&gt;B72),0.5,0)))</f>
        <v/>
      </c>
      <c r="I72" s="15" t="str">
        <f>IF(A72="","",IF(COUNTIF(Employees!$A$6:$A$35,A72)=0,"Unknown employee ID",IF(B72&gt;C72,"Check dates",IF(AND(B72=C72,E72="Half day"),"Use First day for a single half day","OK"))))</f>
        <v/>
      </c>
    </row>
    <row r="73" spans="1:9" x14ac:dyDescent="0.3">
      <c r="A73" s="11"/>
      <c r="B73" s="13"/>
      <c r="C73" s="13"/>
      <c r="D73" s="11"/>
      <c r="E73" s="11"/>
      <c r="F73" s="11"/>
      <c r="G73" s="11"/>
      <c r="H73" s="14" t="str">
        <f>IF(OR(A73="",B73="",C73="",B73&gt;C73),"",MAX(0,NETWORKDAYS.INTL(B73,C73,1,'Non-working days'!$A$6:$A$45)-IF(D73="Half day",0.5,0)-IF(AND(E73="Half day",C73&lt;&gt;B73),0.5,0)))</f>
        <v/>
      </c>
      <c r="I73" s="15" t="str">
        <f>IF(A73="","",IF(COUNTIF(Employees!$A$6:$A$35,A73)=0,"Unknown employee ID",IF(B73&gt;C73,"Check dates",IF(AND(B73=C73,E73="Half day"),"Use First day for a single half day","OK"))))</f>
        <v/>
      </c>
    </row>
    <row r="74" spans="1:9" x14ac:dyDescent="0.3">
      <c r="A74" s="11"/>
      <c r="B74" s="13"/>
      <c r="C74" s="13"/>
      <c r="D74" s="11"/>
      <c r="E74" s="11"/>
      <c r="F74" s="11"/>
      <c r="G74" s="11"/>
      <c r="H74" s="14" t="str">
        <f>IF(OR(A74="",B74="",C74="",B74&gt;C74),"",MAX(0,NETWORKDAYS.INTL(B74,C74,1,'Non-working days'!$A$6:$A$45)-IF(D74="Half day",0.5,0)-IF(AND(E74="Half day",C74&lt;&gt;B74),0.5,0)))</f>
        <v/>
      </c>
      <c r="I74" s="15" t="str">
        <f>IF(A74="","",IF(COUNTIF(Employees!$A$6:$A$35,A74)=0,"Unknown employee ID",IF(B74&gt;C74,"Check dates",IF(AND(B74=C74,E74="Half day"),"Use First day for a single half day","OK"))))</f>
        <v/>
      </c>
    </row>
    <row r="75" spans="1:9" x14ac:dyDescent="0.3">
      <c r="A75" s="11"/>
      <c r="B75" s="13"/>
      <c r="C75" s="13"/>
      <c r="D75" s="11"/>
      <c r="E75" s="11"/>
      <c r="F75" s="11"/>
      <c r="G75" s="11"/>
      <c r="H75" s="14" t="str">
        <f>IF(OR(A75="",B75="",C75="",B75&gt;C75),"",MAX(0,NETWORKDAYS.INTL(B75,C75,1,'Non-working days'!$A$6:$A$45)-IF(D75="Half day",0.5,0)-IF(AND(E75="Half day",C75&lt;&gt;B75),0.5,0)))</f>
        <v/>
      </c>
      <c r="I75" s="15" t="str">
        <f>IF(A75="","",IF(COUNTIF(Employees!$A$6:$A$35,A75)=0,"Unknown employee ID",IF(B75&gt;C75,"Check dates",IF(AND(B75=C75,E75="Half day"),"Use First day for a single half day","OK"))))</f>
        <v/>
      </c>
    </row>
    <row r="76" spans="1:9" x14ac:dyDescent="0.3">
      <c r="A76" s="11"/>
      <c r="B76" s="13"/>
      <c r="C76" s="13"/>
      <c r="D76" s="11"/>
      <c r="E76" s="11"/>
      <c r="F76" s="11"/>
      <c r="G76" s="11"/>
      <c r="H76" s="14" t="str">
        <f>IF(OR(A76="",B76="",C76="",B76&gt;C76),"",MAX(0,NETWORKDAYS.INTL(B76,C76,1,'Non-working days'!$A$6:$A$45)-IF(D76="Half day",0.5,0)-IF(AND(E76="Half day",C76&lt;&gt;B76),0.5,0)))</f>
        <v/>
      </c>
      <c r="I76" s="15" t="str">
        <f>IF(A76="","",IF(COUNTIF(Employees!$A$6:$A$35,A76)=0,"Unknown employee ID",IF(B76&gt;C76,"Check dates",IF(AND(B76=C76,E76="Half day"),"Use First day for a single half day","OK"))))</f>
        <v/>
      </c>
    </row>
    <row r="77" spans="1:9" x14ac:dyDescent="0.3">
      <c r="A77" s="11"/>
      <c r="B77" s="13"/>
      <c r="C77" s="13"/>
      <c r="D77" s="11"/>
      <c r="E77" s="11"/>
      <c r="F77" s="11"/>
      <c r="G77" s="11"/>
      <c r="H77" s="14" t="str">
        <f>IF(OR(A77="",B77="",C77="",B77&gt;C77),"",MAX(0,NETWORKDAYS.INTL(B77,C77,1,'Non-working days'!$A$6:$A$45)-IF(D77="Half day",0.5,0)-IF(AND(E77="Half day",C77&lt;&gt;B77),0.5,0)))</f>
        <v/>
      </c>
      <c r="I77" s="15" t="str">
        <f>IF(A77="","",IF(COUNTIF(Employees!$A$6:$A$35,A77)=0,"Unknown employee ID",IF(B77&gt;C77,"Check dates",IF(AND(B77=C77,E77="Half day"),"Use First day for a single half day","OK"))))</f>
        <v/>
      </c>
    </row>
    <row r="78" spans="1:9" x14ac:dyDescent="0.3">
      <c r="A78" s="11"/>
      <c r="B78" s="13"/>
      <c r="C78" s="13"/>
      <c r="D78" s="11"/>
      <c r="E78" s="11"/>
      <c r="F78" s="11"/>
      <c r="G78" s="11"/>
      <c r="H78" s="14" t="str">
        <f>IF(OR(A78="",B78="",C78="",B78&gt;C78),"",MAX(0,NETWORKDAYS.INTL(B78,C78,1,'Non-working days'!$A$6:$A$45)-IF(D78="Half day",0.5,0)-IF(AND(E78="Half day",C78&lt;&gt;B78),0.5,0)))</f>
        <v/>
      </c>
      <c r="I78" s="15" t="str">
        <f>IF(A78="","",IF(COUNTIF(Employees!$A$6:$A$35,A78)=0,"Unknown employee ID",IF(B78&gt;C78,"Check dates",IF(AND(B78=C78,E78="Half day"),"Use First day for a single half day","OK"))))</f>
        <v/>
      </c>
    </row>
    <row r="79" spans="1:9" x14ac:dyDescent="0.3">
      <c r="A79" s="11"/>
      <c r="B79" s="13"/>
      <c r="C79" s="13"/>
      <c r="D79" s="11"/>
      <c r="E79" s="11"/>
      <c r="F79" s="11"/>
      <c r="G79" s="11"/>
      <c r="H79" s="14" t="str">
        <f>IF(OR(A79="",B79="",C79="",B79&gt;C79),"",MAX(0,NETWORKDAYS.INTL(B79,C79,1,'Non-working days'!$A$6:$A$45)-IF(D79="Half day",0.5,0)-IF(AND(E79="Half day",C79&lt;&gt;B79),0.5,0)))</f>
        <v/>
      </c>
      <c r="I79" s="15" t="str">
        <f>IF(A79="","",IF(COUNTIF(Employees!$A$6:$A$35,A79)=0,"Unknown employee ID",IF(B79&gt;C79,"Check dates",IF(AND(B79=C79,E79="Half day"),"Use First day for a single half day","OK"))))</f>
        <v/>
      </c>
    </row>
    <row r="80" spans="1:9" x14ac:dyDescent="0.3">
      <c r="A80" s="11"/>
      <c r="B80" s="13"/>
      <c r="C80" s="13"/>
      <c r="D80" s="11"/>
      <c r="E80" s="11"/>
      <c r="F80" s="11"/>
      <c r="G80" s="11"/>
      <c r="H80" s="14" t="str">
        <f>IF(OR(A80="",B80="",C80="",B80&gt;C80),"",MAX(0,NETWORKDAYS.INTL(B80,C80,1,'Non-working days'!$A$6:$A$45)-IF(D80="Half day",0.5,0)-IF(AND(E80="Half day",C80&lt;&gt;B80),0.5,0)))</f>
        <v/>
      </c>
      <c r="I80" s="15" t="str">
        <f>IF(A80="","",IF(COUNTIF(Employees!$A$6:$A$35,A80)=0,"Unknown employee ID",IF(B80&gt;C80,"Check dates",IF(AND(B80=C80,E80="Half day"),"Use First day for a single half day","OK"))))</f>
        <v/>
      </c>
    </row>
    <row r="81" spans="1:9" x14ac:dyDescent="0.3">
      <c r="A81" s="11"/>
      <c r="B81" s="13"/>
      <c r="C81" s="13"/>
      <c r="D81" s="11"/>
      <c r="E81" s="11"/>
      <c r="F81" s="11"/>
      <c r="G81" s="11"/>
      <c r="H81" s="14" t="str">
        <f>IF(OR(A81="",B81="",C81="",B81&gt;C81),"",MAX(0,NETWORKDAYS.INTL(B81,C81,1,'Non-working days'!$A$6:$A$45)-IF(D81="Half day",0.5,0)-IF(AND(E81="Half day",C81&lt;&gt;B81),0.5,0)))</f>
        <v/>
      </c>
      <c r="I81" s="15" t="str">
        <f>IF(A81="","",IF(COUNTIF(Employees!$A$6:$A$35,A81)=0,"Unknown employee ID",IF(B81&gt;C81,"Check dates",IF(AND(B81=C81,E81="Half day"),"Use First day for a single half day","OK"))))</f>
        <v/>
      </c>
    </row>
    <row r="82" spans="1:9" x14ac:dyDescent="0.3">
      <c r="A82" s="11"/>
      <c r="B82" s="13"/>
      <c r="C82" s="13"/>
      <c r="D82" s="11"/>
      <c r="E82" s="11"/>
      <c r="F82" s="11"/>
      <c r="G82" s="11"/>
      <c r="H82" s="14" t="str">
        <f>IF(OR(A82="",B82="",C82="",B82&gt;C82),"",MAX(0,NETWORKDAYS.INTL(B82,C82,1,'Non-working days'!$A$6:$A$45)-IF(D82="Half day",0.5,0)-IF(AND(E82="Half day",C82&lt;&gt;B82),0.5,0)))</f>
        <v/>
      </c>
      <c r="I82" s="15" t="str">
        <f>IF(A82="","",IF(COUNTIF(Employees!$A$6:$A$35,A82)=0,"Unknown employee ID",IF(B82&gt;C82,"Check dates",IF(AND(B82=C82,E82="Half day"),"Use First day for a single half day","OK"))))</f>
        <v/>
      </c>
    </row>
    <row r="83" spans="1:9" x14ac:dyDescent="0.3">
      <c r="A83" s="11"/>
      <c r="B83" s="13"/>
      <c r="C83" s="13"/>
      <c r="D83" s="11"/>
      <c r="E83" s="11"/>
      <c r="F83" s="11"/>
      <c r="G83" s="11"/>
      <c r="H83" s="14" t="str">
        <f>IF(OR(A83="",B83="",C83="",B83&gt;C83),"",MAX(0,NETWORKDAYS.INTL(B83,C83,1,'Non-working days'!$A$6:$A$45)-IF(D83="Half day",0.5,0)-IF(AND(E83="Half day",C83&lt;&gt;B83),0.5,0)))</f>
        <v/>
      </c>
      <c r="I83" s="15" t="str">
        <f>IF(A83="","",IF(COUNTIF(Employees!$A$6:$A$35,A83)=0,"Unknown employee ID",IF(B83&gt;C83,"Check dates",IF(AND(B83=C83,E83="Half day"),"Use First day for a single half day","OK"))))</f>
        <v/>
      </c>
    </row>
    <row r="84" spans="1:9" x14ac:dyDescent="0.3">
      <c r="A84" s="11"/>
      <c r="B84" s="13"/>
      <c r="C84" s="13"/>
      <c r="D84" s="11"/>
      <c r="E84" s="11"/>
      <c r="F84" s="11"/>
      <c r="G84" s="11"/>
      <c r="H84" s="14" t="str">
        <f>IF(OR(A84="",B84="",C84="",B84&gt;C84),"",MAX(0,NETWORKDAYS.INTL(B84,C84,1,'Non-working days'!$A$6:$A$45)-IF(D84="Half day",0.5,0)-IF(AND(E84="Half day",C84&lt;&gt;B84),0.5,0)))</f>
        <v/>
      </c>
      <c r="I84" s="15" t="str">
        <f>IF(A84="","",IF(COUNTIF(Employees!$A$6:$A$35,A84)=0,"Unknown employee ID",IF(B84&gt;C84,"Check dates",IF(AND(B84=C84,E84="Half day"),"Use First day for a single half day","OK"))))</f>
        <v/>
      </c>
    </row>
    <row r="85" spans="1:9" x14ac:dyDescent="0.3">
      <c r="A85" s="11"/>
      <c r="B85" s="13"/>
      <c r="C85" s="13"/>
      <c r="D85" s="11"/>
      <c r="E85" s="11"/>
      <c r="F85" s="11"/>
      <c r="G85" s="11"/>
      <c r="H85" s="14" t="str">
        <f>IF(OR(A85="",B85="",C85="",B85&gt;C85),"",MAX(0,NETWORKDAYS.INTL(B85,C85,1,'Non-working days'!$A$6:$A$45)-IF(D85="Half day",0.5,0)-IF(AND(E85="Half day",C85&lt;&gt;B85),0.5,0)))</f>
        <v/>
      </c>
      <c r="I85" s="15" t="str">
        <f>IF(A85="","",IF(COUNTIF(Employees!$A$6:$A$35,A85)=0,"Unknown employee ID",IF(B85&gt;C85,"Check dates",IF(AND(B85=C85,E85="Half day"),"Use First day for a single half day","OK"))))</f>
        <v/>
      </c>
    </row>
    <row r="86" spans="1:9" x14ac:dyDescent="0.3">
      <c r="A86" s="11"/>
      <c r="B86" s="13"/>
      <c r="C86" s="13"/>
      <c r="D86" s="11"/>
      <c r="E86" s="11"/>
      <c r="F86" s="11"/>
      <c r="G86" s="11"/>
      <c r="H86" s="14" t="str">
        <f>IF(OR(A86="",B86="",C86="",B86&gt;C86),"",MAX(0,NETWORKDAYS.INTL(B86,C86,1,'Non-working days'!$A$6:$A$45)-IF(D86="Half day",0.5,0)-IF(AND(E86="Half day",C86&lt;&gt;B86),0.5,0)))</f>
        <v/>
      </c>
      <c r="I86" s="15" t="str">
        <f>IF(A86="","",IF(COUNTIF(Employees!$A$6:$A$35,A86)=0,"Unknown employee ID",IF(B86&gt;C86,"Check dates",IF(AND(B86=C86,E86="Half day"),"Use First day for a single half day","OK"))))</f>
        <v/>
      </c>
    </row>
    <row r="87" spans="1:9" x14ac:dyDescent="0.3">
      <c r="A87" s="11"/>
      <c r="B87" s="13"/>
      <c r="C87" s="13"/>
      <c r="D87" s="11"/>
      <c r="E87" s="11"/>
      <c r="F87" s="11"/>
      <c r="G87" s="11"/>
      <c r="H87" s="14" t="str">
        <f>IF(OR(A87="",B87="",C87="",B87&gt;C87),"",MAX(0,NETWORKDAYS.INTL(B87,C87,1,'Non-working days'!$A$6:$A$45)-IF(D87="Half day",0.5,0)-IF(AND(E87="Half day",C87&lt;&gt;B87),0.5,0)))</f>
        <v/>
      </c>
      <c r="I87" s="15" t="str">
        <f>IF(A87="","",IF(COUNTIF(Employees!$A$6:$A$35,A87)=0,"Unknown employee ID",IF(B87&gt;C87,"Check dates",IF(AND(B87=C87,E87="Half day"),"Use First day for a single half day","OK"))))</f>
        <v/>
      </c>
    </row>
    <row r="88" spans="1:9" x14ac:dyDescent="0.3">
      <c r="A88" s="11"/>
      <c r="B88" s="13"/>
      <c r="C88" s="13"/>
      <c r="D88" s="11"/>
      <c r="E88" s="11"/>
      <c r="F88" s="11"/>
      <c r="G88" s="11"/>
      <c r="H88" s="14" t="str">
        <f>IF(OR(A88="",B88="",C88="",B88&gt;C88),"",MAX(0,NETWORKDAYS.INTL(B88,C88,1,'Non-working days'!$A$6:$A$45)-IF(D88="Half day",0.5,0)-IF(AND(E88="Half day",C88&lt;&gt;B88),0.5,0)))</f>
        <v/>
      </c>
      <c r="I88" s="15" t="str">
        <f>IF(A88="","",IF(COUNTIF(Employees!$A$6:$A$35,A88)=0,"Unknown employee ID",IF(B88&gt;C88,"Check dates",IF(AND(B88=C88,E88="Half day"),"Use First day for a single half day","OK"))))</f>
        <v/>
      </c>
    </row>
    <row r="89" spans="1:9" x14ac:dyDescent="0.3">
      <c r="A89" s="11"/>
      <c r="B89" s="13"/>
      <c r="C89" s="13"/>
      <c r="D89" s="11"/>
      <c r="E89" s="11"/>
      <c r="F89" s="11"/>
      <c r="G89" s="11"/>
      <c r="H89" s="14" t="str">
        <f>IF(OR(A89="",B89="",C89="",B89&gt;C89),"",MAX(0,NETWORKDAYS.INTL(B89,C89,1,'Non-working days'!$A$6:$A$45)-IF(D89="Half day",0.5,0)-IF(AND(E89="Half day",C89&lt;&gt;B89),0.5,0)))</f>
        <v/>
      </c>
      <c r="I89" s="15" t="str">
        <f>IF(A89="","",IF(COUNTIF(Employees!$A$6:$A$35,A89)=0,"Unknown employee ID",IF(B89&gt;C89,"Check dates",IF(AND(B89=C89,E89="Half day"),"Use First day for a single half day","OK"))))</f>
        <v/>
      </c>
    </row>
    <row r="90" spans="1:9" x14ac:dyDescent="0.3">
      <c r="A90" s="11"/>
      <c r="B90" s="13"/>
      <c r="C90" s="13"/>
      <c r="D90" s="11"/>
      <c r="E90" s="11"/>
      <c r="F90" s="11"/>
      <c r="G90" s="11"/>
      <c r="H90" s="14" t="str">
        <f>IF(OR(A90="",B90="",C90="",B90&gt;C90),"",MAX(0,NETWORKDAYS.INTL(B90,C90,1,'Non-working days'!$A$6:$A$45)-IF(D90="Half day",0.5,0)-IF(AND(E90="Half day",C90&lt;&gt;B90),0.5,0)))</f>
        <v/>
      </c>
      <c r="I90" s="15" t="str">
        <f>IF(A90="","",IF(COUNTIF(Employees!$A$6:$A$35,A90)=0,"Unknown employee ID",IF(B90&gt;C90,"Check dates",IF(AND(B90=C90,E90="Half day"),"Use First day for a single half day","OK"))))</f>
        <v/>
      </c>
    </row>
    <row r="91" spans="1:9" x14ac:dyDescent="0.3">
      <c r="A91" s="11"/>
      <c r="B91" s="13"/>
      <c r="C91" s="13"/>
      <c r="D91" s="11"/>
      <c r="E91" s="11"/>
      <c r="F91" s="11"/>
      <c r="G91" s="11"/>
      <c r="H91" s="14" t="str">
        <f>IF(OR(A91="",B91="",C91="",B91&gt;C91),"",MAX(0,NETWORKDAYS.INTL(B91,C91,1,'Non-working days'!$A$6:$A$45)-IF(D91="Half day",0.5,0)-IF(AND(E91="Half day",C91&lt;&gt;B91),0.5,0)))</f>
        <v/>
      </c>
      <c r="I91" s="15" t="str">
        <f>IF(A91="","",IF(COUNTIF(Employees!$A$6:$A$35,A91)=0,"Unknown employee ID",IF(B91&gt;C91,"Check dates",IF(AND(B91=C91,E91="Half day"),"Use First day for a single half day","OK"))))</f>
        <v/>
      </c>
    </row>
    <row r="92" spans="1:9" x14ac:dyDescent="0.3">
      <c r="A92" s="11"/>
      <c r="B92" s="13"/>
      <c r="C92" s="13"/>
      <c r="D92" s="11"/>
      <c r="E92" s="11"/>
      <c r="F92" s="11"/>
      <c r="G92" s="11"/>
      <c r="H92" s="14" t="str">
        <f>IF(OR(A92="",B92="",C92="",B92&gt;C92),"",MAX(0,NETWORKDAYS.INTL(B92,C92,1,'Non-working days'!$A$6:$A$45)-IF(D92="Half day",0.5,0)-IF(AND(E92="Half day",C92&lt;&gt;B92),0.5,0)))</f>
        <v/>
      </c>
      <c r="I92" s="15" t="str">
        <f>IF(A92="","",IF(COUNTIF(Employees!$A$6:$A$35,A92)=0,"Unknown employee ID",IF(B92&gt;C92,"Check dates",IF(AND(B92=C92,E92="Half day"),"Use First day for a single half day","OK"))))</f>
        <v/>
      </c>
    </row>
    <row r="93" spans="1:9" x14ac:dyDescent="0.3">
      <c r="A93" s="11"/>
      <c r="B93" s="13"/>
      <c r="C93" s="13"/>
      <c r="D93" s="11"/>
      <c r="E93" s="11"/>
      <c r="F93" s="11"/>
      <c r="G93" s="11"/>
      <c r="H93" s="14" t="str">
        <f>IF(OR(A93="",B93="",C93="",B93&gt;C93),"",MAX(0,NETWORKDAYS.INTL(B93,C93,1,'Non-working days'!$A$6:$A$45)-IF(D93="Half day",0.5,0)-IF(AND(E93="Half day",C93&lt;&gt;B93),0.5,0)))</f>
        <v/>
      </c>
      <c r="I93" s="15" t="str">
        <f>IF(A93="","",IF(COUNTIF(Employees!$A$6:$A$35,A93)=0,"Unknown employee ID",IF(B93&gt;C93,"Check dates",IF(AND(B93=C93,E93="Half day"),"Use First day for a single half day","OK"))))</f>
        <v/>
      </c>
    </row>
    <row r="94" spans="1:9" x14ac:dyDescent="0.3">
      <c r="A94" s="11"/>
      <c r="B94" s="13"/>
      <c r="C94" s="13"/>
      <c r="D94" s="11"/>
      <c r="E94" s="11"/>
      <c r="F94" s="11"/>
      <c r="G94" s="11"/>
      <c r="H94" s="14" t="str">
        <f>IF(OR(A94="",B94="",C94="",B94&gt;C94),"",MAX(0,NETWORKDAYS.INTL(B94,C94,1,'Non-working days'!$A$6:$A$45)-IF(D94="Half day",0.5,0)-IF(AND(E94="Half day",C94&lt;&gt;B94),0.5,0)))</f>
        <v/>
      </c>
      <c r="I94" s="15" t="str">
        <f>IF(A94="","",IF(COUNTIF(Employees!$A$6:$A$35,A94)=0,"Unknown employee ID",IF(B94&gt;C94,"Check dates",IF(AND(B94=C94,E94="Half day"),"Use First day for a single half day","OK"))))</f>
        <v/>
      </c>
    </row>
    <row r="95" spans="1:9" x14ac:dyDescent="0.3">
      <c r="A95" s="11"/>
      <c r="B95" s="13"/>
      <c r="C95" s="13"/>
      <c r="D95" s="11"/>
      <c r="E95" s="11"/>
      <c r="F95" s="11"/>
      <c r="G95" s="11"/>
      <c r="H95" s="14" t="str">
        <f>IF(OR(A95="",B95="",C95="",B95&gt;C95),"",MAX(0,NETWORKDAYS.INTL(B95,C95,1,'Non-working days'!$A$6:$A$45)-IF(D95="Half day",0.5,0)-IF(AND(E95="Half day",C95&lt;&gt;B95),0.5,0)))</f>
        <v/>
      </c>
      <c r="I95" s="15" t="str">
        <f>IF(A95="","",IF(COUNTIF(Employees!$A$6:$A$35,A95)=0,"Unknown employee ID",IF(B95&gt;C95,"Check dates",IF(AND(B95=C95,E95="Half day"),"Use First day for a single half day","OK"))))</f>
        <v/>
      </c>
    </row>
    <row r="96" spans="1:9" x14ac:dyDescent="0.3">
      <c r="A96" s="11"/>
      <c r="B96" s="13"/>
      <c r="C96" s="13"/>
      <c r="D96" s="11"/>
      <c r="E96" s="11"/>
      <c r="F96" s="11"/>
      <c r="G96" s="11"/>
      <c r="H96" s="14" t="str">
        <f>IF(OR(A96="",B96="",C96="",B96&gt;C96),"",MAX(0,NETWORKDAYS.INTL(B96,C96,1,'Non-working days'!$A$6:$A$45)-IF(D96="Half day",0.5,0)-IF(AND(E96="Half day",C96&lt;&gt;B96),0.5,0)))</f>
        <v/>
      </c>
      <c r="I96" s="15" t="str">
        <f>IF(A96="","",IF(COUNTIF(Employees!$A$6:$A$35,A96)=0,"Unknown employee ID",IF(B96&gt;C96,"Check dates",IF(AND(B96=C96,E96="Half day"),"Use First day for a single half day","OK"))))</f>
        <v/>
      </c>
    </row>
    <row r="97" spans="1:9" x14ac:dyDescent="0.3">
      <c r="A97" s="11"/>
      <c r="B97" s="13"/>
      <c r="C97" s="13"/>
      <c r="D97" s="11"/>
      <c r="E97" s="11"/>
      <c r="F97" s="11"/>
      <c r="G97" s="11"/>
      <c r="H97" s="14" t="str">
        <f>IF(OR(A97="",B97="",C97="",B97&gt;C97),"",MAX(0,NETWORKDAYS.INTL(B97,C97,1,'Non-working days'!$A$6:$A$45)-IF(D97="Half day",0.5,0)-IF(AND(E97="Half day",C97&lt;&gt;B97),0.5,0)))</f>
        <v/>
      </c>
      <c r="I97" s="15" t="str">
        <f>IF(A97="","",IF(COUNTIF(Employees!$A$6:$A$35,A97)=0,"Unknown employee ID",IF(B97&gt;C97,"Check dates",IF(AND(B97=C97,E97="Half day"),"Use First day for a single half day","OK"))))</f>
        <v/>
      </c>
    </row>
    <row r="98" spans="1:9" x14ac:dyDescent="0.3">
      <c r="A98" s="11"/>
      <c r="B98" s="13"/>
      <c r="C98" s="13"/>
      <c r="D98" s="11"/>
      <c r="E98" s="11"/>
      <c r="F98" s="11"/>
      <c r="G98" s="11"/>
      <c r="H98" s="14" t="str">
        <f>IF(OR(A98="",B98="",C98="",B98&gt;C98),"",MAX(0,NETWORKDAYS.INTL(B98,C98,1,'Non-working days'!$A$6:$A$45)-IF(D98="Half day",0.5,0)-IF(AND(E98="Half day",C98&lt;&gt;B98),0.5,0)))</f>
        <v/>
      </c>
      <c r="I98" s="15" t="str">
        <f>IF(A98="","",IF(COUNTIF(Employees!$A$6:$A$35,A98)=0,"Unknown employee ID",IF(B98&gt;C98,"Check dates",IF(AND(B98=C98,E98="Half day"),"Use First day for a single half day","OK"))))</f>
        <v/>
      </c>
    </row>
    <row r="99" spans="1:9" x14ac:dyDescent="0.3">
      <c r="A99" s="11"/>
      <c r="B99" s="13"/>
      <c r="C99" s="13"/>
      <c r="D99" s="11"/>
      <c r="E99" s="11"/>
      <c r="F99" s="11"/>
      <c r="G99" s="11"/>
      <c r="H99" s="14" t="str">
        <f>IF(OR(A99="",B99="",C99="",B99&gt;C99),"",MAX(0,NETWORKDAYS.INTL(B99,C99,1,'Non-working days'!$A$6:$A$45)-IF(D99="Half day",0.5,0)-IF(AND(E99="Half day",C99&lt;&gt;B99),0.5,0)))</f>
        <v/>
      </c>
      <c r="I99" s="15" t="str">
        <f>IF(A99="","",IF(COUNTIF(Employees!$A$6:$A$35,A99)=0,"Unknown employee ID",IF(B99&gt;C99,"Check dates",IF(AND(B99=C99,E99="Half day"),"Use First day for a single half day","OK"))))</f>
        <v/>
      </c>
    </row>
    <row r="100" spans="1:9" x14ac:dyDescent="0.3">
      <c r="A100" s="11"/>
      <c r="B100" s="13"/>
      <c r="C100" s="13"/>
      <c r="D100" s="11"/>
      <c r="E100" s="11"/>
      <c r="F100" s="11"/>
      <c r="G100" s="11"/>
      <c r="H100" s="14" t="str">
        <f>IF(OR(A100="",B100="",C100="",B100&gt;C100),"",MAX(0,NETWORKDAYS.INTL(B100,C100,1,'Non-working days'!$A$6:$A$45)-IF(D100="Half day",0.5,0)-IF(AND(E100="Half day",C100&lt;&gt;B100),0.5,0)))</f>
        <v/>
      </c>
      <c r="I100" s="15" t="str">
        <f>IF(A100="","",IF(COUNTIF(Employees!$A$6:$A$35,A100)=0,"Unknown employee ID",IF(B100&gt;C100,"Check dates",IF(AND(B100=C100,E100="Half day"),"Use First day for a single half day","OK"))))</f>
        <v/>
      </c>
    </row>
    <row r="101" spans="1:9" x14ac:dyDescent="0.3">
      <c r="A101" s="11"/>
      <c r="B101" s="13"/>
      <c r="C101" s="13"/>
      <c r="D101" s="11"/>
      <c r="E101" s="11"/>
      <c r="F101" s="11"/>
      <c r="G101" s="11"/>
      <c r="H101" s="14" t="str">
        <f>IF(OR(A101="",B101="",C101="",B101&gt;C101),"",MAX(0,NETWORKDAYS.INTL(B101,C101,1,'Non-working days'!$A$6:$A$45)-IF(D101="Half day",0.5,0)-IF(AND(E101="Half day",C101&lt;&gt;B101),0.5,0)))</f>
        <v/>
      </c>
      <c r="I101" s="15" t="str">
        <f>IF(A101="","",IF(COUNTIF(Employees!$A$6:$A$35,A101)=0,"Unknown employee ID",IF(B101&gt;C101,"Check dates",IF(AND(B101=C101,E101="Half day"),"Use First day for a single half day","OK"))))</f>
        <v/>
      </c>
    </row>
    <row r="102" spans="1:9" x14ac:dyDescent="0.3">
      <c r="A102" s="11"/>
      <c r="B102" s="13"/>
      <c r="C102" s="13"/>
      <c r="D102" s="11"/>
      <c r="E102" s="11"/>
      <c r="F102" s="11"/>
      <c r="G102" s="11"/>
      <c r="H102" s="14" t="str">
        <f>IF(OR(A102="",B102="",C102="",B102&gt;C102),"",MAX(0,NETWORKDAYS.INTL(B102,C102,1,'Non-working days'!$A$6:$A$45)-IF(D102="Half day",0.5,0)-IF(AND(E102="Half day",C102&lt;&gt;B102),0.5,0)))</f>
        <v/>
      </c>
      <c r="I102" s="15" t="str">
        <f>IF(A102="","",IF(COUNTIF(Employees!$A$6:$A$35,A102)=0,"Unknown employee ID",IF(B102&gt;C102,"Check dates",IF(AND(B102=C102,E102="Half day"),"Use First day for a single half day","OK"))))</f>
        <v/>
      </c>
    </row>
    <row r="103" spans="1:9" x14ac:dyDescent="0.3">
      <c r="A103" s="11"/>
      <c r="B103" s="13"/>
      <c r="C103" s="13"/>
      <c r="D103" s="11"/>
      <c r="E103" s="11"/>
      <c r="F103" s="11"/>
      <c r="G103" s="11"/>
      <c r="H103" s="14" t="str">
        <f>IF(OR(A103="",B103="",C103="",B103&gt;C103),"",MAX(0,NETWORKDAYS.INTL(B103,C103,1,'Non-working days'!$A$6:$A$45)-IF(D103="Half day",0.5,0)-IF(AND(E103="Half day",C103&lt;&gt;B103),0.5,0)))</f>
        <v/>
      </c>
      <c r="I103" s="15" t="str">
        <f>IF(A103="","",IF(COUNTIF(Employees!$A$6:$A$35,A103)=0,"Unknown employee ID",IF(B103&gt;C103,"Check dates",IF(AND(B103=C103,E103="Half day"),"Use First day for a single half day","OK"))))</f>
        <v/>
      </c>
    </row>
    <row r="104" spans="1:9" x14ac:dyDescent="0.3">
      <c r="A104" s="11"/>
      <c r="B104" s="13"/>
      <c r="C104" s="13"/>
      <c r="D104" s="11"/>
      <c r="E104" s="11"/>
      <c r="F104" s="11"/>
      <c r="G104" s="11"/>
      <c r="H104" s="14" t="str">
        <f>IF(OR(A104="",B104="",C104="",B104&gt;C104),"",MAX(0,NETWORKDAYS.INTL(B104,C104,1,'Non-working days'!$A$6:$A$45)-IF(D104="Half day",0.5,0)-IF(AND(E104="Half day",C104&lt;&gt;B104),0.5,0)))</f>
        <v/>
      </c>
      <c r="I104" s="15" t="str">
        <f>IF(A104="","",IF(COUNTIF(Employees!$A$6:$A$35,A104)=0,"Unknown employee ID",IF(B104&gt;C104,"Check dates",IF(AND(B104=C104,E104="Half day"),"Use First day for a single half day","OK"))))</f>
        <v/>
      </c>
    </row>
    <row r="105" spans="1:9" x14ac:dyDescent="0.3">
      <c r="A105" s="11"/>
      <c r="B105" s="13"/>
      <c r="C105" s="13"/>
      <c r="D105" s="11"/>
      <c r="E105" s="11"/>
      <c r="F105" s="11"/>
      <c r="G105" s="11"/>
      <c r="H105" s="14" t="str">
        <f>IF(OR(A105="",B105="",C105="",B105&gt;C105),"",MAX(0,NETWORKDAYS.INTL(B105,C105,1,'Non-working days'!$A$6:$A$45)-IF(D105="Half day",0.5,0)-IF(AND(E105="Half day",C105&lt;&gt;B105),0.5,0)))</f>
        <v/>
      </c>
      <c r="I105" s="15" t="str">
        <f>IF(A105="","",IF(COUNTIF(Employees!$A$6:$A$35,A105)=0,"Unknown employee ID",IF(B105&gt;C105,"Check dates",IF(AND(B105=C105,E105="Half day"),"Use First day for a single half day","OK"))))</f>
        <v/>
      </c>
    </row>
    <row r="106" spans="1:9" x14ac:dyDescent="0.3">
      <c r="A106" s="11"/>
      <c r="B106" s="13"/>
      <c r="C106" s="13"/>
      <c r="D106" s="11"/>
      <c r="E106" s="11"/>
      <c r="F106" s="11"/>
      <c r="G106" s="11"/>
      <c r="H106" s="14" t="str">
        <f>IF(OR(A106="",B106="",C106="",B106&gt;C106),"",MAX(0,NETWORKDAYS.INTL(B106,C106,1,'Non-working days'!$A$6:$A$45)-IF(D106="Half day",0.5,0)-IF(AND(E106="Half day",C106&lt;&gt;B106),0.5,0)))</f>
        <v/>
      </c>
      <c r="I106" s="15" t="str">
        <f>IF(A106="","",IF(COUNTIF(Employees!$A$6:$A$35,A106)=0,"Unknown employee ID",IF(B106&gt;C106,"Check dates",IF(AND(B106=C106,E106="Half day"),"Use First day for a single half day","OK"))))</f>
        <v/>
      </c>
    </row>
    <row r="107" spans="1:9" x14ac:dyDescent="0.3">
      <c r="A107" s="11"/>
      <c r="B107" s="13"/>
      <c r="C107" s="13"/>
      <c r="D107" s="11"/>
      <c r="E107" s="11"/>
      <c r="F107" s="11"/>
      <c r="G107" s="11"/>
      <c r="H107" s="14" t="str">
        <f>IF(OR(A107="",B107="",C107="",B107&gt;C107),"",MAX(0,NETWORKDAYS.INTL(B107,C107,1,'Non-working days'!$A$6:$A$45)-IF(D107="Half day",0.5,0)-IF(AND(E107="Half day",C107&lt;&gt;B107),0.5,0)))</f>
        <v/>
      </c>
      <c r="I107" s="15" t="str">
        <f>IF(A107="","",IF(COUNTIF(Employees!$A$6:$A$35,A107)=0,"Unknown employee ID",IF(B107&gt;C107,"Check dates",IF(AND(B107=C107,E107="Half day"),"Use First day for a single half day","OK"))))</f>
        <v/>
      </c>
    </row>
    <row r="108" spans="1:9" x14ac:dyDescent="0.3">
      <c r="A108" s="11"/>
      <c r="B108" s="13"/>
      <c r="C108" s="13"/>
      <c r="D108" s="11"/>
      <c r="E108" s="11"/>
      <c r="F108" s="11"/>
      <c r="G108" s="11"/>
      <c r="H108" s="14" t="str">
        <f>IF(OR(A108="",B108="",C108="",B108&gt;C108),"",MAX(0,NETWORKDAYS.INTL(B108,C108,1,'Non-working days'!$A$6:$A$45)-IF(D108="Half day",0.5,0)-IF(AND(E108="Half day",C108&lt;&gt;B108),0.5,0)))</f>
        <v/>
      </c>
      <c r="I108" s="15" t="str">
        <f>IF(A108="","",IF(COUNTIF(Employees!$A$6:$A$35,A108)=0,"Unknown employee ID",IF(B108&gt;C108,"Check dates",IF(AND(B108=C108,E108="Half day"),"Use First day for a single half day","OK"))))</f>
        <v/>
      </c>
    </row>
    <row r="109" spans="1:9" x14ac:dyDescent="0.3">
      <c r="A109" s="11"/>
      <c r="B109" s="13"/>
      <c r="C109" s="13"/>
      <c r="D109" s="11"/>
      <c r="E109" s="11"/>
      <c r="F109" s="11"/>
      <c r="G109" s="11"/>
      <c r="H109" s="14" t="str">
        <f>IF(OR(A109="",B109="",C109="",B109&gt;C109),"",MAX(0,NETWORKDAYS.INTL(B109,C109,1,'Non-working days'!$A$6:$A$45)-IF(D109="Half day",0.5,0)-IF(AND(E109="Half day",C109&lt;&gt;B109),0.5,0)))</f>
        <v/>
      </c>
      <c r="I109" s="15" t="str">
        <f>IF(A109="","",IF(COUNTIF(Employees!$A$6:$A$35,A109)=0,"Unknown employee ID",IF(B109&gt;C109,"Check dates",IF(AND(B109=C109,E109="Half day"),"Use First day for a single half day","OK"))))</f>
        <v/>
      </c>
    </row>
    <row r="110" spans="1:9" x14ac:dyDescent="0.3">
      <c r="A110" s="11"/>
      <c r="B110" s="13"/>
      <c r="C110" s="13"/>
      <c r="D110" s="11"/>
      <c r="E110" s="11"/>
      <c r="F110" s="11"/>
      <c r="G110" s="11"/>
      <c r="H110" s="14" t="str">
        <f>IF(OR(A110="",B110="",C110="",B110&gt;C110),"",MAX(0,NETWORKDAYS.INTL(B110,C110,1,'Non-working days'!$A$6:$A$45)-IF(D110="Half day",0.5,0)-IF(AND(E110="Half day",C110&lt;&gt;B110),0.5,0)))</f>
        <v/>
      </c>
      <c r="I110" s="15" t="str">
        <f>IF(A110="","",IF(COUNTIF(Employees!$A$6:$A$35,A110)=0,"Unknown employee ID",IF(B110&gt;C110,"Check dates",IF(AND(B110=C110,E110="Half day"),"Use First day for a single half day","OK"))))</f>
        <v/>
      </c>
    </row>
    <row r="111" spans="1:9" x14ac:dyDescent="0.3">
      <c r="A111" s="11"/>
      <c r="B111" s="13"/>
      <c r="C111" s="13"/>
      <c r="D111" s="11"/>
      <c r="E111" s="11"/>
      <c r="F111" s="11"/>
      <c r="G111" s="11"/>
      <c r="H111" s="14" t="str">
        <f>IF(OR(A111="",B111="",C111="",B111&gt;C111),"",MAX(0,NETWORKDAYS.INTL(B111,C111,1,'Non-working days'!$A$6:$A$45)-IF(D111="Half day",0.5,0)-IF(AND(E111="Half day",C111&lt;&gt;B111),0.5,0)))</f>
        <v/>
      </c>
      <c r="I111" s="15" t="str">
        <f>IF(A111="","",IF(COUNTIF(Employees!$A$6:$A$35,A111)=0,"Unknown employee ID",IF(B111&gt;C111,"Check dates",IF(AND(B111=C111,E111="Half day"),"Use First day for a single half day","OK"))))</f>
        <v/>
      </c>
    </row>
    <row r="112" spans="1:9" x14ac:dyDescent="0.3">
      <c r="A112" s="11"/>
      <c r="B112" s="13"/>
      <c r="C112" s="13"/>
      <c r="D112" s="11"/>
      <c r="E112" s="11"/>
      <c r="F112" s="11"/>
      <c r="G112" s="11"/>
      <c r="H112" s="14" t="str">
        <f>IF(OR(A112="",B112="",C112="",B112&gt;C112),"",MAX(0,NETWORKDAYS.INTL(B112,C112,1,'Non-working days'!$A$6:$A$45)-IF(D112="Half day",0.5,0)-IF(AND(E112="Half day",C112&lt;&gt;B112),0.5,0)))</f>
        <v/>
      </c>
      <c r="I112" s="15" t="str">
        <f>IF(A112="","",IF(COUNTIF(Employees!$A$6:$A$35,A112)=0,"Unknown employee ID",IF(B112&gt;C112,"Check dates",IF(AND(B112=C112,E112="Half day"),"Use First day for a single half day","OK"))))</f>
        <v/>
      </c>
    </row>
    <row r="113" spans="1:9" x14ac:dyDescent="0.3">
      <c r="A113" s="11"/>
      <c r="B113" s="13"/>
      <c r="C113" s="13"/>
      <c r="D113" s="11"/>
      <c r="E113" s="11"/>
      <c r="F113" s="11"/>
      <c r="G113" s="11"/>
      <c r="H113" s="14" t="str">
        <f>IF(OR(A113="",B113="",C113="",B113&gt;C113),"",MAX(0,NETWORKDAYS.INTL(B113,C113,1,'Non-working days'!$A$6:$A$45)-IF(D113="Half day",0.5,0)-IF(AND(E113="Half day",C113&lt;&gt;B113),0.5,0)))</f>
        <v/>
      </c>
      <c r="I113" s="15" t="str">
        <f>IF(A113="","",IF(COUNTIF(Employees!$A$6:$A$35,A113)=0,"Unknown employee ID",IF(B113&gt;C113,"Check dates",IF(AND(B113=C113,E113="Half day"),"Use First day for a single half day","OK"))))</f>
        <v/>
      </c>
    </row>
    <row r="114" spans="1:9" x14ac:dyDescent="0.3">
      <c r="A114" s="11"/>
      <c r="B114" s="13"/>
      <c r="C114" s="13"/>
      <c r="D114" s="11"/>
      <c r="E114" s="11"/>
      <c r="F114" s="11"/>
      <c r="G114" s="11"/>
      <c r="H114" s="14" t="str">
        <f>IF(OR(A114="",B114="",C114="",B114&gt;C114),"",MAX(0,NETWORKDAYS.INTL(B114,C114,1,'Non-working days'!$A$6:$A$45)-IF(D114="Half day",0.5,0)-IF(AND(E114="Half day",C114&lt;&gt;B114),0.5,0)))</f>
        <v/>
      </c>
      <c r="I114" s="15" t="str">
        <f>IF(A114="","",IF(COUNTIF(Employees!$A$6:$A$35,A114)=0,"Unknown employee ID",IF(B114&gt;C114,"Check dates",IF(AND(B114=C114,E114="Half day"),"Use First day for a single half day","OK"))))</f>
        <v/>
      </c>
    </row>
    <row r="115" spans="1:9" x14ac:dyDescent="0.3">
      <c r="A115" s="11"/>
      <c r="B115" s="13"/>
      <c r="C115" s="13"/>
      <c r="D115" s="11"/>
      <c r="E115" s="11"/>
      <c r="F115" s="11"/>
      <c r="G115" s="11"/>
      <c r="H115" s="14" t="str">
        <f>IF(OR(A115="",B115="",C115="",B115&gt;C115),"",MAX(0,NETWORKDAYS.INTL(B115,C115,1,'Non-working days'!$A$6:$A$45)-IF(D115="Half day",0.5,0)-IF(AND(E115="Half day",C115&lt;&gt;B115),0.5,0)))</f>
        <v/>
      </c>
      <c r="I115" s="15" t="str">
        <f>IF(A115="","",IF(COUNTIF(Employees!$A$6:$A$35,A115)=0,"Unknown employee ID",IF(B115&gt;C115,"Check dates",IF(AND(B115=C115,E115="Half day"),"Use First day for a single half day","OK"))))</f>
        <v/>
      </c>
    </row>
    <row r="116" spans="1:9" x14ac:dyDescent="0.3">
      <c r="A116" s="11"/>
      <c r="B116" s="13"/>
      <c r="C116" s="13"/>
      <c r="D116" s="11"/>
      <c r="E116" s="11"/>
      <c r="F116" s="11"/>
      <c r="G116" s="11"/>
      <c r="H116" s="14" t="str">
        <f>IF(OR(A116="",B116="",C116="",B116&gt;C116),"",MAX(0,NETWORKDAYS.INTL(B116,C116,1,'Non-working days'!$A$6:$A$45)-IF(D116="Half day",0.5,0)-IF(AND(E116="Half day",C116&lt;&gt;B116),0.5,0)))</f>
        <v/>
      </c>
      <c r="I116" s="15" t="str">
        <f>IF(A116="","",IF(COUNTIF(Employees!$A$6:$A$35,A116)=0,"Unknown employee ID",IF(B116&gt;C116,"Check dates",IF(AND(B116=C116,E116="Half day"),"Use First day for a single half day","OK"))))</f>
        <v/>
      </c>
    </row>
    <row r="117" spans="1:9" x14ac:dyDescent="0.3">
      <c r="A117" s="11"/>
      <c r="B117" s="13"/>
      <c r="C117" s="13"/>
      <c r="D117" s="11"/>
      <c r="E117" s="11"/>
      <c r="F117" s="11"/>
      <c r="G117" s="11"/>
      <c r="H117" s="14" t="str">
        <f>IF(OR(A117="",B117="",C117="",B117&gt;C117),"",MAX(0,NETWORKDAYS.INTL(B117,C117,1,'Non-working days'!$A$6:$A$45)-IF(D117="Half day",0.5,0)-IF(AND(E117="Half day",C117&lt;&gt;B117),0.5,0)))</f>
        <v/>
      </c>
      <c r="I117" s="15" t="str">
        <f>IF(A117="","",IF(COUNTIF(Employees!$A$6:$A$35,A117)=0,"Unknown employee ID",IF(B117&gt;C117,"Check dates",IF(AND(B117=C117,E117="Half day"),"Use First day for a single half day","OK"))))</f>
        <v/>
      </c>
    </row>
    <row r="118" spans="1:9" x14ac:dyDescent="0.3">
      <c r="A118" s="11"/>
      <c r="B118" s="13"/>
      <c r="C118" s="13"/>
      <c r="D118" s="11"/>
      <c r="E118" s="11"/>
      <c r="F118" s="11"/>
      <c r="G118" s="11"/>
      <c r="H118" s="14" t="str">
        <f>IF(OR(A118="",B118="",C118="",B118&gt;C118),"",MAX(0,NETWORKDAYS.INTL(B118,C118,1,'Non-working days'!$A$6:$A$45)-IF(D118="Half day",0.5,0)-IF(AND(E118="Half day",C118&lt;&gt;B118),0.5,0)))</f>
        <v/>
      </c>
      <c r="I118" s="15" t="str">
        <f>IF(A118="","",IF(COUNTIF(Employees!$A$6:$A$35,A118)=0,"Unknown employee ID",IF(B118&gt;C118,"Check dates",IF(AND(B118=C118,E118="Half day"),"Use First day for a single half day","OK"))))</f>
        <v/>
      </c>
    </row>
    <row r="119" spans="1:9" x14ac:dyDescent="0.3">
      <c r="A119" s="11"/>
      <c r="B119" s="13"/>
      <c r="C119" s="13"/>
      <c r="D119" s="11"/>
      <c r="E119" s="11"/>
      <c r="F119" s="11"/>
      <c r="G119" s="11"/>
      <c r="H119" s="14" t="str">
        <f>IF(OR(A119="",B119="",C119="",B119&gt;C119),"",MAX(0,NETWORKDAYS.INTL(B119,C119,1,'Non-working days'!$A$6:$A$45)-IF(D119="Half day",0.5,0)-IF(AND(E119="Half day",C119&lt;&gt;B119),0.5,0)))</f>
        <v/>
      </c>
      <c r="I119" s="15" t="str">
        <f>IF(A119="","",IF(COUNTIF(Employees!$A$6:$A$35,A119)=0,"Unknown employee ID",IF(B119&gt;C119,"Check dates",IF(AND(B119=C119,E119="Half day"),"Use First day for a single half day","OK"))))</f>
        <v/>
      </c>
    </row>
    <row r="120" spans="1:9" x14ac:dyDescent="0.3">
      <c r="A120" s="11"/>
      <c r="B120" s="13"/>
      <c r="C120" s="13"/>
      <c r="D120" s="11"/>
      <c r="E120" s="11"/>
      <c r="F120" s="11"/>
      <c r="G120" s="11"/>
      <c r="H120" s="14" t="str">
        <f>IF(OR(A120="",B120="",C120="",B120&gt;C120),"",MAX(0,NETWORKDAYS.INTL(B120,C120,1,'Non-working days'!$A$6:$A$45)-IF(D120="Half day",0.5,0)-IF(AND(E120="Half day",C120&lt;&gt;B120),0.5,0)))</f>
        <v/>
      </c>
      <c r="I120" s="15" t="str">
        <f>IF(A120="","",IF(COUNTIF(Employees!$A$6:$A$35,A120)=0,"Unknown employee ID",IF(B120&gt;C120,"Check dates",IF(AND(B120=C120,E120="Half day"),"Use First day for a single half day","OK"))))</f>
        <v/>
      </c>
    </row>
    <row r="121" spans="1:9" x14ac:dyDescent="0.3">
      <c r="A121" s="11"/>
      <c r="B121" s="13"/>
      <c r="C121" s="13"/>
      <c r="D121" s="11"/>
      <c r="E121" s="11"/>
      <c r="F121" s="11"/>
      <c r="G121" s="11"/>
      <c r="H121" s="14" t="str">
        <f>IF(OR(A121="",B121="",C121="",B121&gt;C121),"",MAX(0,NETWORKDAYS.INTL(B121,C121,1,'Non-working days'!$A$6:$A$45)-IF(D121="Half day",0.5,0)-IF(AND(E121="Half day",C121&lt;&gt;B121),0.5,0)))</f>
        <v/>
      </c>
      <c r="I121" s="15" t="str">
        <f>IF(A121="","",IF(COUNTIF(Employees!$A$6:$A$35,A121)=0,"Unknown employee ID",IF(B121&gt;C121,"Check dates",IF(AND(B121=C121,E121="Half day"),"Use First day for a single half day","OK"))))</f>
        <v/>
      </c>
    </row>
    <row r="122" spans="1:9" x14ac:dyDescent="0.3">
      <c r="A122" s="11"/>
      <c r="B122" s="13"/>
      <c r="C122" s="13"/>
      <c r="D122" s="11"/>
      <c r="E122" s="11"/>
      <c r="F122" s="11"/>
      <c r="G122" s="11"/>
      <c r="H122" s="14" t="str">
        <f>IF(OR(A122="",B122="",C122="",B122&gt;C122),"",MAX(0,NETWORKDAYS.INTL(B122,C122,1,'Non-working days'!$A$6:$A$45)-IF(D122="Half day",0.5,0)-IF(AND(E122="Half day",C122&lt;&gt;B122),0.5,0)))</f>
        <v/>
      </c>
      <c r="I122" s="15" t="str">
        <f>IF(A122="","",IF(COUNTIF(Employees!$A$6:$A$35,A122)=0,"Unknown employee ID",IF(B122&gt;C122,"Check dates",IF(AND(B122=C122,E122="Half day"),"Use First day for a single half day","OK"))))</f>
        <v/>
      </c>
    </row>
    <row r="123" spans="1:9" x14ac:dyDescent="0.3">
      <c r="A123" s="11"/>
      <c r="B123" s="13"/>
      <c r="C123" s="13"/>
      <c r="D123" s="11"/>
      <c r="E123" s="11"/>
      <c r="F123" s="11"/>
      <c r="G123" s="11"/>
      <c r="H123" s="14" t="str">
        <f>IF(OR(A123="",B123="",C123="",B123&gt;C123),"",MAX(0,NETWORKDAYS.INTL(B123,C123,1,'Non-working days'!$A$6:$A$45)-IF(D123="Half day",0.5,0)-IF(AND(E123="Half day",C123&lt;&gt;B123),0.5,0)))</f>
        <v/>
      </c>
      <c r="I123" s="15" t="str">
        <f>IF(A123="","",IF(COUNTIF(Employees!$A$6:$A$35,A123)=0,"Unknown employee ID",IF(B123&gt;C123,"Check dates",IF(AND(B123=C123,E123="Half day"),"Use First day for a single half day","OK"))))</f>
        <v/>
      </c>
    </row>
    <row r="124" spans="1:9" x14ac:dyDescent="0.3">
      <c r="A124" s="11"/>
      <c r="B124" s="13"/>
      <c r="C124" s="13"/>
      <c r="D124" s="11"/>
      <c r="E124" s="11"/>
      <c r="F124" s="11"/>
      <c r="G124" s="11"/>
      <c r="H124" s="14" t="str">
        <f>IF(OR(A124="",B124="",C124="",B124&gt;C124),"",MAX(0,NETWORKDAYS.INTL(B124,C124,1,'Non-working days'!$A$6:$A$45)-IF(D124="Half day",0.5,0)-IF(AND(E124="Half day",C124&lt;&gt;B124),0.5,0)))</f>
        <v/>
      </c>
      <c r="I124" s="15" t="str">
        <f>IF(A124="","",IF(COUNTIF(Employees!$A$6:$A$35,A124)=0,"Unknown employee ID",IF(B124&gt;C124,"Check dates",IF(AND(B124=C124,E124="Half day"),"Use First day for a single half day","OK"))))</f>
        <v/>
      </c>
    </row>
    <row r="125" spans="1:9" x14ac:dyDescent="0.3">
      <c r="A125" s="11"/>
      <c r="B125" s="13"/>
      <c r="C125" s="13"/>
      <c r="D125" s="11"/>
      <c r="E125" s="11"/>
      <c r="F125" s="11"/>
      <c r="G125" s="11"/>
      <c r="H125" s="14" t="str">
        <f>IF(OR(A125="",B125="",C125="",B125&gt;C125),"",MAX(0,NETWORKDAYS.INTL(B125,C125,1,'Non-working days'!$A$6:$A$45)-IF(D125="Half day",0.5,0)-IF(AND(E125="Half day",C125&lt;&gt;B125),0.5,0)))</f>
        <v/>
      </c>
      <c r="I125" s="15" t="str">
        <f>IF(A125="","",IF(COUNTIF(Employees!$A$6:$A$35,A125)=0,"Unknown employee ID",IF(B125&gt;C125,"Check dates",IF(AND(B125=C125,E125="Half day"),"Use First day for a single half day","OK"))))</f>
        <v/>
      </c>
    </row>
    <row r="126" spans="1:9" x14ac:dyDescent="0.3">
      <c r="A126" s="11"/>
      <c r="B126" s="13"/>
      <c r="C126" s="13"/>
      <c r="D126" s="11"/>
      <c r="E126" s="11"/>
      <c r="F126" s="11"/>
      <c r="G126" s="11"/>
      <c r="H126" s="14" t="str">
        <f>IF(OR(A126="",B126="",C126="",B126&gt;C126),"",MAX(0,NETWORKDAYS.INTL(B126,C126,1,'Non-working days'!$A$6:$A$45)-IF(D126="Half day",0.5,0)-IF(AND(E126="Half day",C126&lt;&gt;B126),0.5,0)))</f>
        <v/>
      </c>
      <c r="I126" s="15" t="str">
        <f>IF(A126="","",IF(COUNTIF(Employees!$A$6:$A$35,A126)=0,"Unknown employee ID",IF(B126&gt;C126,"Check dates",IF(AND(B126=C126,E126="Half day"),"Use First day for a single half day","OK"))))</f>
        <v/>
      </c>
    </row>
    <row r="127" spans="1:9" x14ac:dyDescent="0.3">
      <c r="A127" s="11"/>
      <c r="B127" s="13"/>
      <c r="C127" s="13"/>
      <c r="D127" s="11"/>
      <c r="E127" s="11"/>
      <c r="F127" s="11"/>
      <c r="G127" s="11"/>
      <c r="H127" s="14" t="str">
        <f>IF(OR(A127="",B127="",C127="",B127&gt;C127),"",MAX(0,NETWORKDAYS.INTL(B127,C127,1,'Non-working days'!$A$6:$A$45)-IF(D127="Half day",0.5,0)-IF(AND(E127="Half day",C127&lt;&gt;B127),0.5,0)))</f>
        <v/>
      </c>
      <c r="I127" s="15" t="str">
        <f>IF(A127="","",IF(COUNTIF(Employees!$A$6:$A$35,A127)=0,"Unknown employee ID",IF(B127&gt;C127,"Check dates",IF(AND(B127=C127,E127="Half day"),"Use First day for a single half day","OK"))))</f>
        <v/>
      </c>
    </row>
    <row r="128" spans="1:9" x14ac:dyDescent="0.3">
      <c r="A128" s="11"/>
      <c r="B128" s="13"/>
      <c r="C128" s="13"/>
      <c r="D128" s="11"/>
      <c r="E128" s="11"/>
      <c r="F128" s="11"/>
      <c r="G128" s="11"/>
      <c r="H128" s="14" t="str">
        <f>IF(OR(A128="",B128="",C128="",B128&gt;C128),"",MAX(0,NETWORKDAYS.INTL(B128,C128,1,'Non-working days'!$A$6:$A$45)-IF(D128="Half day",0.5,0)-IF(AND(E128="Half day",C128&lt;&gt;B128),0.5,0)))</f>
        <v/>
      </c>
      <c r="I128" s="15" t="str">
        <f>IF(A128="","",IF(COUNTIF(Employees!$A$6:$A$35,A128)=0,"Unknown employee ID",IF(B128&gt;C128,"Check dates",IF(AND(B128=C128,E128="Half day"),"Use First day for a single half day","OK"))))</f>
        <v/>
      </c>
    </row>
    <row r="129" spans="1:9" x14ac:dyDescent="0.3">
      <c r="A129" s="11"/>
      <c r="B129" s="13"/>
      <c r="C129" s="13"/>
      <c r="D129" s="11"/>
      <c r="E129" s="11"/>
      <c r="F129" s="11"/>
      <c r="G129" s="11"/>
      <c r="H129" s="14" t="str">
        <f>IF(OR(A129="",B129="",C129="",B129&gt;C129),"",MAX(0,NETWORKDAYS.INTL(B129,C129,1,'Non-working days'!$A$6:$A$45)-IF(D129="Half day",0.5,0)-IF(AND(E129="Half day",C129&lt;&gt;B129),0.5,0)))</f>
        <v/>
      </c>
      <c r="I129" s="15" t="str">
        <f>IF(A129="","",IF(COUNTIF(Employees!$A$6:$A$35,A129)=0,"Unknown employee ID",IF(B129&gt;C129,"Check dates",IF(AND(B129=C129,E129="Half day"),"Use First day for a single half day","OK"))))</f>
        <v/>
      </c>
    </row>
    <row r="130" spans="1:9" x14ac:dyDescent="0.3">
      <c r="A130" s="11"/>
      <c r="B130" s="13"/>
      <c r="C130" s="13"/>
      <c r="D130" s="11"/>
      <c r="E130" s="11"/>
      <c r="F130" s="11"/>
      <c r="G130" s="11"/>
      <c r="H130" s="14" t="str">
        <f>IF(OR(A130="",B130="",C130="",B130&gt;C130),"",MAX(0,NETWORKDAYS.INTL(B130,C130,1,'Non-working days'!$A$6:$A$45)-IF(D130="Half day",0.5,0)-IF(AND(E130="Half day",C130&lt;&gt;B130),0.5,0)))</f>
        <v/>
      </c>
      <c r="I130" s="15" t="str">
        <f>IF(A130="","",IF(COUNTIF(Employees!$A$6:$A$35,A130)=0,"Unknown employee ID",IF(B130&gt;C130,"Check dates",IF(AND(B130=C130,E130="Half day"),"Use First day for a single half day","OK"))))</f>
        <v/>
      </c>
    </row>
    <row r="131" spans="1:9" x14ac:dyDescent="0.3">
      <c r="A131" s="11"/>
      <c r="B131" s="13"/>
      <c r="C131" s="13"/>
      <c r="D131" s="11"/>
      <c r="E131" s="11"/>
      <c r="F131" s="11"/>
      <c r="G131" s="11"/>
      <c r="H131" s="14" t="str">
        <f>IF(OR(A131="",B131="",C131="",B131&gt;C131),"",MAX(0,NETWORKDAYS.INTL(B131,C131,1,'Non-working days'!$A$6:$A$45)-IF(D131="Half day",0.5,0)-IF(AND(E131="Half day",C131&lt;&gt;B131),0.5,0)))</f>
        <v/>
      </c>
      <c r="I131" s="15" t="str">
        <f>IF(A131="","",IF(COUNTIF(Employees!$A$6:$A$35,A131)=0,"Unknown employee ID",IF(B131&gt;C131,"Check dates",IF(AND(B131=C131,E131="Half day"),"Use First day for a single half day","OK"))))</f>
        <v/>
      </c>
    </row>
    <row r="132" spans="1:9" x14ac:dyDescent="0.3">
      <c r="A132" s="11"/>
      <c r="B132" s="13"/>
      <c r="C132" s="13"/>
      <c r="D132" s="11"/>
      <c r="E132" s="11"/>
      <c r="F132" s="11"/>
      <c r="G132" s="11"/>
      <c r="H132" s="14" t="str">
        <f>IF(OR(A132="",B132="",C132="",B132&gt;C132),"",MAX(0,NETWORKDAYS.INTL(B132,C132,1,'Non-working days'!$A$6:$A$45)-IF(D132="Half day",0.5,0)-IF(AND(E132="Half day",C132&lt;&gt;B132),0.5,0)))</f>
        <v/>
      </c>
      <c r="I132" s="15" t="str">
        <f>IF(A132="","",IF(COUNTIF(Employees!$A$6:$A$35,A132)=0,"Unknown employee ID",IF(B132&gt;C132,"Check dates",IF(AND(B132=C132,E132="Half day"),"Use First day for a single half day","OK"))))</f>
        <v/>
      </c>
    </row>
    <row r="133" spans="1:9" x14ac:dyDescent="0.3">
      <c r="A133" s="11"/>
      <c r="B133" s="13"/>
      <c r="C133" s="13"/>
      <c r="D133" s="11"/>
      <c r="E133" s="11"/>
      <c r="F133" s="11"/>
      <c r="G133" s="11"/>
      <c r="H133" s="14" t="str">
        <f>IF(OR(A133="",B133="",C133="",B133&gt;C133),"",MAX(0,NETWORKDAYS.INTL(B133,C133,1,'Non-working days'!$A$6:$A$45)-IF(D133="Half day",0.5,0)-IF(AND(E133="Half day",C133&lt;&gt;B133),0.5,0)))</f>
        <v/>
      </c>
      <c r="I133" s="15" t="str">
        <f>IF(A133="","",IF(COUNTIF(Employees!$A$6:$A$35,A133)=0,"Unknown employee ID",IF(B133&gt;C133,"Check dates",IF(AND(B133=C133,E133="Half day"),"Use First day for a single half day","OK"))))</f>
        <v/>
      </c>
    </row>
    <row r="134" spans="1:9" x14ac:dyDescent="0.3">
      <c r="A134" s="11"/>
      <c r="B134" s="13"/>
      <c r="C134" s="13"/>
      <c r="D134" s="11"/>
      <c r="E134" s="11"/>
      <c r="F134" s="11"/>
      <c r="G134" s="11"/>
      <c r="H134" s="14" t="str">
        <f>IF(OR(A134="",B134="",C134="",B134&gt;C134),"",MAX(0,NETWORKDAYS.INTL(B134,C134,1,'Non-working days'!$A$6:$A$45)-IF(D134="Half day",0.5,0)-IF(AND(E134="Half day",C134&lt;&gt;B134),0.5,0)))</f>
        <v/>
      </c>
      <c r="I134" s="15" t="str">
        <f>IF(A134="","",IF(COUNTIF(Employees!$A$6:$A$35,A134)=0,"Unknown employee ID",IF(B134&gt;C134,"Check dates",IF(AND(B134=C134,E134="Half day"),"Use First day for a single half day","OK"))))</f>
        <v/>
      </c>
    </row>
    <row r="135" spans="1:9" x14ac:dyDescent="0.3">
      <c r="A135" s="11"/>
      <c r="B135" s="13"/>
      <c r="C135" s="13"/>
      <c r="D135" s="11"/>
      <c r="E135" s="11"/>
      <c r="F135" s="11"/>
      <c r="G135" s="11"/>
      <c r="H135" s="14" t="str">
        <f>IF(OR(A135="",B135="",C135="",B135&gt;C135),"",MAX(0,NETWORKDAYS.INTL(B135,C135,1,'Non-working days'!$A$6:$A$45)-IF(D135="Half day",0.5,0)-IF(AND(E135="Half day",C135&lt;&gt;B135),0.5,0)))</f>
        <v/>
      </c>
      <c r="I135" s="15" t="str">
        <f>IF(A135="","",IF(COUNTIF(Employees!$A$6:$A$35,A135)=0,"Unknown employee ID",IF(B135&gt;C135,"Check dates",IF(AND(B135=C135,E135="Half day"),"Use First day for a single half day","OK"))))</f>
        <v/>
      </c>
    </row>
    <row r="136" spans="1:9" x14ac:dyDescent="0.3">
      <c r="A136" s="11"/>
      <c r="B136" s="13"/>
      <c r="C136" s="13"/>
      <c r="D136" s="11"/>
      <c r="E136" s="11"/>
      <c r="F136" s="11"/>
      <c r="G136" s="11"/>
      <c r="H136" s="14" t="str">
        <f>IF(OR(A136="",B136="",C136="",B136&gt;C136),"",MAX(0,NETWORKDAYS.INTL(B136,C136,1,'Non-working days'!$A$6:$A$45)-IF(D136="Half day",0.5,0)-IF(AND(E136="Half day",C136&lt;&gt;B136),0.5,0)))</f>
        <v/>
      </c>
      <c r="I136" s="15" t="str">
        <f>IF(A136="","",IF(COUNTIF(Employees!$A$6:$A$35,A136)=0,"Unknown employee ID",IF(B136&gt;C136,"Check dates",IF(AND(B136=C136,E136="Half day"),"Use First day for a single half day","OK"))))</f>
        <v/>
      </c>
    </row>
    <row r="137" spans="1:9" x14ac:dyDescent="0.3">
      <c r="A137" s="11"/>
      <c r="B137" s="13"/>
      <c r="C137" s="13"/>
      <c r="D137" s="11"/>
      <c r="E137" s="11"/>
      <c r="F137" s="11"/>
      <c r="G137" s="11"/>
      <c r="H137" s="14" t="str">
        <f>IF(OR(A137="",B137="",C137="",B137&gt;C137),"",MAX(0,NETWORKDAYS.INTL(B137,C137,1,'Non-working days'!$A$6:$A$45)-IF(D137="Half day",0.5,0)-IF(AND(E137="Half day",C137&lt;&gt;B137),0.5,0)))</f>
        <v/>
      </c>
      <c r="I137" s="15" t="str">
        <f>IF(A137="","",IF(COUNTIF(Employees!$A$6:$A$35,A137)=0,"Unknown employee ID",IF(B137&gt;C137,"Check dates",IF(AND(B137=C137,E137="Half day"),"Use First day for a single half day","OK"))))</f>
        <v/>
      </c>
    </row>
    <row r="138" spans="1:9" x14ac:dyDescent="0.3">
      <c r="A138" s="11"/>
      <c r="B138" s="13"/>
      <c r="C138" s="13"/>
      <c r="D138" s="11"/>
      <c r="E138" s="11"/>
      <c r="F138" s="11"/>
      <c r="G138" s="11"/>
      <c r="H138" s="14" t="str">
        <f>IF(OR(A138="",B138="",C138="",B138&gt;C138),"",MAX(0,NETWORKDAYS.INTL(B138,C138,1,'Non-working days'!$A$6:$A$45)-IF(D138="Half day",0.5,0)-IF(AND(E138="Half day",C138&lt;&gt;B138),0.5,0)))</f>
        <v/>
      </c>
      <c r="I138" s="15" t="str">
        <f>IF(A138="","",IF(COUNTIF(Employees!$A$6:$A$35,A138)=0,"Unknown employee ID",IF(B138&gt;C138,"Check dates",IF(AND(B138=C138,E138="Half day"),"Use First day for a single half day","OK"))))</f>
        <v/>
      </c>
    </row>
    <row r="139" spans="1:9" x14ac:dyDescent="0.3">
      <c r="A139" s="11"/>
      <c r="B139" s="13"/>
      <c r="C139" s="13"/>
      <c r="D139" s="11"/>
      <c r="E139" s="11"/>
      <c r="F139" s="11"/>
      <c r="G139" s="11"/>
      <c r="H139" s="14" t="str">
        <f>IF(OR(A139="",B139="",C139="",B139&gt;C139),"",MAX(0,NETWORKDAYS.INTL(B139,C139,1,'Non-working days'!$A$6:$A$45)-IF(D139="Half day",0.5,0)-IF(AND(E139="Half day",C139&lt;&gt;B139),0.5,0)))</f>
        <v/>
      </c>
      <c r="I139" s="15" t="str">
        <f>IF(A139="","",IF(COUNTIF(Employees!$A$6:$A$35,A139)=0,"Unknown employee ID",IF(B139&gt;C139,"Check dates",IF(AND(B139=C139,E139="Half day"),"Use First day for a single half day","OK"))))</f>
        <v/>
      </c>
    </row>
    <row r="140" spans="1:9" x14ac:dyDescent="0.3">
      <c r="A140" s="11"/>
      <c r="B140" s="13"/>
      <c r="C140" s="13"/>
      <c r="D140" s="11"/>
      <c r="E140" s="11"/>
      <c r="F140" s="11"/>
      <c r="G140" s="11"/>
      <c r="H140" s="14" t="str">
        <f>IF(OR(A140="",B140="",C140="",B140&gt;C140),"",MAX(0,NETWORKDAYS.INTL(B140,C140,1,'Non-working days'!$A$6:$A$45)-IF(D140="Half day",0.5,0)-IF(AND(E140="Half day",C140&lt;&gt;B140),0.5,0)))</f>
        <v/>
      </c>
      <c r="I140" s="15" t="str">
        <f>IF(A140="","",IF(COUNTIF(Employees!$A$6:$A$35,A140)=0,"Unknown employee ID",IF(B140&gt;C140,"Check dates",IF(AND(B140=C140,E140="Half day"),"Use First day for a single half day","OK"))))</f>
        <v/>
      </c>
    </row>
    <row r="141" spans="1:9" x14ac:dyDescent="0.3">
      <c r="A141" s="11"/>
      <c r="B141" s="13"/>
      <c r="C141" s="13"/>
      <c r="D141" s="11"/>
      <c r="E141" s="11"/>
      <c r="F141" s="11"/>
      <c r="G141" s="11"/>
      <c r="H141" s="14" t="str">
        <f>IF(OR(A141="",B141="",C141="",B141&gt;C141),"",MAX(0,NETWORKDAYS.INTL(B141,C141,1,'Non-working days'!$A$6:$A$45)-IF(D141="Half day",0.5,0)-IF(AND(E141="Half day",C141&lt;&gt;B141),0.5,0)))</f>
        <v/>
      </c>
      <c r="I141" s="15" t="str">
        <f>IF(A141="","",IF(COUNTIF(Employees!$A$6:$A$35,A141)=0,"Unknown employee ID",IF(B141&gt;C141,"Check dates",IF(AND(B141=C141,E141="Half day"),"Use First day for a single half day","OK"))))</f>
        <v/>
      </c>
    </row>
    <row r="142" spans="1:9" x14ac:dyDescent="0.3">
      <c r="A142" s="11"/>
      <c r="B142" s="13"/>
      <c r="C142" s="13"/>
      <c r="D142" s="11"/>
      <c r="E142" s="11"/>
      <c r="F142" s="11"/>
      <c r="G142" s="11"/>
      <c r="H142" s="14" t="str">
        <f>IF(OR(A142="",B142="",C142="",B142&gt;C142),"",MAX(0,NETWORKDAYS.INTL(B142,C142,1,'Non-working days'!$A$6:$A$45)-IF(D142="Half day",0.5,0)-IF(AND(E142="Half day",C142&lt;&gt;B142),0.5,0)))</f>
        <v/>
      </c>
      <c r="I142" s="15" t="str">
        <f>IF(A142="","",IF(COUNTIF(Employees!$A$6:$A$35,A142)=0,"Unknown employee ID",IF(B142&gt;C142,"Check dates",IF(AND(B142=C142,E142="Half day"),"Use First day for a single half day","OK"))))</f>
        <v/>
      </c>
    </row>
    <row r="143" spans="1:9" x14ac:dyDescent="0.3">
      <c r="A143" s="11"/>
      <c r="B143" s="13"/>
      <c r="C143" s="13"/>
      <c r="D143" s="11"/>
      <c r="E143" s="11"/>
      <c r="F143" s="11"/>
      <c r="G143" s="11"/>
      <c r="H143" s="14" t="str">
        <f>IF(OR(A143="",B143="",C143="",B143&gt;C143),"",MAX(0,NETWORKDAYS.INTL(B143,C143,1,'Non-working days'!$A$6:$A$45)-IF(D143="Half day",0.5,0)-IF(AND(E143="Half day",C143&lt;&gt;B143),0.5,0)))</f>
        <v/>
      </c>
      <c r="I143" s="15" t="str">
        <f>IF(A143="","",IF(COUNTIF(Employees!$A$6:$A$35,A143)=0,"Unknown employee ID",IF(B143&gt;C143,"Check dates",IF(AND(B143=C143,E143="Half day"),"Use First day for a single half day","OK"))))</f>
        <v/>
      </c>
    </row>
    <row r="144" spans="1:9" x14ac:dyDescent="0.3">
      <c r="A144" s="11"/>
      <c r="B144" s="13"/>
      <c r="C144" s="13"/>
      <c r="D144" s="11"/>
      <c r="E144" s="11"/>
      <c r="F144" s="11"/>
      <c r="G144" s="11"/>
      <c r="H144" s="14" t="str">
        <f>IF(OR(A144="",B144="",C144="",B144&gt;C144),"",MAX(0,NETWORKDAYS.INTL(B144,C144,1,'Non-working days'!$A$6:$A$45)-IF(D144="Half day",0.5,0)-IF(AND(E144="Half day",C144&lt;&gt;B144),0.5,0)))</f>
        <v/>
      </c>
      <c r="I144" s="15" t="str">
        <f>IF(A144="","",IF(COUNTIF(Employees!$A$6:$A$35,A144)=0,"Unknown employee ID",IF(B144&gt;C144,"Check dates",IF(AND(B144=C144,E144="Half day"),"Use First day for a single half day","OK"))))</f>
        <v/>
      </c>
    </row>
    <row r="145" spans="1:9" x14ac:dyDescent="0.3">
      <c r="A145" s="11"/>
      <c r="B145" s="13"/>
      <c r="C145" s="13"/>
      <c r="D145" s="11"/>
      <c r="E145" s="11"/>
      <c r="F145" s="11"/>
      <c r="G145" s="11"/>
      <c r="H145" s="14" t="str">
        <f>IF(OR(A145="",B145="",C145="",B145&gt;C145),"",MAX(0,NETWORKDAYS.INTL(B145,C145,1,'Non-working days'!$A$6:$A$45)-IF(D145="Half day",0.5,0)-IF(AND(E145="Half day",C145&lt;&gt;B145),0.5,0)))</f>
        <v/>
      </c>
      <c r="I145" s="15" t="str">
        <f>IF(A145="","",IF(COUNTIF(Employees!$A$6:$A$35,A145)=0,"Unknown employee ID",IF(B145&gt;C145,"Check dates",IF(AND(B145=C145,E145="Half day"),"Use First day for a single half day","OK"))))</f>
        <v/>
      </c>
    </row>
    <row r="146" spans="1:9" x14ac:dyDescent="0.3">
      <c r="A146" s="11"/>
      <c r="B146" s="13"/>
      <c r="C146" s="13"/>
      <c r="D146" s="11"/>
      <c r="E146" s="11"/>
      <c r="F146" s="11"/>
      <c r="G146" s="11"/>
      <c r="H146" s="14" t="str">
        <f>IF(OR(A146="",B146="",C146="",B146&gt;C146),"",MAX(0,NETWORKDAYS.INTL(B146,C146,1,'Non-working days'!$A$6:$A$45)-IF(D146="Half day",0.5,0)-IF(AND(E146="Half day",C146&lt;&gt;B146),0.5,0)))</f>
        <v/>
      </c>
      <c r="I146" s="15" t="str">
        <f>IF(A146="","",IF(COUNTIF(Employees!$A$6:$A$35,A146)=0,"Unknown employee ID",IF(B146&gt;C146,"Check dates",IF(AND(B146=C146,E146="Half day"),"Use First day for a single half day","OK"))))</f>
        <v/>
      </c>
    </row>
    <row r="147" spans="1:9" x14ac:dyDescent="0.3">
      <c r="A147" s="11"/>
      <c r="B147" s="13"/>
      <c r="C147" s="13"/>
      <c r="D147" s="11"/>
      <c r="E147" s="11"/>
      <c r="F147" s="11"/>
      <c r="G147" s="11"/>
      <c r="H147" s="14" t="str">
        <f>IF(OR(A147="",B147="",C147="",B147&gt;C147),"",MAX(0,NETWORKDAYS.INTL(B147,C147,1,'Non-working days'!$A$6:$A$45)-IF(D147="Half day",0.5,0)-IF(AND(E147="Half day",C147&lt;&gt;B147),0.5,0)))</f>
        <v/>
      </c>
      <c r="I147" s="15" t="str">
        <f>IF(A147="","",IF(COUNTIF(Employees!$A$6:$A$35,A147)=0,"Unknown employee ID",IF(B147&gt;C147,"Check dates",IF(AND(B147=C147,E147="Half day"),"Use First day for a single half day","OK"))))</f>
        <v/>
      </c>
    </row>
    <row r="148" spans="1:9" x14ac:dyDescent="0.3">
      <c r="A148" s="11"/>
      <c r="B148" s="13"/>
      <c r="C148" s="13"/>
      <c r="D148" s="11"/>
      <c r="E148" s="11"/>
      <c r="F148" s="11"/>
      <c r="G148" s="11"/>
      <c r="H148" s="14" t="str">
        <f>IF(OR(A148="",B148="",C148="",B148&gt;C148),"",MAX(0,NETWORKDAYS.INTL(B148,C148,1,'Non-working days'!$A$6:$A$45)-IF(D148="Half day",0.5,0)-IF(AND(E148="Half day",C148&lt;&gt;B148),0.5,0)))</f>
        <v/>
      </c>
      <c r="I148" s="15" t="str">
        <f>IF(A148="","",IF(COUNTIF(Employees!$A$6:$A$35,A148)=0,"Unknown employee ID",IF(B148&gt;C148,"Check dates",IF(AND(B148=C148,E148="Half day"),"Use First day for a single half day","OK"))))</f>
        <v/>
      </c>
    </row>
    <row r="149" spans="1:9" x14ac:dyDescent="0.3">
      <c r="A149" s="11"/>
      <c r="B149" s="13"/>
      <c r="C149" s="13"/>
      <c r="D149" s="11"/>
      <c r="E149" s="11"/>
      <c r="F149" s="11"/>
      <c r="G149" s="11"/>
      <c r="H149" s="14" t="str">
        <f>IF(OR(A149="",B149="",C149="",B149&gt;C149),"",MAX(0,NETWORKDAYS.INTL(B149,C149,1,'Non-working days'!$A$6:$A$45)-IF(D149="Half day",0.5,0)-IF(AND(E149="Half day",C149&lt;&gt;B149),0.5,0)))</f>
        <v/>
      </c>
      <c r="I149" s="15" t="str">
        <f>IF(A149="","",IF(COUNTIF(Employees!$A$6:$A$35,A149)=0,"Unknown employee ID",IF(B149&gt;C149,"Check dates",IF(AND(B149=C149,E149="Half day"),"Use First day for a single half day","OK"))))</f>
        <v/>
      </c>
    </row>
    <row r="150" spans="1:9" x14ac:dyDescent="0.3">
      <c r="A150" s="11"/>
      <c r="B150" s="13"/>
      <c r="C150" s="13"/>
      <c r="D150" s="11"/>
      <c r="E150" s="11"/>
      <c r="F150" s="11"/>
      <c r="G150" s="11"/>
      <c r="H150" s="14" t="str">
        <f>IF(OR(A150="",B150="",C150="",B150&gt;C150),"",MAX(0,NETWORKDAYS.INTL(B150,C150,1,'Non-working days'!$A$6:$A$45)-IF(D150="Half day",0.5,0)-IF(AND(E150="Half day",C150&lt;&gt;B150),0.5,0)))</f>
        <v/>
      </c>
      <c r="I150" s="15" t="str">
        <f>IF(A150="","",IF(COUNTIF(Employees!$A$6:$A$35,A150)=0,"Unknown employee ID",IF(B150&gt;C150,"Check dates",IF(AND(B150=C150,E150="Half day"),"Use First day for a single half day","OK"))))</f>
        <v/>
      </c>
    </row>
    <row r="151" spans="1:9" x14ac:dyDescent="0.3">
      <c r="A151" s="11"/>
      <c r="B151" s="13"/>
      <c r="C151" s="13"/>
      <c r="D151" s="11"/>
      <c r="E151" s="11"/>
      <c r="F151" s="11"/>
      <c r="G151" s="11"/>
      <c r="H151" s="14" t="str">
        <f>IF(OR(A151="",B151="",C151="",B151&gt;C151),"",MAX(0,NETWORKDAYS.INTL(B151,C151,1,'Non-working days'!$A$6:$A$45)-IF(D151="Half day",0.5,0)-IF(AND(E151="Half day",C151&lt;&gt;B151),0.5,0)))</f>
        <v/>
      </c>
      <c r="I151" s="15" t="str">
        <f>IF(A151="","",IF(COUNTIF(Employees!$A$6:$A$35,A151)=0,"Unknown employee ID",IF(B151&gt;C151,"Check dates",IF(AND(B151=C151,E151="Half day"),"Use First day for a single half day","OK"))))</f>
        <v/>
      </c>
    </row>
    <row r="152" spans="1:9" x14ac:dyDescent="0.3">
      <c r="A152" s="11"/>
      <c r="B152" s="13"/>
      <c r="C152" s="13"/>
      <c r="D152" s="11"/>
      <c r="E152" s="11"/>
      <c r="F152" s="11"/>
      <c r="G152" s="11"/>
      <c r="H152" s="14" t="str">
        <f>IF(OR(A152="",B152="",C152="",B152&gt;C152),"",MAX(0,NETWORKDAYS.INTL(B152,C152,1,'Non-working days'!$A$6:$A$45)-IF(D152="Half day",0.5,0)-IF(AND(E152="Half day",C152&lt;&gt;B152),0.5,0)))</f>
        <v/>
      </c>
      <c r="I152" s="15" t="str">
        <f>IF(A152="","",IF(COUNTIF(Employees!$A$6:$A$35,A152)=0,"Unknown employee ID",IF(B152&gt;C152,"Check dates",IF(AND(B152=C152,E152="Half day"),"Use First day for a single half day","OK"))))</f>
        <v/>
      </c>
    </row>
    <row r="153" spans="1:9" x14ac:dyDescent="0.3">
      <c r="A153" s="11"/>
      <c r="B153" s="13"/>
      <c r="C153" s="13"/>
      <c r="D153" s="11"/>
      <c r="E153" s="11"/>
      <c r="F153" s="11"/>
      <c r="G153" s="11"/>
      <c r="H153" s="14" t="str">
        <f>IF(OR(A153="",B153="",C153="",B153&gt;C153),"",MAX(0,NETWORKDAYS.INTL(B153,C153,1,'Non-working days'!$A$6:$A$45)-IF(D153="Half day",0.5,0)-IF(AND(E153="Half day",C153&lt;&gt;B153),0.5,0)))</f>
        <v/>
      </c>
      <c r="I153" s="15" t="str">
        <f>IF(A153="","",IF(COUNTIF(Employees!$A$6:$A$35,A153)=0,"Unknown employee ID",IF(B153&gt;C153,"Check dates",IF(AND(B153=C153,E153="Half day"),"Use First day for a single half day","OK"))))</f>
        <v/>
      </c>
    </row>
    <row r="154" spans="1:9" x14ac:dyDescent="0.3">
      <c r="A154" s="11"/>
      <c r="B154" s="13"/>
      <c r="C154" s="13"/>
      <c r="D154" s="11"/>
      <c r="E154" s="11"/>
      <c r="F154" s="11"/>
      <c r="G154" s="11"/>
      <c r="H154" s="14" t="str">
        <f>IF(OR(A154="",B154="",C154="",B154&gt;C154),"",MAX(0,NETWORKDAYS.INTL(B154,C154,1,'Non-working days'!$A$6:$A$45)-IF(D154="Half day",0.5,0)-IF(AND(E154="Half day",C154&lt;&gt;B154),0.5,0)))</f>
        <v/>
      </c>
      <c r="I154" s="15" t="str">
        <f>IF(A154="","",IF(COUNTIF(Employees!$A$6:$A$35,A154)=0,"Unknown employee ID",IF(B154&gt;C154,"Check dates",IF(AND(B154=C154,E154="Half day"),"Use First day for a single half day","OK"))))</f>
        <v/>
      </c>
    </row>
    <row r="155" spans="1:9" x14ac:dyDescent="0.3">
      <c r="A155" s="11"/>
      <c r="B155" s="13"/>
      <c r="C155" s="13"/>
      <c r="D155" s="11"/>
      <c r="E155" s="11"/>
      <c r="F155" s="11"/>
      <c r="G155" s="11"/>
      <c r="H155" s="14" t="str">
        <f>IF(OR(A155="",B155="",C155="",B155&gt;C155),"",MAX(0,NETWORKDAYS.INTL(B155,C155,1,'Non-working days'!$A$6:$A$45)-IF(D155="Half day",0.5,0)-IF(AND(E155="Half day",C155&lt;&gt;B155),0.5,0)))</f>
        <v/>
      </c>
      <c r="I155" s="15" t="str">
        <f>IF(A155="","",IF(COUNTIF(Employees!$A$6:$A$35,A155)=0,"Unknown employee ID",IF(B155&gt;C155,"Check dates",IF(AND(B155=C155,E155="Half day"),"Use First day for a single half day","OK"))))</f>
        <v/>
      </c>
    </row>
    <row r="156" spans="1:9" x14ac:dyDescent="0.3">
      <c r="A156" s="11"/>
      <c r="B156" s="13"/>
      <c r="C156" s="13"/>
      <c r="D156" s="11"/>
      <c r="E156" s="11"/>
      <c r="F156" s="11"/>
      <c r="G156" s="11"/>
      <c r="H156" s="14" t="str">
        <f>IF(OR(A156="",B156="",C156="",B156&gt;C156),"",MAX(0,NETWORKDAYS.INTL(B156,C156,1,'Non-working days'!$A$6:$A$45)-IF(D156="Half day",0.5,0)-IF(AND(E156="Half day",C156&lt;&gt;B156),0.5,0)))</f>
        <v/>
      </c>
      <c r="I156" s="15" t="str">
        <f>IF(A156="","",IF(COUNTIF(Employees!$A$6:$A$35,A156)=0,"Unknown employee ID",IF(B156&gt;C156,"Check dates",IF(AND(B156=C156,E156="Half day"),"Use First day for a single half day","OK"))))</f>
        <v/>
      </c>
    </row>
    <row r="157" spans="1:9" x14ac:dyDescent="0.3">
      <c r="A157" s="11"/>
      <c r="B157" s="13"/>
      <c r="C157" s="13"/>
      <c r="D157" s="11"/>
      <c r="E157" s="11"/>
      <c r="F157" s="11"/>
      <c r="G157" s="11"/>
      <c r="H157" s="14" t="str">
        <f>IF(OR(A157="",B157="",C157="",B157&gt;C157),"",MAX(0,NETWORKDAYS.INTL(B157,C157,1,'Non-working days'!$A$6:$A$45)-IF(D157="Half day",0.5,0)-IF(AND(E157="Half day",C157&lt;&gt;B157),0.5,0)))</f>
        <v/>
      </c>
      <c r="I157" s="15" t="str">
        <f>IF(A157="","",IF(COUNTIF(Employees!$A$6:$A$35,A157)=0,"Unknown employee ID",IF(B157&gt;C157,"Check dates",IF(AND(B157=C157,E157="Half day"),"Use First day for a single half day","OK"))))</f>
        <v/>
      </c>
    </row>
    <row r="158" spans="1:9" x14ac:dyDescent="0.3">
      <c r="A158" s="11"/>
      <c r="B158" s="13"/>
      <c r="C158" s="13"/>
      <c r="D158" s="11"/>
      <c r="E158" s="11"/>
      <c r="F158" s="11"/>
      <c r="G158" s="11"/>
      <c r="H158" s="14" t="str">
        <f>IF(OR(A158="",B158="",C158="",B158&gt;C158),"",MAX(0,NETWORKDAYS.INTL(B158,C158,1,'Non-working days'!$A$6:$A$45)-IF(D158="Half day",0.5,0)-IF(AND(E158="Half day",C158&lt;&gt;B158),0.5,0)))</f>
        <v/>
      </c>
      <c r="I158" s="15" t="str">
        <f>IF(A158="","",IF(COUNTIF(Employees!$A$6:$A$35,A158)=0,"Unknown employee ID",IF(B158&gt;C158,"Check dates",IF(AND(B158=C158,E158="Half day"),"Use First day for a single half day","OK"))))</f>
        <v/>
      </c>
    </row>
    <row r="159" spans="1:9" x14ac:dyDescent="0.3">
      <c r="A159" s="11"/>
      <c r="B159" s="13"/>
      <c r="C159" s="13"/>
      <c r="D159" s="11"/>
      <c r="E159" s="11"/>
      <c r="F159" s="11"/>
      <c r="G159" s="11"/>
      <c r="H159" s="14" t="str">
        <f>IF(OR(A159="",B159="",C159="",B159&gt;C159),"",MAX(0,NETWORKDAYS.INTL(B159,C159,1,'Non-working days'!$A$6:$A$45)-IF(D159="Half day",0.5,0)-IF(AND(E159="Half day",C159&lt;&gt;B159),0.5,0)))</f>
        <v/>
      </c>
      <c r="I159" s="15" t="str">
        <f>IF(A159="","",IF(COUNTIF(Employees!$A$6:$A$35,A159)=0,"Unknown employee ID",IF(B159&gt;C159,"Check dates",IF(AND(B159=C159,E159="Half day"),"Use First day for a single half day","OK"))))</f>
        <v/>
      </c>
    </row>
    <row r="160" spans="1:9" x14ac:dyDescent="0.3">
      <c r="A160" s="11"/>
      <c r="B160" s="13"/>
      <c r="C160" s="13"/>
      <c r="D160" s="11"/>
      <c r="E160" s="11"/>
      <c r="F160" s="11"/>
      <c r="G160" s="11"/>
      <c r="H160" s="14" t="str">
        <f>IF(OR(A160="",B160="",C160="",B160&gt;C160),"",MAX(0,NETWORKDAYS.INTL(B160,C160,1,'Non-working days'!$A$6:$A$45)-IF(D160="Half day",0.5,0)-IF(AND(E160="Half day",C160&lt;&gt;B160),0.5,0)))</f>
        <v/>
      </c>
      <c r="I160" s="15" t="str">
        <f>IF(A160="","",IF(COUNTIF(Employees!$A$6:$A$35,A160)=0,"Unknown employee ID",IF(B160&gt;C160,"Check dates",IF(AND(B160=C160,E160="Half day"),"Use First day for a single half day","OK"))))</f>
        <v/>
      </c>
    </row>
    <row r="161" spans="1:9" x14ac:dyDescent="0.3">
      <c r="A161" s="11"/>
      <c r="B161" s="13"/>
      <c r="C161" s="13"/>
      <c r="D161" s="11"/>
      <c r="E161" s="11"/>
      <c r="F161" s="11"/>
      <c r="G161" s="11"/>
      <c r="H161" s="14" t="str">
        <f>IF(OR(A161="",B161="",C161="",B161&gt;C161),"",MAX(0,NETWORKDAYS.INTL(B161,C161,1,'Non-working days'!$A$6:$A$45)-IF(D161="Half day",0.5,0)-IF(AND(E161="Half day",C161&lt;&gt;B161),0.5,0)))</f>
        <v/>
      </c>
      <c r="I161" s="15" t="str">
        <f>IF(A161="","",IF(COUNTIF(Employees!$A$6:$A$35,A161)=0,"Unknown employee ID",IF(B161&gt;C161,"Check dates",IF(AND(B161=C161,E161="Half day"),"Use First day for a single half day","OK"))))</f>
        <v/>
      </c>
    </row>
    <row r="162" spans="1:9" x14ac:dyDescent="0.3">
      <c r="A162" s="11"/>
      <c r="B162" s="13"/>
      <c r="C162" s="13"/>
      <c r="D162" s="11"/>
      <c r="E162" s="11"/>
      <c r="F162" s="11"/>
      <c r="G162" s="11"/>
      <c r="H162" s="14" t="str">
        <f>IF(OR(A162="",B162="",C162="",B162&gt;C162),"",MAX(0,NETWORKDAYS.INTL(B162,C162,1,'Non-working days'!$A$6:$A$45)-IF(D162="Half day",0.5,0)-IF(AND(E162="Half day",C162&lt;&gt;B162),0.5,0)))</f>
        <v/>
      </c>
      <c r="I162" s="15" t="str">
        <f>IF(A162="","",IF(COUNTIF(Employees!$A$6:$A$35,A162)=0,"Unknown employee ID",IF(B162&gt;C162,"Check dates",IF(AND(B162=C162,E162="Half day"),"Use First day for a single half day","OK"))))</f>
        <v/>
      </c>
    </row>
    <row r="163" spans="1:9" x14ac:dyDescent="0.3">
      <c r="A163" s="11"/>
      <c r="B163" s="13"/>
      <c r="C163" s="13"/>
      <c r="D163" s="11"/>
      <c r="E163" s="11"/>
      <c r="F163" s="11"/>
      <c r="G163" s="11"/>
      <c r="H163" s="14" t="str">
        <f>IF(OR(A163="",B163="",C163="",B163&gt;C163),"",MAX(0,NETWORKDAYS.INTL(B163,C163,1,'Non-working days'!$A$6:$A$45)-IF(D163="Half day",0.5,0)-IF(AND(E163="Half day",C163&lt;&gt;B163),0.5,0)))</f>
        <v/>
      </c>
      <c r="I163" s="15" t="str">
        <f>IF(A163="","",IF(COUNTIF(Employees!$A$6:$A$35,A163)=0,"Unknown employee ID",IF(B163&gt;C163,"Check dates",IF(AND(B163=C163,E163="Half day"),"Use First day for a single half day","OK"))))</f>
        <v/>
      </c>
    </row>
    <row r="164" spans="1:9" x14ac:dyDescent="0.3">
      <c r="A164" s="11"/>
      <c r="B164" s="13"/>
      <c r="C164" s="13"/>
      <c r="D164" s="11"/>
      <c r="E164" s="11"/>
      <c r="F164" s="11"/>
      <c r="G164" s="11"/>
      <c r="H164" s="14" t="str">
        <f>IF(OR(A164="",B164="",C164="",B164&gt;C164),"",MAX(0,NETWORKDAYS.INTL(B164,C164,1,'Non-working days'!$A$6:$A$45)-IF(D164="Half day",0.5,0)-IF(AND(E164="Half day",C164&lt;&gt;B164),0.5,0)))</f>
        <v/>
      </c>
      <c r="I164" s="15" t="str">
        <f>IF(A164="","",IF(COUNTIF(Employees!$A$6:$A$35,A164)=0,"Unknown employee ID",IF(B164&gt;C164,"Check dates",IF(AND(B164=C164,E164="Half day"),"Use First day for a single half day","OK"))))</f>
        <v/>
      </c>
    </row>
    <row r="165" spans="1:9" x14ac:dyDescent="0.3">
      <c r="A165" s="11"/>
      <c r="B165" s="13"/>
      <c r="C165" s="13"/>
      <c r="D165" s="11"/>
      <c r="E165" s="11"/>
      <c r="F165" s="11"/>
      <c r="G165" s="11"/>
      <c r="H165" s="14" t="str">
        <f>IF(OR(A165="",B165="",C165="",B165&gt;C165),"",MAX(0,NETWORKDAYS.INTL(B165,C165,1,'Non-working days'!$A$6:$A$45)-IF(D165="Half day",0.5,0)-IF(AND(E165="Half day",C165&lt;&gt;B165),0.5,0)))</f>
        <v/>
      </c>
      <c r="I165" s="15" t="str">
        <f>IF(A165="","",IF(COUNTIF(Employees!$A$6:$A$35,A165)=0,"Unknown employee ID",IF(B165&gt;C165,"Check dates",IF(AND(B165=C165,E165="Half day"),"Use First day for a single half day","OK"))))</f>
        <v/>
      </c>
    </row>
    <row r="166" spans="1:9" x14ac:dyDescent="0.3">
      <c r="A166" s="11"/>
      <c r="B166" s="13"/>
      <c r="C166" s="13"/>
      <c r="D166" s="11"/>
      <c r="E166" s="11"/>
      <c r="F166" s="11"/>
      <c r="G166" s="11"/>
      <c r="H166" s="14" t="str">
        <f>IF(OR(A166="",B166="",C166="",B166&gt;C166),"",MAX(0,NETWORKDAYS.INTL(B166,C166,1,'Non-working days'!$A$6:$A$45)-IF(D166="Half day",0.5,0)-IF(AND(E166="Half day",C166&lt;&gt;B166),0.5,0)))</f>
        <v/>
      </c>
      <c r="I166" s="15" t="str">
        <f>IF(A166="","",IF(COUNTIF(Employees!$A$6:$A$35,A166)=0,"Unknown employee ID",IF(B166&gt;C166,"Check dates",IF(AND(B166=C166,E166="Half day"),"Use First day for a single half day","OK"))))</f>
        <v/>
      </c>
    </row>
    <row r="167" spans="1:9" x14ac:dyDescent="0.3">
      <c r="A167" s="11"/>
      <c r="B167" s="13"/>
      <c r="C167" s="13"/>
      <c r="D167" s="11"/>
      <c r="E167" s="11"/>
      <c r="F167" s="11"/>
      <c r="G167" s="11"/>
      <c r="H167" s="14" t="str">
        <f>IF(OR(A167="",B167="",C167="",B167&gt;C167),"",MAX(0,NETWORKDAYS.INTL(B167,C167,1,'Non-working days'!$A$6:$A$45)-IF(D167="Half day",0.5,0)-IF(AND(E167="Half day",C167&lt;&gt;B167),0.5,0)))</f>
        <v/>
      </c>
      <c r="I167" s="15" t="str">
        <f>IF(A167="","",IF(COUNTIF(Employees!$A$6:$A$35,A167)=0,"Unknown employee ID",IF(B167&gt;C167,"Check dates",IF(AND(B167=C167,E167="Half day"),"Use First day for a single half day","OK"))))</f>
        <v/>
      </c>
    </row>
    <row r="168" spans="1:9" x14ac:dyDescent="0.3">
      <c r="A168" s="11"/>
      <c r="B168" s="13"/>
      <c r="C168" s="13"/>
      <c r="D168" s="11"/>
      <c r="E168" s="11"/>
      <c r="F168" s="11"/>
      <c r="G168" s="11"/>
      <c r="H168" s="14" t="str">
        <f>IF(OR(A168="",B168="",C168="",B168&gt;C168),"",MAX(0,NETWORKDAYS.INTL(B168,C168,1,'Non-working days'!$A$6:$A$45)-IF(D168="Half day",0.5,0)-IF(AND(E168="Half day",C168&lt;&gt;B168),0.5,0)))</f>
        <v/>
      </c>
      <c r="I168" s="15" t="str">
        <f>IF(A168="","",IF(COUNTIF(Employees!$A$6:$A$35,A168)=0,"Unknown employee ID",IF(B168&gt;C168,"Check dates",IF(AND(B168=C168,E168="Half day"),"Use First day for a single half day","OK"))))</f>
        <v/>
      </c>
    </row>
    <row r="169" spans="1:9" x14ac:dyDescent="0.3">
      <c r="A169" s="11"/>
      <c r="B169" s="13"/>
      <c r="C169" s="13"/>
      <c r="D169" s="11"/>
      <c r="E169" s="11"/>
      <c r="F169" s="11"/>
      <c r="G169" s="11"/>
      <c r="H169" s="14" t="str">
        <f>IF(OR(A169="",B169="",C169="",B169&gt;C169),"",MAX(0,NETWORKDAYS.INTL(B169,C169,1,'Non-working days'!$A$6:$A$45)-IF(D169="Half day",0.5,0)-IF(AND(E169="Half day",C169&lt;&gt;B169),0.5,0)))</f>
        <v/>
      </c>
      <c r="I169" s="15" t="str">
        <f>IF(A169="","",IF(COUNTIF(Employees!$A$6:$A$35,A169)=0,"Unknown employee ID",IF(B169&gt;C169,"Check dates",IF(AND(B169=C169,E169="Half day"),"Use First day for a single half day","OK"))))</f>
        <v/>
      </c>
    </row>
    <row r="170" spans="1:9" x14ac:dyDescent="0.3">
      <c r="A170" s="11"/>
      <c r="B170" s="13"/>
      <c r="C170" s="13"/>
      <c r="D170" s="11"/>
      <c r="E170" s="11"/>
      <c r="F170" s="11"/>
      <c r="G170" s="11"/>
      <c r="H170" s="14" t="str">
        <f>IF(OR(A170="",B170="",C170="",B170&gt;C170),"",MAX(0,NETWORKDAYS.INTL(B170,C170,1,'Non-working days'!$A$6:$A$45)-IF(D170="Half day",0.5,0)-IF(AND(E170="Half day",C170&lt;&gt;B170),0.5,0)))</f>
        <v/>
      </c>
      <c r="I170" s="15" t="str">
        <f>IF(A170="","",IF(COUNTIF(Employees!$A$6:$A$35,A170)=0,"Unknown employee ID",IF(B170&gt;C170,"Check dates",IF(AND(B170=C170,E170="Half day"),"Use First day for a single half day","OK"))))</f>
        <v/>
      </c>
    </row>
    <row r="171" spans="1:9" x14ac:dyDescent="0.3">
      <c r="A171" s="11"/>
      <c r="B171" s="13"/>
      <c r="C171" s="13"/>
      <c r="D171" s="11"/>
      <c r="E171" s="11"/>
      <c r="F171" s="11"/>
      <c r="G171" s="11"/>
      <c r="H171" s="14" t="str">
        <f>IF(OR(A171="",B171="",C171="",B171&gt;C171),"",MAX(0,NETWORKDAYS.INTL(B171,C171,1,'Non-working days'!$A$6:$A$45)-IF(D171="Half day",0.5,0)-IF(AND(E171="Half day",C171&lt;&gt;B171),0.5,0)))</f>
        <v/>
      </c>
      <c r="I171" s="15" t="str">
        <f>IF(A171="","",IF(COUNTIF(Employees!$A$6:$A$35,A171)=0,"Unknown employee ID",IF(B171&gt;C171,"Check dates",IF(AND(B171=C171,E171="Half day"),"Use First day for a single half day","OK"))))</f>
        <v/>
      </c>
    </row>
    <row r="172" spans="1:9" x14ac:dyDescent="0.3">
      <c r="A172" s="11"/>
      <c r="B172" s="13"/>
      <c r="C172" s="13"/>
      <c r="D172" s="11"/>
      <c r="E172" s="11"/>
      <c r="F172" s="11"/>
      <c r="G172" s="11"/>
      <c r="H172" s="14" t="str">
        <f>IF(OR(A172="",B172="",C172="",B172&gt;C172),"",MAX(0,NETWORKDAYS.INTL(B172,C172,1,'Non-working days'!$A$6:$A$45)-IF(D172="Half day",0.5,0)-IF(AND(E172="Half day",C172&lt;&gt;B172),0.5,0)))</f>
        <v/>
      </c>
      <c r="I172" s="15" t="str">
        <f>IF(A172="","",IF(COUNTIF(Employees!$A$6:$A$35,A172)=0,"Unknown employee ID",IF(B172&gt;C172,"Check dates",IF(AND(B172=C172,E172="Half day"),"Use First day for a single half day","OK"))))</f>
        <v/>
      </c>
    </row>
    <row r="173" spans="1:9" x14ac:dyDescent="0.3">
      <c r="A173" s="11"/>
      <c r="B173" s="13"/>
      <c r="C173" s="13"/>
      <c r="D173" s="11"/>
      <c r="E173" s="11"/>
      <c r="F173" s="11"/>
      <c r="G173" s="11"/>
      <c r="H173" s="14" t="str">
        <f>IF(OR(A173="",B173="",C173="",B173&gt;C173),"",MAX(0,NETWORKDAYS.INTL(B173,C173,1,'Non-working days'!$A$6:$A$45)-IF(D173="Half day",0.5,0)-IF(AND(E173="Half day",C173&lt;&gt;B173),0.5,0)))</f>
        <v/>
      </c>
      <c r="I173" s="15" t="str">
        <f>IF(A173="","",IF(COUNTIF(Employees!$A$6:$A$35,A173)=0,"Unknown employee ID",IF(B173&gt;C173,"Check dates",IF(AND(B173=C173,E173="Half day"),"Use First day for a single half day","OK"))))</f>
        <v/>
      </c>
    </row>
    <row r="174" spans="1:9" x14ac:dyDescent="0.3">
      <c r="A174" s="11"/>
      <c r="B174" s="13"/>
      <c r="C174" s="13"/>
      <c r="D174" s="11"/>
      <c r="E174" s="11"/>
      <c r="F174" s="11"/>
      <c r="G174" s="11"/>
      <c r="H174" s="14" t="str">
        <f>IF(OR(A174="",B174="",C174="",B174&gt;C174),"",MAX(0,NETWORKDAYS.INTL(B174,C174,1,'Non-working days'!$A$6:$A$45)-IF(D174="Half day",0.5,0)-IF(AND(E174="Half day",C174&lt;&gt;B174),0.5,0)))</f>
        <v/>
      </c>
      <c r="I174" s="15" t="str">
        <f>IF(A174="","",IF(COUNTIF(Employees!$A$6:$A$35,A174)=0,"Unknown employee ID",IF(B174&gt;C174,"Check dates",IF(AND(B174=C174,E174="Half day"),"Use First day for a single half day","OK"))))</f>
        <v/>
      </c>
    </row>
    <row r="175" spans="1:9" x14ac:dyDescent="0.3">
      <c r="A175" s="11"/>
      <c r="B175" s="13"/>
      <c r="C175" s="13"/>
      <c r="D175" s="11"/>
      <c r="E175" s="11"/>
      <c r="F175" s="11"/>
      <c r="G175" s="11"/>
      <c r="H175" s="14" t="str">
        <f>IF(OR(A175="",B175="",C175="",B175&gt;C175),"",MAX(0,NETWORKDAYS.INTL(B175,C175,1,'Non-working days'!$A$6:$A$45)-IF(D175="Half day",0.5,0)-IF(AND(E175="Half day",C175&lt;&gt;B175),0.5,0)))</f>
        <v/>
      </c>
      <c r="I175" s="15" t="str">
        <f>IF(A175="","",IF(COUNTIF(Employees!$A$6:$A$35,A175)=0,"Unknown employee ID",IF(B175&gt;C175,"Check dates",IF(AND(B175=C175,E175="Half day"),"Use First day for a single half day","OK"))))</f>
        <v/>
      </c>
    </row>
    <row r="176" spans="1:9" x14ac:dyDescent="0.3">
      <c r="A176" s="11"/>
      <c r="B176" s="13"/>
      <c r="C176" s="13"/>
      <c r="D176" s="11"/>
      <c r="E176" s="11"/>
      <c r="F176" s="11"/>
      <c r="G176" s="11"/>
      <c r="H176" s="14" t="str">
        <f>IF(OR(A176="",B176="",C176="",B176&gt;C176),"",MAX(0,NETWORKDAYS.INTL(B176,C176,1,'Non-working days'!$A$6:$A$45)-IF(D176="Half day",0.5,0)-IF(AND(E176="Half day",C176&lt;&gt;B176),0.5,0)))</f>
        <v/>
      </c>
      <c r="I176" s="15" t="str">
        <f>IF(A176="","",IF(COUNTIF(Employees!$A$6:$A$35,A176)=0,"Unknown employee ID",IF(B176&gt;C176,"Check dates",IF(AND(B176=C176,E176="Half day"),"Use First day for a single half day","OK"))))</f>
        <v/>
      </c>
    </row>
    <row r="177" spans="1:9" x14ac:dyDescent="0.3">
      <c r="A177" s="11"/>
      <c r="B177" s="13"/>
      <c r="C177" s="13"/>
      <c r="D177" s="11"/>
      <c r="E177" s="11"/>
      <c r="F177" s="11"/>
      <c r="G177" s="11"/>
      <c r="H177" s="14" t="str">
        <f>IF(OR(A177="",B177="",C177="",B177&gt;C177),"",MAX(0,NETWORKDAYS.INTL(B177,C177,1,'Non-working days'!$A$6:$A$45)-IF(D177="Half day",0.5,0)-IF(AND(E177="Half day",C177&lt;&gt;B177),0.5,0)))</f>
        <v/>
      </c>
      <c r="I177" s="15" t="str">
        <f>IF(A177="","",IF(COUNTIF(Employees!$A$6:$A$35,A177)=0,"Unknown employee ID",IF(B177&gt;C177,"Check dates",IF(AND(B177=C177,E177="Half day"),"Use First day for a single half day","OK"))))</f>
        <v/>
      </c>
    </row>
    <row r="178" spans="1:9" x14ac:dyDescent="0.3">
      <c r="A178" s="11"/>
      <c r="B178" s="13"/>
      <c r="C178" s="13"/>
      <c r="D178" s="11"/>
      <c r="E178" s="11"/>
      <c r="F178" s="11"/>
      <c r="G178" s="11"/>
      <c r="H178" s="14" t="str">
        <f>IF(OR(A178="",B178="",C178="",B178&gt;C178),"",MAX(0,NETWORKDAYS.INTL(B178,C178,1,'Non-working days'!$A$6:$A$45)-IF(D178="Half day",0.5,0)-IF(AND(E178="Half day",C178&lt;&gt;B178),0.5,0)))</f>
        <v/>
      </c>
      <c r="I178" s="15" t="str">
        <f>IF(A178="","",IF(COUNTIF(Employees!$A$6:$A$35,A178)=0,"Unknown employee ID",IF(B178&gt;C178,"Check dates",IF(AND(B178=C178,E178="Half day"),"Use First day for a single half day","OK"))))</f>
        <v/>
      </c>
    </row>
    <row r="179" spans="1:9" x14ac:dyDescent="0.3">
      <c r="A179" s="11"/>
      <c r="B179" s="13"/>
      <c r="C179" s="13"/>
      <c r="D179" s="11"/>
      <c r="E179" s="11"/>
      <c r="F179" s="11"/>
      <c r="G179" s="11"/>
      <c r="H179" s="14" t="str">
        <f>IF(OR(A179="",B179="",C179="",B179&gt;C179),"",MAX(0,NETWORKDAYS.INTL(B179,C179,1,'Non-working days'!$A$6:$A$45)-IF(D179="Half day",0.5,0)-IF(AND(E179="Half day",C179&lt;&gt;B179),0.5,0)))</f>
        <v/>
      </c>
      <c r="I179" s="15" t="str">
        <f>IF(A179="","",IF(COUNTIF(Employees!$A$6:$A$35,A179)=0,"Unknown employee ID",IF(B179&gt;C179,"Check dates",IF(AND(B179=C179,E179="Half day"),"Use First day for a single half day","OK"))))</f>
        <v/>
      </c>
    </row>
    <row r="180" spans="1:9" x14ac:dyDescent="0.3">
      <c r="A180" s="11"/>
      <c r="B180" s="13"/>
      <c r="C180" s="13"/>
      <c r="D180" s="11"/>
      <c r="E180" s="11"/>
      <c r="F180" s="11"/>
      <c r="G180" s="11"/>
      <c r="H180" s="14" t="str">
        <f>IF(OR(A180="",B180="",C180="",B180&gt;C180),"",MAX(0,NETWORKDAYS.INTL(B180,C180,1,'Non-working days'!$A$6:$A$45)-IF(D180="Half day",0.5,0)-IF(AND(E180="Half day",C180&lt;&gt;B180),0.5,0)))</f>
        <v/>
      </c>
      <c r="I180" s="15" t="str">
        <f>IF(A180="","",IF(COUNTIF(Employees!$A$6:$A$35,A180)=0,"Unknown employee ID",IF(B180&gt;C180,"Check dates",IF(AND(B180=C180,E180="Half day"),"Use First day for a single half day","OK"))))</f>
        <v/>
      </c>
    </row>
    <row r="181" spans="1:9" x14ac:dyDescent="0.3">
      <c r="A181" s="11"/>
      <c r="B181" s="13"/>
      <c r="C181" s="13"/>
      <c r="D181" s="11"/>
      <c r="E181" s="11"/>
      <c r="F181" s="11"/>
      <c r="G181" s="11"/>
      <c r="H181" s="14" t="str">
        <f>IF(OR(A181="",B181="",C181="",B181&gt;C181),"",MAX(0,NETWORKDAYS.INTL(B181,C181,1,'Non-working days'!$A$6:$A$45)-IF(D181="Half day",0.5,0)-IF(AND(E181="Half day",C181&lt;&gt;B181),0.5,0)))</f>
        <v/>
      </c>
      <c r="I181" s="15" t="str">
        <f>IF(A181="","",IF(COUNTIF(Employees!$A$6:$A$35,A181)=0,"Unknown employee ID",IF(B181&gt;C181,"Check dates",IF(AND(B181=C181,E181="Half day"),"Use First day for a single half day","OK"))))</f>
        <v/>
      </c>
    </row>
    <row r="182" spans="1:9" x14ac:dyDescent="0.3">
      <c r="A182" s="11"/>
      <c r="B182" s="13"/>
      <c r="C182" s="13"/>
      <c r="D182" s="11"/>
      <c r="E182" s="11"/>
      <c r="F182" s="11"/>
      <c r="G182" s="11"/>
      <c r="H182" s="14" t="str">
        <f>IF(OR(A182="",B182="",C182="",B182&gt;C182),"",MAX(0,NETWORKDAYS.INTL(B182,C182,1,'Non-working days'!$A$6:$A$45)-IF(D182="Half day",0.5,0)-IF(AND(E182="Half day",C182&lt;&gt;B182),0.5,0)))</f>
        <v/>
      </c>
      <c r="I182" s="15" t="str">
        <f>IF(A182="","",IF(COUNTIF(Employees!$A$6:$A$35,A182)=0,"Unknown employee ID",IF(B182&gt;C182,"Check dates",IF(AND(B182=C182,E182="Half day"),"Use First day for a single half day","OK"))))</f>
        <v/>
      </c>
    </row>
    <row r="183" spans="1:9" x14ac:dyDescent="0.3">
      <c r="A183" s="11"/>
      <c r="B183" s="13"/>
      <c r="C183" s="13"/>
      <c r="D183" s="11"/>
      <c r="E183" s="11"/>
      <c r="F183" s="11"/>
      <c r="G183" s="11"/>
      <c r="H183" s="14" t="str">
        <f>IF(OR(A183="",B183="",C183="",B183&gt;C183),"",MAX(0,NETWORKDAYS.INTL(B183,C183,1,'Non-working days'!$A$6:$A$45)-IF(D183="Half day",0.5,0)-IF(AND(E183="Half day",C183&lt;&gt;B183),0.5,0)))</f>
        <v/>
      </c>
      <c r="I183" s="15" t="str">
        <f>IF(A183="","",IF(COUNTIF(Employees!$A$6:$A$35,A183)=0,"Unknown employee ID",IF(B183&gt;C183,"Check dates",IF(AND(B183=C183,E183="Half day"),"Use First day for a single half day","OK"))))</f>
        <v/>
      </c>
    </row>
    <row r="184" spans="1:9" x14ac:dyDescent="0.3">
      <c r="A184" s="11"/>
      <c r="B184" s="13"/>
      <c r="C184" s="13"/>
      <c r="D184" s="11"/>
      <c r="E184" s="11"/>
      <c r="F184" s="11"/>
      <c r="G184" s="11"/>
      <c r="H184" s="14" t="str">
        <f>IF(OR(A184="",B184="",C184="",B184&gt;C184),"",MAX(0,NETWORKDAYS.INTL(B184,C184,1,'Non-working days'!$A$6:$A$45)-IF(D184="Half day",0.5,0)-IF(AND(E184="Half day",C184&lt;&gt;B184),0.5,0)))</f>
        <v/>
      </c>
      <c r="I184" s="15" t="str">
        <f>IF(A184="","",IF(COUNTIF(Employees!$A$6:$A$35,A184)=0,"Unknown employee ID",IF(B184&gt;C184,"Check dates",IF(AND(B184=C184,E184="Half day"),"Use First day for a single half day","OK"))))</f>
        <v/>
      </c>
    </row>
    <row r="185" spans="1:9" x14ac:dyDescent="0.3">
      <c r="A185" s="11"/>
      <c r="B185" s="13"/>
      <c r="C185" s="13"/>
      <c r="D185" s="11"/>
      <c r="E185" s="11"/>
      <c r="F185" s="11"/>
      <c r="G185" s="11"/>
      <c r="H185" s="14" t="str">
        <f>IF(OR(A185="",B185="",C185="",B185&gt;C185),"",MAX(0,NETWORKDAYS.INTL(B185,C185,1,'Non-working days'!$A$6:$A$45)-IF(D185="Half day",0.5,0)-IF(AND(E185="Half day",C185&lt;&gt;B185),0.5,0)))</f>
        <v/>
      </c>
      <c r="I185" s="15" t="str">
        <f>IF(A185="","",IF(COUNTIF(Employees!$A$6:$A$35,A185)=0,"Unknown employee ID",IF(B185&gt;C185,"Check dates",IF(AND(B185=C185,E185="Half day"),"Use First day for a single half day","OK"))))</f>
        <v/>
      </c>
    </row>
    <row r="186" spans="1:9" x14ac:dyDescent="0.3">
      <c r="A186" s="11"/>
      <c r="B186" s="13"/>
      <c r="C186" s="13"/>
      <c r="D186" s="11"/>
      <c r="E186" s="11"/>
      <c r="F186" s="11"/>
      <c r="G186" s="11"/>
      <c r="H186" s="14" t="str">
        <f>IF(OR(A186="",B186="",C186="",B186&gt;C186),"",MAX(0,NETWORKDAYS.INTL(B186,C186,1,'Non-working days'!$A$6:$A$45)-IF(D186="Half day",0.5,0)-IF(AND(E186="Half day",C186&lt;&gt;B186),0.5,0)))</f>
        <v/>
      </c>
      <c r="I186" s="15" t="str">
        <f>IF(A186="","",IF(COUNTIF(Employees!$A$6:$A$35,A186)=0,"Unknown employee ID",IF(B186&gt;C186,"Check dates",IF(AND(B186=C186,E186="Half day"),"Use First day for a single half day","OK"))))</f>
        <v/>
      </c>
    </row>
    <row r="187" spans="1:9" x14ac:dyDescent="0.3">
      <c r="A187" s="11"/>
      <c r="B187" s="13"/>
      <c r="C187" s="13"/>
      <c r="D187" s="11"/>
      <c r="E187" s="11"/>
      <c r="F187" s="11"/>
      <c r="G187" s="11"/>
      <c r="H187" s="14" t="str">
        <f>IF(OR(A187="",B187="",C187="",B187&gt;C187),"",MAX(0,NETWORKDAYS.INTL(B187,C187,1,'Non-working days'!$A$6:$A$45)-IF(D187="Half day",0.5,0)-IF(AND(E187="Half day",C187&lt;&gt;B187),0.5,0)))</f>
        <v/>
      </c>
      <c r="I187" s="15" t="str">
        <f>IF(A187="","",IF(COUNTIF(Employees!$A$6:$A$35,A187)=0,"Unknown employee ID",IF(B187&gt;C187,"Check dates",IF(AND(B187=C187,E187="Half day"),"Use First day for a single half day","OK"))))</f>
        <v/>
      </c>
    </row>
    <row r="188" spans="1:9" x14ac:dyDescent="0.3">
      <c r="A188" s="11"/>
      <c r="B188" s="13"/>
      <c r="C188" s="13"/>
      <c r="D188" s="11"/>
      <c r="E188" s="11"/>
      <c r="F188" s="11"/>
      <c r="G188" s="11"/>
      <c r="H188" s="14" t="str">
        <f>IF(OR(A188="",B188="",C188="",B188&gt;C188),"",MAX(0,NETWORKDAYS.INTL(B188,C188,1,'Non-working days'!$A$6:$A$45)-IF(D188="Half day",0.5,0)-IF(AND(E188="Half day",C188&lt;&gt;B188),0.5,0)))</f>
        <v/>
      </c>
      <c r="I188" s="15" t="str">
        <f>IF(A188="","",IF(COUNTIF(Employees!$A$6:$A$35,A188)=0,"Unknown employee ID",IF(B188&gt;C188,"Check dates",IF(AND(B188=C188,E188="Half day"),"Use First day for a single half day","OK"))))</f>
        <v/>
      </c>
    </row>
    <row r="189" spans="1:9" x14ac:dyDescent="0.3">
      <c r="A189" s="11"/>
      <c r="B189" s="13"/>
      <c r="C189" s="13"/>
      <c r="D189" s="11"/>
      <c r="E189" s="11"/>
      <c r="F189" s="11"/>
      <c r="G189" s="11"/>
      <c r="H189" s="14" t="str">
        <f>IF(OR(A189="",B189="",C189="",B189&gt;C189),"",MAX(0,NETWORKDAYS.INTL(B189,C189,1,'Non-working days'!$A$6:$A$45)-IF(D189="Half day",0.5,0)-IF(AND(E189="Half day",C189&lt;&gt;B189),0.5,0)))</f>
        <v/>
      </c>
      <c r="I189" s="15" t="str">
        <f>IF(A189="","",IF(COUNTIF(Employees!$A$6:$A$35,A189)=0,"Unknown employee ID",IF(B189&gt;C189,"Check dates",IF(AND(B189=C189,E189="Half day"),"Use First day for a single half day","OK"))))</f>
        <v/>
      </c>
    </row>
    <row r="190" spans="1:9" x14ac:dyDescent="0.3">
      <c r="A190" s="11"/>
      <c r="B190" s="13"/>
      <c r="C190" s="13"/>
      <c r="D190" s="11"/>
      <c r="E190" s="11"/>
      <c r="F190" s="11"/>
      <c r="G190" s="11"/>
      <c r="H190" s="14" t="str">
        <f>IF(OR(A190="",B190="",C190="",B190&gt;C190),"",MAX(0,NETWORKDAYS.INTL(B190,C190,1,'Non-working days'!$A$6:$A$45)-IF(D190="Half day",0.5,0)-IF(AND(E190="Half day",C190&lt;&gt;B190),0.5,0)))</f>
        <v/>
      </c>
      <c r="I190" s="15" t="str">
        <f>IF(A190="","",IF(COUNTIF(Employees!$A$6:$A$35,A190)=0,"Unknown employee ID",IF(B190&gt;C190,"Check dates",IF(AND(B190=C190,E190="Half day"),"Use First day for a single half day","OK"))))</f>
        <v/>
      </c>
    </row>
    <row r="191" spans="1:9" x14ac:dyDescent="0.3">
      <c r="A191" s="11"/>
      <c r="B191" s="13"/>
      <c r="C191" s="13"/>
      <c r="D191" s="11"/>
      <c r="E191" s="11"/>
      <c r="F191" s="11"/>
      <c r="G191" s="11"/>
      <c r="H191" s="14" t="str">
        <f>IF(OR(A191="",B191="",C191="",B191&gt;C191),"",MAX(0,NETWORKDAYS.INTL(B191,C191,1,'Non-working days'!$A$6:$A$45)-IF(D191="Half day",0.5,0)-IF(AND(E191="Half day",C191&lt;&gt;B191),0.5,0)))</f>
        <v/>
      </c>
      <c r="I191" s="15" t="str">
        <f>IF(A191="","",IF(COUNTIF(Employees!$A$6:$A$35,A191)=0,"Unknown employee ID",IF(B191&gt;C191,"Check dates",IF(AND(B191=C191,E191="Half day"),"Use First day for a single half day","OK"))))</f>
        <v/>
      </c>
    </row>
    <row r="192" spans="1:9" x14ac:dyDescent="0.3">
      <c r="A192" s="11"/>
      <c r="B192" s="13"/>
      <c r="C192" s="13"/>
      <c r="D192" s="11"/>
      <c r="E192" s="11"/>
      <c r="F192" s="11"/>
      <c r="G192" s="11"/>
      <c r="H192" s="14" t="str">
        <f>IF(OR(A192="",B192="",C192="",B192&gt;C192),"",MAX(0,NETWORKDAYS.INTL(B192,C192,1,'Non-working days'!$A$6:$A$45)-IF(D192="Half day",0.5,0)-IF(AND(E192="Half day",C192&lt;&gt;B192),0.5,0)))</f>
        <v/>
      </c>
      <c r="I192" s="15" t="str">
        <f>IF(A192="","",IF(COUNTIF(Employees!$A$6:$A$35,A192)=0,"Unknown employee ID",IF(B192&gt;C192,"Check dates",IF(AND(B192=C192,E192="Half day"),"Use First day for a single half day","OK"))))</f>
        <v/>
      </c>
    </row>
    <row r="193" spans="1:9" x14ac:dyDescent="0.3">
      <c r="A193" s="11"/>
      <c r="B193" s="13"/>
      <c r="C193" s="13"/>
      <c r="D193" s="11"/>
      <c r="E193" s="11"/>
      <c r="F193" s="11"/>
      <c r="G193" s="11"/>
      <c r="H193" s="14" t="str">
        <f>IF(OR(A193="",B193="",C193="",B193&gt;C193),"",MAX(0,NETWORKDAYS.INTL(B193,C193,1,'Non-working days'!$A$6:$A$45)-IF(D193="Half day",0.5,0)-IF(AND(E193="Half day",C193&lt;&gt;B193),0.5,0)))</f>
        <v/>
      </c>
      <c r="I193" s="15" t="str">
        <f>IF(A193="","",IF(COUNTIF(Employees!$A$6:$A$35,A193)=0,"Unknown employee ID",IF(B193&gt;C193,"Check dates",IF(AND(B193=C193,E193="Half day"),"Use First day for a single half day","OK"))))</f>
        <v/>
      </c>
    </row>
    <row r="194" spans="1:9" x14ac:dyDescent="0.3">
      <c r="A194" s="11"/>
      <c r="B194" s="13"/>
      <c r="C194" s="13"/>
      <c r="D194" s="11"/>
      <c r="E194" s="11"/>
      <c r="F194" s="11"/>
      <c r="G194" s="11"/>
      <c r="H194" s="14" t="str">
        <f>IF(OR(A194="",B194="",C194="",B194&gt;C194),"",MAX(0,NETWORKDAYS.INTL(B194,C194,1,'Non-working days'!$A$6:$A$45)-IF(D194="Half day",0.5,0)-IF(AND(E194="Half day",C194&lt;&gt;B194),0.5,0)))</f>
        <v/>
      </c>
      <c r="I194" s="15" t="str">
        <f>IF(A194="","",IF(COUNTIF(Employees!$A$6:$A$35,A194)=0,"Unknown employee ID",IF(B194&gt;C194,"Check dates",IF(AND(B194=C194,E194="Half day"),"Use First day for a single half day","OK"))))</f>
        <v/>
      </c>
    </row>
    <row r="195" spans="1:9" x14ac:dyDescent="0.3">
      <c r="A195" s="11"/>
      <c r="B195" s="13"/>
      <c r="C195" s="13"/>
      <c r="D195" s="11"/>
      <c r="E195" s="11"/>
      <c r="F195" s="11"/>
      <c r="G195" s="11"/>
      <c r="H195" s="14" t="str">
        <f>IF(OR(A195="",B195="",C195="",B195&gt;C195),"",MAX(0,NETWORKDAYS.INTL(B195,C195,1,'Non-working days'!$A$6:$A$45)-IF(D195="Half day",0.5,0)-IF(AND(E195="Half day",C195&lt;&gt;B195),0.5,0)))</f>
        <v/>
      </c>
      <c r="I195" s="15" t="str">
        <f>IF(A195="","",IF(COUNTIF(Employees!$A$6:$A$35,A195)=0,"Unknown employee ID",IF(B195&gt;C195,"Check dates",IF(AND(B195=C195,E195="Half day"),"Use First day for a single half day","OK"))))</f>
        <v/>
      </c>
    </row>
    <row r="196" spans="1:9" x14ac:dyDescent="0.3">
      <c r="A196" s="11"/>
      <c r="B196" s="13"/>
      <c r="C196" s="13"/>
      <c r="D196" s="11"/>
      <c r="E196" s="11"/>
      <c r="F196" s="11"/>
      <c r="G196" s="11"/>
      <c r="H196" s="14" t="str">
        <f>IF(OR(A196="",B196="",C196="",B196&gt;C196),"",MAX(0,NETWORKDAYS.INTL(B196,C196,1,'Non-working days'!$A$6:$A$45)-IF(D196="Half day",0.5,0)-IF(AND(E196="Half day",C196&lt;&gt;B196),0.5,0)))</f>
        <v/>
      </c>
      <c r="I196" s="15" t="str">
        <f>IF(A196="","",IF(COUNTIF(Employees!$A$6:$A$35,A196)=0,"Unknown employee ID",IF(B196&gt;C196,"Check dates",IF(AND(B196=C196,E196="Half day"),"Use First day for a single half day","OK"))))</f>
        <v/>
      </c>
    </row>
    <row r="197" spans="1:9" x14ac:dyDescent="0.3">
      <c r="A197" s="11"/>
      <c r="B197" s="13"/>
      <c r="C197" s="13"/>
      <c r="D197" s="11"/>
      <c r="E197" s="11"/>
      <c r="F197" s="11"/>
      <c r="G197" s="11"/>
      <c r="H197" s="14" t="str">
        <f>IF(OR(A197="",B197="",C197="",B197&gt;C197),"",MAX(0,NETWORKDAYS.INTL(B197,C197,1,'Non-working days'!$A$6:$A$45)-IF(D197="Half day",0.5,0)-IF(AND(E197="Half day",C197&lt;&gt;B197),0.5,0)))</f>
        <v/>
      </c>
      <c r="I197" s="15" t="str">
        <f>IF(A197="","",IF(COUNTIF(Employees!$A$6:$A$35,A197)=0,"Unknown employee ID",IF(B197&gt;C197,"Check dates",IF(AND(B197=C197,E197="Half day"),"Use First day for a single half day","OK"))))</f>
        <v/>
      </c>
    </row>
    <row r="198" spans="1:9" x14ac:dyDescent="0.3">
      <c r="A198" s="11"/>
      <c r="B198" s="13"/>
      <c r="C198" s="13"/>
      <c r="D198" s="11"/>
      <c r="E198" s="11"/>
      <c r="F198" s="11"/>
      <c r="G198" s="11"/>
      <c r="H198" s="14" t="str">
        <f>IF(OR(A198="",B198="",C198="",B198&gt;C198),"",MAX(0,NETWORKDAYS.INTL(B198,C198,1,'Non-working days'!$A$6:$A$45)-IF(D198="Half day",0.5,0)-IF(AND(E198="Half day",C198&lt;&gt;B198),0.5,0)))</f>
        <v/>
      </c>
      <c r="I198" s="15" t="str">
        <f>IF(A198="","",IF(COUNTIF(Employees!$A$6:$A$35,A198)=0,"Unknown employee ID",IF(B198&gt;C198,"Check dates",IF(AND(B198=C198,E198="Half day"),"Use First day for a single half day","OK"))))</f>
        <v/>
      </c>
    </row>
    <row r="199" spans="1:9" x14ac:dyDescent="0.3">
      <c r="A199" s="11"/>
      <c r="B199" s="13"/>
      <c r="C199" s="13"/>
      <c r="D199" s="11"/>
      <c r="E199" s="11"/>
      <c r="F199" s="11"/>
      <c r="G199" s="11"/>
      <c r="H199" s="14" t="str">
        <f>IF(OR(A199="",B199="",C199="",B199&gt;C199),"",MAX(0,NETWORKDAYS.INTL(B199,C199,1,'Non-working days'!$A$6:$A$45)-IF(D199="Half day",0.5,0)-IF(AND(E199="Half day",C199&lt;&gt;B199),0.5,0)))</f>
        <v/>
      </c>
      <c r="I199" s="15" t="str">
        <f>IF(A199="","",IF(COUNTIF(Employees!$A$6:$A$35,A199)=0,"Unknown employee ID",IF(B199&gt;C199,"Check dates",IF(AND(B199=C199,E199="Half day"),"Use First day for a single half day","OK"))))</f>
        <v/>
      </c>
    </row>
    <row r="200" spans="1:9" x14ac:dyDescent="0.3">
      <c r="A200" s="11"/>
      <c r="B200" s="13"/>
      <c r="C200" s="13"/>
      <c r="D200" s="11"/>
      <c r="E200" s="11"/>
      <c r="F200" s="11"/>
      <c r="G200" s="11"/>
      <c r="H200" s="14" t="str">
        <f>IF(OR(A200="",B200="",C200="",B200&gt;C200),"",MAX(0,NETWORKDAYS.INTL(B200,C200,1,'Non-working days'!$A$6:$A$45)-IF(D200="Half day",0.5,0)-IF(AND(E200="Half day",C200&lt;&gt;B200),0.5,0)))</f>
        <v/>
      </c>
      <c r="I200" s="15" t="str">
        <f>IF(A200="","",IF(COUNTIF(Employees!$A$6:$A$35,A200)=0,"Unknown employee ID",IF(B200&gt;C200,"Check dates",IF(AND(B200=C200,E200="Half day"),"Use First day for a single half day","OK"))))</f>
        <v/>
      </c>
    </row>
    <row r="201" spans="1:9" x14ac:dyDescent="0.3">
      <c r="A201" s="11"/>
      <c r="B201" s="13"/>
      <c r="C201" s="13"/>
      <c r="D201" s="11"/>
      <c r="E201" s="11"/>
      <c r="F201" s="11"/>
      <c r="G201" s="11"/>
      <c r="H201" s="14" t="str">
        <f>IF(OR(A201="",B201="",C201="",B201&gt;C201),"",MAX(0,NETWORKDAYS.INTL(B201,C201,1,'Non-working days'!$A$6:$A$45)-IF(D201="Half day",0.5,0)-IF(AND(E201="Half day",C201&lt;&gt;B201),0.5,0)))</f>
        <v/>
      </c>
      <c r="I201" s="15" t="str">
        <f>IF(A201="","",IF(COUNTIF(Employees!$A$6:$A$35,A201)=0,"Unknown employee ID",IF(B201&gt;C201,"Check dates",IF(AND(B201=C201,E201="Half day"),"Use First day for a single half day","OK"))))</f>
        <v/>
      </c>
    </row>
    <row r="202" spans="1:9" x14ac:dyDescent="0.3">
      <c r="A202" s="11"/>
      <c r="B202" s="13"/>
      <c r="C202" s="13"/>
      <c r="D202" s="11"/>
      <c r="E202" s="11"/>
      <c r="F202" s="11"/>
      <c r="G202" s="11"/>
      <c r="H202" s="14" t="str">
        <f>IF(OR(A202="",B202="",C202="",B202&gt;C202),"",MAX(0,NETWORKDAYS.INTL(B202,C202,1,'Non-working days'!$A$6:$A$45)-IF(D202="Half day",0.5,0)-IF(AND(E202="Half day",C202&lt;&gt;B202),0.5,0)))</f>
        <v/>
      </c>
      <c r="I202" s="15" t="str">
        <f>IF(A202="","",IF(COUNTIF(Employees!$A$6:$A$35,A202)=0,"Unknown employee ID",IF(B202&gt;C202,"Check dates",IF(AND(B202=C202,E202="Half day"),"Use First day for a single half day","OK"))))</f>
        <v/>
      </c>
    </row>
    <row r="203" spans="1:9" x14ac:dyDescent="0.3">
      <c r="A203" s="11"/>
      <c r="B203" s="13"/>
      <c r="C203" s="13"/>
      <c r="D203" s="11"/>
      <c r="E203" s="11"/>
      <c r="F203" s="11"/>
      <c r="G203" s="11"/>
      <c r="H203" s="14" t="str">
        <f>IF(OR(A203="",B203="",C203="",B203&gt;C203),"",MAX(0,NETWORKDAYS.INTL(B203,C203,1,'Non-working days'!$A$6:$A$45)-IF(D203="Half day",0.5,0)-IF(AND(E203="Half day",C203&lt;&gt;B203),0.5,0)))</f>
        <v/>
      </c>
      <c r="I203" s="15" t="str">
        <f>IF(A203="","",IF(COUNTIF(Employees!$A$6:$A$35,A203)=0,"Unknown employee ID",IF(B203&gt;C203,"Check dates",IF(AND(B203=C203,E203="Half day"),"Use First day for a single half day","OK"))))</f>
        <v/>
      </c>
    </row>
    <row r="204" spans="1:9" x14ac:dyDescent="0.3">
      <c r="A204" s="11"/>
      <c r="B204" s="13"/>
      <c r="C204" s="13"/>
      <c r="D204" s="11"/>
      <c r="E204" s="11"/>
      <c r="F204" s="11"/>
      <c r="G204" s="11"/>
      <c r="H204" s="14" t="str">
        <f>IF(OR(A204="",B204="",C204="",B204&gt;C204),"",MAX(0,NETWORKDAYS.INTL(B204,C204,1,'Non-working days'!$A$6:$A$45)-IF(D204="Half day",0.5,0)-IF(AND(E204="Half day",C204&lt;&gt;B204),0.5,0)))</f>
        <v/>
      </c>
      <c r="I204" s="15" t="str">
        <f>IF(A204="","",IF(COUNTIF(Employees!$A$6:$A$35,A204)=0,"Unknown employee ID",IF(B204&gt;C204,"Check dates",IF(AND(B204=C204,E204="Half day"),"Use First day for a single half day","OK"))))</f>
        <v/>
      </c>
    </row>
    <row r="205" spans="1:9" x14ac:dyDescent="0.3">
      <c r="A205" s="11"/>
      <c r="B205" s="13"/>
      <c r="C205" s="13"/>
      <c r="D205" s="11"/>
      <c r="E205" s="11"/>
      <c r="F205" s="11"/>
      <c r="G205" s="11"/>
      <c r="H205" s="14" t="str">
        <f>IF(OR(A205="",B205="",C205="",B205&gt;C205),"",MAX(0,NETWORKDAYS.INTL(B205,C205,1,'Non-working days'!$A$6:$A$45)-IF(D205="Half day",0.5,0)-IF(AND(E205="Half day",C205&lt;&gt;B205),0.5,0)))</f>
        <v/>
      </c>
      <c r="I205" s="15" t="str">
        <f>IF(A205="","",IF(COUNTIF(Employees!$A$6:$A$35,A205)=0,"Unknown employee ID",IF(B205&gt;C205,"Check dates",IF(AND(B205=C205,E205="Half day"),"Use First day for a single half day","OK"))))</f>
        <v/>
      </c>
    </row>
    <row r="206" spans="1:9" x14ac:dyDescent="0.3">
      <c r="A206" s="11"/>
      <c r="B206" s="13"/>
      <c r="C206" s="13"/>
      <c r="D206" s="11"/>
      <c r="E206" s="11"/>
      <c r="F206" s="11"/>
      <c r="G206" s="11"/>
      <c r="H206" s="14" t="str">
        <f>IF(OR(A206="",B206="",C206="",B206&gt;C206),"",MAX(0,NETWORKDAYS.INTL(B206,C206,1,'Non-working days'!$A$6:$A$45)-IF(D206="Half day",0.5,0)-IF(AND(E206="Half day",C206&lt;&gt;B206),0.5,0)))</f>
        <v/>
      </c>
      <c r="I206" s="15" t="str">
        <f>IF(A206="","",IF(COUNTIF(Employees!$A$6:$A$35,A206)=0,"Unknown employee ID",IF(B206&gt;C206,"Check dates",IF(AND(B206=C206,E206="Half day"),"Use First day for a single half day","OK"))))</f>
        <v/>
      </c>
    </row>
    <row r="207" spans="1:9" x14ac:dyDescent="0.3">
      <c r="A207" s="11"/>
      <c r="B207" s="13"/>
      <c r="C207" s="13"/>
      <c r="D207" s="11"/>
      <c r="E207" s="11"/>
      <c r="F207" s="11"/>
      <c r="G207" s="11"/>
      <c r="H207" s="14" t="str">
        <f>IF(OR(A207="",B207="",C207="",B207&gt;C207),"",MAX(0,NETWORKDAYS.INTL(B207,C207,1,'Non-working days'!$A$6:$A$45)-IF(D207="Half day",0.5,0)-IF(AND(E207="Half day",C207&lt;&gt;B207),0.5,0)))</f>
        <v/>
      </c>
      <c r="I207" s="15" t="str">
        <f>IF(A207="","",IF(COUNTIF(Employees!$A$6:$A$35,A207)=0,"Unknown employee ID",IF(B207&gt;C207,"Check dates",IF(AND(B207=C207,E207="Half day"),"Use First day for a single half day","OK"))))</f>
        <v/>
      </c>
    </row>
    <row r="208" spans="1:9" x14ac:dyDescent="0.3">
      <c r="A208" s="11"/>
      <c r="B208" s="13"/>
      <c r="C208" s="13"/>
      <c r="D208" s="11"/>
      <c r="E208" s="11"/>
      <c r="F208" s="11"/>
      <c r="G208" s="11"/>
      <c r="H208" s="14" t="str">
        <f>IF(OR(A208="",B208="",C208="",B208&gt;C208),"",MAX(0,NETWORKDAYS.INTL(B208,C208,1,'Non-working days'!$A$6:$A$45)-IF(D208="Half day",0.5,0)-IF(AND(E208="Half day",C208&lt;&gt;B208),0.5,0)))</f>
        <v/>
      </c>
      <c r="I208" s="15" t="str">
        <f>IF(A208="","",IF(COUNTIF(Employees!$A$6:$A$35,A208)=0,"Unknown employee ID",IF(B208&gt;C208,"Check dates",IF(AND(B208=C208,E208="Half day"),"Use First day for a single half day","OK"))))</f>
        <v/>
      </c>
    </row>
    <row r="209" spans="1:9" x14ac:dyDescent="0.3">
      <c r="A209" s="11"/>
      <c r="B209" s="13"/>
      <c r="C209" s="13"/>
      <c r="D209" s="11"/>
      <c r="E209" s="11"/>
      <c r="F209" s="11"/>
      <c r="G209" s="11"/>
      <c r="H209" s="14" t="str">
        <f>IF(OR(A209="",B209="",C209="",B209&gt;C209),"",MAX(0,NETWORKDAYS.INTL(B209,C209,1,'Non-working days'!$A$6:$A$45)-IF(D209="Half day",0.5,0)-IF(AND(E209="Half day",C209&lt;&gt;B209),0.5,0)))</f>
        <v/>
      </c>
      <c r="I209" s="15" t="str">
        <f>IF(A209="","",IF(COUNTIF(Employees!$A$6:$A$35,A209)=0,"Unknown employee ID",IF(B209&gt;C209,"Check dates",IF(AND(B209=C209,E209="Half day"),"Use First day for a single half day","OK"))))</f>
        <v/>
      </c>
    </row>
    <row r="210" spans="1:9" x14ac:dyDescent="0.3">
      <c r="A210" s="11"/>
      <c r="B210" s="13"/>
      <c r="C210" s="13"/>
      <c r="D210" s="11"/>
      <c r="E210" s="11"/>
      <c r="F210" s="11"/>
      <c r="G210" s="11"/>
      <c r="H210" s="14" t="str">
        <f>IF(OR(A210="",B210="",C210="",B210&gt;C210),"",MAX(0,NETWORKDAYS.INTL(B210,C210,1,'Non-working days'!$A$6:$A$45)-IF(D210="Half day",0.5,0)-IF(AND(E210="Half day",C210&lt;&gt;B210),0.5,0)))</f>
        <v/>
      </c>
      <c r="I210" s="15" t="str">
        <f>IF(A210="","",IF(COUNTIF(Employees!$A$6:$A$35,A210)=0,"Unknown employee ID",IF(B210&gt;C210,"Check dates",IF(AND(B210=C210,E210="Half day"),"Use First day for a single half day","OK"))))</f>
        <v/>
      </c>
    </row>
    <row r="211" spans="1:9" x14ac:dyDescent="0.3">
      <c r="A211" s="11"/>
      <c r="B211" s="13"/>
      <c r="C211" s="13"/>
      <c r="D211" s="11"/>
      <c r="E211" s="11"/>
      <c r="F211" s="11"/>
      <c r="G211" s="11"/>
      <c r="H211" s="14" t="str">
        <f>IF(OR(A211="",B211="",C211="",B211&gt;C211),"",MAX(0,NETWORKDAYS.INTL(B211,C211,1,'Non-working days'!$A$6:$A$45)-IF(D211="Half day",0.5,0)-IF(AND(E211="Half day",C211&lt;&gt;B211),0.5,0)))</f>
        <v/>
      </c>
      <c r="I211" s="15" t="str">
        <f>IF(A211="","",IF(COUNTIF(Employees!$A$6:$A$35,A211)=0,"Unknown employee ID",IF(B211&gt;C211,"Check dates",IF(AND(B211=C211,E211="Half day"),"Use First day for a single half day","OK"))))</f>
        <v/>
      </c>
    </row>
    <row r="212" spans="1:9" x14ac:dyDescent="0.3">
      <c r="A212" s="11"/>
      <c r="B212" s="13"/>
      <c r="C212" s="13"/>
      <c r="D212" s="11"/>
      <c r="E212" s="11"/>
      <c r="F212" s="11"/>
      <c r="G212" s="11"/>
      <c r="H212" s="14" t="str">
        <f>IF(OR(A212="",B212="",C212="",B212&gt;C212),"",MAX(0,NETWORKDAYS.INTL(B212,C212,1,'Non-working days'!$A$6:$A$45)-IF(D212="Half day",0.5,0)-IF(AND(E212="Half day",C212&lt;&gt;B212),0.5,0)))</f>
        <v/>
      </c>
      <c r="I212" s="15" t="str">
        <f>IF(A212="","",IF(COUNTIF(Employees!$A$6:$A$35,A212)=0,"Unknown employee ID",IF(B212&gt;C212,"Check dates",IF(AND(B212=C212,E212="Half day"),"Use First day for a single half day","OK"))))</f>
        <v/>
      </c>
    </row>
    <row r="213" spans="1:9" x14ac:dyDescent="0.3">
      <c r="A213" s="11"/>
      <c r="B213" s="13"/>
      <c r="C213" s="13"/>
      <c r="D213" s="11"/>
      <c r="E213" s="11"/>
      <c r="F213" s="11"/>
      <c r="G213" s="11"/>
      <c r="H213" s="14" t="str">
        <f>IF(OR(A213="",B213="",C213="",B213&gt;C213),"",MAX(0,NETWORKDAYS.INTL(B213,C213,1,'Non-working days'!$A$6:$A$45)-IF(D213="Half day",0.5,0)-IF(AND(E213="Half day",C213&lt;&gt;B213),0.5,0)))</f>
        <v/>
      </c>
      <c r="I213" s="15" t="str">
        <f>IF(A213="","",IF(COUNTIF(Employees!$A$6:$A$35,A213)=0,"Unknown employee ID",IF(B213&gt;C213,"Check dates",IF(AND(B213=C213,E213="Half day"),"Use First day for a single half day","OK"))))</f>
        <v/>
      </c>
    </row>
    <row r="214" spans="1:9" x14ac:dyDescent="0.3">
      <c r="A214" s="11"/>
      <c r="B214" s="13"/>
      <c r="C214" s="13"/>
      <c r="D214" s="11"/>
      <c r="E214" s="11"/>
      <c r="F214" s="11"/>
      <c r="G214" s="11"/>
      <c r="H214" s="14" t="str">
        <f>IF(OR(A214="",B214="",C214="",B214&gt;C214),"",MAX(0,NETWORKDAYS.INTL(B214,C214,1,'Non-working days'!$A$6:$A$45)-IF(D214="Half day",0.5,0)-IF(AND(E214="Half day",C214&lt;&gt;B214),0.5,0)))</f>
        <v/>
      </c>
      <c r="I214" s="15" t="str">
        <f>IF(A214="","",IF(COUNTIF(Employees!$A$6:$A$35,A214)=0,"Unknown employee ID",IF(B214&gt;C214,"Check dates",IF(AND(B214=C214,E214="Half day"),"Use First day for a single half day","OK"))))</f>
        <v/>
      </c>
    </row>
    <row r="215" spans="1:9" x14ac:dyDescent="0.3">
      <c r="A215" s="11"/>
      <c r="B215" s="13"/>
      <c r="C215" s="13"/>
      <c r="D215" s="11"/>
      <c r="E215" s="11"/>
      <c r="F215" s="11"/>
      <c r="G215" s="11"/>
      <c r="H215" s="14" t="str">
        <f>IF(OR(A215="",B215="",C215="",B215&gt;C215),"",MAX(0,NETWORKDAYS.INTL(B215,C215,1,'Non-working days'!$A$6:$A$45)-IF(D215="Half day",0.5,0)-IF(AND(E215="Half day",C215&lt;&gt;B215),0.5,0)))</f>
        <v/>
      </c>
      <c r="I215" s="15" t="str">
        <f>IF(A215="","",IF(COUNTIF(Employees!$A$6:$A$35,A215)=0,"Unknown employee ID",IF(B215&gt;C215,"Check dates",IF(AND(B215=C215,E215="Half day"),"Use First day for a single half day","OK"))))</f>
        <v/>
      </c>
    </row>
    <row r="216" spans="1:9" x14ac:dyDescent="0.3">
      <c r="A216" s="11"/>
      <c r="B216" s="13"/>
      <c r="C216" s="13"/>
      <c r="D216" s="11"/>
      <c r="E216" s="11"/>
      <c r="F216" s="11"/>
      <c r="G216" s="11"/>
      <c r="H216" s="14" t="str">
        <f>IF(OR(A216="",B216="",C216="",B216&gt;C216),"",MAX(0,NETWORKDAYS.INTL(B216,C216,1,'Non-working days'!$A$6:$A$45)-IF(D216="Half day",0.5,0)-IF(AND(E216="Half day",C216&lt;&gt;B216),0.5,0)))</f>
        <v/>
      </c>
      <c r="I216" s="15" t="str">
        <f>IF(A216="","",IF(COUNTIF(Employees!$A$6:$A$35,A216)=0,"Unknown employee ID",IF(B216&gt;C216,"Check dates",IF(AND(B216=C216,E216="Half day"),"Use First day for a single half day","OK"))))</f>
        <v/>
      </c>
    </row>
    <row r="217" spans="1:9" x14ac:dyDescent="0.3">
      <c r="A217" s="11"/>
      <c r="B217" s="13"/>
      <c r="C217" s="13"/>
      <c r="D217" s="11"/>
      <c r="E217" s="11"/>
      <c r="F217" s="11"/>
      <c r="G217" s="11"/>
      <c r="H217" s="14" t="str">
        <f>IF(OR(A217="",B217="",C217="",B217&gt;C217),"",MAX(0,NETWORKDAYS.INTL(B217,C217,1,'Non-working days'!$A$6:$A$45)-IF(D217="Half day",0.5,0)-IF(AND(E217="Half day",C217&lt;&gt;B217),0.5,0)))</f>
        <v/>
      </c>
      <c r="I217" s="15" t="str">
        <f>IF(A217="","",IF(COUNTIF(Employees!$A$6:$A$35,A217)=0,"Unknown employee ID",IF(B217&gt;C217,"Check dates",IF(AND(B217=C217,E217="Half day"),"Use First day for a single half day","OK"))))</f>
        <v/>
      </c>
    </row>
    <row r="218" spans="1:9" x14ac:dyDescent="0.3">
      <c r="A218" s="11"/>
      <c r="B218" s="13"/>
      <c r="C218" s="13"/>
      <c r="D218" s="11"/>
      <c r="E218" s="11"/>
      <c r="F218" s="11"/>
      <c r="G218" s="11"/>
      <c r="H218" s="14" t="str">
        <f>IF(OR(A218="",B218="",C218="",B218&gt;C218),"",MAX(0,NETWORKDAYS.INTL(B218,C218,1,'Non-working days'!$A$6:$A$45)-IF(D218="Half day",0.5,0)-IF(AND(E218="Half day",C218&lt;&gt;B218),0.5,0)))</f>
        <v/>
      </c>
      <c r="I218" s="15" t="str">
        <f>IF(A218="","",IF(COUNTIF(Employees!$A$6:$A$35,A218)=0,"Unknown employee ID",IF(B218&gt;C218,"Check dates",IF(AND(B218=C218,E218="Half day"),"Use First day for a single half day","OK"))))</f>
        <v/>
      </c>
    </row>
    <row r="219" spans="1:9" x14ac:dyDescent="0.3">
      <c r="A219" s="11"/>
      <c r="B219" s="13"/>
      <c r="C219" s="13"/>
      <c r="D219" s="11"/>
      <c r="E219" s="11"/>
      <c r="F219" s="11"/>
      <c r="G219" s="11"/>
      <c r="H219" s="14" t="str">
        <f>IF(OR(A219="",B219="",C219="",B219&gt;C219),"",MAX(0,NETWORKDAYS.INTL(B219,C219,1,'Non-working days'!$A$6:$A$45)-IF(D219="Half day",0.5,0)-IF(AND(E219="Half day",C219&lt;&gt;B219),0.5,0)))</f>
        <v/>
      </c>
      <c r="I219" s="15" t="str">
        <f>IF(A219="","",IF(COUNTIF(Employees!$A$6:$A$35,A219)=0,"Unknown employee ID",IF(B219&gt;C219,"Check dates",IF(AND(B219=C219,E219="Half day"),"Use First day for a single half day","OK"))))</f>
        <v/>
      </c>
    </row>
    <row r="220" spans="1:9" x14ac:dyDescent="0.3">
      <c r="A220" s="11"/>
      <c r="B220" s="13"/>
      <c r="C220" s="13"/>
      <c r="D220" s="11"/>
      <c r="E220" s="11"/>
      <c r="F220" s="11"/>
      <c r="G220" s="11"/>
      <c r="H220" s="14" t="str">
        <f>IF(OR(A220="",B220="",C220="",B220&gt;C220),"",MAX(0,NETWORKDAYS.INTL(B220,C220,1,'Non-working days'!$A$6:$A$45)-IF(D220="Half day",0.5,0)-IF(AND(E220="Half day",C220&lt;&gt;B220),0.5,0)))</f>
        <v/>
      </c>
      <c r="I220" s="15" t="str">
        <f>IF(A220="","",IF(COUNTIF(Employees!$A$6:$A$35,A220)=0,"Unknown employee ID",IF(B220&gt;C220,"Check dates",IF(AND(B220=C220,E220="Half day"),"Use First day for a single half day","OK"))))</f>
        <v/>
      </c>
    </row>
    <row r="221" spans="1:9" x14ac:dyDescent="0.3">
      <c r="A221" s="11"/>
      <c r="B221" s="13"/>
      <c r="C221" s="13"/>
      <c r="D221" s="11"/>
      <c r="E221" s="11"/>
      <c r="F221" s="11"/>
      <c r="G221" s="11"/>
      <c r="H221" s="14" t="str">
        <f>IF(OR(A221="",B221="",C221="",B221&gt;C221),"",MAX(0,NETWORKDAYS.INTL(B221,C221,1,'Non-working days'!$A$6:$A$45)-IF(D221="Half day",0.5,0)-IF(AND(E221="Half day",C221&lt;&gt;B221),0.5,0)))</f>
        <v/>
      </c>
      <c r="I221" s="15" t="str">
        <f>IF(A221="","",IF(COUNTIF(Employees!$A$6:$A$35,A221)=0,"Unknown employee ID",IF(B221&gt;C221,"Check dates",IF(AND(B221=C221,E221="Half day"),"Use First day for a single half day","OK"))))</f>
        <v/>
      </c>
    </row>
    <row r="222" spans="1:9" x14ac:dyDescent="0.3">
      <c r="A222" s="11"/>
      <c r="B222" s="13"/>
      <c r="C222" s="13"/>
      <c r="D222" s="11"/>
      <c r="E222" s="11"/>
      <c r="F222" s="11"/>
      <c r="G222" s="11"/>
      <c r="H222" s="14" t="str">
        <f>IF(OR(A222="",B222="",C222="",B222&gt;C222),"",MAX(0,NETWORKDAYS.INTL(B222,C222,1,'Non-working days'!$A$6:$A$45)-IF(D222="Half day",0.5,0)-IF(AND(E222="Half day",C222&lt;&gt;B222),0.5,0)))</f>
        <v/>
      </c>
      <c r="I222" s="15" t="str">
        <f>IF(A222="","",IF(COUNTIF(Employees!$A$6:$A$35,A222)=0,"Unknown employee ID",IF(B222&gt;C222,"Check dates",IF(AND(B222=C222,E222="Half day"),"Use First day for a single half day","OK"))))</f>
        <v/>
      </c>
    </row>
    <row r="223" spans="1:9" x14ac:dyDescent="0.3">
      <c r="A223" s="11"/>
      <c r="B223" s="13"/>
      <c r="C223" s="13"/>
      <c r="D223" s="11"/>
      <c r="E223" s="11"/>
      <c r="F223" s="11"/>
      <c r="G223" s="11"/>
      <c r="H223" s="14" t="str">
        <f>IF(OR(A223="",B223="",C223="",B223&gt;C223),"",MAX(0,NETWORKDAYS.INTL(B223,C223,1,'Non-working days'!$A$6:$A$45)-IF(D223="Half day",0.5,0)-IF(AND(E223="Half day",C223&lt;&gt;B223),0.5,0)))</f>
        <v/>
      </c>
      <c r="I223" s="15" t="str">
        <f>IF(A223="","",IF(COUNTIF(Employees!$A$6:$A$35,A223)=0,"Unknown employee ID",IF(B223&gt;C223,"Check dates",IF(AND(B223=C223,E223="Half day"),"Use First day for a single half day","OK"))))</f>
        <v/>
      </c>
    </row>
    <row r="224" spans="1:9" x14ac:dyDescent="0.3">
      <c r="A224" s="11"/>
      <c r="B224" s="13"/>
      <c r="C224" s="13"/>
      <c r="D224" s="11"/>
      <c r="E224" s="11"/>
      <c r="F224" s="11"/>
      <c r="G224" s="11"/>
      <c r="H224" s="14" t="str">
        <f>IF(OR(A224="",B224="",C224="",B224&gt;C224),"",MAX(0,NETWORKDAYS.INTL(B224,C224,1,'Non-working days'!$A$6:$A$45)-IF(D224="Half day",0.5,0)-IF(AND(E224="Half day",C224&lt;&gt;B224),0.5,0)))</f>
        <v/>
      </c>
      <c r="I224" s="15" t="str">
        <f>IF(A224="","",IF(COUNTIF(Employees!$A$6:$A$35,A224)=0,"Unknown employee ID",IF(B224&gt;C224,"Check dates",IF(AND(B224=C224,E224="Half day"),"Use First day for a single half day","OK"))))</f>
        <v/>
      </c>
    </row>
    <row r="225" spans="1:9" x14ac:dyDescent="0.3">
      <c r="A225" s="11"/>
      <c r="B225" s="13"/>
      <c r="C225" s="13"/>
      <c r="D225" s="11"/>
      <c r="E225" s="11"/>
      <c r="F225" s="11"/>
      <c r="G225" s="11"/>
      <c r="H225" s="14" t="str">
        <f>IF(OR(A225="",B225="",C225="",B225&gt;C225),"",MAX(0,NETWORKDAYS.INTL(B225,C225,1,'Non-working days'!$A$6:$A$45)-IF(D225="Half day",0.5,0)-IF(AND(E225="Half day",C225&lt;&gt;B225),0.5,0)))</f>
        <v/>
      </c>
      <c r="I225" s="15" t="str">
        <f>IF(A225="","",IF(COUNTIF(Employees!$A$6:$A$35,A225)=0,"Unknown employee ID",IF(B225&gt;C225,"Check dates",IF(AND(B225=C225,E225="Half day"),"Use First day for a single half day","OK"))))</f>
        <v/>
      </c>
    </row>
    <row r="226" spans="1:9" x14ac:dyDescent="0.3">
      <c r="A226" s="11"/>
      <c r="B226" s="13"/>
      <c r="C226" s="13"/>
      <c r="D226" s="11"/>
      <c r="E226" s="11"/>
      <c r="F226" s="11"/>
      <c r="G226" s="11"/>
      <c r="H226" s="14" t="str">
        <f>IF(OR(A226="",B226="",C226="",B226&gt;C226),"",MAX(0,NETWORKDAYS.INTL(B226,C226,1,'Non-working days'!$A$6:$A$45)-IF(D226="Half day",0.5,0)-IF(AND(E226="Half day",C226&lt;&gt;B226),0.5,0)))</f>
        <v/>
      </c>
      <c r="I226" s="15" t="str">
        <f>IF(A226="","",IF(COUNTIF(Employees!$A$6:$A$35,A226)=0,"Unknown employee ID",IF(B226&gt;C226,"Check dates",IF(AND(B226=C226,E226="Half day"),"Use First day for a single half day","OK"))))</f>
        <v/>
      </c>
    </row>
    <row r="227" spans="1:9" x14ac:dyDescent="0.3">
      <c r="A227" s="11"/>
      <c r="B227" s="13"/>
      <c r="C227" s="13"/>
      <c r="D227" s="11"/>
      <c r="E227" s="11"/>
      <c r="F227" s="11"/>
      <c r="G227" s="11"/>
      <c r="H227" s="14" t="str">
        <f>IF(OR(A227="",B227="",C227="",B227&gt;C227),"",MAX(0,NETWORKDAYS.INTL(B227,C227,1,'Non-working days'!$A$6:$A$45)-IF(D227="Half day",0.5,0)-IF(AND(E227="Half day",C227&lt;&gt;B227),0.5,0)))</f>
        <v/>
      </c>
      <c r="I227" s="15" t="str">
        <f>IF(A227="","",IF(COUNTIF(Employees!$A$6:$A$35,A227)=0,"Unknown employee ID",IF(B227&gt;C227,"Check dates",IF(AND(B227=C227,E227="Half day"),"Use First day for a single half day","OK"))))</f>
        <v/>
      </c>
    </row>
    <row r="228" spans="1:9" x14ac:dyDescent="0.3">
      <c r="A228" s="11"/>
      <c r="B228" s="13"/>
      <c r="C228" s="13"/>
      <c r="D228" s="11"/>
      <c r="E228" s="11"/>
      <c r="F228" s="11"/>
      <c r="G228" s="11"/>
      <c r="H228" s="14" t="str">
        <f>IF(OR(A228="",B228="",C228="",B228&gt;C228),"",MAX(0,NETWORKDAYS.INTL(B228,C228,1,'Non-working days'!$A$6:$A$45)-IF(D228="Half day",0.5,0)-IF(AND(E228="Half day",C228&lt;&gt;B228),0.5,0)))</f>
        <v/>
      </c>
      <c r="I228" s="15" t="str">
        <f>IF(A228="","",IF(COUNTIF(Employees!$A$6:$A$35,A228)=0,"Unknown employee ID",IF(B228&gt;C228,"Check dates",IF(AND(B228=C228,E228="Half day"),"Use First day for a single half day","OK"))))</f>
        <v/>
      </c>
    </row>
    <row r="229" spans="1:9" x14ac:dyDescent="0.3">
      <c r="A229" s="11"/>
      <c r="B229" s="13"/>
      <c r="C229" s="13"/>
      <c r="D229" s="11"/>
      <c r="E229" s="11"/>
      <c r="F229" s="11"/>
      <c r="G229" s="11"/>
      <c r="H229" s="14" t="str">
        <f>IF(OR(A229="",B229="",C229="",B229&gt;C229),"",MAX(0,NETWORKDAYS.INTL(B229,C229,1,'Non-working days'!$A$6:$A$45)-IF(D229="Half day",0.5,0)-IF(AND(E229="Half day",C229&lt;&gt;B229),0.5,0)))</f>
        <v/>
      </c>
      <c r="I229" s="15" t="str">
        <f>IF(A229="","",IF(COUNTIF(Employees!$A$6:$A$35,A229)=0,"Unknown employee ID",IF(B229&gt;C229,"Check dates",IF(AND(B229=C229,E229="Half day"),"Use First day for a single half day","OK"))))</f>
        <v/>
      </c>
    </row>
    <row r="230" spans="1:9" x14ac:dyDescent="0.3">
      <c r="A230" s="11"/>
      <c r="B230" s="13"/>
      <c r="C230" s="13"/>
      <c r="D230" s="11"/>
      <c r="E230" s="11"/>
      <c r="F230" s="11"/>
      <c r="G230" s="11"/>
      <c r="H230" s="14" t="str">
        <f>IF(OR(A230="",B230="",C230="",B230&gt;C230),"",MAX(0,NETWORKDAYS.INTL(B230,C230,1,'Non-working days'!$A$6:$A$45)-IF(D230="Half day",0.5,0)-IF(AND(E230="Half day",C230&lt;&gt;B230),0.5,0)))</f>
        <v/>
      </c>
      <c r="I230" s="15" t="str">
        <f>IF(A230="","",IF(COUNTIF(Employees!$A$6:$A$35,A230)=0,"Unknown employee ID",IF(B230&gt;C230,"Check dates",IF(AND(B230=C230,E230="Half day"),"Use First day for a single half day","OK"))))</f>
        <v/>
      </c>
    </row>
    <row r="231" spans="1:9" x14ac:dyDescent="0.3">
      <c r="A231" s="11"/>
      <c r="B231" s="13"/>
      <c r="C231" s="13"/>
      <c r="D231" s="11"/>
      <c r="E231" s="11"/>
      <c r="F231" s="11"/>
      <c r="G231" s="11"/>
      <c r="H231" s="14" t="str">
        <f>IF(OR(A231="",B231="",C231="",B231&gt;C231),"",MAX(0,NETWORKDAYS.INTL(B231,C231,1,'Non-working days'!$A$6:$A$45)-IF(D231="Half day",0.5,0)-IF(AND(E231="Half day",C231&lt;&gt;B231),0.5,0)))</f>
        <v/>
      </c>
      <c r="I231" s="15" t="str">
        <f>IF(A231="","",IF(COUNTIF(Employees!$A$6:$A$35,A231)=0,"Unknown employee ID",IF(B231&gt;C231,"Check dates",IF(AND(B231=C231,E231="Half day"),"Use First day for a single half day","OK"))))</f>
        <v/>
      </c>
    </row>
    <row r="232" spans="1:9" x14ac:dyDescent="0.3">
      <c r="A232" s="11"/>
      <c r="B232" s="13"/>
      <c r="C232" s="13"/>
      <c r="D232" s="11"/>
      <c r="E232" s="11"/>
      <c r="F232" s="11"/>
      <c r="G232" s="11"/>
      <c r="H232" s="14" t="str">
        <f>IF(OR(A232="",B232="",C232="",B232&gt;C232),"",MAX(0,NETWORKDAYS.INTL(B232,C232,1,'Non-working days'!$A$6:$A$45)-IF(D232="Half day",0.5,0)-IF(AND(E232="Half day",C232&lt;&gt;B232),0.5,0)))</f>
        <v/>
      </c>
      <c r="I232" s="15" t="str">
        <f>IF(A232="","",IF(COUNTIF(Employees!$A$6:$A$35,A232)=0,"Unknown employee ID",IF(B232&gt;C232,"Check dates",IF(AND(B232=C232,E232="Half day"),"Use First day for a single half day","OK"))))</f>
        <v/>
      </c>
    </row>
    <row r="233" spans="1:9" x14ac:dyDescent="0.3">
      <c r="A233" s="11"/>
      <c r="B233" s="13"/>
      <c r="C233" s="13"/>
      <c r="D233" s="11"/>
      <c r="E233" s="11"/>
      <c r="F233" s="11"/>
      <c r="G233" s="11"/>
      <c r="H233" s="14" t="str">
        <f>IF(OR(A233="",B233="",C233="",B233&gt;C233),"",MAX(0,NETWORKDAYS.INTL(B233,C233,1,'Non-working days'!$A$6:$A$45)-IF(D233="Half day",0.5,0)-IF(AND(E233="Half day",C233&lt;&gt;B233),0.5,0)))</f>
        <v/>
      </c>
      <c r="I233" s="15" t="str">
        <f>IF(A233="","",IF(COUNTIF(Employees!$A$6:$A$35,A233)=0,"Unknown employee ID",IF(B233&gt;C233,"Check dates",IF(AND(B233=C233,E233="Half day"),"Use First day for a single half day","OK"))))</f>
        <v/>
      </c>
    </row>
    <row r="234" spans="1:9" x14ac:dyDescent="0.3">
      <c r="A234" s="11"/>
      <c r="B234" s="13"/>
      <c r="C234" s="13"/>
      <c r="D234" s="11"/>
      <c r="E234" s="11"/>
      <c r="F234" s="11"/>
      <c r="G234" s="11"/>
      <c r="H234" s="14" t="str">
        <f>IF(OR(A234="",B234="",C234="",B234&gt;C234),"",MAX(0,NETWORKDAYS.INTL(B234,C234,1,'Non-working days'!$A$6:$A$45)-IF(D234="Half day",0.5,0)-IF(AND(E234="Half day",C234&lt;&gt;B234),0.5,0)))</f>
        <v/>
      </c>
      <c r="I234" s="15" t="str">
        <f>IF(A234="","",IF(COUNTIF(Employees!$A$6:$A$35,A234)=0,"Unknown employee ID",IF(B234&gt;C234,"Check dates",IF(AND(B234=C234,E234="Half day"),"Use First day for a single half day","OK"))))</f>
        <v/>
      </c>
    </row>
    <row r="235" spans="1:9" x14ac:dyDescent="0.3">
      <c r="A235" s="11"/>
      <c r="B235" s="13"/>
      <c r="C235" s="13"/>
      <c r="D235" s="11"/>
      <c r="E235" s="11"/>
      <c r="F235" s="11"/>
      <c r="G235" s="11"/>
      <c r="H235" s="14" t="str">
        <f>IF(OR(A235="",B235="",C235="",B235&gt;C235),"",MAX(0,NETWORKDAYS.INTL(B235,C235,1,'Non-working days'!$A$6:$A$45)-IF(D235="Half day",0.5,0)-IF(AND(E235="Half day",C235&lt;&gt;B235),0.5,0)))</f>
        <v/>
      </c>
      <c r="I235" s="15" t="str">
        <f>IF(A235="","",IF(COUNTIF(Employees!$A$6:$A$35,A235)=0,"Unknown employee ID",IF(B235&gt;C235,"Check dates",IF(AND(B235=C235,E235="Half day"),"Use First day for a single half day","OK"))))</f>
        <v/>
      </c>
    </row>
    <row r="236" spans="1:9" x14ac:dyDescent="0.3">
      <c r="A236" s="11"/>
      <c r="B236" s="13"/>
      <c r="C236" s="13"/>
      <c r="D236" s="11"/>
      <c r="E236" s="11"/>
      <c r="F236" s="11"/>
      <c r="G236" s="11"/>
      <c r="H236" s="14" t="str">
        <f>IF(OR(A236="",B236="",C236="",B236&gt;C236),"",MAX(0,NETWORKDAYS.INTL(B236,C236,1,'Non-working days'!$A$6:$A$45)-IF(D236="Half day",0.5,0)-IF(AND(E236="Half day",C236&lt;&gt;B236),0.5,0)))</f>
        <v/>
      </c>
      <c r="I236" s="15" t="str">
        <f>IF(A236="","",IF(COUNTIF(Employees!$A$6:$A$35,A236)=0,"Unknown employee ID",IF(B236&gt;C236,"Check dates",IF(AND(B236=C236,E236="Half day"),"Use First day for a single half day","OK"))))</f>
        <v/>
      </c>
    </row>
    <row r="237" spans="1:9" x14ac:dyDescent="0.3">
      <c r="A237" s="11"/>
      <c r="B237" s="13"/>
      <c r="C237" s="13"/>
      <c r="D237" s="11"/>
      <c r="E237" s="11"/>
      <c r="F237" s="11"/>
      <c r="G237" s="11"/>
      <c r="H237" s="14" t="str">
        <f>IF(OR(A237="",B237="",C237="",B237&gt;C237),"",MAX(0,NETWORKDAYS.INTL(B237,C237,1,'Non-working days'!$A$6:$A$45)-IF(D237="Half day",0.5,0)-IF(AND(E237="Half day",C237&lt;&gt;B237),0.5,0)))</f>
        <v/>
      </c>
      <c r="I237" s="15" t="str">
        <f>IF(A237="","",IF(COUNTIF(Employees!$A$6:$A$35,A237)=0,"Unknown employee ID",IF(B237&gt;C237,"Check dates",IF(AND(B237=C237,E237="Half day"),"Use First day for a single half day","OK"))))</f>
        <v/>
      </c>
    </row>
    <row r="238" spans="1:9" x14ac:dyDescent="0.3">
      <c r="A238" s="11"/>
      <c r="B238" s="13"/>
      <c r="C238" s="13"/>
      <c r="D238" s="11"/>
      <c r="E238" s="11"/>
      <c r="F238" s="11"/>
      <c r="G238" s="11"/>
      <c r="H238" s="14" t="str">
        <f>IF(OR(A238="",B238="",C238="",B238&gt;C238),"",MAX(0,NETWORKDAYS.INTL(B238,C238,1,'Non-working days'!$A$6:$A$45)-IF(D238="Half day",0.5,0)-IF(AND(E238="Half day",C238&lt;&gt;B238),0.5,0)))</f>
        <v/>
      </c>
      <c r="I238" s="15" t="str">
        <f>IF(A238="","",IF(COUNTIF(Employees!$A$6:$A$35,A238)=0,"Unknown employee ID",IF(B238&gt;C238,"Check dates",IF(AND(B238=C238,E238="Half day"),"Use First day for a single half day","OK"))))</f>
        <v/>
      </c>
    </row>
    <row r="239" spans="1:9" x14ac:dyDescent="0.3">
      <c r="A239" s="11"/>
      <c r="B239" s="13"/>
      <c r="C239" s="13"/>
      <c r="D239" s="11"/>
      <c r="E239" s="11"/>
      <c r="F239" s="11"/>
      <c r="G239" s="11"/>
      <c r="H239" s="14" t="str">
        <f>IF(OR(A239="",B239="",C239="",B239&gt;C239),"",MAX(0,NETWORKDAYS.INTL(B239,C239,1,'Non-working days'!$A$6:$A$45)-IF(D239="Half day",0.5,0)-IF(AND(E239="Half day",C239&lt;&gt;B239),0.5,0)))</f>
        <v/>
      </c>
      <c r="I239" s="15" t="str">
        <f>IF(A239="","",IF(COUNTIF(Employees!$A$6:$A$35,A239)=0,"Unknown employee ID",IF(B239&gt;C239,"Check dates",IF(AND(B239=C239,E239="Half day"),"Use First day for a single half day","OK"))))</f>
        <v/>
      </c>
    </row>
    <row r="240" spans="1:9" x14ac:dyDescent="0.3">
      <c r="A240" s="11"/>
      <c r="B240" s="13"/>
      <c r="C240" s="13"/>
      <c r="D240" s="11"/>
      <c r="E240" s="11"/>
      <c r="F240" s="11"/>
      <c r="G240" s="11"/>
      <c r="H240" s="14" t="str">
        <f>IF(OR(A240="",B240="",C240="",B240&gt;C240),"",MAX(0,NETWORKDAYS.INTL(B240,C240,1,'Non-working days'!$A$6:$A$45)-IF(D240="Half day",0.5,0)-IF(AND(E240="Half day",C240&lt;&gt;B240),0.5,0)))</f>
        <v/>
      </c>
      <c r="I240" s="15" t="str">
        <f>IF(A240="","",IF(COUNTIF(Employees!$A$6:$A$35,A240)=0,"Unknown employee ID",IF(B240&gt;C240,"Check dates",IF(AND(B240=C240,E240="Half day"),"Use First day for a single half day","OK"))))</f>
        <v/>
      </c>
    </row>
    <row r="241" spans="1:9" x14ac:dyDescent="0.3">
      <c r="A241" s="11"/>
      <c r="B241" s="13"/>
      <c r="C241" s="13"/>
      <c r="D241" s="11"/>
      <c r="E241" s="11"/>
      <c r="F241" s="11"/>
      <c r="G241" s="11"/>
      <c r="H241" s="14" t="str">
        <f>IF(OR(A241="",B241="",C241="",B241&gt;C241),"",MAX(0,NETWORKDAYS.INTL(B241,C241,1,'Non-working days'!$A$6:$A$45)-IF(D241="Half day",0.5,0)-IF(AND(E241="Half day",C241&lt;&gt;B241),0.5,0)))</f>
        <v/>
      </c>
      <c r="I241" s="15" t="str">
        <f>IF(A241="","",IF(COUNTIF(Employees!$A$6:$A$35,A241)=0,"Unknown employee ID",IF(B241&gt;C241,"Check dates",IF(AND(B241=C241,E241="Half day"),"Use First day for a single half day","OK"))))</f>
        <v/>
      </c>
    </row>
    <row r="242" spans="1:9" x14ac:dyDescent="0.3">
      <c r="A242" s="11"/>
      <c r="B242" s="13"/>
      <c r="C242" s="13"/>
      <c r="D242" s="11"/>
      <c r="E242" s="11"/>
      <c r="F242" s="11"/>
      <c r="G242" s="11"/>
      <c r="H242" s="14" t="str">
        <f>IF(OR(A242="",B242="",C242="",B242&gt;C242),"",MAX(0,NETWORKDAYS.INTL(B242,C242,1,'Non-working days'!$A$6:$A$45)-IF(D242="Half day",0.5,0)-IF(AND(E242="Half day",C242&lt;&gt;B242),0.5,0)))</f>
        <v/>
      </c>
      <c r="I242" s="15" t="str">
        <f>IF(A242="","",IF(COUNTIF(Employees!$A$6:$A$35,A242)=0,"Unknown employee ID",IF(B242&gt;C242,"Check dates",IF(AND(B242=C242,E242="Half day"),"Use First day for a single half day","OK"))))</f>
        <v/>
      </c>
    </row>
    <row r="243" spans="1:9" x14ac:dyDescent="0.3">
      <c r="A243" s="11"/>
      <c r="B243" s="13"/>
      <c r="C243" s="13"/>
      <c r="D243" s="11"/>
      <c r="E243" s="11"/>
      <c r="F243" s="11"/>
      <c r="G243" s="11"/>
      <c r="H243" s="14" t="str">
        <f>IF(OR(A243="",B243="",C243="",B243&gt;C243),"",MAX(0,NETWORKDAYS.INTL(B243,C243,1,'Non-working days'!$A$6:$A$45)-IF(D243="Half day",0.5,0)-IF(AND(E243="Half day",C243&lt;&gt;B243),0.5,0)))</f>
        <v/>
      </c>
      <c r="I243" s="15" t="str">
        <f>IF(A243="","",IF(COUNTIF(Employees!$A$6:$A$35,A243)=0,"Unknown employee ID",IF(B243&gt;C243,"Check dates",IF(AND(B243=C243,E243="Half day"),"Use First day for a single half day","OK"))))</f>
        <v/>
      </c>
    </row>
    <row r="244" spans="1:9" x14ac:dyDescent="0.3">
      <c r="A244" s="11"/>
      <c r="B244" s="13"/>
      <c r="C244" s="13"/>
      <c r="D244" s="11"/>
      <c r="E244" s="11"/>
      <c r="F244" s="11"/>
      <c r="G244" s="11"/>
      <c r="H244" s="14" t="str">
        <f>IF(OR(A244="",B244="",C244="",B244&gt;C244),"",MAX(0,NETWORKDAYS.INTL(B244,C244,1,'Non-working days'!$A$6:$A$45)-IF(D244="Half day",0.5,0)-IF(AND(E244="Half day",C244&lt;&gt;B244),0.5,0)))</f>
        <v/>
      </c>
      <c r="I244" s="15" t="str">
        <f>IF(A244="","",IF(COUNTIF(Employees!$A$6:$A$35,A244)=0,"Unknown employee ID",IF(B244&gt;C244,"Check dates",IF(AND(B244=C244,E244="Half day"),"Use First day for a single half day","OK"))))</f>
        <v/>
      </c>
    </row>
    <row r="245" spans="1:9" x14ac:dyDescent="0.3">
      <c r="A245" s="11"/>
      <c r="B245" s="13"/>
      <c r="C245" s="13"/>
      <c r="D245" s="11"/>
      <c r="E245" s="11"/>
      <c r="F245" s="11"/>
      <c r="G245" s="11"/>
      <c r="H245" s="14" t="str">
        <f>IF(OR(A245="",B245="",C245="",B245&gt;C245),"",MAX(0,NETWORKDAYS.INTL(B245,C245,1,'Non-working days'!$A$6:$A$45)-IF(D245="Half day",0.5,0)-IF(AND(E245="Half day",C245&lt;&gt;B245),0.5,0)))</f>
        <v/>
      </c>
      <c r="I245" s="15" t="str">
        <f>IF(A245="","",IF(COUNTIF(Employees!$A$6:$A$35,A245)=0,"Unknown employee ID",IF(B245&gt;C245,"Check dates",IF(AND(B245=C245,E245="Half day"),"Use First day for a single half day","OK"))))</f>
        <v/>
      </c>
    </row>
    <row r="246" spans="1:9" x14ac:dyDescent="0.3">
      <c r="A246" s="11"/>
      <c r="B246" s="13"/>
      <c r="C246" s="13"/>
      <c r="D246" s="11"/>
      <c r="E246" s="11"/>
      <c r="F246" s="11"/>
      <c r="G246" s="11"/>
      <c r="H246" s="14" t="str">
        <f>IF(OR(A246="",B246="",C246="",B246&gt;C246),"",MAX(0,NETWORKDAYS.INTL(B246,C246,1,'Non-working days'!$A$6:$A$45)-IF(D246="Half day",0.5,0)-IF(AND(E246="Half day",C246&lt;&gt;B246),0.5,0)))</f>
        <v/>
      </c>
      <c r="I246" s="15" t="str">
        <f>IF(A246="","",IF(COUNTIF(Employees!$A$6:$A$35,A246)=0,"Unknown employee ID",IF(B246&gt;C246,"Check dates",IF(AND(B246=C246,E246="Half day"),"Use First day for a single half day","OK"))))</f>
        <v/>
      </c>
    </row>
    <row r="247" spans="1:9" x14ac:dyDescent="0.3">
      <c r="A247" s="11"/>
      <c r="B247" s="13"/>
      <c r="C247" s="13"/>
      <c r="D247" s="11"/>
      <c r="E247" s="11"/>
      <c r="F247" s="11"/>
      <c r="G247" s="11"/>
      <c r="H247" s="14" t="str">
        <f>IF(OR(A247="",B247="",C247="",B247&gt;C247),"",MAX(0,NETWORKDAYS.INTL(B247,C247,1,'Non-working days'!$A$6:$A$45)-IF(D247="Half day",0.5,0)-IF(AND(E247="Half day",C247&lt;&gt;B247),0.5,0)))</f>
        <v/>
      </c>
      <c r="I247" s="15" t="str">
        <f>IF(A247="","",IF(COUNTIF(Employees!$A$6:$A$35,A247)=0,"Unknown employee ID",IF(B247&gt;C247,"Check dates",IF(AND(B247=C247,E247="Half day"),"Use First day for a single half day","OK"))))</f>
        <v/>
      </c>
    </row>
    <row r="248" spans="1:9" x14ac:dyDescent="0.3">
      <c r="A248" s="11"/>
      <c r="B248" s="13"/>
      <c r="C248" s="13"/>
      <c r="D248" s="11"/>
      <c r="E248" s="11"/>
      <c r="F248" s="11"/>
      <c r="G248" s="11"/>
      <c r="H248" s="14" t="str">
        <f>IF(OR(A248="",B248="",C248="",B248&gt;C248),"",MAX(0,NETWORKDAYS.INTL(B248,C248,1,'Non-working days'!$A$6:$A$45)-IF(D248="Half day",0.5,0)-IF(AND(E248="Half day",C248&lt;&gt;B248),0.5,0)))</f>
        <v/>
      </c>
      <c r="I248" s="15" t="str">
        <f>IF(A248="","",IF(COUNTIF(Employees!$A$6:$A$35,A248)=0,"Unknown employee ID",IF(B248&gt;C248,"Check dates",IF(AND(B248=C248,E248="Half day"),"Use First day for a single half day","OK"))))</f>
        <v/>
      </c>
    </row>
    <row r="249" spans="1:9" x14ac:dyDescent="0.3">
      <c r="A249" s="11"/>
      <c r="B249" s="13"/>
      <c r="C249" s="13"/>
      <c r="D249" s="11"/>
      <c r="E249" s="11"/>
      <c r="F249" s="11"/>
      <c r="G249" s="11"/>
      <c r="H249" s="14" t="str">
        <f>IF(OR(A249="",B249="",C249="",B249&gt;C249),"",MAX(0,NETWORKDAYS.INTL(B249,C249,1,'Non-working days'!$A$6:$A$45)-IF(D249="Half day",0.5,0)-IF(AND(E249="Half day",C249&lt;&gt;B249),0.5,0)))</f>
        <v/>
      </c>
      <c r="I249" s="15" t="str">
        <f>IF(A249="","",IF(COUNTIF(Employees!$A$6:$A$35,A249)=0,"Unknown employee ID",IF(B249&gt;C249,"Check dates",IF(AND(B249=C249,E249="Half day"),"Use First day for a single half day","OK"))))</f>
        <v/>
      </c>
    </row>
    <row r="250" spans="1:9" x14ac:dyDescent="0.3">
      <c r="A250" s="11"/>
      <c r="B250" s="13"/>
      <c r="C250" s="13"/>
      <c r="D250" s="11"/>
      <c r="E250" s="11"/>
      <c r="F250" s="11"/>
      <c r="G250" s="11"/>
      <c r="H250" s="14" t="str">
        <f>IF(OR(A250="",B250="",C250="",B250&gt;C250),"",MAX(0,NETWORKDAYS.INTL(B250,C250,1,'Non-working days'!$A$6:$A$45)-IF(D250="Half day",0.5,0)-IF(AND(E250="Half day",C250&lt;&gt;B250),0.5,0)))</f>
        <v/>
      </c>
      <c r="I250" s="15" t="str">
        <f>IF(A250="","",IF(COUNTIF(Employees!$A$6:$A$35,A250)=0,"Unknown employee ID",IF(B250&gt;C250,"Check dates",IF(AND(B250=C250,E250="Half day"),"Use First day for a single half day","OK"))))</f>
        <v/>
      </c>
    </row>
    <row r="251" spans="1:9" x14ac:dyDescent="0.3">
      <c r="A251" s="11"/>
      <c r="B251" s="13"/>
      <c r="C251" s="13"/>
      <c r="D251" s="11"/>
      <c r="E251" s="11"/>
      <c r="F251" s="11"/>
      <c r="G251" s="11"/>
      <c r="H251" s="14" t="str">
        <f>IF(OR(A251="",B251="",C251="",B251&gt;C251),"",MAX(0,NETWORKDAYS.INTL(B251,C251,1,'Non-working days'!$A$6:$A$45)-IF(D251="Half day",0.5,0)-IF(AND(E251="Half day",C251&lt;&gt;B251),0.5,0)))</f>
        <v/>
      </c>
      <c r="I251" s="15" t="str">
        <f>IF(A251="","",IF(COUNTIF(Employees!$A$6:$A$35,A251)=0,"Unknown employee ID",IF(B251&gt;C251,"Check dates",IF(AND(B251=C251,E251="Half day"),"Use First day for a single half day","OK"))))</f>
        <v/>
      </c>
    </row>
    <row r="252" spans="1:9" x14ac:dyDescent="0.3">
      <c r="A252" s="11"/>
      <c r="B252" s="13"/>
      <c r="C252" s="13"/>
      <c r="D252" s="11"/>
      <c r="E252" s="11"/>
      <c r="F252" s="11"/>
      <c r="G252" s="11"/>
      <c r="H252" s="14" t="str">
        <f>IF(OR(A252="",B252="",C252="",B252&gt;C252),"",MAX(0,NETWORKDAYS.INTL(B252,C252,1,'Non-working days'!$A$6:$A$45)-IF(D252="Half day",0.5,0)-IF(AND(E252="Half day",C252&lt;&gt;B252),0.5,0)))</f>
        <v/>
      </c>
      <c r="I252" s="15" t="str">
        <f>IF(A252="","",IF(COUNTIF(Employees!$A$6:$A$35,A252)=0,"Unknown employee ID",IF(B252&gt;C252,"Check dates",IF(AND(B252=C252,E252="Half day"),"Use First day for a single half day","OK"))))</f>
        <v/>
      </c>
    </row>
    <row r="253" spans="1:9" x14ac:dyDescent="0.3">
      <c r="A253" s="11"/>
      <c r="B253" s="13"/>
      <c r="C253" s="13"/>
      <c r="D253" s="11"/>
      <c r="E253" s="11"/>
      <c r="F253" s="11"/>
      <c r="G253" s="11"/>
      <c r="H253" s="14" t="str">
        <f>IF(OR(A253="",B253="",C253="",B253&gt;C253),"",MAX(0,NETWORKDAYS.INTL(B253,C253,1,'Non-working days'!$A$6:$A$45)-IF(D253="Half day",0.5,0)-IF(AND(E253="Half day",C253&lt;&gt;B253),0.5,0)))</f>
        <v/>
      </c>
      <c r="I253" s="15" t="str">
        <f>IF(A253="","",IF(COUNTIF(Employees!$A$6:$A$35,A253)=0,"Unknown employee ID",IF(B253&gt;C253,"Check dates",IF(AND(B253=C253,E253="Half day"),"Use First day for a single half day","OK"))))</f>
        <v/>
      </c>
    </row>
    <row r="254" spans="1:9" x14ac:dyDescent="0.3">
      <c r="A254" s="11"/>
      <c r="B254" s="13"/>
      <c r="C254" s="13"/>
      <c r="D254" s="11"/>
      <c r="E254" s="11"/>
      <c r="F254" s="11"/>
      <c r="G254" s="11"/>
      <c r="H254" s="14" t="str">
        <f>IF(OR(A254="",B254="",C254="",B254&gt;C254),"",MAX(0,NETWORKDAYS.INTL(B254,C254,1,'Non-working days'!$A$6:$A$45)-IF(D254="Half day",0.5,0)-IF(AND(E254="Half day",C254&lt;&gt;B254),0.5,0)))</f>
        <v/>
      </c>
      <c r="I254" s="15" t="str">
        <f>IF(A254="","",IF(COUNTIF(Employees!$A$6:$A$35,A254)=0,"Unknown employee ID",IF(B254&gt;C254,"Check dates",IF(AND(B254=C254,E254="Half day"),"Use First day for a single half day","OK"))))</f>
        <v/>
      </c>
    </row>
    <row r="255" spans="1:9" x14ac:dyDescent="0.3">
      <c r="A255" s="11"/>
      <c r="B255" s="13"/>
      <c r="C255" s="13"/>
      <c r="D255" s="11"/>
      <c r="E255" s="11"/>
      <c r="F255" s="11"/>
      <c r="G255" s="11"/>
      <c r="H255" s="14" t="str">
        <f>IF(OR(A255="",B255="",C255="",B255&gt;C255),"",MAX(0,NETWORKDAYS.INTL(B255,C255,1,'Non-working days'!$A$6:$A$45)-IF(D255="Half day",0.5,0)-IF(AND(E255="Half day",C255&lt;&gt;B255),0.5,0)))</f>
        <v/>
      </c>
      <c r="I255" s="15" t="str">
        <f>IF(A255="","",IF(COUNTIF(Employees!$A$6:$A$35,A255)=0,"Unknown employee ID",IF(B255&gt;C255,"Check dates",IF(AND(B255=C255,E255="Half day"),"Use First day for a single half day","OK"))))</f>
        <v/>
      </c>
    </row>
    <row r="256" spans="1:9" x14ac:dyDescent="0.3">
      <c r="A256" s="11"/>
      <c r="B256" s="13"/>
      <c r="C256" s="13"/>
      <c r="D256" s="11"/>
      <c r="E256" s="11"/>
      <c r="F256" s="11"/>
      <c r="G256" s="11"/>
      <c r="H256" s="14" t="str">
        <f>IF(OR(A256="",B256="",C256="",B256&gt;C256),"",MAX(0,NETWORKDAYS.INTL(B256,C256,1,'Non-working days'!$A$6:$A$45)-IF(D256="Half day",0.5,0)-IF(AND(E256="Half day",C256&lt;&gt;B256),0.5,0)))</f>
        <v/>
      </c>
      <c r="I256" s="15" t="str">
        <f>IF(A256="","",IF(COUNTIF(Employees!$A$6:$A$35,A256)=0,"Unknown employee ID",IF(B256&gt;C256,"Check dates",IF(AND(B256=C256,E256="Half day"),"Use First day for a single half day","OK"))))</f>
        <v/>
      </c>
    </row>
    <row r="257" spans="1:9" x14ac:dyDescent="0.3">
      <c r="A257" s="11"/>
      <c r="B257" s="13"/>
      <c r="C257" s="13"/>
      <c r="D257" s="11"/>
      <c r="E257" s="11"/>
      <c r="F257" s="11"/>
      <c r="G257" s="11"/>
      <c r="H257" s="14" t="str">
        <f>IF(OR(A257="",B257="",C257="",B257&gt;C257),"",MAX(0,NETWORKDAYS.INTL(B257,C257,1,'Non-working days'!$A$6:$A$45)-IF(D257="Half day",0.5,0)-IF(AND(E257="Half day",C257&lt;&gt;B257),0.5,0)))</f>
        <v/>
      </c>
      <c r="I257" s="15" t="str">
        <f>IF(A257="","",IF(COUNTIF(Employees!$A$6:$A$35,A257)=0,"Unknown employee ID",IF(B257&gt;C257,"Check dates",IF(AND(B257=C257,E257="Half day"),"Use First day for a single half day","OK"))))</f>
        <v/>
      </c>
    </row>
    <row r="258" spans="1:9" x14ac:dyDescent="0.3">
      <c r="A258" s="11"/>
      <c r="B258" s="13"/>
      <c r="C258" s="13"/>
      <c r="D258" s="11"/>
      <c r="E258" s="11"/>
      <c r="F258" s="11"/>
      <c r="G258" s="11"/>
      <c r="H258" s="14" t="str">
        <f>IF(OR(A258="",B258="",C258="",B258&gt;C258),"",MAX(0,NETWORKDAYS.INTL(B258,C258,1,'Non-working days'!$A$6:$A$45)-IF(D258="Half day",0.5,0)-IF(AND(E258="Half day",C258&lt;&gt;B258),0.5,0)))</f>
        <v/>
      </c>
      <c r="I258" s="15" t="str">
        <f>IF(A258="","",IF(COUNTIF(Employees!$A$6:$A$35,A258)=0,"Unknown employee ID",IF(B258&gt;C258,"Check dates",IF(AND(B258=C258,E258="Half day"),"Use First day for a single half day","OK"))))</f>
        <v/>
      </c>
    </row>
    <row r="259" spans="1:9" x14ac:dyDescent="0.3">
      <c r="A259" s="11"/>
      <c r="B259" s="13"/>
      <c r="C259" s="13"/>
      <c r="D259" s="11"/>
      <c r="E259" s="11"/>
      <c r="F259" s="11"/>
      <c r="G259" s="11"/>
      <c r="H259" s="14" t="str">
        <f>IF(OR(A259="",B259="",C259="",B259&gt;C259),"",MAX(0,NETWORKDAYS.INTL(B259,C259,1,'Non-working days'!$A$6:$A$45)-IF(D259="Half day",0.5,0)-IF(AND(E259="Half day",C259&lt;&gt;B259),0.5,0)))</f>
        <v/>
      </c>
      <c r="I259" s="15" t="str">
        <f>IF(A259="","",IF(COUNTIF(Employees!$A$6:$A$35,A259)=0,"Unknown employee ID",IF(B259&gt;C259,"Check dates",IF(AND(B259=C259,E259="Half day"),"Use First day for a single half day","OK"))))</f>
        <v/>
      </c>
    </row>
    <row r="260" spans="1:9" x14ac:dyDescent="0.3">
      <c r="A260" s="11"/>
      <c r="B260" s="13"/>
      <c r="C260" s="13"/>
      <c r="D260" s="11"/>
      <c r="E260" s="11"/>
      <c r="F260" s="11"/>
      <c r="G260" s="11"/>
      <c r="H260" s="14" t="str">
        <f>IF(OR(A260="",B260="",C260="",B260&gt;C260),"",MAX(0,NETWORKDAYS.INTL(B260,C260,1,'Non-working days'!$A$6:$A$45)-IF(D260="Half day",0.5,0)-IF(AND(E260="Half day",C260&lt;&gt;B260),0.5,0)))</f>
        <v/>
      </c>
      <c r="I260" s="15" t="str">
        <f>IF(A260="","",IF(COUNTIF(Employees!$A$6:$A$35,A260)=0,"Unknown employee ID",IF(B260&gt;C260,"Check dates",IF(AND(B260=C260,E260="Half day"),"Use First day for a single half day","OK"))))</f>
        <v/>
      </c>
    </row>
    <row r="261" spans="1:9" x14ac:dyDescent="0.3">
      <c r="A261" s="11"/>
      <c r="B261" s="13"/>
      <c r="C261" s="13"/>
      <c r="D261" s="11"/>
      <c r="E261" s="11"/>
      <c r="F261" s="11"/>
      <c r="G261" s="11"/>
      <c r="H261" s="14" t="str">
        <f>IF(OR(A261="",B261="",C261="",B261&gt;C261),"",MAX(0,NETWORKDAYS.INTL(B261,C261,1,'Non-working days'!$A$6:$A$45)-IF(D261="Half day",0.5,0)-IF(AND(E261="Half day",C261&lt;&gt;B261),0.5,0)))</f>
        <v/>
      </c>
      <c r="I261" s="15" t="str">
        <f>IF(A261="","",IF(COUNTIF(Employees!$A$6:$A$35,A261)=0,"Unknown employee ID",IF(B261&gt;C261,"Check dates",IF(AND(B261=C261,E261="Half day"),"Use First day for a single half day","OK"))))</f>
        <v/>
      </c>
    </row>
    <row r="262" spans="1:9" x14ac:dyDescent="0.3">
      <c r="A262" s="11"/>
      <c r="B262" s="13"/>
      <c r="C262" s="13"/>
      <c r="D262" s="11"/>
      <c r="E262" s="11"/>
      <c r="F262" s="11"/>
      <c r="G262" s="11"/>
      <c r="H262" s="14" t="str">
        <f>IF(OR(A262="",B262="",C262="",B262&gt;C262),"",MAX(0,NETWORKDAYS.INTL(B262,C262,1,'Non-working days'!$A$6:$A$45)-IF(D262="Half day",0.5,0)-IF(AND(E262="Half day",C262&lt;&gt;B262),0.5,0)))</f>
        <v/>
      </c>
      <c r="I262" s="15" t="str">
        <f>IF(A262="","",IF(COUNTIF(Employees!$A$6:$A$35,A262)=0,"Unknown employee ID",IF(B262&gt;C262,"Check dates",IF(AND(B262=C262,E262="Half day"),"Use First day for a single half day","OK"))))</f>
        <v/>
      </c>
    </row>
    <row r="263" spans="1:9" x14ac:dyDescent="0.3">
      <c r="A263" s="11"/>
      <c r="B263" s="13"/>
      <c r="C263" s="13"/>
      <c r="D263" s="11"/>
      <c r="E263" s="11"/>
      <c r="F263" s="11"/>
      <c r="G263" s="11"/>
      <c r="H263" s="14" t="str">
        <f>IF(OR(A263="",B263="",C263="",B263&gt;C263),"",MAX(0,NETWORKDAYS.INTL(B263,C263,1,'Non-working days'!$A$6:$A$45)-IF(D263="Half day",0.5,0)-IF(AND(E263="Half day",C263&lt;&gt;B263),0.5,0)))</f>
        <v/>
      </c>
      <c r="I263" s="15" t="str">
        <f>IF(A263="","",IF(COUNTIF(Employees!$A$6:$A$35,A263)=0,"Unknown employee ID",IF(B263&gt;C263,"Check dates",IF(AND(B263=C263,E263="Half day"),"Use First day for a single half day","OK"))))</f>
        <v/>
      </c>
    </row>
    <row r="264" spans="1:9" x14ac:dyDescent="0.3">
      <c r="A264" s="11"/>
      <c r="B264" s="13"/>
      <c r="C264" s="13"/>
      <c r="D264" s="11"/>
      <c r="E264" s="11"/>
      <c r="F264" s="11"/>
      <c r="G264" s="11"/>
      <c r="H264" s="14" t="str">
        <f>IF(OR(A264="",B264="",C264="",B264&gt;C264),"",MAX(0,NETWORKDAYS.INTL(B264,C264,1,'Non-working days'!$A$6:$A$45)-IF(D264="Half day",0.5,0)-IF(AND(E264="Half day",C264&lt;&gt;B264),0.5,0)))</f>
        <v/>
      </c>
      <c r="I264" s="15" t="str">
        <f>IF(A264="","",IF(COUNTIF(Employees!$A$6:$A$35,A264)=0,"Unknown employee ID",IF(B264&gt;C264,"Check dates",IF(AND(B264=C264,E264="Half day"),"Use First day for a single half day","OK"))))</f>
        <v/>
      </c>
    </row>
    <row r="265" spans="1:9" x14ac:dyDescent="0.3">
      <c r="A265" s="11"/>
      <c r="B265" s="13"/>
      <c r="C265" s="13"/>
      <c r="D265" s="11"/>
      <c r="E265" s="11"/>
      <c r="F265" s="11"/>
      <c r="G265" s="11"/>
      <c r="H265" s="14" t="str">
        <f>IF(OR(A265="",B265="",C265="",B265&gt;C265),"",MAX(0,NETWORKDAYS.INTL(B265,C265,1,'Non-working days'!$A$6:$A$45)-IF(D265="Half day",0.5,0)-IF(AND(E265="Half day",C265&lt;&gt;B265),0.5,0)))</f>
        <v/>
      </c>
      <c r="I265" s="15" t="str">
        <f>IF(A265="","",IF(COUNTIF(Employees!$A$6:$A$35,A265)=0,"Unknown employee ID",IF(B265&gt;C265,"Check dates",IF(AND(B265=C265,E265="Half day"),"Use First day for a single half day","OK"))))</f>
        <v/>
      </c>
    </row>
    <row r="266" spans="1:9" x14ac:dyDescent="0.3">
      <c r="A266" s="11"/>
      <c r="B266" s="13"/>
      <c r="C266" s="13"/>
      <c r="D266" s="11"/>
      <c r="E266" s="11"/>
      <c r="F266" s="11"/>
      <c r="G266" s="11"/>
      <c r="H266" s="14" t="str">
        <f>IF(OR(A266="",B266="",C266="",B266&gt;C266),"",MAX(0,NETWORKDAYS.INTL(B266,C266,1,'Non-working days'!$A$6:$A$45)-IF(D266="Half day",0.5,0)-IF(AND(E266="Half day",C266&lt;&gt;B266),0.5,0)))</f>
        <v/>
      </c>
      <c r="I266" s="15" t="str">
        <f>IF(A266="","",IF(COUNTIF(Employees!$A$6:$A$35,A266)=0,"Unknown employee ID",IF(B266&gt;C266,"Check dates",IF(AND(B266=C266,E266="Half day"),"Use First day for a single half day","OK"))))</f>
        <v/>
      </c>
    </row>
    <row r="267" spans="1:9" x14ac:dyDescent="0.3">
      <c r="A267" s="11"/>
      <c r="B267" s="13"/>
      <c r="C267" s="13"/>
      <c r="D267" s="11"/>
      <c r="E267" s="11"/>
      <c r="F267" s="11"/>
      <c r="G267" s="11"/>
      <c r="H267" s="14" t="str">
        <f>IF(OR(A267="",B267="",C267="",B267&gt;C267),"",MAX(0,NETWORKDAYS.INTL(B267,C267,1,'Non-working days'!$A$6:$A$45)-IF(D267="Half day",0.5,0)-IF(AND(E267="Half day",C267&lt;&gt;B267),0.5,0)))</f>
        <v/>
      </c>
      <c r="I267" s="15" t="str">
        <f>IF(A267="","",IF(COUNTIF(Employees!$A$6:$A$35,A267)=0,"Unknown employee ID",IF(B267&gt;C267,"Check dates",IF(AND(B267=C267,E267="Half day"),"Use First day for a single half day","OK"))))</f>
        <v/>
      </c>
    </row>
    <row r="268" spans="1:9" x14ac:dyDescent="0.3">
      <c r="A268" s="11"/>
      <c r="B268" s="13"/>
      <c r="C268" s="13"/>
      <c r="D268" s="11"/>
      <c r="E268" s="11"/>
      <c r="F268" s="11"/>
      <c r="G268" s="11"/>
      <c r="H268" s="14" t="str">
        <f>IF(OR(A268="",B268="",C268="",B268&gt;C268),"",MAX(0,NETWORKDAYS.INTL(B268,C268,1,'Non-working days'!$A$6:$A$45)-IF(D268="Half day",0.5,0)-IF(AND(E268="Half day",C268&lt;&gt;B268),0.5,0)))</f>
        <v/>
      </c>
      <c r="I268" s="15" t="str">
        <f>IF(A268="","",IF(COUNTIF(Employees!$A$6:$A$35,A268)=0,"Unknown employee ID",IF(B268&gt;C268,"Check dates",IF(AND(B268=C268,E268="Half day"),"Use First day for a single half day","OK"))))</f>
        <v/>
      </c>
    </row>
    <row r="269" spans="1:9" x14ac:dyDescent="0.3">
      <c r="A269" s="11"/>
      <c r="B269" s="13"/>
      <c r="C269" s="13"/>
      <c r="D269" s="11"/>
      <c r="E269" s="11"/>
      <c r="F269" s="11"/>
      <c r="G269" s="11"/>
      <c r="H269" s="14" t="str">
        <f>IF(OR(A269="",B269="",C269="",B269&gt;C269),"",MAX(0,NETWORKDAYS.INTL(B269,C269,1,'Non-working days'!$A$6:$A$45)-IF(D269="Half day",0.5,0)-IF(AND(E269="Half day",C269&lt;&gt;B269),0.5,0)))</f>
        <v/>
      </c>
      <c r="I269" s="15" t="str">
        <f>IF(A269="","",IF(COUNTIF(Employees!$A$6:$A$35,A269)=0,"Unknown employee ID",IF(B269&gt;C269,"Check dates",IF(AND(B269=C269,E269="Half day"),"Use First day for a single half day","OK"))))</f>
        <v/>
      </c>
    </row>
    <row r="270" spans="1:9" x14ac:dyDescent="0.3">
      <c r="A270" s="11"/>
      <c r="B270" s="13"/>
      <c r="C270" s="13"/>
      <c r="D270" s="11"/>
      <c r="E270" s="11"/>
      <c r="F270" s="11"/>
      <c r="G270" s="11"/>
      <c r="H270" s="14" t="str">
        <f>IF(OR(A270="",B270="",C270="",B270&gt;C270),"",MAX(0,NETWORKDAYS.INTL(B270,C270,1,'Non-working days'!$A$6:$A$45)-IF(D270="Half day",0.5,0)-IF(AND(E270="Half day",C270&lt;&gt;B270),0.5,0)))</f>
        <v/>
      </c>
      <c r="I270" s="15" t="str">
        <f>IF(A270="","",IF(COUNTIF(Employees!$A$6:$A$35,A270)=0,"Unknown employee ID",IF(B270&gt;C270,"Check dates",IF(AND(B270=C270,E270="Half day"),"Use First day for a single half day","OK"))))</f>
        <v/>
      </c>
    </row>
    <row r="271" spans="1:9" x14ac:dyDescent="0.3">
      <c r="A271" s="11"/>
      <c r="B271" s="13"/>
      <c r="C271" s="13"/>
      <c r="D271" s="11"/>
      <c r="E271" s="11"/>
      <c r="F271" s="11"/>
      <c r="G271" s="11"/>
      <c r="H271" s="14" t="str">
        <f>IF(OR(A271="",B271="",C271="",B271&gt;C271),"",MAX(0,NETWORKDAYS.INTL(B271,C271,1,'Non-working days'!$A$6:$A$45)-IF(D271="Half day",0.5,0)-IF(AND(E271="Half day",C271&lt;&gt;B271),0.5,0)))</f>
        <v/>
      </c>
      <c r="I271" s="15" t="str">
        <f>IF(A271="","",IF(COUNTIF(Employees!$A$6:$A$35,A271)=0,"Unknown employee ID",IF(B271&gt;C271,"Check dates",IF(AND(B271=C271,E271="Half day"),"Use First day for a single half day","OK"))))</f>
        <v/>
      </c>
    </row>
    <row r="272" spans="1:9" x14ac:dyDescent="0.3">
      <c r="A272" s="11"/>
      <c r="B272" s="13"/>
      <c r="C272" s="13"/>
      <c r="D272" s="11"/>
      <c r="E272" s="11"/>
      <c r="F272" s="11"/>
      <c r="G272" s="11"/>
      <c r="H272" s="14" t="str">
        <f>IF(OR(A272="",B272="",C272="",B272&gt;C272),"",MAX(0,NETWORKDAYS.INTL(B272,C272,1,'Non-working days'!$A$6:$A$45)-IF(D272="Half day",0.5,0)-IF(AND(E272="Half day",C272&lt;&gt;B272),0.5,0)))</f>
        <v/>
      </c>
      <c r="I272" s="15" t="str">
        <f>IF(A272="","",IF(COUNTIF(Employees!$A$6:$A$35,A272)=0,"Unknown employee ID",IF(B272&gt;C272,"Check dates",IF(AND(B272=C272,E272="Half day"),"Use First day for a single half day","OK"))))</f>
        <v/>
      </c>
    </row>
    <row r="273" spans="1:9" x14ac:dyDescent="0.3">
      <c r="A273" s="11"/>
      <c r="B273" s="13"/>
      <c r="C273" s="13"/>
      <c r="D273" s="11"/>
      <c r="E273" s="11"/>
      <c r="F273" s="11"/>
      <c r="G273" s="11"/>
      <c r="H273" s="14" t="str">
        <f>IF(OR(A273="",B273="",C273="",B273&gt;C273),"",MAX(0,NETWORKDAYS.INTL(B273,C273,1,'Non-working days'!$A$6:$A$45)-IF(D273="Half day",0.5,0)-IF(AND(E273="Half day",C273&lt;&gt;B273),0.5,0)))</f>
        <v/>
      </c>
      <c r="I273" s="15" t="str">
        <f>IF(A273="","",IF(COUNTIF(Employees!$A$6:$A$35,A273)=0,"Unknown employee ID",IF(B273&gt;C273,"Check dates",IF(AND(B273=C273,E273="Half day"),"Use First day for a single half day","OK"))))</f>
        <v/>
      </c>
    </row>
    <row r="274" spans="1:9" x14ac:dyDescent="0.3">
      <c r="A274" s="11"/>
      <c r="B274" s="13"/>
      <c r="C274" s="13"/>
      <c r="D274" s="11"/>
      <c r="E274" s="11"/>
      <c r="F274" s="11"/>
      <c r="G274" s="11"/>
      <c r="H274" s="14" t="str">
        <f>IF(OR(A274="",B274="",C274="",B274&gt;C274),"",MAX(0,NETWORKDAYS.INTL(B274,C274,1,'Non-working days'!$A$6:$A$45)-IF(D274="Half day",0.5,0)-IF(AND(E274="Half day",C274&lt;&gt;B274),0.5,0)))</f>
        <v/>
      </c>
      <c r="I274" s="15" t="str">
        <f>IF(A274="","",IF(COUNTIF(Employees!$A$6:$A$35,A274)=0,"Unknown employee ID",IF(B274&gt;C274,"Check dates",IF(AND(B274=C274,E274="Half day"),"Use First day for a single half day","OK"))))</f>
        <v/>
      </c>
    </row>
    <row r="275" spans="1:9" x14ac:dyDescent="0.3">
      <c r="A275" s="11"/>
      <c r="B275" s="13"/>
      <c r="C275" s="13"/>
      <c r="D275" s="11"/>
      <c r="E275" s="11"/>
      <c r="F275" s="11"/>
      <c r="G275" s="11"/>
      <c r="H275" s="14" t="str">
        <f>IF(OR(A275="",B275="",C275="",B275&gt;C275),"",MAX(0,NETWORKDAYS.INTL(B275,C275,1,'Non-working days'!$A$6:$A$45)-IF(D275="Half day",0.5,0)-IF(AND(E275="Half day",C275&lt;&gt;B275),0.5,0)))</f>
        <v/>
      </c>
      <c r="I275" s="15" t="str">
        <f>IF(A275="","",IF(COUNTIF(Employees!$A$6:$A$35,A275)=0,"Unknown employee ID",IF(B275&gt;C275,"Check dates",IF(AND(B275=C275,E275="Half day"),"Use First day for a single half day","OK"))))</f>
        <v/>
      </c>
    </row>
    <row r="276" spans="1:9" x14ac:dyDescent="0.3">
      <c r="A276" s="11"/>
      <c r="B276" s="13"/>
      <c r="C276" s="13"/>
      <c r="D276" s="11"/>
      <c r="E276" s="11"/>
      <c r="F276" s="11"/>
      <c r="G276" s="11"/>
      <c r="H276" s="14" t="str">
        <f>IF(OR(A276="",B276="",C276="",B276&gt;C276),"",MAX(0,NETWORKDAYS.INTL(B276,C276,1,'Non-working days'!$A$6:$A$45)-IF(D276="Half day",0.5,0)-IF(AND(E276="Half day",C276&lt;&gt;B276),0.5,0)))</f>
        <v/>
      </c>
      <c r="I276" s="15" t="str">
        <f>IF(A276="","",IF(COUNTIF(Employees!$A$6:$A$35,A276)=0,"Unknown employee ID",IF(B276&gt;C276,"Check dates",IF(AND(B276=C276,E276="Half day"),"Use First day for a single half day","OK"))))</f>
        <v/>
      </c>
    </row>
    <row r="277" spans="1:9" x14ac:dyDescent="0.3">
      <c r="A277" s="11"/>
      <c r="B277" s="13"/>
      <c r="C277" s="13"/>
      <c r="D277" s="11"/>
      <c r="E277" s="11"/>
      <c r="F277" s="11"/>
      <c r="G277" s="11"/>
      <c r="H277" s="14" t="str">
        <f>IF(OR(A277="",B277="",C277="",B277&gt;C277),"",MAX(0,NETWORKDAYS.INTL(B277,C277,1,'Non-working days'!$A$6:$A$45)-IF(D277="Half day",0.5,0)-IF(AND(E277="Half day",C277&lt;&gt;B277),0.5,0)))</f>
        <v/>
      </c>
      <c r="I277" s="15" t="str">
        <f>IF(A277="","",IF(COUNTIF(Employees!$A$6:$A$35,A277)=0,"Unknown employee ID",IF(B277&gt;C277,"Check dates",IF(AND(B277=C277,E277="Half day"),"Use First day for a single half day","OK"))))</f>
        <v/>
      </c>
    </row>
    <row r="278" spans="1:9" x14ac:dyDescent="0.3">
      <c r="A278" s="11"/>
      <c r="B278" s="13"/>
      <c r="C278" s="13"/>
      <c r="D278" s="11"/>
      <c r="E278" s="11"/>
      <c r="F278" s="11"/>
      <c r="G278" s="11"/>
      <c r="H278" s="14" t="str">
        <f>IF(OR(A278="",B278="",C278="",B278&gt;C278),"",MAX(0,NETWORKDAYS.INTL(B278,C278,1,'Non-working days'!$A$6:$A$45)-IF(D278="Half day",0.5,0)-IF(AND(E278="Half day",C278&lt;&gt;B278),0.5,0)))</f>
        <v/>
      </c>
      <c r="I278" s="15" t="str">
        <f>IF(A278="","",IF(COUNTIF(Employees!$A$6:$A$35,A278)=0,"Unknown employee ID",IF(B278&gt;C278,"Check dates",IF(AND(B278=C278,E278="Half day"),"Use First day for a single half day","OK"))))</f>
        <v/>
      </c>
    </row>
    <row r="279" spans="1:9" x14ac:dyDescent="0.3">
      <c r="A279" s="11"/>
      <c r="B279" s="13"/>
      <c r="C279" s="13"/>
      <c r="D279" s="11"/>
      <c r="E279" s="11"/>
      <c r="F279" s="11"/>
      <c r="G279" s="11"/>
      <c r="H279" s="14" t="str">
        <f>IF(OR(A279="",B279="",C279="",B279&gt;C279),"",MAX(0,NETWORKDAYS.INTL(B279,C279,1,'Non-working days'!$A$6:$A$45)-IF(D279="Half day",0.5,0)-IF(AND(E279="Half day",C279&lt;&gt;B279),0.5,0)))</f>
        <v/>
      </c>
      <c r="I279" s="15" t="str">
        <f>IF(A279="","",IF(COUNTIF(Employees!$A$6:$A$35,A279)=0,"Unknown employee ID",IF(B279&gt;C279,"Check dates",IF(AND(B279=C279,E279="Half day"),"Use First day for a single half day","OK"))))</f>
        <v/>
      </c>
    </row>
    <row r="280" spans="1:9" x14ac:dyDescent="0.3">
      <c r="A280" s="11"/>
      <c r="B280" s="13"/>
      <c r="C280" s="13"/>
      <c r="D280" s="11"/>
      <c r="E280" s="11"/>
      <c r="F280" s="11"/>
      <c r="G280" s="11"/>
      <c r="H280" s="14" t="str">
        <f>IF(OR(A280="",B280="",C280="",B280&gt;C280),"",MAX(0,NETWORKDAYS.INTL(B280,C280,1,'Non-working days'!$A$6:$A$45)-IF(D280="Half day",0.5,0)-IF(AND(E280="Half day",C280&lt;&gt;B280),0.5,0)))</f>
        <v/>
      </c>
      <c r="I280" s="15" t="str">
        <f>IF(A280="","",IF(COUNTIF(Employees!$A$6:$A$35,A280)=0,"Unknown employee ID",IF(B280&gt;C280,"Check dates",IF(AND(B280=C280,E280="Half day"),"Use First day for a single half day","OK"))))</f>
        <v/>
      </c>
    </row>
    <row r="281" spans="1:9" x14ac:dyDescent="0.3">
      <c r="A281" s="11"/>
      <c r="B281" s="13"/>
      <c r="C281" s="13"/>
      <c r="D281" s="11"/>
      <c r="E281" s="11"/>
      <c r="F281" s="11"/>
      <c r="G281" s="11"/>
      <c r="H281" s="14" t="str">
        <f>IF(OR(A281="",B281="",C281="",B281&gt;C281),"",MAX(0,NETWORKDAYS.INTL(B281,C281,1,'Non-working days'!$A$6:$A$45)-IF(D281="Half day",0.5,0)-IF(AND(E281="Half day",C281&lt;&gt;B281),0.5,0)))</f>
        <v/>
      </c>
      <c r="I281" s="15" t="str">
        <f>IF(A281="","",IF(COUNTIF(Employees!$A$6:$A$35,A281)=0,"Unknown employee ID",IF(B281&gt;C281,"Check dates",IF(AND(B281=C281,E281="Half day"),"Use First day for a single half day","OK"))))</f>
        <v/>
      </c>
    </row>
    <row r="282" spans="1:9" x14ac:dyDescent="0.3">
      <c r="A282" s="11"/>
      <c r="B282" s="13"/>
      <c r="C282" s="13"/>
      <c r="D282" s="11"/>
      <c r="E282" s="11"/>
      <c r="F282" s="11"/>
      <c r="G282" s="11"/>
      <c r="H282" s="14" t="str">
        <f>IF(OR(A282="",B282="",C282="",B282&gt;C282),"",MAX(0,NETWORKDAYS.INTL(B282,C282,1,'Non-working days'!$A$6:$A$45)-IF(D282="Half day",0.5,0)-IF(AND(E282="Half day",C282&lt;&gt;B282),0.5,0)))</f>
        <v/>
      </c>
      <c r="I282" s="15" t="str">
        <f>IF(A282="","",IF(COUNTIF(Employees!$A$6:$A$35,A282)=0,"Unknown employee ID",IF(B282&gt;C282,"Check dates",IF(AND(B282=C282,E282="Half day"),"Use First day for a single half day","OK"))))</f>
        <v/>
      </c>
    </row>
    <row r="283" spans="1:9" x14ac:dyDescent="0.3">
      <c r="A283" s="11"/>
      <c r="B283" s="13"/>
      <c r="C283" s="13"/>
      <c r="D283" s="11"/>
      <c r="E283" s="11"/>
      <c r="F283" s="11"/>
      <c r="G283" s="11"/>
      <c r="H283" s="14" t="str">
        <f>IF(OR(A283="",B283="",C283="",B283&gt;C283),"",MAX(0,NETWORKDAYS.INTL(B283,C283,1,'Non-working days'!$A$6:$A$45)-IF(D283="Half day",0.5,0)-IF(AND(E283="Half day",C283&lt;&gt;B283),0.5,0)))</f>
        <v/>
      </c>
      <c r="I283" s="15" t="str">
        <f>IF(A283="","",IF(COUNTIF(Employees!$A$6:$A$35,A283)=0,"Unknown employee ID",IF(B283&gt;C283,"Check dates",IF(AND(B283=C283,E283="Half day"),"Use First day for a single half day","OK"))))</f>
        <v/>
      </c>
    </row>
    <row r="284" spans="1:9" x14ac:dyDescent="0.3">
      <c r="A284" s="11"/>
      <c r="B284" s="13"/>
      <c r="C284" s="13"/>
      <c r="D284" s="11"/>
      <c r="E284" s="11"/>
      <c r="F284" s="11"/>
      <c r="G284" s="11"/>
      <c r="H284" s="14" t="str">
        <f>IF(OR(A284="",B284="",C284="",B284&gt;C284),"",MAX(0,NETWORKDAYS.INTL(B284,C284,1,'Non-working days'!$A$6:$A$45)-IF(D284="Half day",0.5,0)-IF(AND(E284="Half day",C284&lt;&gt;B284),0.5,0)))</f>
        <v/>
      </c>
      <c r="I284" s="15" t="str">
        <f>IF(A284="","",IF(COUNTIF(Employees!$A$6:$A$35,A284)=0,"Unknown employee ID",IF(B284&gt;C284,"Check dates",IF(AND(B284=C284,E284="Half day"),"Use First day for a single half day","OK"))))</f>
        <v/>
      </c>
    </row>
    <row r="285" spans="1:9" x14ac:dyDescent="0.3">
      <c r="A285" s="11"/>
      <c r="B285" s="13"/>
      <c r="C285" s="13"/>
      <c r="D285" s="11"/>
      <c r="E285" s="11"/>
      <c r="F285" s="11"/>
      <c r="G285" s="11"/>
      <c r="H285" s="14" t="str">
        <f>IF(OR(A285="",B285="",C285="",B285&gt;C285),"",MAX(0,NETWORKDAYS.INTL(B285,C285,1,'Non-working days'!$A$6:$A$45)-IF(D285="Half day",0.5,0)-IF(AND(E285="Half day",C285&lt;&gt;B285),0.5,0)))</f>
        <v/>
      </c>
      <c r="I285" s="15" t="str">
        <f>IF(A285="","",IF(COUNTIF(Employees!$A$6:$A$35,A285)=0,"Unknown employee ID",IF(B285&gt;C285,"Check dates",IF(AND(B285=C285,E285="Half day"),"Use First day for a single half day","OK"))))</f>
        <v/>
      </c>
    </row>
    <row r="286" spans="1:9" x14ac:dyDescent="0.3">
      <c r="A286" s="11"/>
      <c r="B286" s="13"/>
      <c r="C286" s="13"/>
      <c r="D286" s="11"/>
      <c r="E286" s="11"/>
      <c r="F286" s="11"/>
      <c r="G286" s="11"/>
      <c r="H286" s="14" t="str">
        <f>IF(OR(A286="",B286="",C286="",B286&gt;C286),"",MAX(0,NETWORKDAYS.INTL(B286,C286,1,'Non-working days'!$A$6:$A$45)-IF(D286="Half day",0.5,0)-IF(AND(E286="Half day",C286&lt;&gt;B286),0.5,0)))</f>
        <v/>
      </c>
      <c r="I286" s="15" t="str">
        <f>IF(A286="","",IF(COUNTIF(Employees!$A$6:$A$35,A286)=0,"Unknown employee ID",IF(B286&gt;C286,"Check dates",IF(AND(B286=C286,E286="Half day"),"Use First day for a single half day","OK"))))</f>
        <v/>
      </c>
    </row>
    <row r="287" spans="1:9" x14ac:dyDescent="0.3">
      <c r="A287" s="11"/>
      <c r="B287" s="13"/>
      <c r="C287" s="13"/>
      <c r="D287" s="11"/>
      <c r="E287" s="11"/>
      <c r="F287" s="11"/>
      <c r="G287" s="11"/>
      <c r="H287" s="14" t="str">
        <f>IF(OR(A287="",B287="",C287="",B287&gt;C287),"",MAX(0,NETWORKDAYS.INTL(B287,C287,1,'Non-working days'!$A$6:$A$45)-IF(D287="Half day",0.5,0)-IF(AND(E287="Half day",C287&lt;&gt;B287),0.5,0)))</f>
        <v/>
      </c>
      <c r="I287" s="15" t="str">
        <f>IF(A287="","",IF(COUNTIF(Employees!$A$6:$A$35,A287)=0,"Unknown employee ID",IF(B287&gt;C287,"Check dates",IF(AND(B287=C287,E287="Half day"),"Use First day for a single half day","OK"))))</f>
        <v/>
      </c>
    </row>
    <row r="288" spans="1:9" x14ac:dyDescent="0.3">
      <c r="A288" s="11"/>
      <c r="B288" s="13"/>
      <c r="C288" s="13"/>
      <c r="D288" s="11"/>
      <c r="E288" s="11"/>
      <c r="F288" s="11"/>
      <c r="G288" s="11"/>
      <c r="H288" s="14" t="str">
        <f>IF(OR(A288="",B288="",C288="",B288&gt;C288),"",MAX(0,NETWORKDAYS.INTL(B288,C288,1,'Non-working days'!$A$6:$A$45)-IF(D288="Half day",0.5,0)-IF(AND(E288="Half day",C288&lt;&gt;B288),0.5,0)))</f>
        <v/>
      </c>
      <c r="I288" s="15" t="str">
        <f>IF(A288="","",IF(COUNTIF(Employees!$A$6:$A$35,A288)=0,"Unknown employee ID",IF(B288&gt;C288,"Check dates",IF(AND(B288=C288,E288="Half day"),"Use First day for a single half day","OK"))))</f>
        <v/>
      </c>
    </row>
    <row r="289" spans="1:9" x14ac:dyDescent="0.3">
      <c r="A289" s="11"/>
      <c r="B289" s="13"/>
      <c r="C289" s="13"/>
      <c r="D289" s="11"/>
      <c r="E289" s="11"/>
      <c r="F289" s="11"/>
      <c r="G289" s="11"/>
      <c r="H289" s="14" t="str">
        <f>IF(OR(A289="",B289="",C289="",B289&gt;C289),"",MAX(0,NETWORKDAYS.INTL(B289,C289,1,'Non-working days'!$A$6:$A$45)-IF(D289="Half day",0.5,0)-IF(AND(E289="Half day",C289&lt;&gt;B289),0.5,0)))</f>
        <v/>
      </c>
      <c r="I289" s="15" t="str">
        <f>IF(A289="","",IF(COUNTIF(Employees!$A$6:$A$35,A289)=0,"Unknown employee ID",IF(B289&gt;C289,"Check dates",IF(AND(B289=C289,E289="Half day"),"Use First day for a single half day","OK"))))</f>
        <v/>
      </c>
    </row>
    <row r="290" spans="1:9" x14ac:dyDescent="0.3">
      <c r="A290" s="11"/>
      <c r="B290" s="13"/>
      <c r="C290" s="13"/>
      <c r="D290" s="11"/>
      <c r="E290" s="11"/>
      <c r="F290" s="11"/>
      <c r="G290" s="11"/>
      <c r="H290" s="14" t="str">
        <f>IF(OR(A290="",B290="",C290="",B290&gt;C290),"",MAX(0,NETWORKDAYS.INTL(B290,C290,1,'Non-working days'!$A$6:$A$45)-IF(D290="Half day",0.5,0)-IF(AND(E290="Half day",C290&lt;&gt;B290),0.5,0)))</f>
        <v/>
      </c>
      <c r="I290" s="15" t="str">
        <f>IF(A290="","",IF(COUNTIF(Employees!$A$6:$A$35,A290)=0,"Unknown employee ID",IF(B290&gt;C290,"Check dates",IF(AND(B290=C290,E290="Half day"),"Use First day for a single half day","OK"))))</f>
        <v/>
      </c>
    </row>
    <row r="291" spans="1:9" x14ac:dyDescent="0.3">
      <c r="A291" s="11"/>
      <c r="B291" s="13"/>
      <c r="C291" s="13"/>
      <c r="D291" s="11"/>
      <c r="E291" s="11"/>
      <c r="F291" s="11"/>
      <c r="G291" s="11"/>
      <c r="H291" s="14" t="str">
        <f>IF(OR(A291="",B291="",C291="",B291&gt;C291),"",MAX(0,NETWORKDAYS.INTL(B291,C291,1,'Non-working days'!$A$6:$A$45)-IF(D291="Half day",0.5,0)-IF(AND(E291="Half day",C291&lt;&gt;B291),0.5,0)))</f>
        <v/>
      </c>
      <c r="I291" s="15" t="str">
        <f>IF(A291="","",IF(COUNTIF(Employees!$A$6:$A$35,A291)=0,"Unknown employee ID",IF(B291&gt;C291,"Check dates",IF(AND(B291=C291,E291="Half day"),"Use First day for a single half day","OK"))))</f>
        <v/>
      </c>
    </row>
    <row r="292" spans="1:9" x14ac:dyDescent="0.3">
      <c r="A292" s="11"/>
      <c r="B292" s="13"/>
      <c r="C292" s="13"/>
      <c r="D292" s="11"/>
      <c r="E292" s="11"/>
      <c r="F292" s="11"/>
      <c r="G292" s="11"/>
      <c r="H292" s="14" t="str">
        <f>IF(OR(A292="",B292="",C292="",B292&gt;C292),"",MAX(0,NETWORKDAYS.INTL(B292,C292,1,'Non-working days'!$A$6:$A$45)-IF(D292="Half day",0.5,0)-IF(AND(E292="Half day",C292&lt;&gt;B292),0.5,0)))</f>
        <v/>
      </c>
      <c r="I292" s="15" t="str">
        <f>IF(A292="","",IF(COUNTIF(Employees!$A$6:$A$35,A292)=0,"Unknown employee ID",IF(B292&gt;C292,"Check dates",IF(AND(B292=C292,E292="Half day"),"Use First day for a single half day","OK"))))</f>
        <v/>
      </c>
    </row>
    <row r="293" spans="1:9" x14ac:dyDescent="0.3">
      <c r="A293" s="11"/>
      <c r="B293" s="13"/>
      <c r="C293" s="13"/>
      <c r="D293" s="11"/>
      <c r="E293" s="11"/>
      <c r="F293" s="11"/>
      <c r="G293" s="11"/>
      <c r="H293" s="14" t="str">
        <f>IF(OR(A293="",B293="",C293="",B293&gt;C293),"",MAX(0,NETWORKDAYS.INTL(B293,C293,1,'Non-working days'!$A$6:$A$45)-IF(D293="Half day",0.5,0)-IF(AND(E293="Half day",C293&lt;&gt;B293),0.5,0)))</f>
        <v/>
      </c>
      <c r="I293" s="15" t="str">
        <f>IF(A293="","",IF(COUNTIF(Employees!$A$6:$A$35,A293)=0,"Unknown employee ID",IF(B293&gt;C293,"Check dates",IF(AND(B293=C293,E293="Half day"),"Use First day for a single half day","OK"))))</f>
        <v/>
      </c>
    </row>
    <row r="294" spans="1:9" x14ac:dyDescent="0.3">
      <c r="A294" s="11"/>
      <c r="B294" s="13"/>
      <c r="C294" s="13"/>
      <c r="D294" s="11"/>
      <c r="E294" s="11"/>
      <c r="F294" s="11"/>
      <c r="G294" s="11"/>
      <c r="H294" s="14" t="str">
        <f>IF(OR(A294="",B294="",C294="",B294&gt;C294),"",MAX(0,NETWORKDAYS.INTL(B294,C294,1,'Non-working days'!$A$6:$A$45)-IF(D294="Half day",0.5,0)-IF(AND(E294="Half day",C294&lt;&gt;B294),0.5,0)))</f>
        <v/>
      </c>
      <c r="I294" s="15" t="str">
        <f>IF(A294="","",IF(COUNTIF(Employees!$A$6:$A$35,A294)=0,"Unknown employee ID",IF(B294&gt;C294,"Check dates",IF(AND(B294=C294,E294="Half day"),"Use First day for a single half day","OK"))))</f>
        <v/>
      </c>
    </row>
    <row r="295" spans="1:9" x14ac:dyDescent="0.3">
      <c r="A295" s="11"/>
      <c r="B295" s="13"/>
      <c r="C295" s="13"/>
      <c r="D295" s="11"/>
      <c r="E295" s="11"/>
      <c r="F295" s="11"/>
      <c r="G295" s="11"/>
      <c r="H295" s="14" t="str">
        <f>IF(OR(A295="",B295="",C295="",B295&gt;C295),"",MAX(0,NETWORKDAYS.INTL(B295,C295,1,'Non-working days'!$A$6:$A$45)-IF(D295="Half day",0.5,0)-IF(AND(E295="Half day",C295&lt;&gt;B295),0.5,0)))</f>
        <v/>
      </c>
      <c r="I295" s="15" t="str">
        <f>IF(A295="","",IF(COUNTIF(Employees!$A$6:$A$35,A295)=0,"Unknown employee ID",IF(B295&gt;C295,"Check dates",IF(AND(B295=C295,E295="Half day"),"Use First day for a single half day","OK"))))</f>
        <v/>
      </c>
    </row>
    <row r="296" spans="1:9" x14ac:dyDescent="0.3">
      <c r="A296" s="11"/>
      <c r="B296" s="13"/>
      <c r="C296" s="13"/>
      <c r="D296" s="11"/>
      <c r="E296" s="11"/>
      <c r="F296" s="11"/>
      <c r="G296" s="11"/>
      <c r="H296" s="14" t="str">
        <f>IF(OR(A296="",B296="",C296="",B296&gt;C296),"",MAX(0,NETWORKDAYS.INTL(B296,C296,1,'Non-working days'!$A$6:$A$45)-IF(D296="Half day",0.5,0)-IF(AND(E296="Half day",C296&lt;&gt;B296),0.5,0)))</f>
        <v/>
      </c>
      <c r="I296" s="15" t="str">
        <f>IF(A296="","",IF(COUNTIF(Employees!$A$6:$A$35,A296)=0,"Unknown employee ID",IF(B296&gt;C296,"Check dates",IF(AND(B296=C296,E296="Half day"),"Use First day for a single half day","OK"))))</f>
        <v/>
      </c>
    </row>
    <row r="297" spans="1:9" x14ac:dyDescent="0.3">
      <c r="A297" s="11"/>
      <c r="B297" s="13"/>
      <c r="C297" s="13"/>
      <c r="D297" s="11"/>
      <c r="E297" s="11"/>
      <c r="F297" s="11"/>
      <c r="G297" s="11"/>
      <c r="H297" s="14" t="str">
        <f>IF(OR(A297="",B297="",C297="",B297&gt;C297),"",MAX(0,NETWORKDAYS.INTL(B297,C297,1,'Non-working days'!$A$6:$A$45)-IF(D297="Half day",0.5,0)-IF(AND(E297="Half day",C297&lt;&gt;B297),0.5,0)))</f>
        <v/>
      </c>
      <c r="I297" s="15" t="str">
        <f>IF(A297="","",IF(COUNTIF(Employees!$A$6:$A$35,A297)=0,"Unknown employee ID",IF(B297&gt;C297,"Check dates",IF(AND(B297=C297,E297="Half day"),"Use First day for a single half day","OK"))))</f>
        <v/>
      </c>
    </row>
    <row r="298" spans="1:9" x14ac:dyDescent="0.3">
      <c r="A298" s="11"/>
      <c r="B298" s="13"/>
      <c r="C298" s="13"/>
      <c r="D298" s="11"/>
      <c r="E298" s="11"/>
      <c r="F298" s="11"/>
      <c r="G298" s="11"/>
      <c r="H298" s="14" t="str">
        <f>IF(OR(A298="",B298="",C298="",B298&gt;C298),"",MAX(0,NETWORKDAYS.INTL(B298,C298,1,'Non-working days'!$A$6:$A$45)-IF(D298="Half day",0.5,0)-IF(AND(E298="Half day",C298&lt;&gt;B298),0.5,0)))</f>
        <v/>
      </c>
      <c r="I298" s="15" t="str">
        <f>IF(A298="","",IF(COUNTIF(Employees!$A$6:$A$35,A298)=0,"Unknown employee ID",IF(B298&gt;C298,"Check dates",IF(AND(B298=C298,E298="Half day"),"Use First day for a single half day","OK"))))</f>
        <v/>
      </c>
    </row>
    <row r="299" spans="1:9" x14ac:dyDescent="0.3">
      <c r="A299" s="11"/>
      <c r="B299" s="13"/>
      <c r="C299" s="13"/>
      <c r="D299" s="11"/>
      <c r="E299" s="11"/>
      <c r="F299" s="11"/>
      <c r="G299" s="11"/>
      <c r="H299" s="14" t="str">
        <f>IF(OR(A299="",B299="",C299="",B299&gt;C299),"",MAX(0,NETWORKDAYS.INTL(B299,C299,1,'Non-working days'!$A$6:$A$45)-IF(D299="Half day",0.5,0)-IF(AND(E299="Half day",C299&lt;&gt;B299),0.5,0)))</f>
        <v/>
      </c>
      <c r="I299" s="15" t="str">
        <f>IF(A299="","",IF(COUNTIF(Employees!$A$6:$A$35,A299)=0,"Unknown employee ID",IF(B299&gt;C299,"Check dates",IF(AND(B299=C299,E299="Half day"),"Use First day for a single half day","OK"))))</f>
        <v/>
      </c>
    </row>
    <row r="300" spans="1:9" x14ac:dyDescent="0.3">
      <c r="A300" s="11"/>
      <c r="B300" s="13"/>
      <c r="C300" s="13"/>
      <c r="D300" s="11"/>
      <c r="E300" s="11"/>
      <c r="F300" s="11"/>
      <c r="G300" s="11"/>
      <c r="H300" s="14" t="str">
        <f>IF(OR(A300="",B300="",C300="",B300&gt;C300),"",MAX(0,NETWORKDAYS.INTL(B300,C300,1,'Non-working days'!$A$6:$A$45)-IF(D300="Half day",0.5,0)-IF(AND(E300="Half day",C300&lt;&gt;B300),0.5,0)))</f>
        <v/>
      </c>
      <c r="I300" s="15" t="str">
        <f>IF(A300="","",IF(COUNTIF(Employees!$A$6:$A$35,A300)=0,"Unknown employee ID",IF(B300&gt;C300,"Check dates",IF(AND(B300=C300,E300="Half day"),"Use First day for a single half day","OK"))))</f>
        <v/>
      </c>
    </row>
    <row r="301" spans="1:9" x14ac:dyDescent="0.3">
      <c r="A301" s="11"/>
      <c r="B301" s="13"/>
      <c r="C301" s="13"/>
      <c r="D301" s="11"/>
      <c r="E301" s="11"/>
      <c r="F301" s="11"/>
      <c r="G301" s="11"/>
      <c r="H301" s="14" t="str">
        <f>IF(OR(A301="",B301="",C301="",B301&gt;C301),"",MAX(0,NETWORKDAYS.INTL(B301,C301,1,'Non-working days'!$A$6:$A$45)-IF(D301="Half day",0.5,0)-IF(AND(E301="Half day",C301&lt;&gt;B301),0.5,0)))</f>
        <v/>
      </c>
      <c r="I301" s="15" t="str">
        <f>IF(A301="","",IF(COUNTIF(Employees!$A$6:$A$35,A301)=0,"Unknown employee ID",IF(B301&gt;C301,"Check dates",IF(AND(B301=C301,E301="Half day"),"Use First day for a single half day","OK"))))</f>
        <v/>
      </c>
    </row>
    <row r="302" spans="1:9" x14ac:dyDescent="0.3">
      <c r="A302" s="11"/>
      <c r="B302" s="13"/>
      <c r="C302" s="13"/>
      <c r="D302" s="11"/>
      <c r="E302" s="11"/>
      <c r="F302" s="11"/>
      <c r="G302" s="11"/>
      <c r="H302" s="14" t="str">
        <f>IF(OR(A302="",B302="",C302="",B302&gt;C302),"",MAX(0,NETWORKDAYS.INTL(B302,C302,1,'Non-working days'!$A$6:$A$45)-IF(D302="Half day",0.5,0)-IF(AND(E302="Half day",C302&lt;&gt;B302),0.5,0)))</f>
        <v/>
      </c>
      <c r="I302" s="15" t="str">
        <f>IF(A302="","",IF(COUNTIF(Employees!$A$6:$A$35,A302)=0,"Unknown employee ID",IF(B302&gt;C302,"Check dates",IF(AND(B302=C302,E302="Half day"),"Use First day for a single half day","OK"))))</f>
        <v/>
      </c>
    </row>
    <row r="303" spans="1:9" x14ac:dyDescent="0.3">
      <c r="A303" s="11"/>
      <c r="B303" s="13"/>
      <c r="C303" s="13"/>
      <c r="D303" s="11"/>
      <c r="E303" s="11"/>
      <c r="F303" s="11"/>
      <c r="G303" s="11"/>
      <c r="H303" s="14" t="str">
        <f>IF(OR(A303="",B303="",C303="",B303&gt;C303),"",MAX(0,NETWORKDAYS.INTL(B303,C303,1,'Non-working days'!$A$6:$A$45)-IF(D303="Half day",0.5,0)-IF(AND(E303="Half day",C303&lt;&gt;B303),0.5,0)))</f>
        <v/>
      </c>
      <c r="I303" s="15" t="str">
        <f>IF(A303="","",IF(COUNTIF(Employees!$A$6:$A$35,A303)=0,"Unknown employee ID",IF(B303&gt;C303,"Check dates",IF(AND(B303=C303,E303="Half day"),"Use First day for a single half day","OK"))))</f>
        <v/>
      </c>
    </row>
    <row r="304" spans="1:9" x14ac:dyDescent="0.3">
      <c r="A304" s="11"/>
      <c r="B304" s="13"/>
      <c r="C304" s="13"/>
      <c r="D304" s="11"/>
      <c r="E304" s="11"/>
      <c r="F304" s="11"/>
      <c r="G304" s="11"/>
      <c r="H304" s="14" t="str">
        <f>IF(OR(A304="",B304="",C304="",B304&gt;C304),"",MAX(0,NETWORKDAYS.INTL(B304,C304,1,'Non-working days'!$A$6:$A$45)-IF(D304="Half day",0.5,0)-IF(AND(E304="Half day",C304&lt;&gt;B304),0.5,0)))</f>
        <v/>
      </c>
      <c r="I304" s="15" t="str">
        <f>IF(A304="","",IF(COUNTIF(Employees!$A$6:$A$35,A304)=0,"Unknown employee ID",IF(B304&gt;C304,"Check dates",IF(AND(B304=C304,E304="Half day"),"Use First day for a single half day","OK"))))</f>
        <v/>
      </c>
    </row>
    <row r="305" spans="1:9" x14ac:dyDescent="0.3">
      <c r="A305" s="11"/>
      <c r="B305" s="13"/>
      <c r="C305" s="13"/>
      <c r="D305" s="11"/>
      <c r="E305" s="11"/>
      <c r="F305" s="11"/>
      <c r="G305" s="11"/>
      <c r="H305" s="14" t="str">
        <f>IF(OR(A305="",B305="",C305="",B305&gt;C305),"",MAX(0,NETWORKDAYS.INTL(B305,C305,1,'Non-working days'!$A$6:$A$45)-IF(D305="Half day",0.5,0)-IF(AND(E305="Half day",C305&lt;&gt;B305),0.5,0)))</f>
        <v/>
      </c>
      <c r="I305" s="15" t="str">
        <f>IF(A305="","",IF(COUNTIF(Employees!$A$6:$A$35,A305)=0,"Unknown employee ID",IF(B305&gt;C305,"Check dates",IF(AND(B305=C305,E305="Half day"),"Use First day for a single half day","OK"))))</f>
        <v/>
      </c>
    </row>
    <row r="306" spans="1:9" x14ac:dyDescent="0.3">
      <c r="A306" s="11"/>
      <c r="B306" s="13"/>
      <c r="C306" s="13"/>
      <c r="D306" s="11"/>
      <c r="E306" s="11"/>
      <c r="F306" s="11"/>
      <c r="G306" s="11"/>
      <c r="H306" s="14" t="str">
        <f>IF(OR(A306="",B306="",C306="",B306&gt;C306),"",MAX(0,NETWORKDAYS.INTL(B306,C306,1,'Non-working days'!$A$6:$A$45)-IF(D306="Half day",0.5,0)-IF(AND(E306="Half day",C306&lt;&gt;B306),0.5,0)))</f>
        <v/>
      </c>
      <c r="I306" s="15" t="str">
        <f>IF(A306="","",IF(COUNTIF(Employees!$A$6:$A$35,A306)=0,"Unknown employee ID",IF(B306&gt;C306,"Check dates",IF(AND(B306=C306,E306="Half day"),"Use First day for a single half day","OK"))))</f>
        <v/>
      </c>
    </row>
  </sheetData>
  <sheetProtection sheet="1" selectLockedCells="1" selectUnlockedCells="1"/>
  <mergeCells count="2">
    <mergeCell ref="A1:I1"/>
    <mergeCell ref="A2:I2"/>
  </mergeCells>
  <conditionalFormatting sqref="I7:I306">
    <cfRule type="expression" dxfId="37" priority="1">
      <formula>AND($I7&lt;&gt;"",$I7&lt;&gt;"OK")</formula>
    </cfRule>
  </conditionalFormatting>
  <dataValidations count="3">
    <dataValidation type="list" allowBlank="1" showErrorMessage="1" errorTitle="Unknown employee ID" error="Choose an ID from the Employees sheet." sqref="A7:A306" xr:uid="{00000000-0002-0000-0300-000000000000}">
      <formula1>EmployeeIDs</formula1>
    </dataValidation>
    <dataValidation type="list" allowBlank="1" showInputMessage="1" showErrorMessage="1" errorTitle="Choose from the list" error="Use one of the available options." promptTitle="Choose a value" prompt="Choose the portion taken on this boundary date." sqref="D7:E306" xr:uid="{00000000-0002-0000-0300-000001000000}">
      <formula1>"Full day,Half day"</formula1>
    </dataValidation>
    <dataValidation type="list" allowBlank="1" showInputMessage="1" showErrorMessage="1" errorTitle="Choose from the list" error="Use one of the available options." promptTitle="Choose a value" prompt="Choose the current request status." sqref="F7:F306" xr:uid="{00000000-0002-0000-0300-000002000000}">
      <formula1>"Approved,Pending,Declined"</formula1>
    </dataValidation>
  </dataValidations>
  <pageMargins left="0.75" right="0.75" top="1" bottom="1" header="0.5" footer="0.5"/>
  <pageSetup fitToHeight="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5"/>
  <sheetViews>
    <sheetView showGridLines="0" workbookViewId="0">
      <pane ySplit="5" topLeftCell="A6" activePane="bottomLeft" state="frozen"/>
      <selection pane="bottomLeft"/>
    </sheetView>
  </sheetViews>
  <sheetFormatPr defaultRowHeight="14.4" x14ac:dyDescent="0.3"/>
  <cols>
    <col min="1" max="1" width="16" customWidth="1"/>
    <col min="2" max="2" width="24" customWidth="1"/>
    <col min="3" max="3" width="22" customWidth="1"/>
    <col min="4" max="7" width="15" customWidth="1"/>
    <col min="8" max="8" width="16" customWidth="1"/>
  </cols>
  <sheetData>
    <row r="1" spans="1:8" ht="42" customHeight="1" x14ac:dyDescent="0.3">
      <c r="A1" s="30" t="s">
        <v>66</v>
      </c>
      <c r="B1" s="27"/>
      <c r="C1" s="27"/>
      <c r="D1" s="27"/>
      <c r="E1" s="27"/>
      <c r="F1" s="27"/>
      <c r="G1" s="27"/>
      <c r="H1" s="27"/>
    </row>
    <row r="2" spans="1:8" ht="31.95" customHeight="1" x14ac:dyDescent="0.3">
      <c r="A2" s="26" t="s">
        <v>67</v>
      </c>
      <c r="B2" s="27"/>
      <c r="C2" s="27"/>
      <c r="D2" s="27"/>
      <c r="E2" s="27"/>
      <c r="F2" s="27"/>
      <c r="G2" s="27"/>
      <c r="H2" s="27"/>
    </row>
    <row r="5" spans="1:8" ht="28.05" customHeight="1" x14ac:dyDescent="0.3">
      <c r="A5" s="10" t="s">
        <v>36</v>
      </c>
      <c r="B5" s="10" t="s">
        <v>37</v>
      </c>
      <c r="C5" s="10" t="s">
        <v>38</v>
      </c>
      <c r="D5" s="10" t="s">
        <v>68</v>
      </c>
      <c r="E5" s="10" t="s">
        <v>69</v>
      </c>
      <c r="F5" s="10" t="s">
        <v>61</v>
      </c>
      <c r="G5" s="10" t="s">
        <v>64</v>
      </c>
      <c r="H5" s="10" t="s">
        <v>70</v>
      </c>
    </row>
    <row r="6" spans="1:8" x14ac:dyDescent="0.3">
      <c r="A6" s="16" t="str">
        <f>IF(Employees!A6="","",Employees!A6)</f>
        <v>E001</v>
      </c>
      <c r="B6" s="16" t="str">
        <f>IF(A6="","",Employees!B6)</f>
        <v>Alex Morgan</v>
      </c>
      <c r="C6" s="16" t="str">
        <f>IF(A6="","",Employees!C6)</f>
        <v>Operations</v>
      </c>
      <c r="D6" s="17">
        <f>IF(A6="","",Employees!D6)</f>
        <v>25</v>
      </c>
      <c r="E6" s="17">
        <f>IF(A6="","",Employees!E6)</f>
        <v>3</v>
      </c>
      <c r="F6" s="17">
        <f>IF(A6="","",SUMIFS('Leave log'!$H$7:$H$306,'Leave log'!$A$7:$A$306,A6,'Leave log'!$F$7:$F$306,"Approved"))</f>
        <v>5</v>
      </c>
      <c r="G6" s="17">
        <f>IF(A6="","",SUMIFS('Leave log'!$H$7:$H$306,'Leave log'!$A$7:$A$306,A6,'Leave log'!$F$7:$F$306,"Pending"))</f>
        <v>0.5</v>
      </c>
      <c r="H6" s="17">
        <f t="shared" ref="H6:H35" si="0">IF(A6="","",D6+E6-F6)</f>
        <v>23</v>
      </c>
    </row>
    <row r="7" spans="1:8" x14ac:dyDescent="0.3">
      <c r="A7" s="16" t="str">
        <f>IF(Employees!A7="","",Employees!A7)</f>
        <v/>
      </c>
      <c r="B7" s="16" t="str">
        <f>IF(A7="","",Employees!B7)</f>
        <v/>
      </c>
      <c r="C7" s="16" t="str">
        <f>IF(A7="","",Employees!C7)</f>
        <v/>
      </c>
      <c r="D7" s="17" t="str">
        <f>IF(A7="","",Employees!D7)</f>
        <v/>
      </c>
      <c r="E7" s="17" t="str">
        <f>IF(A7="","",Employees!E7)</f>
        <v/>
      </c>
      <c r="F7" s="17" t="str">
        <f>IF(A7="","",SUMIFS('Leave log'!$H$7:$H$306,'Leave log'!$A$7:$A$306,A7,'Leave log'!$F$7:$F$306,"Approved"))</f>
        <v/>
      </c>
      <c r="G7" s="17" t="str">
        <f>IF(A7="","",SUMIFS('Leave log'!$H$7:$H$306,'Leave log'!$A$7:$A$306,A7,'Leave log'!$F$7:$F$306,"Pending"))</f>
        <v/>
      </c>
      <c r="H7" s="17" t="str">
        <f t="shared" si="0"/>
        <v/>
      </c>
    </row>
    <row r="8" spans="1:8" x14ac:dyDescent="0.3">
      <c r="A8" s="16" t="str">
        <f>IF(Employees!A8="","",Employees!A8)</f>
        <v/>
      </c>
      <c r="B8" s="16" t="str">
        <f>IF(A8="","",Employees!B8)</f>
        <v/>
      </c>
      <c r="C8" s="16" t="str">
        <f>IF(A8="","",Employees!C8)</f>
        <v/>
      </c>
      <c r="D8" s="17" t="str">
        <f>IF(A8="","",Employees!D8)</f>
        <v/>
      </c>
      <c r="E8" s="17" t="str">
        <f>IF(A8="","",Employees!E8)</f>
        <v/>
      </c>
      <c r="F8" s="17" t="str">
        <f>IF(A8="","",SUMIFS('Leave log'!$H$7:$H$306,'Leave log'!$A$7:$A$306,A8,'Leave log'!$F$7:$F$306,"Approved"))</f>
        <v/>
      </c>
      <c r="G8" s="17" t="str">
        <f>IF(A8="","",SUMIFS('Leave log'!$H$7:$H$306,'Leave log'!$A$7:$A$306,A8,'Leave log'!$F$7:$F$306,"Pending"))</f>
        <v/>
      </c>
      <c r="H8" s="17" t="str">
        <f t="shared" si="0"/>
        <v/>
      </c>
    </row>
    <row r="9" spans="1:8" x14ac:dyDescent="0.3">
      <c r="A9" s="16" t="str">
        <f>IF(Employees!A9="","",Employees!A9)</f>
        <v/>
      </c>
      <c r="B9" s="16" t="str">
        <f>IF(A9="","",Employees!B9)</f>
        <v/>
      </c>
      <c r="C9" s="16" t="str">
        <f>IF(A9="","",Employees!C9)</f>
        <v/>
      </c>
      <c r="D9" s="17" t="str">
        <f>IF(A9="","",Employees!D9)</f>
        <v/>
      </c>
      <c r="E9" s="17" t="str">
        <f>IF(A9="","",Employees!E9)</f>
        <v/>
      </c>
      <c r="F9" s="17" t="str">
        <f>IF(A9="","",SUMIFS('Leave log'!$H$7:$H$306,'Leave log'!$A$7:$A$306,A9,'Leave log'!$F$7:$F$306,"Approved"))</f>
        <v/>
      </c>
      <c r="G9" s="17" t="str">
        <f>IF(A9="","",SUMIFS('Leave log'!$H$7:$H$306,'Leave log'!$A$7:$A$306,A9,'Leave log'!$F$7:$F$306,"Pending"))</f>
        <v/>
      </c>
      <c r="H9" s="17" t="str">
        <f t="shared" si="0"/>
        <v/>
      </c>
    </row>
    <row r="10" spans="1:8" x14ac:dyDescent="0.3">
      <c r="A10" s="16" t="str">
        <f>IF(Employees!A10="","",Employees!A10)</f>
        <v/>
      </c>
      <c r="B10" s="16" t="str">
        <f>IF(A10="","",Employees!B10)</f>
        <v/>
      </c>
      <c r="C10" s="16" t="str">
        <f>IF(A10="","",Employees!C10)</f>
        <v/>
      </c>
      <c r="D10" s="17" t="str">
        <f>IF(A10="","",Employees!D10)</f>
        <v/>
      </c>
      <c r="E10" s="17" t="str">
        <f>IF(A10="","",Employees!E10)</f>
        <v/>
      </c>
      <c r="F10" s="17" t="str">
        <f>IF(A10="","",SUMIFS('Leave log'!$H$7:$H$306,'Leave log'!$A$7:$A$306,A10,'Leave log'!$F$7:$F$306,"Approved"))</f>
        <v/>
      </c>
      <c r="G10" s="17" t="str">
        <f>IF(A10="","",SUMIFS('Leave log'!$H$7:$H$306,'Leave log'!$A$7:$A$306,A10,'Leave log'!$F$7:$F$306,"Pending"))</f>
        <v/>
      </c>
      <c r="H10" s="17" t="str">
        <f t="shared" si="0"/>
        <v/>
      </c>
    </row>
    <row r="11" spans="1:8" x14ac:dyDescent="0.3">
      <c r="A11" s="16" t="str">
        <f>IF(Employees!A11="","",Employees!A11)</f>
        <v/>
      </c>
      <c r="B11" s="16" t="str">
        <f>IF(A11="","",Employees!B11)</f>
        <v/>
      </c>
      <c r="C11" s="16" t="str">
        <f>IF(A11="","",Employees!C11)</f>
        <v/>
      </c>
      <c r="D11" s="17" t="str">
        <f>IF(A11="","",Employees!D11)</f>
        <v/>
      </c>
      <c r="E11" s="17" t="str">
        <f>IF(A11="","",Employees!E11)</f>
        <v/>
      </c>
      <c r="F11" s="17" t="str">
        <f>IF(A11="","",SUMIFS('Leave log'!$H$7:$H$306,'Leave log'!$A$7:$A$306,A11,'Leave log'!$F$7:$F$306,"Approved"))</f>
        <v/>
      </c>
      <c r="G11" s="17" t="str">
        <f>IF(A11="","",SUMIFS('Leave log'!$H$7:$H$306,'Leave log'!$A$7:$A$306,A11,'Leave log'!$F$7:$F$306,"Pending"))</f>
        <v/>
      </c>
      <c r="H11" s="17" t="str">
        <f t="shared" si="0"/>
        <v/>
      </c>
    </row>
    <row r="12" spans="1:8" x14ac:dyDescent="0.3">
      <c r="A12" s="16" t="str">
        <f>IF(Employees!A12="","",Employees!A12)</f>
        <v/>
      </c>
      <c r="B12" s="16" t="str">
        <f>IF(A12="","",Employees!B12)</f>
        <v/>
      </c>
      <c r="C12" s="16" t="str">
        <f>IF(A12="","",Employees!C12)</f>
        <v/>
      </c>
      <c r="D12" s="17" t="str">
        <f>IF(A12="","",Employees!D12)</f>
        <v/>
      </c>
      <c r="E12" s="17" t="str">
        <f>IF(A12="","",Employees!E12)</f>
        <v/>
      </c>
      <c r="F12" s="17" t="str">
        <f>IF(A12="","",SUMIFS('Leave log'!$H$7:$H$306,'Leave log'!$A$7:$A$306,A12,'Leave log'!$F$7:$F$306,"Approved"))</f>
        <v/>
      </c>
      <c r="G12" s="17" t="str">
        <f>IF(A12="","",SUMIFS('Leave log'!$H$7:$H$306,'Leave log'!$A$7:$A$306,A12,'Leave log'!$F$7:$F$306,"Pending"))</f>
        <v/>
      </c>
      <c r="H12" s="17" t="str">
        <f t="shared" si="0"/>
        <v/>
      </c>
    </row>
    <row r="13" spans="1:8" x14ac:dyDescent="0.3">
      <c r="A13" s="16" t="str">
        <f>IF(Employees!A13="","",Employees!A13)</f>
        <v/>
      </c>
      <c r="B13" s="16" t="str">
        <f>IF(A13="","",Employees!B13)</f>
        <v/>
      </c>
      <c r="C13" s="16" t="str">
        <f>IF(A13="","",Employees!C13)</f>
        <v/>
      </c>
      <c r="D13" s="17" t="str">
        <f>IF(A13="","",Employees!D13)</f>
        <v/>
      </c>
      <c r="E13" s="17" t="str">
        <f>IF(A13="","",Employees!E13)</f>
        <v/>
      </c>
      <c r="F13" s="17" t="str">
        <f>IF(A13="","",SUMIFS('Leave log'!$H$7:$H$306,'Leave log'!$A$7:$A$306,A13,'Leave log'!$F$7:$F$306,"Approved"))</f>
        <v/>
      </c>
      <c r="G13" s="17" t="str">
        <f>IF(A13="","",SUMIFS('Leave log'!$H$7:$H$306,'Leave log'!$A$7:$A$306,A13,'Leave log'!$F$7:$F$306,"Pending"))</f>
        <v/>
      </c>
      <c r="H13" s="17" t="str">
        <f t="shared" si="0"/>
        <v/>
      </c>
    </row>
    <row r="14" spans="1:8" x14ac:dyDescent="0.3">
      <c r="A14" s="16" t="str">
        <f>IF(Employees!A14="","",Employees!A14)</f>
        <v/>
      </c>
      <c r="B14" s="16" t="str">
        <f>IF(A14="","",Employees!B14)</f>
        <v/>
      </c>
      <c r="C14" s="16" t="str">
        <f>IF(A14="","",Employees!C14)</f>
        <v/>
      </c>
      <c r="D14" s="17" t="str">
        <f>IF(A14="","",Employees!D14)</f>
        <v/>
      </c>
      <c r="E14" s="17" t="str">
        <f>IF(A14="","",Employees!E14)</f>
        <v/>
      </c>
      <c r="F14" s="17" t="str">
        <f>IF(A14="","",SUMIFS('Leave log'!$H$7:$H$306,'Leave log'!$A$7:$A$306,A14,'Leave log'!$F$7:$F$306,"Approved"))</f>
        <v/>
      </c>
      <c r="G14" s="17" t="str">
        <f>IF(A14="","",SUMIFS('Leave log'!$H$7:$H$306,'Leave log'!$A$7:$A$306,A14,'Leave log'!$F$7:$F$306,"Pending"))</f>
        <v/>
      </c>
      <c r="H14" s="17" t="str">
        <f t="shared" si="0"/>
        <v/>
      </c>
    </row>
    <row r="15" spans="1:8" x14ac:dyDescent="0.3">
      <c r="A15" s="16" t="str">
        <f>IF(Employees!A15="","",Employees!A15)</f>
        <v/>
      </c>
      <c r="B15" s="16" t="str">
        <f>IF(A15="","",Employees!B15)</f>
        <v/>
      </c>
      <c r="C15" s="16" t="str">
        <f>IF(A15="","",Employees!C15)</f>
        <v/>
      </c>
      <c r="D15" s="17" t="str">
        <f>IF(A15="","",Employees!D15)</f>
        <v/>
      </c>
      <c r="E15" s="17" t="str">
        <f>IF(A15="","",Employees!E15)</f>
        <v/>
      </c>
      <c r="F15" s="17" t="str">
        <f>IF(A15="","",SUMIFS('Leave log'!$H$7:$H$306,'Leave log'!$A$7:$A$306,A15,'Leave log'!$F$7:$F$306,"Approved"))</f>
        <v/>
      </c>
      <c r="G15" s="17" t="str">
        <f>IF(A15="","",SUMIFS('Leave log'!$H$7:$H$306,'Leave log'!$A$7:$A$306,A15,'Leave log'!$F$7:$F$306,"Pending"))</f>
        <v/>
      </c>
      <c r="H15" s="17" t="str">
        <f t="shared" si="0"/>
        <v/>
      </c>
    </row>
    <row r="16" spans="1:8" x14ac:dyDescent="0.3">
      <c r="A16" s="16" t="str">
        <f>IF(Employees!A16="","",Employees!A16)</f>
        <v/>
      </c>
      <c r="B16" s="16" t="str">
        <f>IF(A16="","",Employees!B16)</f>
        <v/>
      </c>
      <c r="C16" s="16" t="str">
        <f>IF(A16="","",Employees!C16)</f>
        <v/>
      </c>
      <c r="D16" s="17" t="str">
        <f>IF(A16="","",Employees!D16)</f>
        <v/>
      </c>
      <c r="E16" s="17" t="str">
        <f>IF(A16="","",Employees!E16)</f>
        <v/>
      </c>
      <c r="F16" s="17" t="str">
        <f>IF(A16="","",SUMIFS('Leave log'!$H$7:$H$306,'Leave log'!$A$7:$A$306,A16,'Leave log'!$F$7:$F$306,"Approved"))</f>
        <v/>
      </c>
      <c r="G16" s="17" t="str">
        <f>IF(A16="","",SUMIFS('Leave log'!$H$7:$H$306,'Leave log'!$A$7:$A$306,A16,'Leave log'!$F$7:$F$306,"Pending"))</f>
        <v/>
      </c>
      <c r="H16" s="17" t="str">
        <f t="shared" si="0"/>
        <v/>
      </c>
    </row>
    <row r="17" spans="1:8" x14ac:dyDescent="0.3">
      <c r="A17" s="16" t="str">
        <f>IF(Employees!A17="","",Employees!A17)</f>
        <v/>
      </c>
      <c r="B17" s="16" t="str">
        <f>IF(A17="","",Employees!B17)</f>
        <v/>
      </c>
      <c r="C17" s="16" t="str">
        <f>IF(A17="","",Employees!C17)</f>
        <v/>
      </c>
      <c r="D17" s="17" t="str">
        <f>IF(A17="","",Employees!D17)</f>
        <v/>
      </c>
      <c r="E17" s="17" t="str">
        <f>IF(A17="","",Employees!E17)</f>
        <v/>
      </c>
      <c r="F17" s="17" t="str">
        <f>IF(A17="","",SUMIFS('Leave log'!$H$7:$H$306,'Leave log'!$A$7:$A$306,A17,'Leave log'!$F$7:$F$306,"Approved"))</f>
        <v/>
      </c>
      <c r="G17" s="17" t="str">
        <f>IF(A17="","",SUMIFS('Leave log'!$H$7:$H$306,'Leave log'!$A$7:$A$306,A17,'Leave log'!$F$7:$F$306,"Pending"))</f>
        <v/>
      </c>
      <c r="H17" s="17" t="str">
        <f t="shared" si="0"/>
        <v/>
      </c>
    </row>
    <row r="18" spans="1:8" x14ac:dyDescent="0.3">
      <c r="A18" s="16" t="str">
        <f>IF(Employees!A18="","",Employees!A18)</f>
        <v/>
      </c>
      <c r="B18" s="16" t="str">
        <f>IF(A18="","",Employees!B18)</f>
        <v/>
      </c>
      <c r="C18" s="16" t="str">
        <f>IF(A18="","",Employees!C18)</f>
        <v/>
      </c>
      <c r="D18" s="17" t="str">
        <f>IF(A18="","",Employees!D18)</f>
        <v/>
      </c>
      <c r="E18" s="17" t="str">
        <f>IF(A18="","",Employees!E18)</f>
        <v/>
      </c>
      <c r="F18" s="17" t="str">
        <f>IF(A18="","",SUMIFS('Leave log'!$H$7:$H$306,'Leave log'!$A$7:$A$306,A18,'Leave log'!$F$7:$F$306,"Approved"))</f>
        <v/>
      </c>
      <c r="G18" s="17" t="str">
        <f>IF(A18="","",SUMIFS('Leave log'!$H$7:$H$306,'Leave log'!$A$7:$A$306,A18,'Leave log'!$F$7:$F$306,"Pending"))</f>
        <v/>
      </c>
      <c r="H18" s="17" t="str">
        <f t="shared" si="0"/>
        <v/>
      </c>
    </row>
    <row r="19" spans="1:8" x14ac:dyDescent="0.3">
      <c r="A19" s="16" t="str">
        <f>IF(Employees!A19="","",Employees!A19)</f>
        <v/>
      </c>
      <c r="B19" s="16" t="str">
        <f>IF(A19="","",Employees!B19)</f>
        <v/>
      </c>
      <c r="C19" s="16" t="str">
        <f>IF(A19="","",Employees!C19)</f>
        <v/>
      </c>
      <c r="D19" s="17" t="str">
        <f>IF(A19="","",Employees!D19)</f>
        <v/>
      </c>
      <c r="E19" s="17" t="str">
        <f>IF(A19="","",Employees!E19)</f>
        <v/>
      </c>
      <c r="F19" s="17" t="str">
        <f>IF(A19="","",SUMIFS('Leave log'!$H$7:$H$306,'Leave log'!$A$7:$A$306,A19,'Leave log'!$F$7:$F$306,"Approved"))</f>
        <v/>
      </c>
      <c r="G19" s="17" t="str">
        <f>IF(A19="","",SUMIFS('Leave log'!$H$7:$H$306,'Leave log'!$A$7:$A$306,A19,'Leave log'!$F$7:$F$306,"Pending"))</f>
        <v/>
      </c>
      <c r="H19" s="17" t="str">
        <f t="shared" si="0"/>
        <v/>
      </c>
    </row>
    <row r="20" spans="1:8" x14ac:dyDescent="0.3">
      <c r="A20" s="16" t="str">
        <f>IF(Employees!A20="","",Employees!A20)</f>
        <v/>
      </c>
      <c r="B20" s="16" t="str">
        <f>IF(A20="","",Employees!B20)</f>
        <v/>
      </c>
      <c r="C20" s="16" t="str">
        <f>IF(A20="","",Employees!C20)</f>
        <v/>
      </c>
      <c r="D20" s="17" t="str">
        <f>IF(A20="","",Employees!D20)</f>
        <v/>
      </c>
      <c r="E20" s="17" t="str">
        <f>IF(A20="","",Employees!E20)</f>
        <v/>
      </c>
      <c r="F20" s="17" t="str">
        <f>IF(A20="","",SUMIFS('Leave log'!$H$7:$H$306,'Leave log'!$A$7:$A$306,A20,'Leave log'!$F$7:$F$306,"Approved"))</f>
        <v/>
      </c>
      <c r="G20" s="17" t="str">
        <f>IF(A20="","",SUMIFS('Leave log'!$H$7:$H$306,'Leave log'!$A$7:$A$306,A20,'Leave log'!$F$7:$F$306,"Pending"))</f>
        <v/>
      </c>
      <c r="H20" s="17" t="str">
        <f t="shared" si="0"/>
        <v/>
      </c>
    </row>
    <row r="21" spans="1:8" x14ac:dyDescent="0.3">
      <c r="A21" s="16" t="str">
        <f>IF(Employees!A21="","",Employees!A21)</f>
        <v/>
      </c>
      <c r="B21" s="16" t="str">
        <f>IF(A21="","",Employees!B21)</f>
        <v/>
      </c>
      <c r="C21" s="16" t="str">
        <f>IF(A21="","",Employees!C21)</f>
        <v/>
      </c>
      <c r="D21" s="17" t="str">
        <f>IF(A21="","",Employees!D21)</f>
        <v/>
      </c>
      <c r="E21" s="17" t="str">
        <f>IF(A21="","",Employees!E21)</f>
        <v/>
      </c>
      <c r="F21" s="17" t="str">
        <f>IF(A21="","",SUMIFS('Leave log'!$H$7:$H$306,'Leave log'!$A$7:$A$306,A21,'Leave log'!$F$7:$F$306,"Approved"))</f>
        <v/>
      </c>
      <c r="G21" s="17" t="str">
        <f>IF(A21="","",SUMIFS('Leave log'!$H$7:$H$306,'Leave log'!$A$7:$A$306,A21,'Leave log'!$F$7:$F$306,"Pending"))</f>
        <v/>
      </c>
      <c r="H21" s="17" t="str">
        <f t="shared" si="0"/>
        <v/>
      </c>
    </row>
    <row r="22" spans="1:8" x14ac:dyDescent="0.3">
      <c r="A22" s="16" t="str">
        <f>IF(Employees!A22="","",Employees!A22)</f>
        <v/>
      </c>
      <c r="B22" s="16" t="str">
        <f>IF(A22="","",Employees!B22)</f>
        <v/>
      </c>
      <c r="C22" s="16" t="str">
        <f>IF(A22="","",Employees!C22)</f>
        <v/>
      </c>
      <c r="D22" s="17" t="str">
        <f>IF(A22="","",Employees!D22)</f>
        <v/>
      </c>
      <c r="E22" s="17" t="str">
        <f>IF(A22="","",Employees!E22)</f>
        <v/>
      </c>
      <c r="F22" s="17" t="str">
        <f>IF(A22="","",SUMIFS('Leave log'!$H$7:$H$306,'Leave log'!$A$7:$A$306,A22,'Leave log'!$F$7:$F$306,"Approved"))</f>
        <v/>
      </c>
      <c r="G22" s="17" t="str">
        <f>IF(A22="","",SUMIFS('Leave log'!$H$7:$H$306,'Leave log'!$A$7:$A$306,A22,'Leave log'!$F$7:$F$306,"Pending"))</f>
        <v/>
      </c>
      <c r="H22" s="17" t="str">
        <f t="shared" si="0"/>
        <v/>
      </c>
    </row>
    <row r="23" spans="1:8" x14ac:dyDescent="0.3">
      <c r="A23" s="16" t="str">
        <f>IF(Employees!A23="","",Employees!A23)</f>
        <v/>
      </c>
      <c r="B23" s="16" t="str">
        <f>IF(A23="","",Employees!B23)</f>
        <v/>
      </c>
      <c r="C23" s="16" t="str">
        <f>IF(A23="","",Employees!C23)</f>
        <v/>
      </c>
      <c r="D23" s="17" t="str">
        <f>IF(A23="","",Employees!D23)</f>
        <v/>
      </c>
      <c r="E23" s="17" t="str">
        <f>IF(A23="","",Employees!E23)</f>
        <v/>
      </c>
      <c r="F23" s="17" t="str">
        <f>IF(A23="","",SUMIFS('Leave log'!$H$7:$H$306,'Leave log'!$A$7:$A$306,A23,'Leave log'!$F$7:$F$306,"Approved"))</f>
        <v/>
      </c>
      <c r="G23" s="17" t="str">
        <f>IF(A23="","",SUMIFS('Leave log'!$H$7:$H$306,'Leave log'!$A$7:$A$306,A23,'Leave log'!$F$7:$F$306,"Pending"))</f>
        <v/>
      </c>
      <c r="H23" s="17" t="str">
        <f t="shared" si="0"/>
        <v/>
      </c>
    </row>
    <row r="24" spans="1:8" x14ac:dyDescent="0.3">
      <c r="A24" s="16" t="str">
        <f>IF(Employees!A24="","",Employees!A24)</f>
        <v/>
      </c>
      <c r="B24" s="16" t="str">
        <f>IF(A24="","",Employees!B24)</f>
        <v/>
      </c>
      <c r="C24" s="16" t="str">
        <f>IF(A24="","",Employees!C24)</f>
        <v/>
      </c>
      <c r="D24" s="17" t="str">
        <f>IF(A24="","",Employees!D24)</f>
        <v/>
      </c>
      <c r="E24" s="17" t="str">
        <f>IF(A24="","",Employees!E24)</f>
        <v/>
      </c>
      <c r="F24" s="17" t="str">
        <f>IF(A24="","",SUMIFS('Leave log'!$H$7:$H$306,'Leave log'!$A$7:$A$306,A24,'Leave log'!$F$7:$F$306,"Approved"))</f>
        <v/>
      </c>
      <c r="G24" s="17" t="str">
        <f>IF(A24="","",SUMIFS('Leave log'!$H$7:$H$306,'Leave log'!$A$7:$A$306,A24,'Leave log'!$F$7:$F$306,"Pending"))</f>
        <v/>
      </c>
      <c r="H24" s="17" t="str">
        <f t="shared" si="0"/>
        <v/>
      </c>
    </row>
    <row r="25" spans="1:8" x14ac:dyDescent="0.3">
      <c r="A25" s="16" t="str">
        <f>IF(Employees!A25="","",Employees!A25)</f>
        <v/>
      </c>
      <c r="B25" s="16" t="str">
        <f>IF(A25="","",Employees!B25)</f>
        <v/>
      </c>
      <c r="C25" s="16" t="str">
        <f>IF(A25="","",Employees!C25)</f>
        <v/>
      </c>
      <c r="D25" s="17" t="str">
        <f>IF(A25="","",Employees!D25)</f>
        <v/>
      </c>
      <c r="E25" s="17" t="str">
        <f>IF(A25="","",Employees!E25)</f>
        <v/>
      </c>
      <c r="F25" s="17" t="str">
        <f>IF(A25="","",SUMIFS('Leave log'!$H$7:$H$306,'Leave log'!$A$7:$A$306,A25,'Leave log'!$F$7:$F$306,"Approved"))</f>
        <v/>
      </c>
      <c r="G25" s="17" t="str">
        <f>IF(A25="","",SUMIFS('Leave log'!$H$7:$H$306,'Leave log'!$A$7:$A$306,A25,'Leave log'!$F$7:$F$306,"Pending"))</f>
        <v/>
      </c>
      <c r="H25" s="17" t="str">
        <f t="shared" si="0"/>
        <v/>
      </c>
    </row>
    <row r="26" spans="1:8" x14ac:dyDescent="0.3">
      <c r="A26" s="16" t="str">
        <f>IF(Employees!A26="","",Employees!A26)</f>
        <v/>
      </c>
      <c r="B26" s="16" t="str">
        <f>IF(A26="","",Employees!B26)</f>
        <v/>
      </c>
      <c r="C26" s="16" t="str">
        <f>IF(A26="","",Employees!C26)</f>
        <v/>
      </c>
      <c r="D26" s="17" t="str">
        <f>IF(A26="","",Employees!D26)</f>
        <v/>
      </c>
      <c r="E26" s="17" t="str">
        <f>IF(A26="","",Employees!E26)</f>
        <v/>
      </c>
      <c r="F26" s="17" t="str">
        <f>IF(A26="","",SUMIFS('Leave log'!$H$7:$H$306,'Leave log'!$A$7:$A$306,A26,'Leave log'!$F$7:$F$306,"Approved"))</f>
        <v/>
      </c>
      <c r="G26" s="17" t="str">
        <f>IF(A26="","",SUMIFS('Leave log'!$H$7:$H$306,'Leave log'!$A$7:$A$306,A26,'Leave log'!$F$7:$F$306,"Pending"))</f>
        <v/>
      </c>
      <c r="H26" s="17" t="str">
        <f t="shared" si="0"/>
        <v/>
      </c>
    </row>
    <row r="27" spans="1:8" x14ac:dyDescent="0.3">
      <c r="A27" s="16" t="str">
        <f>IF(Employees!A27="","",Employees!A27)</f>
        <v/>
      </c>
      <c r="B27" s="16" t="str">
        <f>IF(A27="","",Employees!B27)</f>
        <v/>
      </c>
      <c r="C27" s="16" t="str">
        <f>IF(A27="","",Employees!C27)</f>
        <v/>
      </c>
      <c r="D27" s="17" t="str">
        <f>IF(A27="","",Employees!D27)</f>
        <v/>
      </c>
      <c r="E27" s="17" t="str">
        <f>IF(A27="","",Employees!E27)</f>
        <v/>
      </c>
      <c r="F27" s="17" t="str">
        <f>IF(A27="","",SUMIFS('Leave log'!$H$7:$H$306,'Leave log'!$A$7:$A$306,A27,'Leave log'!$F$7:$F$306,"Approved"))</f>
        <v/>
      </c>
      <c r="G27" s="17" t="str">
        <f>IF(A27="","",SUMIFS('Leave log'!$H$7:$H$306,'Leave log'!$A$7:$A$306,A27,'Leave log'!$F$7:$F$306,"Pending"))</f>
        <v/>
      </c>
      <c r="H27" s="17" t="str">
        <f t="shared" si="0"/>
        <v/>
      </c>
    </row>
    <row r="28" spans="1:8" x14ac:dyDescent="0.3">
      <c r="A28" s="16" t="str">
        <f>IF(Employees!A28="","",Employees!A28)</f>
        <v/>
      </c>
      <c r="B28" s="16" t="str">
        <f>IF(A28="","",Employees!B28)</f>
        <v/>
      </c>
      <c r="C28" s="16" t="str">
        <f>IF(A28="","",Employees!C28)</f>
        <v/>
      </c>
      <c r="D28" s="17" t="str">
        <f>IF(A28="","",Employees!D28)</f>
        <v/>
      </c>
      <c r="E28" s="17" t="str">
        <f>IF(A28="","",Employees!E28)</f>
        <v/>
      </c>
      <c r="F28" s="17" t="str">
        <f>IF(A28="","",SUMIFS('Leave log'!$H$7:$H$306,'Leave log'!$A$7:$A$306,A28,'Leave log'!$F$7:$F$306,"Approved"))</f>
        <v/>
      </c>
      <c r="G28" s="17" t="str">
        <f>IF(A28="","",SUMIFS('Leave log'!$H$7:$H$306,'Leave log'!$A$7:$A$306,A28,'Leave log'!$F$7:$F$306,"Pending"))</f>
        <v/>
      </c>
      <c r="H28" s="17" t="str">
        <f t="shared" si="0"/>
        <v/>
      </c>
    </row>
    <row r="29" spans="1:8" x14ac:dyDescent="0.3">
      <c r="A29" s="16" t="str">
        <f>IF(Employees!A29="","",Employees!A29)</f>
        <v/>
      </c>
      <c r="B29" s="16" t="str">
        <f>IF(A29="","",Employees!B29)</f>
        <v/>
      </c>
      <c r="C29" s="16" t="str">
        <f>IF(A29="","",Employees!C29)</f>
        <v/>
      </c>
      <c r="D29" s="17" t="str">
        <f>IF(A29="","",Employees!D29)</f>
        <v/>
      </c>
      <c r="E29" s="17" t="str">
        <f>IF(A29="","",Employees!E29)</f>
        <v/>
      </c>
      <c r="F29" s="17" t="str">
        <f>IF(A29="","",SUMIFS('Leave log'!$H$7:$H$306,'Leave log'!$A$7:$A$306,A29,'Leave log'!$F$7:$F$306,"Approved"))</f>
        <v/>
      </c>
      <c r="G29" s="17" t="str">
        <f>IF(A29="","",SUMIFS('Leave log'!$H$7:$H$306,'Leave log'!$A$7:$A$306,A29,'Leave log'!$F$7:$F$306,"Pending"))</f>
        <v/>
      </c>
      <c r="H29" s="17" t="str">
        <f t="shared" si="0"/>
        <v/>
      </c>
    </row>
    <row r="30" spans="1:8" x14ac:dyDescent="0.3">
      <c r="A30" s="16" t="str">
        <f>IF(Employees!A30="","",Employees!A30)</f>
        <v/>
      </c>
      <c r="B30" s="16" t="str">
        <f>IF(A30="","",Employees!B30)</f>
        <v/>
      </c>
      <c r="C30" s="16" t="str">
        <f>IF(A30="","",Employees!C30)</f>
        <v/>
      </c>
      <c r="D30" s="17" t="str">
        <f>IF(A30="","",Employees!D30)</f>
        <v/>
      </c>
      <c r="E30" s="17" t="str">
        <f>IF(A30="","",Employees!E30)</f>
        <v/>
      </c>
      <c r="F30" s="17" t="str">
        <f>IF(A30="","",SUMIFS('Leave log'!$H$7:$H$306,'Leave log'!$A$7:$A$306,A30,'Leave log'!$F$7:$F$306,"Approved"))</f>
        <v/>
      </c>
      <c r="G30" s="17" t="str">
        <f>IF(A30="","",SUMIFS('Leave log'!$H$7:$H$306,'Leave log'!$A$7:$A$306,A30,'Leave log'!$F$7:$F$306,"Pending"))</f>
        <v/>
      </c>
      <c r="H30" s="17" t="str">
        <f t="shared" si="0"/>
        <v/>
      </c>
    </row>
    <row r="31" spans="1:8" x14ac:dyDescent="0.3">
      <c r="A31" s="16" t="str">
        <f>IF(Employees!A31="","",Employees!A31)</f>
        <v/>
      </c>
      <c r="B31" s="16" t="str">
        <f>IF(A31="","",Employees!B31)</f>
        <v/>
      </c>
      <c r="C31" s="16" t="str">
        <f>IF(A31="","",Employees!C31)</f>
        <v/>
      </c>
      <c r="D31" s="17" t="str">
        <f>IF(A31="","",Employees!D31)</f>
        <v/>
      </c>
      <c r="E31" s="17" t="str">
        <f>IF(A31="","",Employees!E31)</f>
        <v/>
      </c>
      <c r="F31" s="17" t="str">
        <f>IF(A31="","",SUMIFS('Leave log'!$H$7:$H$306,'Leave log'!$A$7:$A$306,A31,'Leave log'!$F$7:$F$306,"Approved"))</f>
        <v/>
      </c>
      <c r="G31" s="17" t="str">
        <f>IF(A31="","",SUMIFS('Leave log'!$H$7:$H$306,'Leave log'!$A$7:$A$306,A31,'Leave log'!$F$7:$F$306,"Pending"))</f>
        <v/>
      </c>
      <c r="H31" s="17" t="str">
        <f t="shared" si="0"/>
        <v/>
      </c>
    </row>
    <row r="32" spans="1:8" x14ac:dyDescent="0.3">
      <c r="A32" s="16" t="str">
        <f>IF(Employees!A32="","",Employees!A32)</f>
        <v/>
      </c>
      <c r="B32" s="16" t="str">
        <f>IF(A32="","",Employees!B32)</f>
        <v/>
      </c>
      <c r="C32" s="16" t="str">
        <f>IF(A32="","",Employees!C32)</f>
        <v/>
      </c>
      <c r="D32" s="17" t="str">
        <f>IF(A32="","",Employees!D32)</f>
        <v/>
      </c>
      <c r="E32" s="17" t="str">
        <f>IF(A32="","",Employees!E32)</f>
        <v/>
      </c>
      <c r="F32" s="17" t="str">
        <f>IF(A32="","",SUMIFS('Leave log'!$H$7:$H$306,'Leave log'!$A$7:$A$306,A32,'Leave log'!$F$7:$F$306,"Approved"))</f>
        <v/>
      </c>
      <c r="G32" s="17" t="str">
        <f>IF(A32="","",SUMIFS('Leave log'!$H$7:$H$306,'Leave log'!$A$7:$A$306,A32,'Leave log'!$F$7:$F$306,"Pending"))</f>
        <v/>
      </c>
      <c r="H32" s="17" t="str">
        <f t="shared" si="0"/>
        <v/>
      </c>
    </row>
    <row r="33" spans="1:8" x14ac:dyDescent="0.3">
      <c r="A33" s="16" t="str">
        <f>IF(Employees!A33="","",Employees!A33)</f>
        <v/>
      </c>
      <c r="B33" s="16" t="str">
        <f>IF(A33="","",Employees!B33)</f>
        <v/>
      </c>
      <c r="C33" s="16" t="str">
        <f>IF(A33="","",Employees!C33)</f>
        <v/>
      </c>
      <c r="D33" s="17" t="str">
        <f>IF(A33="","",Employees!D33)</f>
        <v/>
      </c>
      <c r="E33" s="17" t="str">
        <f>IF(A33="","",Employees!E33)</f>
        <v/>
      </c>
      <c r="F33" s="17" t="str">
        <f>IF(A33="","",SUMIFS('Leave log'!$H$7:$H$306,'Leave log'!$A$7:$A$306,A33,'Leave log'!$F$7:$F$306,"Approved"))</f>
        <v/>
      </c>
      <c r="G33" s="17" t="str">
        <f>IF(A33="","",SUMIFS('Leave log'!$H$7:$H$306,'Leave log'!$A$7:$A$306,A33,'Leave log'!$F$7:$F$306,"Pending"))</f>
        <v/>
      </c>
      <c r="H33" s="17" t="str">
        <f t="shared" si="0"/>
        <v/>
      </c>
    </row>
    <row r="34" spans="1:8" x14ac:dyDescent="0.3">
      <c r="A34" s="16" t="str">
        <f>IF(Employees!A34="","",Employees!A34)</f>
        <v/>
      </c>
      <c r="B34" s="16" t="str">
        <f>IF(A34="","",Employees!B34)</f>
        <v/>
      </c>
      <c r="C34" s="16" t="str">
        <f>IF(A34="","",Employees!C34)</f>
        <v/>
      </c>
      <c r="D34" s="17" t="str">
        <f>IF(A34="","",Employees!D34)</f>
        <v/>
      </c>
      <c r="E34" s="17" t="str">
        <f>IF(A34="","",Employees!E34)</f>
        <v/>
      </c>
      <c r="F34" s="17" t="str">
        <f>IF(A34="","",SUMIFS('Leave log'!$H$7:$H$306,'Leave log'!$A$7:$A$306,A34,'Leave log'!$F$7:$F$306,"Approved"))</f>
        <v/>
      </c>
      <c r="G34" s="17" t="str">
        <f>IF(A34="","",SUMIFS('Leave log'!$H$7:$H$306,'Leave log'!$A$7:$A$306,A34,'Leave log'!$F$7:$F$306,"Pending"))</f>
        <v/>
      </c>
      <c r="H34" s="17" t="str">
        <f t="shared" si="0"/>
        <v/>
      </c>
    </row>
    <row r="35" spans="1:8" x14ac:dyDescent="0.3">
      <c r="A35" s="16" t="str">
        <f>IF(Employees!A35="","",Employees!A35)</f>
        <v/>
      </c>
      <c r="B35" s="16" t="str">
        <f>IF(A35="","",Employees!B35)</f>
        <v/>
      </c>
      <c r="C35" s="16" t="str">
        <f>IF(A35="","",Employees!C35)</f>
        <v/>
      </c>
      <c r="D35" s="17" t="str">
        <f>IF(A35="","",Employees!D35)</f>
        <v/>
      </c>
      <c r="E35" s="17" t="str">
        <f>IF(A35="","",Employees!E35)</f>
        <v/>
      </c>
      <c r="F35" s="17" t="str">
        <f>IF(A35="","",SUMIFS('Leave log'!$H$7:$H$306,'Leave log'!$A$7:$A$306,A35,'Leave log'!$F$7:$F$306,"Approved"))</f>
        <v/>
      </c>
      <c r="G35" s="17" t="str">
        <f>IF(A35="","",SUMIFS('Leave log'!$H$7:$H$306,'Leave log'!$A$7:$A$306,A35,'Leave log'!$F$7:$F$306,"Pending"))</f>
        <v/>
      </c>
      <c r="H35" s="17" t="str">
        <f t="shared" si="0"/>
        <v/>
      </c>
    </row>
  </sheetData>
  <sheetProtection sheet="1" selectLockedCells="1" selectUnlockedCells="1"/>
  <mergeCells count="2">
    <mergeCell ref="A2:H2"/>
    <mergeCell ref="A1:H1"/>
  </mergeCells>
  <conditionalFormatting sqref="H6:H35">
    <cfRule type="cellIs" dxfId="36" priority="1" operator="lessThan">
      <formula>0</formula>
    </cfRule>
  </conditionalFormatting>
  <pageMargins left="0.75" right="0.75" top="1" bottom="1" header="0.5" footer="0.5"/>
  <pageSetup fitToHeight="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F410"/>
  <sheetViews>
    <sheetView showGridLines="0" workbookViewId="0">
      <pane xSplit="1" ySplit="6" topLeftCell="B7" activePane="bottomRight" state="frozen"/>
      <selection pane="topRight"/>
      <selection pane="bottomLeft"/>
      <selection pane="bottomRight"/>
    </sheetView>
  </sheetViews>
  <sheetFormatPr defaultRowHeight="14.4" x14ac:dyDescent="0.3"/>
  <cols>
    <col min="1" max="1" width="23" customWidth="1"/>
    <col min="2" max="32" width="3.44140625" customWidth="1"/>
  </cols>
  <sheetData>
    <row r="1" spans="1:32" ht="42" customHeight="1" x14ac:dyDescent="0.3">
      <c r="A1" s="30" t="s">
        <v>71</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ht="31.95" customHeight="1" x14ac:dyDescent="0.3">
      <c r="A2" s="26" t="s">
        <v>72</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row>
    <row r="3" spans="1:32" x14ac:dyDescent="0.3">
      <c r="A3" s="18" t="s">
        <v>73</v>
      </c>
      <c r="B3" s="19">
        <v>2026</v>
      </c>
    </row>
    <row r="5" spans="1:32" ht="15.6" x14ac:dyDescent="0.3">
      <c r="A5" s="31" t="s">
        <v>74</v>
      </c>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row>
    <row r="6" spans="1:32" x14ac:dyDescent="0.3">
      <c r="A6" s="20" t="s">
        <v>75</v>
      </c>
      <c r="B6" s="21">
        <v>1</v>
      </c>
      <c r="C6" s="21">
        <v>2</v>
      </c>
      <c r="D6" s="21">
        <v>3</v>
      </c>
      <c r="E6" s="21">
        <v>4</v>
      </c>
      <c r="F6" s="21">
        <v>5</v>
      </c>
      <c r="G6" s="21">
        <v>6</v>
      </c>
      <c r="H6" s="21">
        <v>7</v>
      </c>
      <c r="I6" s="21">
        <v>8</v>
      </c>
      <c r="J6" s="21">
        <v>9</v>
      </c>
      <c r="K6" s="21">
        <v>10</v>
      </c>
      <c r="L6" s="21">
        <v>11</v>
      </c>
      <c r="M6" s="21">
        <v>12</v>
      </c>
      <c r="N6" s="21">
        <v>13</v>
      </c>
      <c r="O6" s="21">
        <v>14</v>
      </c>
      <c r="P6" s="21">
        <v>15</v>
      </c>
      <c r="Q6" s="21">
        <v>16</v>
      </c>
      <c r="R6" s="21">
        <v>17</v>
      </c>
      <c r="S6" s="21">
        <v>18</v>
      </c>
      <c r="T6" s="21">
        <v>19</v>
      </c>
      <c r="U6" s="21">
        <v>20</v>
      </c>
      <c r="V6" s="21">
        <v>21</v>
      </c>
      <c r="W6" s="21">
        <v>22</v>
      </c>
      <c r="X6" s="21">
        <v>23</v>
      </c>
      <c r="Y6" s="21">
        <v>24</v>
      </c>
      <c r="Z6" s="21">
        <v>25</v>
      </c>
      <c r="AA6" s="21">
        <v>26</v>
      </c>
      <c r="AB6" s="21">
        <v>27</v>
      </c>
      <c r="AC6" s="21">
        <v>28</v>
      </c>
      <c r="AD6" s="21">
        <v>29</v>
      </c>
      <c r="AE6" s="21">
        <v>30</v>
      </c>
      <c r="AF6" s="21">
        <v>31</v>
      </c>
    </row>
    <row r="7" spans="1:32" ht="18" customHeight="1" x14ac:dyDescent="0.3">
      <c r="A7" s="22" t="str">
        <f>IF(Employees!F6="Yes",Employees!B6,"")</f>
        <v>Alex Morgan</v>
      </c>
      <c r="B7" s="23" t="str">
        <f>IF(A7="","",IF(IF(OR(DATE($B$3,1,1)&gt;EOMONTH(DATE($B$3,1,1),0),NETWORKDAYS.INTL(DATE($B$3,1,1),DATE($B$3,1,1),1,'Non-working days'!$A$6:$A$45)=0),"",IF(COUNTIFS('Leave log'!$A$7:$A$306,Employees!$A$6,'Leave log'!$B$7:$B$306,"&lt;="&amp;DATE($B$3,1,1),'Leave log'!$C$7:$C$306,"&gt;="&amp;DATE($B$3,1,1),'Leave log'!$F$7:$F$306,"Approved")&gt;0,"A",""))="A","A",IF(OR(DATE($B$3,1,1)&gt;EOMONTH(DATE($B$3,1,1),0),NETWORKDAYS.INTL(DATE($B$3,1,1),DATE($B$3,1,1),1,'Non-working days'!$A$6:$A$45)=0),"",IF(COUNTIFS('Leave log'!$A$7:$A$306,Employees!$A$6,'Leave log'!$B$7:$B$306,"&lt;="&amp;DATE($B$3,1,1),'Leave log'!$C$7:$C$306,"&gt;="&amp;DATE($B$3,1,1),'Leave log'!$F$7:$F$306,"Pending")&gt;0,"P",""))))</f>
        <v/>
      </c>
      <c r="C7" s="23" t="str">
        <f>IF(A7="","",IF(IF(OR(DATE($B$3,1,2)&gt;EOMONTH(DATE($B$3,1,1),0),NETWORKDAYS.INTL(DATE($B$3,1,2),DATE($B$3,1,2),1,'Non-working days'!$A$6:$A$45)=0),"",IF(COUNTIFS('Leave log'!$A$7:$A$306,Employees!$A$6,'Leave log'!$B$7:$B$306,"&lt;="&amp;DATE($B$3,1,2),'Leave log'!$C$7:$C$306,"&gt;="&amp;DATE($B$3,1,2),'Leave log'!$F$7:$F$306,"Approved")&gt;0,"A",""))="A","A",IF(OR(DATE($B$3,1,2)&gt;EOMONTH(DATE($B$3,1,1),0),NETWORKDAYS.INTL(DATE($B$3,1,2),DATE($B$3,1,2),1,'Non-working days'!$A$6:$A$45)=0),"",IF(COUNTIFS('Leave log'!$A$7:$A$306,Employees!$A$6,'Leave log'!$B$7:$B$306,"&lt;="&amp;DATE($B$3,1,2),'Leave log'!$C$7:$C$306,"&gt;="&amp;DATE($B$3,1,2),'Leave log'!$F$7:$F$306,"Pending")&gt;0,"P",""))))</f>
        <v/>
      </c>
      <c r="D7" s="23" t="str">
        <f>IF(A7="","",IF(IF(OR(DATE($B$3,1,3)&gt;EOMONTH(DATE($B$3,1,1),0),NETWORKDAYS.INTL(DATE($B$3,1,3),DATE($B$3,1,3),1,'Non-working days'!$A$6:$A$45)=0),"",IF(COUNTIFS('Leave log'!$A$7:$A$306,Employees!$A$6,'Leave log'!$B$7:$B$306,"&lt;="&amp;DATE($B$3,1,3),'Leave log'!$C$7:$C$306,"&gt;="&amp;DATE($B$3,1,3),'Leave log'!$F$7:$F$306,"Approved")&gt;0,"A",""))="A","A",IF(OR(DATE($B$3,1,3)&gt;EOMONTH(DATE($B$3,1,1),0),NETWORKDAYS.INTL(DATE($B$3,1,3),DATE($B$3,1,3),1,'Non-working days'!$A$6:$A$45)=0),"",IF(COUNTIFS('Leave log'!$A$7:$A$306,Employees!$A$6,'Leave log'!$B$7:$B$306,"&lt;="&amp;DATE($B$3,1,3),'Leave log'!$C$7:$C$306,"&gt;="&amp;DATE($B$3,1,3),'Leave log'!$F$7:$F$306,"Pending")&gt;0,"P",""))))</f>
        <v/>
      </c>
      <c r="E7" s="23" t="str">
        <f>IF(A7="","",IF(IF(OR(DATE($B$3,1,4)&gt;EOMONTH(DATE($B$3,1,1),0),NETWORKDAYS.INTL(DATE($B$3,1,4),DATE($B$3,1,4),1,'Non-working days'!$A$6:$A$45)=0),"",IF(COUNTIFS('Leave log'!$A$7:$A$306,Employees!$A$6,'Leave log'!$B$7:$B$306,"&lt;="&amp;DATE($B$3,1,4),'Leave log'!$C$7:$C$306,"&gt;="&amp;DATE($B$3,1,4),'Leave log'!$F$7:$F$306,"Approved")&gt;0,"A",""))="A","A",IF(OR(DATE($B$3,1,4)&gt;EOMONTH(DATE($B$3,1,1),0),NETWORKDAYS.INTL(DATE($B$3,1,4),DATE($B$3,1,4),1,'Non-working days'!$A$6:$A$45)=0),"",IF(COUNTIFS('Leave log'!$A$7:$A$306,Employees!$A$6,'Leave log'!$B$7:$B$306,"&lt;="&amp;DATE($B$3,1,4),'Leave log'!$C$7:$C$306,"&gt;="&amp;DATE($B$3,1,4),'Leave log'!$F$7:$F$306,"Pending")&gt;0,"P",""))))</f>
        <v/>
      </c>
      <c r="F7" s="23" t="str">
        <f>IF(A7="","",IF(IF(OR(DATE($B$3,1,5)&gt;EOMONTH(DATE($B$3,1,1),0),NETWORKDAYS.INTL(DATE($B$3,1,5),DATE($B$3,1,5),1,'Non-working days'!$A$6:$A$45)=0),"",IF(COUNTIFS('Leave log'!$A$7:$A$306,Employees!$A$6,'Leave log'!$B$7:$B$306,"&lt;="&amp;DATE($B$3,1,5),'Leave log'!$C$7:$C$306,"&gt;="&amp;DATE($B$3,1,5),'Leave log'!$F$7:$F$306,"Approved")&gt;0,"A",""))="A","A",IF(OR(DATE($B$3,1,5)&gt;EOMONTH(DATE($B$3,1,1),0),NETWORKDAYS.INTL(DATE($B$3,1,5),DATE($B$3,1,5),1,'Non-working days'!$A$6:$A$45)=0),"",IF(COUNTIFS('Leave log'!$A$7:$A$306,Employees!$A$6,'Leave log'!$B$7:$B$306,"&lt;="&amp;DATE($B$3,1,5),'Leave log'!$C$7:$C$306,"&gt;="&amp;DATE($B$3,1,5),'Leave log'!$F$7:$F$306,"Pending")&gt;0,"P",""))))</f>
        <v/>
      </c>
      <c r="G7" s="23" t="str">
        <f>IF(A7="","",IF(IF(OR(DATE($B$3,1,6)&gt;EOMONTH(DATE($B$3,1,1),0),NETWORKDAYS.INTL(DATE($B$3,1,6),DATE($B$3,1,6),1,'Non-working days'!$A$6:$A$45)=0),"",IF(COUNTIFS('Leave log'!$A$7:$A$306,Employees!$A$6,'Leave log'!$B$7:$B$306,"&lt;="&amp;DATE($B$3,1,6),'Leave log'!$C$7:$C$306,"&gt;="&amp;DATE($B$3,1,6),'Leave log'!$F$7:$F$306,"Approved")&gt;0,"A",""))="A","A",IF(OR(DATE($B$3,1,6)&gt;EOMONTH(DATE($B$3,1,1),0),NETWORKDAYS.INTL(DATE($B$3,1,6),DATE($B$3,1,6),1,'Non-working days'!$A$6:$A$45)=0),"",IF(COUNTIFS('Leave log'!$A$7:$A$306,Employees!$A$6,'Leave log'!$B$7:$B$306,"&lt;="&amp;DATE($B$3,1,6),'Leave log'!$C$7:$C$306,"&gt;="&amp;DATE($B$3,1,6),'Leave log'!$F$7:$F$306,"Pending")&gt;0,"P",""))))</f>
        <v/>
      </c>
      <c r="H7" s="23" t="str">
        <f>IF(A7="","",IF(IF(OR(DATE($B$3,1,7)&gt;EOMONTH(DATE($B$3,1,1),0),NETWORKDAYS.INTL(DATE($B$3,1,7),DATE($B$3,1,7),1,'Non-working days'!$A$6:$A$45)=0),"",IF(COUNTIFS('Leave log'!$A$7:$A$306,Employees!$A$6,'Leave log'!$B$7:$B$306,"&lt;="&amp;DATE($B$3,1,7),'Leave log'!$C$7:$C$306,"&gt;="&amp;DATE($B$3,1,7),'Leave log'!$F$7:$F$306,"Approved")&gt;0,"A",""))="A","A",IF(OR(DATE($B$3,1,7)&gt;EOMONTH(DATE($B$3,1,1),0),NETWORKDAYS.INTL(DATE($B$3,1,7),DATE($B$3,1,7),1,'Non-working days'!$A$6:$A$45)=0),"",IF(COUNTIFS('Leave log'!$A$7:$A$306,Employees!$A$6,'Leave log'!$B$7:$B$306,"&lt;="&amp;DATE($B$3,1,7),'Leave log'!$C$7:$C$306,"&gt;="&amp;DATE($B$3,1,7),'Leave log'!$F$7:$F$306,"Pending")&gt;0,"P",""))))</f>
        <v/>
      </c>
      <c r="I7" s="23" t="str">
        <f>IF(A7="","",IF(IF(OR(DATE($B$3,1,8)&gt;EOMONTH(DATE($B$3,1,1),0),NETWORKDAYS.INTL(DATE($B$3,1,8),DATE($B$3,1,8),1,'Non-working days'!$A$6:$A$45)=0),"",IF(COUNTIFS('Leave log'!$A$7:$A$306,Employees!$A$6,'Leave log'!$B$7:$B$306,"&lt;="&amp;DATE($B$3,1,8),'Leave log'!$C$7:$C$306,"&gt;="&amp;DATE($B$3,1,8),'Leave log'!$F$7:$F$306,"Approved")&gt;0,"A",""))="A","A",IF(OR(DATE($B$3,1,8)&gt;EOMONTH(DATE($B$3,1,1),0),NETWORKDAYS.INTL(DATE($B$3,1,8),DATE($B$3,1,8),1,'Non-working days'!$A$6:$A$45)=0),"",IF(COUNTIFS('Leave log'!$A$7:$A$306,Employees!$A$6,'Leave log'!$B$7:$B$306,"&lt;="&amp;DATE($B$3,1,8),'Leave log'!$C$7:$C$306,"&gt;="&amp;DATE($B$3,1,8),'Leave log'!$F$7:$F$306,"Pending")&gt;0,"P",""))))</f>
        <v/>
      </c>
      <c r="J7" s="23" t="str">
        <f>IF(A7="","",IF(IF(OR(DATE($B$3,1,9)&gt;EOMONTH(DATE($B$3,1,1),0),NETWORKDAYS.INTL(DATE($B$3,1,9),DATE($B$3,1,9),1,'Non-working days'!$A$6:$A$45)=0),"",IF(COUNTIFS('Leave log'!$A$7:$A$306,Employees!$A$6,'Leave log'!$B$7:$B$306,"&lt;="&amp;DATE($B$3,1,9),'Leave log'!$C$7:$C$306,"&gt;="&amp;DATE($B$3,1,9),'Leave log'!$F$7:$F$306,"Approved")&gt;0,"A",""))="A","A",IF(OR(DATE($B$3,1,9)&gt;EOMONTH(DATE($B$3,1,1),0),NETWORKDAYS.INTL(DATE($B$3,1,9),DATE($B$3,1,9),1,'Non-working days'!$A$6:$A$45)=0),"",IF(COUNTIFS('Leave log'!$A$7:$A$306,Employees!$A$6,'Leave log'!$B$7:$B$306,"&lt;="&amp;DATE($B$3,1,9),'Leave log'!$C$7:$C$306,"&gt;="&amp;DATE($B$3,1,9),'Leave log'!$F$7:$F$306,"Pending")&gt;0,"P",""))))</f>
        <v/>
      </c>
      <c r="K7" s="23" t="str">
        <f>IF(A7="","",IF(IF(OR(DATE($B$3,1,10)&gt;EOMONTH(DATE($B$3,1,1),0),NETWORKDAYS.INTL(DATE($B$3,1,10),DATE($B$3,1,10),1,'Non-working days'!$A$6:$A$45)=0),"",IF(COUNTIFS('Leave log'!$A$7:$A$306,Employees!$A$6,'Leave log'!$B$7:$B$306,"&lt;="&amp;DATE($B$3,1,10),'Leave log'!$C$7:$C$306,"&gt;="&amp;DATE($B$3,1,10),'Leave log'!$F$7:$F$306,"Approved")&gt;0,"A",""))="A","A",IF(OR(DATE($B$3,1,10)&gt;EOMONTH(DATE($B$3,1,1),0),NETWORKDAYS.INTL(DATE($B$3,1,10),DATE($B$3,1,10),1,'Non-working days'!$A$6:$A$45)=0),"",IF(COUNTIFS('Leave log'!$A$7:$A$306,Employees!$A$6,'Leave log'!$B$7:$B$306,"&lt;="&amp;DATE($B$3,1,10),'Leave log'!$C$7:$C$306,"&gt;="&amp;DATE($B$3,1,10),'Leave log'!$F$7:$F$306,"Pending")&gt;0,"P",""))))</f>
        <v/>
      </c>
      <c r="L7" s="23" t="str">
        <f>IF(A7="","",IF(IF(OR(DATE($B$3,1,11)&gt;EOMONTH(DATE($B$3,1,1),0),NETWORKDAYS.INTL(DATE($B$3,1,11),DATE($B$3,1,11),1,'Non-working days'!$A$6:$A$45)=0),"",IF(COUNTIFS('Leave log'!$A$7:$A$306,Employees!$A$6,'Leave log'!$B$7:$B$306,"&lt;="&amp;DATE($B$3,1,11),'Leave log'!$C$7:$C$306,"&gt;="&amp;DATE($B$3,1,11),'Leave log'!$F$7:$F$306,"Approved")&gt;0,"A",""))="A","A",IF(OR(DATE($B$3,1,11)&gt;EOMONTH(DATE($B$3,1,1),0),NETWORKDAYS.INTL(DATE($B$3,1,11),DATE($B$3,1,11),1,'Non-working days'!$A$6:$A$45)=0),"",IF(COUNTIFS('Leave log'!$A$7:$A$306,Employees!$A$6,'Leave log'!$B$7:$B$306,"&lt;="&amp;DATE($B$3,1,11),'Leave log'!$C$7:$C$306,"&gt;="&amp;DATE($B$3,1,11),'Leave log'!$F$7:$F$306,"Pending")&gt;0,"P",""))))</f>
        <v/>
      </c>
      <c r="M7" s="23" t="str">
        <f>IF(A7="","",IF(IF(OR(DATE($B$3,1,12)&gt;EOMONTH(DATE($B$3,1,1),0),NETWORKDAYS.INTL(DATE($B$3,1,12),DATE($B$3,1,12),1,'Non-working days'!$A$6:$A$45)=0),"",IF(COUNTIFS('Leave log'!$A$7:$A$306,Employees!$A$6,'Leave log'!$B$7:$B$306,"&lt;="&amp;DATE($B$3,1,12),'Leave log'!$C$7:$C$306,"&gt;="&amp;DATE($B$3,1,12),'Leave log'!$F$7:$F$306,"Approved")&gt;0,"A",""))="A","A",IF(OR(DATE($B$3,1,12)&gt;EOMONTH(DATE($B$3,1,1),0),NETWORKDAYS.INTL(DATE($B$3,1,12),DATE($B$3,1,12),1,'Non-working days'!$A$6:$A$45)=0),"",IF(COUNTIFS('Leave log'!$A$7:$A$306,Employees!$A$6,'Leave log'!$B$7:$B$306,"&lt;="&amp;DATE($B$3,1,12),'Leave log'!$C$7:$C$306,"&gt;="&amp;DATE($B$3,1,12),'Leave log'!$F$7:$F$306,"Pending")&gt;0,"P",""))))</f>
        <v/>
      </c>
      <c r="N7" s="23" t="str">
        <f>IF(A7="","",IF(IF(OR(DATE($B$3,1,13)&gt;EOMONTH(DATE($B$3,1,1),0),NETWORKDAYS.INTL(DATE($B$3,1,13),DATE($B$3,1,13),1,'Non-working days'!$A$6:$A$45)=0),"",IF(COUNTIFS('Leave log'!$A$7:$A$306,Employees!$A$6,'Leave log'!$B$7:$B$306,"&lt;="&amp;DATE($B$3,1,13),'Leave log'!$C$7:$C$306,"&gt;="&amp;DATE($B$3,1,13),'Leave log'!$F$7:$F$306,"Approved")&gt;0,"A",""))="A","A",IF(OR(DATE($B$3,1,13)&gt;EOMONTH(DATE($B$3,1,1),0),NETWORKDAYS.INTL(DATE($B$3,1,13),DATE($B$3,1,13),1,'Non-working days'!$A$6:$A$45)=0),"",IF(COUNTIFS('Leave log'!$A$7:$A$306,Employees!$A$6,'Leave log'!$B$7:$B$306,"&lt;="&amp;DATE($B$3,1,13),'Leave log'!$C$7:$C$306,"&gt;="&amp;DATE($B$3,1,13),'Leave log'!$F$7:$F$306,"Pending")&gt;0,"P",""))))</f>
        <v/>
      </c>
      <c r="O7" s="23" t="str">
        <f>IF(A7="","",IF(IF(OR(DATE($B$3,1,14)&gt;EOMONTH(DATE($B$3,1,1),0),NETWORKDAYS.INTL(DATE($B$3,1,14),DATE($B$3,1,14),1,'Non-working days'!$A$6:$A$45)=0),"",IF(COUNTIFS('Leave log'!$A$7:$A$306,Employees!$A$6,'Leave log'!$B$7:$B$306,"&lt;="&amp;DATE($B$3,1,14),'Leave log'!$C$7:$C$306,"&gt;="&amp;DATE($B$3,1,14),'Leave log'!$F$7:$F$306,"Approved")&gt;0,"A",""))="A","A",IF(OR(DATE($B$3,1,14)&gt;EOMONTH(DATE($B$3,1,1),0),NETWORKDAYS.INTL(DATE($B$3,1,14),DATE($B$3,1,14),1,'Non-working days'!$A$6:$A$45)=0),"",IF(COUNTIFS('Leave log'!$A$7:$A$306,Employees!$A$6,'Leave log'!$B$7:$B$306,"&lt;="&amp;DATE($B$3,1,14),'Leave log'!$C$7:$C$306,"&gt;="&amp;DATE($B$3,1,14),'Leave log'!$F$7:$F$306,"Pending")&gt;0,"P",""))))</f>
        <v/>
      </c>
      <c r="P7" s="23" t="str">
        <f>IF(A7="","",IF(IF(OR(DATE($B$3,1,15)&gt;EOMONTH(DATE($B$3,1,1),0),NETWORKDAYS.INTL(DATE($B$3,1,15),DATE($B$3,1,15),1,'Non-working days'!$A$6:$A$45)=0),"",IF(COUNTIFS('Leave log'!$A$7:$A$306,Employees!$A$6,'Leave log'!$B$7:$B$306,"&lt;="&amp;DATE($B$3,1,15),'Leave log'!$C$7:$C$306,"&gt;="&amp;DATE($B$3,1,15),'Leave log'!$F$7:$F$306,"Approved")&gt;0,"A",""))="A","A",IF(OR(DATE($B$3,1,15)&gt;EOMONTH(DATE($B$3,1,1),0),NETWORKDAYS.INTL(DATE($B$3,1,15),DATE($B$3,1,15),1,'Non-working days'!$A$6:$A$45)=0),"",IF(COUNTIFS('Leave log'!$A$7:$A$306,Employees!$A$6,'Leave log'!$B$7:$B$306,"&lt;="&amp;DATE($B$3,1,15),'Leave log'!$C$7:$C$306,"&gt;="&amp;DATE($B$3,1,15),'Leave log'!$F$7:$F$306,"Pending")&gt;0,"P",""))))</f>
        <v/>
      </c>
      <c r="Q7" s="23" t="str">
        <f>IF(A7="","",IF(IF(OR(DATE($B$3,1,16)&gt;EOMONTH(DATE($B$3,1,1),0),NETWORKDAYS.INTL(DATE($B$3,1,16),DATE($B$3,1,16),1,'Non-working days'!$A$6:$A$45)=0),"",IF(COUNTIFS('Leave log'!$A$7:$A$306,Employees!$A$6,'Leave log'!$B$7:$B$306,"&lt;="&amp;DATE($B$3,1,16),'Leave log'!$C$7:$C$306,"&gt;="&amp;DATE($B$3,1,16),'Leave log'!$F$7:$F$306,"Approved")&gt;0,"A",""))="A","A",IF(OR(DATE($B$3,1,16)&gt;EOMONTH(DATE($B$3,1,1),0),NETWORKDAYS.INTL(DATE($B$3,1,16),DATE($B$3,1,16),1,'Non-working days'!$A$6:$A$45)=0),"",IF(COUNTIFS('Leave log'!$A$7:$A$306,Employees!$A$6,'Leave log'!$B$7:$B$306,"&lt;="&amp;DATE($B$3,1,16),'Leave log'!$C$7:$C$306,"&gt;="&amp;DATE($B$3,1,16),'Leave log'!$F$7:$F$306,"Pending")&gt;0,"P",""))))</f>
        <v/>
      </c>
      <c r="R7" s="23" t="str">
        <f>IF(A7="","",IF(IF(OR(DATE($B$3,1,17)&gt;EOMONTH(DATE($B$3,1,1),0),NETWORKDAYS.INTL(DATE($B$3,1,17),DATE($B$3,1,17),1,'Non-working days'!$A$6:$A$45)=0),"",IF(COUNTIFS('Leave log'!$A$7:$A$306,Employees!$A$6,'Leave log'!$B$7:$B$306,"&lt;="&amp;DATE($B$3,1,17),'Leave log'!$C$7:$C$306,"&gt;="&amp;DATE($B$3,1,17),'Leave log'!$F$7:$F$306,"Approved")&gt;0,"A",""))="A","A",IF(OR(DATE($B$3,1,17)&gt;EOMONTH(DATE($B$3,1,1),0),NETWORKDAYS.INTL(DATE($B$3,1,17),DATE($B$3,1,17),1,'Non-working days'!$A$6:$A$45)=0),"",IF(COUNTIFS('Leave log'!$A$7:$A$306,Employees!$A$6,'Leave log'!$B$7:$B$306,"&lt;="&amp;DATE($B$3,1,17),'Leave log'!$C$7:$C$306,"&gt;="&amp;DATE($B$3,1,17),'Leave log'!$F$7:$F$306,"Pending")&gt;0,"P",""))))</f>
        <v/>
      </c>
      <c r="S7" s="23" t="str">
        <f>IF(A7="","",IF(IF(OR(DATE($B$3,1,18)&gt;EOMONTH(DATE($B$3,1,1),0),NETWORKDAYS.INTL(DATE($B$3,1,18),DATE($B$3,1,18),1,'Non-working days'!$A$6:$A$45)=0),"",IF(COUNTIFS('Leave log'!$A$7:$A$306,Employees!$A$6,'Leave log'!$B$7:$B$306,"&lt;="&amp;DATE($B$3,1,18),'Leave log'!$C$7:$C$306,"&gt;="&amp;DATE($B$3,1,18),'Leave log'!$F$7:$F$306,"Approved")&gt;0,"A",""))="A","A",IF(OR(DATE($B$3,1,18)&gt;EOMONTH(DATE($B$3,1,1),0),NETWORKDAYS.INTL(DATE($B$3,1,18),DATE($B$3,1,18),1,'Non-working days'!$A$6:$A$45)=0),"",IF(COUNTIFS('Leave log'!$A$7:$A$306,Employees!$A$6,'Leave log'!$B$7:$B$306,"&lt;="&amp;DATE($B$3,1,18),'Leave log'!$C$7:$C$306,"&gt;="&amp;DATE($B$3,1,18),'Leave log'!$F$7:$F$306,"Pending")&gt;0,"P",""))))</f>
        <v/>
      </c>
      <c r="T7" s="23" t="str">
        <f>IF(A7="","",IF(IF(OR(DATE($B$3,1,19)&gt;EOMONTH(DATE($B$3,1,1),0),NETWORKDAYS.INTL(DATE($B$3,1,19),DATE($B$3,1,19),1,'Non-working days'!$A$6:$A$45)=0),"",IF(COUNTIFS('Leave log'!$A$7:$A$306,Employees!$A$6,'Leave log'!$B$7:$B$306,"&lt;="&amp;DATE($B$3,1,19),'Leave log'!$C$7:$C$306,"&gt;="&amp;DATE($B$3,1,19),'Leave log'!$F$7:$F$306,"Approved")&gt;0,"A",""))="A","A",IF(OR(DATE($B$3,1,19)&gt;EOMONTH(DATE($B$3,1,1),0),NETWORKDAYS.INTL(DATE($B$3,1,19),DATE($B$3,1,19),1,'Non-working days'!$A$6:$A$45)=0),"",IF(COUNTIFS('Leave log'!$A$7:$A$306,Employees!$A$6,'Leave log'!$B$7:$B$306,"&lt;="&amp;DATE($B$3,1,19),'Leave log'!$C$7:$C$306,"&gt;="&amp;DATE($B$3,1,19),'Leave log'!$F$7:$F$306,"Pending")&gt;0,"P",""))))</f>
        <v/>
      </c>
      <c r="U7" s="23" t="str">
        <f>IF(A7="","",IF(IF(OR(DATE($B$3,1,20)&gt;EOMONTH(DATE($B$3,1,1),0),NETWORKDAYS.INTL(DATE($B$3,1,20),DATE($B$3,1,20),1,'Non-working days'!$A$6:$A$45)=0),"",IF(COUNTIFS('Leave log'!$A$7:$A$306,Employees!$A$6,'Leave log'!$B$7:$B$306,"&lt;="&amp;DATE($B$3,1,20),'Leave log'!$C$7:$C$306,"&gt;="&amp;DATE($B$3,1,20),'Leave log'!$F$7:$F$306,"Approved")&gt;0,"A",""))="A","A",IF(OR(DATE($B$3,1,20)&gt;EOMONTH(DATE($B$3,1,1),0),NETWORKDAYS.INTL(DATE($B$3,1,20),DATE($B$3,1,20),1,'Non-working days'!$A$6:$A$45)=0),"",IF(COUNTIFS('Leave log'!$A$7:$A$306,Employees!$A$6,'Leave log'!$B$7:$B$306,"&lt;="&amp;DATE($B$3,1,20),'Leave log'!$C$7:$C$306,"&gt;="&amp;DATE($B$3,1,20),'Leave log'!$F$7:$F$306,"Pending")&gt;0,"P",""))))</f>
        <v/>
      </c>
      <c r="V7" s="23" t="str">
        <f>IF(A7="","",IF(IF(OR(DATE($B$3,1,21)&gt;EOMONTH(DATE($B$3,1,1),0),NETWORKDAYS.INTL(DATE($B$3,1,21),DATE($B$3,1,21),1,'Non-working days'!$A$6:$A$45)=0),"",IF(COUNTIFS('Leave log'!$A$7:$A$306,Employees!$A$6,'Leave log'!$B$7:$B$306,"&lt;="&amp;DATE($B$3,1,21),'Leave log'!$C$7:$C$306,"&gt;="&amp;DATE($B$3,1,21),'Leave log'!$F$7:$F$306,"Approved")&gt;0,"A",""))="A","A",IF(OR(DATE($B$3,1,21)&gt;EOMONTH(DATE($B$3,1,1),0),NETWORKDAYS.INTL(DATE($B$3,1,21),DATE($B$3,1,21),1,'Non-working days'!$A$6:$A$45)=0),"",IF(COUNTIFS('Leave log'!$A$7:$A$306,Employees!$A$6,'Leave log'!$B$7:$B$306,"&lt;="&amp;DATE($B$3,1,21),'Leave log'!$C$7:$C$306,"&gt;="&amp;DATE($B$3,1,21),'Leave log'!$F$7:$F$306,"Pending")&gt;0,"P",""))))</f>
        <v/>
      </c>
      <c r="W7" s="23" t="str">
        <f>IF(A7="","",IF(IF(OR(DATE($B$3,1,22)&gt;EOMONTH(DATE($B$3,1,1),0),NETWORKDAYS.INTL(DATE($B$3,1,22),DATE($B$3,1,22),1,'Non-working days'!$A$6:$A$45)=0),"",IF(COUNTIFS('Leave log'!$A$7:$A$306,Employees!$A$6,'Leave log'!$B$7:$B$306,"&lt;="&amp;DATE($B$3,1,22),'Leave log'!$C$7:$C$306,"&gt;="&amp;DATE($B$3,1,22),'Leave log'!$F$7:$F$306,"Approved")&gt;0,"A",""))="A","A",IF(OR(DATE($B$3,1,22)&gt;EOMONTH(DATE($B$3,1,1),0),NETWORKDAYS.INTL(DATE($B$3,1,22),DATE($B$3,1,22),1,'Non-working days'!$A$6:$A$45)=0),"",IF(COUNTIFS('Leave log'!$A$7:$A$306,Employees!$A$6,'Leave log'!$B$7:$B$306,"&lt;="&amp;DATE($B$3,1,22),'Leave log'!$C$7:$C$306,"&gt;="&amp;DATE($B$3,1,22),'Leave log'!$F$7:$F$306,"Pending")&gt;0,"P",""))))</f>
        <v/>
      </c>
      <c r="X7" s="23" t="str">
        <f>IF(A7="","",IF(IF(OR(DATE($B$3,1,23)&gt;EOMONTH(DATE($B$3,1,1),0),NETWORKDAYS.INTL(DATE($B$3,1,23),DATE($B$3,1,23),1,'Non-working days'!$A$6:$A$45)=0),"",IF(COUNTIFS('Leave log'!$A$7:$A$306,Employees!$A$6,'Leave log'!$B$7:$B$306,"&lt;="&amp;DATE($B$3,1,23),'Leave log'!$C$7:$C$306,"&gt;="&amp;DATE($B$3,1,23),'Leave log'!$F$7:$F$306,"Approved")&gt;0,"A",""))="A","A",IF(OR(DATE($B$3,1,23)&gt;EOMONTH(DATE($B$3,1,1),0),NETWORKDAYS.INTL(DATE($B$3,1,23),DATE($B$3,1,23),1,'Non-working days'!$A$6:$A$45)=0),"",IF(COUNTIFS('Leave log'!$A$7:$A$306,Employees!$A$6,'Leave log'!$B$7:$B$306,"&lt;="&amp;DATE($B$3,1,23),'Leave log'!$C$7:$C$306,"&gt;="&amp;DATE($B$3,1,23),'Leave log'!$F$7:$F$306,"Pending")&gt;0,"P",""))))</f>
        <v/>
      </c>
      <c r="Y7" s="23" t="str">
        <f>IF(A7="","",IF(IF(OR(DATE($B$3,1,24)&gt;EOMONTH(DATE($B$3,1,1),0),NETWORKDAYS.INTL(DATE($B$3,1,24),DATE($B$3,1,24),1,'Non-working days'!$A$6:$A$45)=0),"",IF(COUNTIFS('Leave log'!$A$7:$A$306,Employees!$A$6,'Leave log'!$B$7:$B$306,"&lt;="&amp;DATE($B$3,1,24),'Leave log'!$C$7:$C$306,"&gt;="&amp;DATE($B$3,1,24),'Leave log'!$F$7:$F$306,"Approved")&gt;0,"A",""))="A","A",IF(OR(DATE($B$3,1,24)&gt;EOMONTH(DATE($B$3,1,1),0),NETWORKDAYS.INTL(DATE($B$3,1,24),DATE($B$3,1,24),1,'Non-working days'!$A$6:$A$45)=0),"",IF(COUNTIFS('Leave log'!$A$7:$A$306,Employees!$A$6,'Leave log'!$B$7:$B$306,"&lt;="&amp;DATE($B$3,1,24),'Leave log'!$C$7:$C$306,"&gt;="&amp;DATE($B$3,1,24),'Leave log'!$F$7:$F$306,"Pending")&gt;0,"P",""))))</f>
        <v/>
      </c>
      <c r="Z7" s="23" t="str">
        <f>IF(A7="","",IF(IF(OR(DATE($B$3,1,25)&gt;EOMONTH(DATE($B$3,1,1),0),NETWORKDAYS.INTL(DATE($B$3,1,25),DATE($B$3,1,25),1,'Non-working days'!$A$6:$A$45)=0),"",IF(COUNTIFS('Leave log'!$A$7:$A$306,Employees!$A$6,'Leave log'!$B$7:$B$306,"&lt;="&amp;DATE($B$3,1,25),'Leave log'!$C$7:$C$306,"&gt;="&amp;DATE($B$3,1,25),'Leave log'!$F$7:$F$306,"Approved")&gt;0,"A",""))="A","A",IF(OR(DATE($B$3,1,25)&gt;EOMONTH(DATE($B$3,1,1),0),NETWORKDAYS.INTL(DATE($B$3,1,25),DATE($B$3,1,25),1,'Non-working days'!$A$6:$A$45)=0),"",IF(COUNTIFS('Leave log'!$A$7:$A$306,Employees!$A$6,'Leave log'!$B$7:$B$306,"&lt;="&amp;DATE($B$3,1,25),'Leave log'!$C$7:$C$306,"&gt;="&amp;DATE($B$3,1,25),'Leave log'!$F$7:$F$306,"Pending")&gt;0,"P",""))))</f>
        <v/>
      </c>
      <c r="AA7" s="23" t="str">
        <f>IF(A7="","",IF(IF(OR(DATE($B$3,1,26)&gt;EOMONTH(DATE($B$3,1,1),0),NETWORKDAYS.INTL(DATE($B$3,1,26),DATE($B$3,1,26),1,'Non-working days'!$A$6:$A$45)=0),"",IF(COUNTIFS('Leave log'!$A$7:$A$306,Employees!$A$6,'Leave log'!$B$7:$B$306,"&lt;="&amp;DATE($B$3,1,26),'Leave log'!$C$7:$C$306,"&gt;="&amp;DATE($B$3,1,26),'Leave log'!$F$7:$F$306,"Approved")&gt;0,"A",""))="A","A",IF(OR(DATE($B$3,1,26)&gt;EOMONTH(DATE($B$3,1,1),0),NETWORKDAYS.INTL(DATE($B$3,1,26),DATE($B$3,1,26),1,'Non-working days'!$A$6:$A$45)=0),"",IF(COUNTIFS('Leave log'!$A$7:$A$306,Employees!$A$6,'Leave log'!$B$7:$B$306,"&lt;="&amp;DATE($B$3,1,26),'Leave log'!$C$7:$C$306,"&gt;="&amp;DATE($B$3,1,26),'Leave log'!$F$7:$F$306,"Pending")&gt;0,"P",""))))</f>
        <v/>
      </c>
      <c r="AB7" s="23" t="str">
        <f>IF(A7="","",IF(IF(OR(DATE($B$3,1,27)&gt;EOMONTH(DATE($B$3,1,1),0),NETWORKDAYS.INTL(DATE($B$3,1,27),DATE($B$3,1,27),1,'Non-working days'!$A$6:$A$45)=0),"",IF(COUNTIFS('Leave log'!$A$7:$A$306,Employees!$A$6,'Leave log'!$B$7:$B$306,"&lt;="&amp;DATE($B$3,1,27),'Leave log'!$C$7:$C$306,"&gt;="&amp;DATE($B$3,1,27),'Leave log'!$F$7:$F$306,"Approved")&gt;0,"A",""))="A","A",IF(OR(DATE($B$3,1,27)&gt;EOMONTH(DATE($B$3,1,1),0),NETWORKDAYS.INTL(DATE($B$3,1,27),DATE($B$3,1,27),1,'Non-working days'!$A$6:$A$45)=0),"",IF(COUNTIFS('Leave log'!$A$7:$A$306,Employees!$A$6,'Leave log'!$B$7:$B$306,"&lt;="&amp;DATE($B$3,1,27),'Leave log'!$C$7:$C$306,"&gt;="&amp;DATE($B$3,1,27),'Leave log'!$F$7:$F$306,"Pending")&gt;0,"P",""))))</f>
        <v/>
      </c>
      <c r="AC7" s="23" t="str">
        <f>IF(A7="","",IF(IF(OR(DATE($B$3,1,28)&gt;EOMONTH(DATE($B$3,1,1),0),NETWORKDAYS.INTL(DATE($B$3,1,28),DATE($B$3,1,28),1,'Non-working days'!$A$6:$A$45)=0),"",IF(COUNTIFS('Leave log'!$A$7:$A$306,Employees!$A$6,'Leave log'!$B$7:$B$306,"&lt;="&amp;DATE($B$3,1,28),'Leave log'!$C$7:$C$306,"&gt;="&amp;DATE($B$3,1,28),'Leave log'!$F$7:$F$306,"Approved")&gt;0,"A",""))="A","A",IF(OR(DATE($B$3,1,28)&gt;EOMONTH(DATE($B$3,1,1),0),NETWORKDAYS.INTL(DATE($B$3,1,28),DATE($B$3,1,28),1,'Non-working days'!$A$6:$A$45)=0),"",IF(COUNTIFS('Leave log'!$A$7:$A$306,Employees!$A$6,'Leave log'!$B$7:$B$306,"&lt;="&amp;DATE($B$3,1,28),'Leave log'!$C$7:$C$306,"&gt;="&amp;DATE($B$3,1,28),'Leave log'!$F$7:$F$306,"Pending")&gt;0,"P",""))))</f>
        <v/>
      </c>
      <c r="AD7" s="23" t="str">
        <f>IF(A7="","",IF(IF(OR(DATE($B$3,1,29)&gt;EOMONTH(DATE($B$3,1,1),0),NETWORKDAYS.INTL(DATE($B$3,1,29),DATE($B$3,1,29),1,'Non-working days'!$A$6:$A$45)=0),"",IF(COUNTIFS('Leave log'!$A$7:$A$306,Employees!$A$6,'Leave log'!$B$7:$B$306,"&lt;="&amp;DATE($B$3,1,29),'Leave log'!$C$7:$C$306,"&gt;="&amp;DATE($B$3,1,29),'Leave log'!$F$7:$F$306,"Approved")&gt;0,"A",""))="A","A",IF(OR(DATE($B$3,1,29)&gt;EOMONTH(DATE($B$3,1,1),0),NETWORKDAYS.INTL(DATE($B$3,1,29),DATE($B$3,1,29),1,'Non-working days'!$A$6:$A$45)=0),"",IF(COUNTIFS('Leave log'!$A$7:$A$306,Employees!$A$6,'Leave log'!$B$7:$B$306,"&lt;="&amp;DATE($B$3,1,29),'Leave log'!$C$7:$C$306,"&gt;="&amp;DATE($B$3,1,29),'Leave log'!$F$7:$F$306,"Pending")&gt;0,"P",""))))</f>
        <v/>
      </c>
      <c r="AE7" s="23" t="str">
        <f>IF(A7="","",IF(IF(OR(DATE($B$3,1,30)&gt;EOMONTH(DATE($B$3,1,1),0),NETWORKDAYS.INTL(DATE($B$3,1,30),DATE($B$3,1,30),1,'Non-working days'!$A$6:$A$45)=0),"",IF(COUNTIFS('Leave log'!$A$7:$A$306,Employees!$A$6,'Leave log'!$B$7:$B$306,"&lt;="&amp;DATE($B$3,1,30),'Leave log'!$C$7:$C$306,"&gt;="&amp;DATE($B$3,1,30),'Leave log'!$F$7:$F$306,"Approved")&gt;0,"A",""))="A","A",IF(OR(DATE($B$3,1,30)&gt;EOMONTH(DATE($B$3,1,1),0),NETWORKDAYS.INTL(DATE($B$3,1,30),DATE($B$3,1,30),1,'Non-working days'!$A$6:$A$45)=0),"",IF(COUNTIFS('Leave log'!$A$7:$A$306,Employees!$A$6,'Leave log'!$B$7:$B$306,"&lt;="&amp;DATE($B$3,1,30),'Leave log'!$C$7:$C$306,"&gt;="&amp;DATE($B$3,1,30),'Leave log'!$F$7:$F$306,"Pending")&gt;0,"P",""))))</f>
        <v/>
      </c>
      <c r="AF7" s="23" t="str">
        <f>IF(A7="","",IF(IF(OR(DATE($B$3,1,31)&gt;EOMONTH(DATE($B$3,1,1),0),NETWORKDAYS.INTL(DATE($B$3,1,31),DATE($B$3,1,31),1,'Non-working days'!$A$6:$A$45)=0),"",IF(COUNTIFS('Leave log'!$A$7:$A$306,Employees!$A$6,'Leave log'!$B$7:$B$306,"&lt;="&amp;DATE($B$3,1,31),'Leave log'!$C$7:$C$306,"&gt;="&amp;DATE($B$3,1,31),'Leave log'!$F$7:$F$306,"Approved")&gt;0,"A",""))="A","A",IF(OR(DATE($B$3,1,31)&gt;EOMONTH(DATE($B$3,1,1),0),NETWORKDAYS.INTL(DATE($B$3,1,31),DATE($B$3,1,31),1,'Non-working days'!$A$6:$A$45)=0),"",IF(COUNTIFS('Leave log'!$A$7:$A$306,Employees!$A$6,'Leave log'!$B$7:$B$306,"&lt;="&amp;DATE($B$3,1,31),'Leave log'!$C$7:$C$306,"&gt;="&amp;DATE($B$3,1,31),'Leave log'!$F$7:$F$306,"Pending")&gt;0,"P",""))))</f>
        <v/>
      </c>
    </row>
    <row r="8" spans="1:32" ht="18" customHeight="1" x14ac:dyDescent="0.3">
      <c r="A8" s="22" t="str">
        <f>IF(Employees!F7="Yes",Employees!B7,"")</f>
        <v/>
      </c>
      <c r="B8" s="23" t="str">
        <f>IF(A8="","",IF(IF(OR(DATE($B$3,1,1)&gt;EOMONTH(DATE($B$3,1,1),0),NETWORKDAYS.INTL(DATE($B$3,1,1),DATE($B$3,1,1),1,'Non-working days'!$A$6:$A$45)=0),"",IF(COUNTIFS('Leave log'!$A$7:$A$306,Employees!$A$7,'Leave log'!$B$7:$B$306,"&lt;="&amp;DATE($B$3,1,1),'Leave log'!$C$7:$C$306,"&gt;="&amp;DATE($B$3,1,1),'Leave log'!$F$7:$F$306,"Approved")&gt;0,"A",""))="A","A",IF(OR(DATE($B$3,1,1)&gt;EOMONTH(DATE($B$3,1,1),0),NETWORKDAYS.INTL(DATE($B$3,1,1),DATE($B$3,1,1),1,'Non-working days'!$A$6:$A$45)=0),"",IF(COUNTIFS('Leave log'!$A$7:$A$306,Employees!$A$7,'Leave log'!$B$7:$B$306,"&lt;="&amp;DATE($B$3,1,1),'Leave log'!$C$7:$C$306,"&gt;="&amp;DATE($B$3,1,1),'Leave log'!$F$7:$F$306,"Pending")&gt;0,"P",""))))</f>
        <v/>
      </c>
      <c r="C8" s="23" t="str">
        <f>IF(A8="","",IF(IF(OR(DATE($B$3,1,2)&gt;EOMONTH(DATE($B$3,1,1),0),NETWORKDAYS.INTL(DATE($B$3,1,2),DATE($B$3,1,2),1,'Non-working days'!$A$6:$A$45)=0),"",IF(COUNTIFS('Leave log'!$A$7:$A$306,Employees!$A$7,'Leave log'!$B$7:$B$306,"&lt;="&amp;DATE($B$3,1,2),'Leave log'!$C$7:$C$306,"&gt;="&amp;DATE($B$3,1,2),'Leave log'!$F$7:$F$306,"Approved")&gt;0,"A",""))="A","A",IF(OR(DATE($B$3,1,2)&gt;EOMONTH(DATE($B$3,1,1),0),NETWORKDAYS.INTL(DATE($B$3,1,2),DATE($B$3,1,2),1,'Non-working days'!$A$6:$A$45)=0),"",IF(COUNTIFS('Leave log'!$A$7:$A$306,Employees!$A$7,'Leave log'!$B$7:$B$306,"&lt;="&amp;DATE($B$3,1,2),'Leave log'!$C$7:$C$306,"&gt;="&amp;DATE($B$3,1,2),'Leave log'!$F$7:$F$306,"Pending")&gt;0,"P",""))))</f>
        <v/>
      </c>
      <c r="D8" s="23" t="str">
        <f>IF(A8="","",IF(IF(OR(DATE($B$3,1,3)&gt;EOMONTH(DATE($B$3,1,1),0),NETWORKDAYS.INTL(DATE($B$3,1,3),DATE($B$3,1,3),1,'Non-working days'!$A$6:$A$45)=0),"",IF(COUNTIFS('Leave log'!$A$7:$A$306,Employees!$A$7,'Leave log'!$B$7:$B$306,"&lt;="&amp;DATE($B$3,1,3),'Leave log'!$C$7:$C$306,"&gt;="&amp;DATE($B$3,1,3),'Leave log'!$F$7:$F$306,"Approved")&gt;0,"A",""))="A","A",IF(OR(DATE($B$3,1,3)&gt;EOMONTH(DATE($B$3,1,1),0),NETWORKDAYS.INTL(DATE($B$3,1,3),DATE($B$3,1,3),1,'Non-working days'!$A$6:$A$45)=0),"",IF(COUNTIFS('Leave log'!$A$7:$A$306,Employees!$A$7,'Leave log'!$B$7:$B$306,"&lt;="&amp;DATE($B$3,1,3),'Leave log'!$C$7:$C$306,"&gt;="&amp;DATE($B$3,1,3),'Leave log'!$F$7:$F$306,"Pending")&gt;0,"P",""))))</f>
        <v/>
      </c>
      <c r="E8" s="23" t="str">
        <f>IF(A8="","",IF(IF(OR(DATE($B$3,1,4)&gt;EOMONTH(DATE($B$3,1,1),0),NETWORKDAYS.INTL(DATE($B$3,1,4),DATE($B$3,1,4),1,'Non-working days'!$A$6:$A$45)=0),"",IF(COUNTIFS('Leave log'!$A$7:$A$306,Employees!$A$7,'Leave log'!$B$7:$B$306,"&lt;="&amp;DATE($B$3,1,4),'Leave log'!$C$7:$C$306,"&gt;="&amp;DATE($B$3,1,4),'Leave log'!$F$7:$F$306,"Approved")&gt;0,"A",""))="A","A",IF(OR(DATE($B$3,1,4)&gt;EOMONTH(DATE($B$3,1,1),0),NETWORKDAYS.INTL(DATE($B$3,1,4),DATE($B$3,1,4),1,'Non-working days'!$A$6:$A$45)=0),"",IF(COUNTIFS('Leave log'!$A$7:$A$306,Employees!$A$7,'Leave log'!$B$7:$B$306,"&lt;="&amp;DATE($B$3,1,4),'Leave log'!$C$7:$C$306,"&gt;="&amp;DATE($B$3,1,4),'Leave log'!$F$7:$F$306,"Pending")&gt;0,"P",""))))</f>
        <v/>
      </c>
      <c r="F8" s="23" t="str">
        <f>IF(A8="","",IF(IF(OR(DATE($B$3,1,5)&gt;EOMONTH(DATE($B$3,1,1),0),NETWORKDAYS.INTL(DATE($B$3,1,5),DATE($B$3,1,5),1,'Non-working days'!$A$6:$A$45)=0),"",IF(COUNTIFS('Leave log'!$A$7:$A$306,Employees!$A$7,'Leave log'!$B$7:$B$306,"&lt;="&amp;DATE($B$3,1,5),'Leave log'!$C$7:$C$306,"&gt;="&amp;DATE($B$3,1,5),'Leave log'!$F$7:$F$306,"Approved")&gt;0,"A",""))="A","A",IF(OR(DATE($B$3,1,5)&gt;EOMONTH(DATE($B$3,1,1),0),NETWORKDAYS.INTL(DATE($B$3,1,5),DATE($B$3,1,5),1,'Non-working days'!$A$6:$A$45)=0),"",IF(COUNTIFS('Leave log'!$A$7:$A$306,Employees!$A$7,'Leave log'!$B$7:$B$306,"&lt;="&amp;DATE($B$3,1,5),'Leave log'!$C$7:$C$306,"&gt;="&amp;DATE($B$3,1,5),'Leave log'!$F$7:$F$306,"Pending")&gt;0,"P",""))))</f>
        <v/>
      </c>
      <c r="G8" s="23" t="str">
        <f>IF(A8="","",IF(IF(OR(DATE($B$3,1,6)&gt;EOMONTH(DATE($B$3,1,1),0),NETWORKDAYS.INTL(DATE($B$3,1,6),DATE($B$3,1,6),1,'Non-working days'!$A$6:$A$45)=0),"",IF(COUNTIFS('Leave log'!$A$7:$A$306,Employees!$A$7,'Leave log'!$B$7:$B$306,"&lt;="&amp;DATE($B$3,1,6),'Leave log'!$C$7:$C$306,"&gt;="&amp;DATE($B$3,1,6),'Leave log'!$F$7:$F$306,"Approved")&gt;0,"A",""))="A","A",IF(OR(DATE($B$3,1,6)&gt;EOMONTH(DATE($B$3,1,1),0),NETWORKDAYS.INTL(DATE($B$3,1,6),DATE($B$3,1,6),1,'Non-working days'!$A$6:$A$45)=0),"",IF(COUNTIFS('Leave log'!$A$7:$A$306,Employees!$A$7,'Leave log'!$B$7:$B$306,"&lt;="&amp;DATE($B$3,1,6),'Leave log'!$C$7:$C$306,"&gt;="&amp;DATE($B$3,1,6),'Leave log'!$F$7:$F$306,"Pending")&gt;0,"P",""))))</f>
        <v/>
      </c>
      <c r="H8" s="23" t="str">
        <f>IF(A8="","",IF(IF(OR(DATE($B$3,1,7)&gt;EOMONTH(DATE($B$3,1,1),0),NETWORKDAYS.INTL(DATE($B$3,1,7),DATE($B$3,1,7),1,'Non-working days'!$A$6:$A$45)=0),"",IF(COUNTIFS('Leave log'!$A$7:$A$306,Employees!$A$7,'Leave log'!$B$7:$B$306,"&lt;="&amp;DATE($B$3,1,7),'Leave log'!$C$7:$C$306,"&gt;="&amp;DATE($B$3,1,7),'Leave log'!$F$7:$F$306,"Approved")&gt;0,"A",""))="A","A",IF(OR(DATE($B$3,1,7)&gt;EOMONTH(DATE($B$3,1,1),0),NETWORKDAYS.INTL(DATE($B$3,1,7),DATE($B$3,1,7),1,'Non-working days'!$A$6:$A$45)=0),"",IF(COUNTIFS('Leave log'!$A$7:$A$306,Employees!$A$7,'Leave log'!$B$7:$B$306,"&lt;="&amp;DATE($B$3,1,7),'Leave log'!$C$7:$C$306,"&gt;="&amp;DATE($B$3,1,7),'Leave log'!$F$7:$F$306,"Pending")&gt;0,"P",""))))</f>
        <v/>
      </c>
      <c r="I8" s="23" t="str">
        <f>IF(A8="","",IF(IF(OR(DATE($B$3,1,8)&gt;EOMONTH(DATE($B$3,1,1),0),NETWORKDAYS.INTL(DATE($B$3,1,8),DATE($B$3,1,8),1,'Non-working days'!$A$6:$A$45)=0),"",IF(COUNTIFS('Leave log'!$A$7:$A$306,Employees!$A$7,'Leave log'!$B$7:$B$306,"&lt;="&amp;DATE($B$3,1,8),'Leave log'!$C$7:$C$306,"&gt;="&amp;DATE($B$3,1,8),'Leave log'!$F$7:$F$306,"Approved")&gt;0,"A",""))="A","A",IF(OR(DATE($B$3,1,8)&gt;EOMONTH(DATE($B$3,1,1),0),NETWORKDAYS.INTL(DATE($B$3,1,8),DATE($B$3,1,8),1,'Non-working days'!$A$6:$A$45)=0),"",IF(COUNTIFS('Leave log'!$A$7:$A$306,Employees!$A$7,'Leave log'!$B$7:$B$306,"&lt;="&amp;DATE($B$3,1,8),'Leave log'!$C$7:$C$306,"&gt;="&amp;DATE($B$3,1,8),'Leave log'!$F$7:$F$306,"Pending")&gt;0,"P",""))))</f>
        <v/>
      </c>
      <c r="J8" s="23" t="str">
        <f>IF(A8="","",IF(IF(OR(DATE($B$3,1,9)&gt;EOMONTH(DATE($B$3,1,1),0),NETWORKDAYS.INTL(DATE($B$3,1,9),DATE($B$3,1,9),1,'Non-working days'!$A$6:$A$45)=0),"",IF(COUNTIFS('Leave log'!$A$7:$A$306,Employees!$A$7,'Leave log'!$B$7:$B$306,"&lt;="&amp;DATE($B$3,1,9),'Leave log'!$C$7:$C$306,"&gt;="&amp;DATE($B$3,1,9),'Leave log'!$F$7:$F$306,"Approved")&gt;0,"A",""))="A","A",IF(OR(DATE($B$3,1,9)&gt;EOMONTH(DATE($B$3,1,1),0),NETWORKDAYS.INTL(DATE($B$3,1,9),DATE($B$3,1,9),1,'Non-working days'!$A$6:$A$45)=0),"",IF(COUNTIFS('Leave log'!$A$7:$A$306,Employees!$A$7,'Leave log'!$B$7:$B$306,"&lt;="&amp;DATE($B$3,1,9),'Leave log'!$C$7:$C$306,"&gt;="&amp;DATE($B$3,1,9),'Leave log'!$F$7:$F$306,"Pending")&gt;0,"P",""))))</f>
        <v/>
      </c>
      <c r="K8" s="23" t="str">
        <f>IF(A8="","",IF(IF(OR(DATE($B$3,1,10)&gt;EOMONTH(DATE($B$3,1,1),0),NETWORKDAYS.INTL(DATE($B$3,1,10),DATE($B$3,1,10),1,'Non-working days'!$A$6:$A$45)=0),"",IF(COUNTIFS('Leave log'!$A$7:$A$306,Employees!$A$7,'Leave log'!$B$7:$B$306,"&lt;="&amp;DATE($B$3,1,10),'Leave log'!$C$7:$C$306,"&gt;="&amp;DATE($B$3,1,10),'Leave log'!$F$7:$F$306,"Approved")&gt;0,"A",""))="A","A",IF(OR(DATE($B$3,1,10)&gt;EOMONTH(DATE($B$3,1,1),0),NETWORKDAYS.INTL(DATE($B$3,1,10),DATE($B$3,1,10),1,'Non-working days'!$A$6:$A$45)=0),"",IF(COUNTIFS('Leave log'!$A$7:$A$306,Employees!$A$7,'Leave log'!$B$7:$B$306,"&lt;="&amp;DATE($B$3,1,10),'Leave log'!$C$7:$C$306,"&gt;="&amp;DATE($B$3,1,10),'Leave log'!$F$7:$F$306,"Pending")&gt;0,"P",""))))</f>
        <v/>
      </c>
      <c r="L8" s="23" t="str">
        <f>IF(A8="","",IF(IF(OR(DATE($B$3,1,11)&gt;EOMONTH(DATE($B$3,1,1),0),NETWORKDAYS.INTL(DATE($B$3,1,11),DATE($B$3,1,11),1,'Non-working days'!$A$6:$A$45)=0),"",IF(COUNTIFS('Leave log'!$A$7:$A$306,Employees!$A$7,'Leave log'!$B$7:$B$306,"&lt;="&amp;DATE($B$3,1,11),'Leave log'!$C$7:$C$306,"&gt;="&amp;DATE($B$3,1,11),'Leave log'!$F$7:$F$306,"Approved")&gt;0,"A",""))="A","A",IF(OR(DATE($B$3,1,11)&gt;EOMONTH(DATE($B$3,1,1),0),NETWORKDAYS.INTL(DATE($B$3,1,11),DATE($B$3,1,11),1,'Non-working days'!$A$6:$A$45)=0),"",IF(COUNTIFS('Leave log'!$A$7:$A$306,Employees!$A$7,'Leave log'!$B$7:$B$306,"&lt;="&amp;DATE($B$3,1,11),'Leave log'!$C$7:$C$306,"&gt;="&amp;DATE($B$3,1,11),'Leave log'!$F$7:$F$306,"Pending")&gt;0,"P",""))))</f>
        <v/>
      </c>
      <c r="M8" s="23" t="str">
        <f>IF(A8="","",IF(IF(OR(DATE($B$3,1,12)&gt;EOMONTH(DATE($B$3,1,1),0),NETWORKDAYS.INTL(DATE($B$3,1,12),DATE($B$3,1,12),1,'Non-working days'!$A$6:$A$45)=0),"",IF(COUNTIFS('Leave log'!$A$7:$A$306,Employees!$A$7,'Leave log'!$B$7:$B$306,"&lt;="&amp;DATE($B$3,1,12),'Leave log'!$C$7:$C$306,"&gt;="&amp;DATE($B$3,1,12),'Leave log'!$F$7:$F$306,"Approved")&gt;0,"A",""))="A","A",IF(OR(DATE($B$3,1,12)&gt;EOMONTH(DATE($B$3,1,1),0),NETWORKDAYS.INTL(DATE($B$3,1,12),DATE($B$3,1,12),1,'Non-working days'!$A$6:$A$45)=0),"",IF(COUNTIFS('Leave log'!$A$7:$A$306,Employees!$A$7,'Leave log'!$B$7:$B$306,"&lt;="&amp;DATE($B$3,1,12),'Leave log'!$C$7:$C$306,"&gt;="&amp;DATE($B$3,1,12),'Leave log'!$F$7:$F$306,"Pending")&gt;0,"P",""))))</f>
        <v/>
      </c>
      <c r="N8" s="23" t="str">
        <f>IF(A8="","",IF(IF(OR(DATE($B$3,1,13)&gt;EOMONTH(DATE($B$3,1,1),0),NETWORKDAYS.INTL(DATE($B$3,1,13),DATE($B$3,1,13),1,'Non-working days'!$A$6:$A$45)=0),"",IF(COUNTIFS('Leave log'!$A$7:$A$306,Employees!$A$7,'Leave log'!$B$7:$B$306,"&lt;="&amp;DATE($B$3,1,13),'Leave log'!$C$7:$C$306,"&gt;="&amp;DATE($B$3,1,13),'Leave log'!$F$7:$F$306,"Approved")&gt;0,"A",""))="A","A",IF(OR(DATE($B$3,1,13)&gt;EOMONTH(DATE($B$3,1,1),0),NETWORKDAYS.INTL(DATE($B$3,1,13),DATE($B$3,1,13),1,'Non-working days'!$A$6:$A$45)=0),"",IF(COUNTIFS('Leave log'!$A$7:$A$306,Employees!$A$7,'Leave log'!$B$7:$B$306,"&lt;="&amp;DATE($B$3,1,13),'Leave log'!$C$7:$C$306,"&gt;="&amp;DATE($B$3,1,13),'Leave log'!$F$7:$F$306,"Pending")&gt;0,"P",""))))</f>
        <v/>
      </c>
      <c r="O8" s="23" t="str">
        <f>IF(A8="","",IF(IF(OR(DATE($B$3,1,14)&gt;EOMONTH(DATE($B$3,1,1),0),NETWORKDAYS.INTL(DATE($B$3,1,14),DATE($B$3,1,14),1,'Non-working days'!$A$6:$A$45)=0),"",IF(COUNTIFS('Leave log'!$A$7:$A$306,Employees!$A$7,'Leave log'!$B$7:$B$306,"&lt;="&amp;DATE($B$3,1,14),'Leave log'!$C$7:$C$306,"&gt;="&amp;DATE($B$3,1,14),'Leave log'!$F$7:$F$306,"Approved")&gt;0,"A",""))="A","A",IF(OR(DATE($B$3,1,14)&gt;EOMONTH(DATE($B$3,1,1),0),NETWORKDAYS.INTL(DATE($B$3,1,14),DATE($B$3,1,14),1,'Non-working days'!$A$6:$A$45)=0),"",IF(COUNTIFS('Leave log'!$A$7:$A$306,Employees!$A$7,'Leave log'!$B$7:$B$306,"&lt;="&amp;DATE($B$3,1,14),'Leave log'!$C$7:$C$306,"&gt;="&amp;DATE($B$3,1,14),'Leave log'!$F$7:$F$306,"Pending")&gt;0,"P",""))))</f>
        <v/>
      </c>
      <c r="P8" s="23" t="str">
        <f>IF(A8="","",IF(IF(OR(DATE($B$3,1,15)&gt;EOMONTH(DATE($B$3,1,1),0),NETWORKDAYS.INTL(DATE($B$3,1,15),DATE($B$3,1,15),1,'Non-working days'!$A$6:$A$45)=0),"",IF(COUNTIFS('Leave log'!$A$7:$A$306,Employees!$A$7,'Leave log'!$B$7:$B$306,"&lt;="&amp;DATE($B$3,1,15),'Leave log'!$C$7:$C$306,"&gt;="&amp;DATE($B$3,1,15),'Leave log'!$F$7:$F$306,"Approved")&gt;0,"A",""))="A","A",IF(OR(DATE($B$3,1,15)&gt;EOMONTH(DATE($B$3,1,1),0),NETWORKDAYS.INTL(DATE($B$3,1,15),DATE($B$3,1,15),1,'Non-working days'!$A$6:$A$45)=0),"",IF(COUNTIFS('Leave log'!$A$7:$A$306,Employees!$A$7,'Leave log'!$B$7:$B$306,"&lt;="&amp;DATE($B$3,1,15),'Leave log'!$C$7:$C$306,"&gt;="&amp;DATE($B$3,1,15),'Leave log'!$F$7:$F$306,"Pending")&gt;0,"P",""))))</f>
        <v/>
      </c>
      <c r="Q8" s="23" t="str">
        <f>IF(A8="","",IF(IF(OR(DATE($B$3,1,16)&gt;EOMONTH(DATE($B$3,1,1),0),NETWORKDAYS.INTL(DATE($B$3,1,16),DATE($B$3,1,16),1,'Non-working days'!$A$6:$A$45)=0),"",IF(COUNTIFS('Leave log'!$A$7:$A$306,Employees!$A$7,'Leave log'!$B$7:$B$306,"&lt;="&amp;DATE($B$3,1,16),'Leave log'!$C$7:$C$306,"&gt;="&amp;DATE($B$3,1,16),'Leave log'!$F$7:$F$306,"Approved")&gt;0,"A",""))="A","A",IF(OR(DATE($B$3,1,16)&gt;EOMONTH(DATE($B$3,1,1),0),NETWORKDAYS.INTL(DATE($B$3,1,16),DATE($B$3,1,16),1,'Non-working days'!$A$6:$A$45)=0),"",IF(COUNTIFS('Leave log'!$A$7:$A$306,Employees!$A$7,'Leave log'!$B$7:$B$306,"&lt;="&amp;DATE($B$3,1,16),'Leave log'!$C$7:$C$306,"&gt;="&amp;DATE($B$3,1,16),'Leave log'!$F$7:$F$306,"Pending")&gt;0,"P",""))))</f>
        <v/>
      </c>
      <c r="R8" s="23" t="str">
        <f>IF(A8="","",IF(IF(OR(DATE($B$3,1,17)&gt;EOMONTH(DATE($B$3,1,1),0),NETWORKDAYS.INTL(DATE($B$3,1,17),DATE($B$3,1,17),1,'Non-working days'!$A$6:$A$45)=0),"",IF(COUNTIFS('Leave log'!$A$7:$A$306,Employees!$A$7,'Leave log'!$B$7:$B$306,"&lt;="&amp;DATE($B$3,1,17),'Leave log'!$C$7:$C$306,"&gt;="&amp;DATE($B$3,1,17),'Leave log'!$F$7:$F$306,"Approved")&gt;0,"A",""))="A","A",IF(OR(DATE($B$3,1,17)&gt;EOMONTH(DATE($B$3,1,1),0),NETWORKDAYS.INTL(DATE($B$3,1,17),DATE($B$3,1,17),1,'Non-working days'!$A$6:$A$45)=0),"",IF(COUNTIFS('Leave log'!$A$7:$A$306,Employees!$A$7,'Leave log'!$B$7:$B$306,"&lt;="&amp;DATE($B$3,1,17),'Leave log'!$C$7:$C$306,"&gt;="&amp;DATE($B$3,1,17),'Leave log'!$F$7:$F$306,"Pending")&gt;0,"P",""))))</f>
        <v/>
      </c>
      <c r="S8" s="23" t="str">
        <f>IF(A8="","",IF(IF(OR(DATE($B$3,1,18)&gt;EOMONTH(DATE($B$3,1,1),0),NETWORKDAYS.INTL(DATE($B$3,1,18),DATE($B$3,1,18),1,'Non-working days'!$A$6:$A$45)=0),"",IF(COUNTIFS('Leave log'!$A$7:$A$306,Employees!$A$7,'Leave log'!$B$7:$B$306,"&lt;="&amp;DATE($B$3,1,18),'Leave log'!$C$7:$C$306,"&gt;="&amp;DATE($B$3,1,18),'Leave log'!$F$7:$F$306,"Approved")&gt;0,"A",""))="A","A",IF(OR(DATE($B$3,1,18)&gt;EOMONTH(DATE($B$3,1,1),0),NETWORKDAYS.INTL(DATE($B$3,1,18),DATE($B$3,1,18),1,'Non-working days'!$A$6:$A$45)=0),"",IF(COUNTIFS('Leave log'!$A$7:$A$306,Employees!$A$7,'Leave log'!$B$7:$B$306,"&lt;="&amp;DATE($B$3,1,18),'Leave log'!$C$7:$C$306,"&gt;="&amp;DATE($B$3,1,18),'Leave log'!$F$7:$F$306,"Pending")&gt;0,"P",""))))</f>
        <v/>
      </c>
      <c r="T8" s="23" t="str">
        <f>IF(A8="","",IF(IF(OR(DATE($B$3,1,19)&gt;EOMONTH(DATE($B$3,1,1),0),NETWORKDAYS.INTL(DATE($B$3,1,19),DATE($B$3,1,19),1,'Non-working days'!$A$6:$A$45)=0),"",IF(COUNTIFS('Leave log'!$A$7:$A$306,Employees!$A$7,'Leave log'!$B$7:$B$306,"&lt;="&amp;DATE($B$3,1,19),'Leave log'!$C$7:$C$306,"&gt;="&amp;DATE($B$3,1,19),'Leave log'!$F$7:$F$306,"Approved")&gt;0,"A",""))="A","A",IF(OR(DATE($B$3,1,19)&gt;EOMONTH(DATE($B$3,1,1),0),NETWORKDAYS.INTL(DATE($B$3,1,19),DATE($B$3,1,19),1,'Non-working days'!$A$6:$A$45)=0),"",IF(COUNTIFS('Leave log'!$A$7:$A$306,Employees!$A$7,'Leave log'!$B$7:$B$306,"&lt;="&amp;DATE($B$3,1,19),'Leave log'!$C$7:$C$306,"&gt;="&amp;DATE($B$3,1,19),'Leave log'!$F$7:$F$306,"Pending")&gt;0,"P",""))))</f>
        <v/>
      </c>
      <c r="U8" s="23" t="str">
        <f>IF(A8="","",IF(IF(OR(DATE($B$3,1,20)&gt;EOMONTH(DATE($B$3,1,1),0),NETWORKDAYS.INTL(DATE($B$3,1,20),DATE($B$3,1,20),1,'Non-working days'!$A$6:$A$45)=0),"",IF(COUNTIFS('Leave log'!$A$7:$A$306,Employees!$A$7,'Leave log'!$B$7:$B$306,"&lt;="&amp;DATE($B$3,1,20),'Leave log'!$C$7:$C$306,"&gt;="&amp;DATE($B$3,1,20),'Leave log'!$F$7:$F$306,"Approved")&gt;0,"A",""))="A","A",IF(OR(DATE($B$3,1,20)&gt;EOMONTH(DATE($B$3,1,1),0),NETWORKDAYS.INTL(DATE($B$3,1,20),DATE($B$3,1,20),1,'Non-working days'!$A$6:$A$45)=0),"",IF(COUNTIFS('Leave log'!$A$7:$A$306,Employees!$A$7,'Leave log'!$B$7:$B$306,"&lt;="&amp;DATE($B$3,1,20),'Leave log'!$C$7:$C$306,"&gt;="&amp;DATE($B$3,1,20),'Leave log'!$F$7:$F$306,"Pending")&gt;0,"P",""))))</f>
        <v/>
      </c>
      <c r="V8" s="23" t="str">
        <f>IF(A8="","",IF(IF(OR(DATE($B$3,1,21)&gt;EOMONTH(DATE($B$3,1,1),0),NETWORKDAYS.INTL(DATE($B$3,1,21),DATE($B$3,1,21),1,'Non-working days'!$A$6:$A$45)=0),"",IF(COUNTIFS('Leave log'!$A$7:$A$306,Employees!$A$7,'Leave log'!$B$7:$B$306,"&lt;="&amp;DATE($B$3,1,21),'Leave log'!$C$7:$C$306,"&gt;="&amp;DATE($B$3,1,21),'Leave log'!$F$7:$F$306,"Approved")&gt;0,"A",""))="A","A",IF(OR(DATE($B$3,1,21)&gt;EOMONTH(DATE($B$3,1,1),0),NETWORKDAYS.INTL(DATE($B$3,1,21),DATE($B$3,1,21),1,'Non-working days'!$A$6:$A$45)=0),"",IF(COUNTIFS('Leave log'!$A$7:$A$306,Employees!$A$7,'Leave log'!$B$7:$B$306,"&lt;="&amp;DATE($B$3,1,21),'Leave log'!$C$7:$C$306,"&gt;="&amp;DATE($B$3,1,21),'Leave log'!$F$7:$F$306,"Pending")&gt;0,"P",""))))</f>
        <v/>
      </c>
      <c r="W8" s="23" t="str">
        <f>IF(A8="","",IF(IF(OR(DATE($B$3,1,22)&gt;EOMONTH(DATE($B$3,1,1),0),NETWORKDAYS.INTL(DATE($B$3,1,22),DATE($B$3,1,22),1,'Non-working days'!$A$6:$A$45)=0),"",IF(COUNTIFS('Leave log'!$A$7:$A$306,Employees!$A$7,'Leave log'!$B$7:$B$306,"&lt;="&amp;DATE($B$3,1,22),'Leave log'!$C$7:$C$306,"&gt;="&amp;DATE($B$3,1,22),'Leave log'!$F$7:$F$306,"Approved")&gt;0,"A",""))="A","A",IF(OR(DATE($B$3,1,22)&gt;EOMONTH(DATE($B$3,1,1),0),NETWORKDAYS.INTL(DATE($B$3,1,22),DATE($B$3,1,22),1,'Non-working days'!$A$6:$A$45)=0),"",IF(COUNTIFS('Leave log'!$A$7:$A$306,Employees!$A$7,'Leave log'!$B$7:$B$306,"&lt;="&amp;DATE($B$3,1,22),'Leave log'!$C$7:$C$306,"&gt;="&amp;DATE($B$3,1,22),'Leave log'!$F$7:$F$306,"Pending")&gt;0,"P",""))))</f>
        <v/>
      </c>
      <c r="X8" s="23" t="str">
        <f>IF(A8="","",IF(IF(OR(DATE($B$3,1,23)&gt;EOMONTH(DATE($B$3,1,1),0),NETWORKDAYS.INTL(DATE($B$3,1,23),DATE($B$3,1,23),1,'Non-working days'!$A$6:$A$45)=0),"",IF(COUNTIFS('Leave log'!$A$7:$A$306,Employees!$A$7,'Leave log'!$B$7:$B$306,"&lt;="&amp;DATE($B$3,1,23),'Leave log'!$C$7:$C$306,"&gt;="&amp;DATE($B$3,1,23),'Leave log'!$F$7:$F$306,"Approved")&gt;0,"A",""))="A","A",IF(OR(DATE($B$3,1,23)&gt;EOMONTH(DATE($B$3,1,1),0),NETWORKDAYS.INTL(DATE($B$3,1,23),DATE($B$3,1,23),1,'Non-working days'!$A$6:$A$45)=0),"",IF(COUNTIFS('Leave log'!$A$7:$A$306,Employees!$A$7,'Leave log'!$B$7:$B$306,"&lt;="&amp;DATE($B$3,1,23),'Leave log'!$C$7:$C$306,"&gt;="&amp;DATE($B$3,1,23),'Leave log'!$F$7:$F$306,"Pending")&gt;0,"P",""))))</f>
        <v/>
      </c>
      <c r="Y8" s="23" t="str">
        <f>IF(A8="","",IF(IF(OR(DATE($B$3,1,24)&gt;EOMONTH(DATE($B$3,1,1),0),NETWORKDAYS.INTL(DATE($B$3,1,24),DATE($B$3,1,24),1,'Non-working days'!$A$6:$A$45)=0),"",IF(COUNTIFS('Leave log'!$A$7:$A$306,Employees!$A$7,'Leave log'!$B$7:$B$306,"&lt;="&amp;DATE($B$3,1,24),'Leave log'!$C$7:$C$306,"&gt;="&amp;DATE($B$3,1,24),'Leave log'!$F$7:$F$306,"Approved")&gt;0,"A",""))="A","A",IF(OR(DATE($B$3,1,24)&gt;EOMONTH(DATE($B$3,1,1),0),NETWORKDAYS.INTL(DATE($B$3,1,24),DATE($B$3,1,24),1,'Non-working days'!$A$6:$A$45)=0),"",IF(COUNTIFS('Leave log'!$A$7:$A$306,Employees!$A$7,'Leave log'!$B$7:$B$306,"&lt;="&amp;DATE($B$3,1,24),'Leave log'!$C$7:$C$306,"&gt;="&amp;DATE($B$3,1,24),'Leave log'!$F$7:$F$306,"Pending")&gt;0,"P",""))))</f>
        <v/>
      </c>
      <c r="Z8" s="23" t="str">
        <f>IF(A8="","",IF(IF(OR(DATE($B$3,1,25)&gt;EOMONTH(DATE($B$3,1,1),0),NETWORKDAYS.INTL(DATE($B$3,1,25),DATE($B$3,1,25),1,'Non-working days'!$A$6:$A$45)=0),"",IF(COUNTIFS('Leave log'!$A$7:$A$306,Employees!$A$7,'Leave log'!$B$7:$B$306,"&lt;="&amp;DATE($B$3,1,25),'Leave log'!$C$7:$C$306,"&gt;="&amp;DATE($B$3,1,25),'Leave log'!$F$7:$F$306,"Approved")&gt;0,"A",""))="A","A",IF(OR(DATE($B$3,1,25)&gt;EOMONTH(DATE($B$3,1,1),0),NETWORKDAYS.INTL(DATE($B$3,1,25),DATE($B$3,1,25),1,'Non-working days'!$A$6:$A$45)=0),"",IF(COUNTIFS('Leave log'!$A$7:$A$306,Employees!$A$7,'Leave log'!$B$7:$B$306,"&lt;="&amp;DATE($B$3,1,25),'Leave log'!$C$7:$C$306,"&gt;="&amp;DATE($B$3,1,25),'Leave log'!$F$7:$F$306,"Pending")&gt;0,"P",""))))</f>
        <v/>
      </c>
      <c r="AA8" s="23" t="str">
        <f>IF(A8="","",IF(IF(OR(DATE($B$3,1,26)&gt;EOMONTH(DATE($B$3,1,1),0),NETWORKDAYS.INTL(DATE($B$3,1,26),DATE($B$3,1,26),1,'Non-working days'!$A$6:$A$45)=0),"",IF(COUNTIFS('Leave log'!$A$7:$A$306,Employees!$A$7,'Leave log'!$B$7:$B$306,"&lt;="&amp;DATE($B$3,1,26),'Leave log'!$C$7:$C$306,"&gt;="&amp;DATE($B$3,1,26),'Leave log'!$F$7:$F$306,"Approved")&gt;0,"A",""))="A","A",IF(OR(DATE($B$3,1,26)&gt;EOMONTH(DATE($B$3,1,1),0),NETWORKDAYS.INTL(DATE($B$3,1,26),DATE($B$3,1,26),1,'Non-working days'!$A$6:$A$45)=0),"",IF(COUNTIFS('Leave log'!$A$7:$A$306,Employees!$A$7,'Leave log'!$B$7:$B$306,"&lt;="&amp;DATE($B$3,1,26),'Leave log'!$C$7:$C$306,"&gt;="&amp;DATE($B$3,1,26),'Leave log'!$F$7:$F$306,"Pending")&gt;0,"P",""))))</f>
        <v/>
      </c>
      <c r="AB8" s="23" t="str">
        <f>IF(A8="","",IF(IF(OR(DATE($B$3,1,27)&gt;EOMONTH(DATE($B$3,1,1),0),NETWORKDAYS.INTL(DATE($B$3,1,27),DATE($B$3,1,27),1,'Non-working days'!$A$6:$A$45)=0),"",IF(COUNTIFS('Leave log'!$A$7:$A$306,Employees!$A$7,'Leave log'!$B$7:$B$306,"&lt;="&amp;DATE($B$3,1,27),'Leave log'!$C$7:$C$306,"&gt;="&amp;DATE($B$3,1,27),'Leave log'!$F$7:$F$306,"Approved")&gt;0,"A",""))="A","A",IF(OR(DATE($B$3,1,27)&gt;EOMONTH(DATE($B$3,1,1),0),NETWORKDAYS.INTL(DATE($B$3,1,27),DATE($B$3,1,27),1,'Non-working days'!$A$6:$A$45)=0),"",IF(COUNTIFS('Leave log'!$A$7:$A$306,Employees!$A$7,'Leave log'!$B$7:$B$306,"&lt;="&amp;DATE($B$3,1,27),'Leave log'!$C$7:$C$306,"&gt;="&amp;DATE($B$3,1,27),'Leave log'!$F$7:$F$306,"Pending")&gt;0,"P",""))))</f>
        <v/>
      </c>
      <c r="AC8" s="23" t="str">
        <f>IF(A8="","",IF(IF(OR(DATE($B$3,1,28)&gt;EOMONTH(DATE($B$3,1,1),0),NETWORKDAYS.INTL(DATE($B$3,1,28),DATE($B$3,1,28),1,'Non-working days'!$A$6:$A$45)=0),"",IF(COUNTIFS('Leave log'!$A$7:$A$306,Employees!$A$7,'Leave log'!$B$7:$B$306,"&lt;="&amp;DATE($B$3,1,28),'Leave log'!$C$7:$C$306,"&gt;="&amp;DATE($B$3,1,28),'Leave log'!$F$7:$F$306,"Approved")&gt;0,"A",""))="A","A",IF(OR(DATE($B$3,1,28)&gt;EOMONTH(DATE($B$3,1,1),0),NETWORKDAYS.INTL(DATE($B$3,1,28),DATE($B$3,1,28),1,'Non-working days'!$A$6:$A$45)=0),"",IF(COUNTIFS('Leave log'!$A$7:$A$306,Employees!$A$7,'Leave log'!$B$7:$B$306,"&lt;="&amp;DATE($B$3,1,28),'Leave log'!$C$7:$C$306,"&gt;="&amp;DATE($B$3,1,28),'Leave log'!$F$7:$F$306,"Pending")&gt;0,"P",""))))</f>
        <v/>
      </c>
      <c r="AD8" s="23" t="str">
        <f>IF(A8="","",IF(IF(OR(DATE($B$3,1,29)&gt;EOMONTH(DATE($B$3,1,1),0),NETWORKDAYS.INTL(DATE($B$3,1,29),DATE($B$3,1,29),1,'Non-working days'!$A$6:$A$45)=0),"",IF(COUNTIFS('Leave log'!$A$7:$A$306,Employees!$A$7,'Leave log'!$B$7:$B$306,"&lt;="&amp;DATE($B$3,1,29),'Leave log'!$C$7:$C$306,"&gt;="&amp;DATE($B$3,1,29),'Leave log'!$F$7:$F$306,"Approved")&gt;0,"A",""))="A","A",IF(OR(DATE($B$3,1,29)&gt;EOMONTH(DATE($B$3,1,1),0),NETWORKDAYS.INTL(DATE($B$3,1,29),DATE($B$3,1,29),1,'Non-working days'!$A$6:$A$45)=0),"",IF(COUNTIFS('Leave log'!$A$7:$A$306,Employees!$A$7,'Leave log'!$B$7:$B$306,"&lt;="&amp;DATE($B$3,1,29),'Leave log'!$C$7:$C$306,"&gt;="&amp;DATE($B$3,1,29),'Leave log'!$F$7:$F$306,"Pending")&gt;0,"P",""))))</f>
        <v/>
      </c>
      <c r="AE8" s="23" t="str">
        <f>IF(A8="","",IF(IF(OR(DATE($B$3,1,30)&gt;EOMONTH(DATE($B$3,1,1),0),NETWORKDAYS.INTL(DATE($B$3,1,30),DATE($B$3,1,30),1,'Non-working days'!$A$6:$A$45)=0),"",IF(COUNTIFS('Leave log'!$A$7:$A$306,Employees!$A$7,'Leave log'!$B$7:$B$306,"&lt;="&amp;DATE($B$3,1,30),'Leave log'!$C$7:$C$306,"&gt;="&amp;DATE($B$3,1,30),'Leave log'!$F$7:$F$306,"Approved")&gt;0,"A",""))="A","A",IF(OR(DATE($B$3,1,30)&gt;EOMONTH(DATE($B$3,1,1),0),NETWORKDAYS.INTL(DATE($B$3,1,30),DATE($B$3,1,30),1,'Non-working days'!$A$6:$A$45)=0),"",IF(COUNTIFS('Leave log'!$A$7:$A$306,Employees!$A$7,'Leave log'!$B$7:$B$306,"&lt;="&amp;DATE($B$3,1,30),'Leave log'!$C$7:$C$306,"&gt;="&amp;DATE($B$3,1,30),'Leave log'!$F$7:$F$306,"Pending")&gt;0,"P",""))))</f>
        <v/>
      </c>
      <c r="AF8" s="23" t="str">
        <f>IF(A8="","",IF(IF(OR(DATE($B$3,1,31)&gt;EOMONTH(DATE($B$3,1,1),0),NETWORKDAYS.INTL(DATE($B$3,1,31),DATE($B$3,1,31),1,'Non-working days'!$A$6:$A$45)=0),"",IF(COUNTIFS('Leave log'!$A$7:$A$306,Employees!$A$7,'Leave log'!$B$7:$B$306,"&lt;="&amp;DATE($B$3,1,31),'Leave log'!$C$7:$C$306,"&gt;="&amp;DATE($B$3,1,31),'Leave log'!$F$7:$F$306,"Approved")&gt;0,"A",""))="A","A",IF(OR(DATE($B$3,1,31)&gt;EOMONTH(DATE($B$3,1,1),0),NETWORKDAYS.INTL(DATE($B$3,1,31),DATE($B$3,1,31),1,'Non-working days'!$A$6:$A$45)=0),"",IF(COUNTIFS('Leave log'!$A$7:$A$306,Employees!$A$7,'Leave log'!$B$7:$B$306,"&lt;="&amp;DATE($B$3,1,31),'Leave log'!$C$7:$C$306,"&gt;="&amp;DATE($B$3,1,31),'Leave log'!$F$7:$F$306,"Pending")&gt;0,"P",""))))</f>
        <v/>
      </c>
    </row>
    <row r="9" spans="1:32" ht="18" customHeight="1" x14ac:dyDescent="0.3">
      <c r="A9" s="22" t="str">
        <f>IF(Employees!F8="Yes",Employees!B8,"")</f>
        <v/>
      </c>
      <c r="B9" s="23" t="str">
        <f>IF(A9="","",IF(IF(OR(DATE($B$3,1,1)&gt;EOMONTH(DATE($B$3,1,1),0),NETWORKDAYS.INTL(DATE($B$3,1,1),DATE($B$3,1,1),1,'Non-working days'!$A$6:$A$45)=0),"",IF(COUNTIFS('Leave log'!$A$7:$A$306,Employees!$A$8,'Leave log'!$B$7:$B$306,"&lt;="&amp;DATE($B$3,1,1),'Leave log'!$C$7:$C$306,"&gt;="&amp;DATE($B$3,1,1),'Leave log'!$F$7:$F$306,"Approved")&gt;0,"A",""))="A","A",IF(OR(DATE($B$3,1,1)&gt;EOMONTH(DATE($B$3,1,1),0),NETWORKDAYS.INTL(DATE($B$3,1,1),DATE($B$3,1,1),1,'Non-working days'!$A$6:$A$45)=0),"",IF(COUNTIFS('Leave log'!$A$7:$A$306,Employees!$A$8,'Leave log'!$B$7:$B$306,"&lt;="&amp;DATE($B$3,1,1),'Leave log'!$C$7:$C$306,"&gt;="&amp;DATE($B$3,1,1),'Leave log'!$F$7:$F$306,"Pending")&gt;0,"P",""))))</f>
        <v/>
      </c>
      <c r="C9" s="23" t="str">
        <f>IF(A9="","",IF(IF(OR(DATE($B$3,1,2)&gt;EOMONTH(DATE($B$3,1,1),0),NETWORKDAYS.INTL(DATE($B$3,1,2),DATE($B$3,1,2),1,'Non-working days'!$A$6:$A$45)=0),"",IF(COUNTIFS('Leave log'!$A$7:$A$306,Employees!$A$8,'Leave log'!$B$7:$B$306,"&lt;="&amp;DATE($B$3,1,2),'Leave log'!$C$7:$C$306,"&gt;="&amp;DATE($B$3,1,2),'Leave log'!$F$7:$F$306,"Approved")&gt;0,"A",""))="A","A",IF(OR(DATE($B$3,1,2)&gt;EOMONTH(DATE($B$3,1,1),0),NETWORKDAYS.INTL(DATE($B$3,1,2),DATE($B$3,1,2),1,'Non-working days'!$A$6:$A$45)=0),"",IF(COUNTIFS('Leave log'!$A$7:$A$306,Employees!$A$8,'Leave log'!$B$7:$B$306,"&lt;="&amp;DATE($B$3,1,2),'Leave log'!$C$7:$C$306,"&gt;="&amp;DATE($B$3,1,2),'Leave log'!$F$7:$F$306,"Pending")&gt;0,"P",""))))</f>
        <v/>
      </c>
      <c r="D9" s="23" t="str">
        <f>IF(A9="","",IF(IF(OR(DATE($B$3,1,3)&gt;EOMONTH(DATE($B$3,1,1),0),NETWORKDAYS.INTL(DATE($B$3,1,3),DATE($B$3,1,3),1,'Non-working days'!$A$6:$A$45)=0),"",IF(COUNTIFS('Leave log'!$A$7:$A$306,Employees!$A$8,'Leave log'!$B$7:$B$306,"&lt;="&amp;DATE($B$3,1,3),'Leave log'!$C$7:$C$306,"&gt;="&amp;DATE($B$3,1,3),'Leave log'!$F$7:$F$306,"Approved")&gt;0,"A",""))="A","A",IF(OR(DATE($B$3,1,3)&gt;EOMONTH(DATE($B$3,1,1),0),NETWORKDAYS.INTL(DATE($B$3,1,3),DATE($B$3,1,3),1,'Non-working days'!$A$6:$A$45)=0),"",IF(COUNTIFS('Leave log'!$A$7:$A$306,Employees!$A$8,'Leave log'!$B$7:$B$306,"&lt;="&amp;DATE($B$3,1,3),'Leave log'!$C$7:$C$306,"&gt;="&amp;DATE($B$3,1,3),'Leave log'!$F$7:$F$306,"Pending")&gt;0,"P",""))))</f>
        <v/>
      </c>
      <c r="E9" s="23" t="str">
        <f>IF(A9="","",IF(IF(OR(DATE($B$3,1,4)&gt;EOMONTH(DATE($B$3,1,1),0),NETWORKDAYS.INTL(DATE($B$3,1,4),DATE($B$3,1,4),1,'Non-working days'!$A$6:$A$45)=0),"",IF(COUNTIFS('Leave log'!$A$7:$A$306,Employees!$A$8,'Leave log'!$B$7:$B$306,"&lt;="&amp;DATE($B$3,1,4),'Leave log'!$C$7:$C$306,"&gt;="&amp;DATE($B$3,1,4),'Leave log'!$F$7:$F$306,"Approved")&gt;0,"A",""))="A","A",IF(OR(DATE($B$3,1,4)&gt;EOMONTH(DATE($B$3,1,1),0),NETWORKDAYS.INTL(DATE($B$3,1,4),DATE($B$3,1,4),1,'Non-working days'!$A$6:$A$45)=0),"",IF(COUNTIFS('Leave log'!$A$7:$A$306,Employees!$A$8,'Leave log'!$B$7:$B$306,"&lt;="&amp;DATE($B$3,1,4),'Leave log'!$C$7:$C$306,"&gt;="&amp;DATE($B$3,1,4),'Leave log'!$F$7:$F$306,"Pending")&gt;0,"P",""))))</f>
        <v/>
      </c>
      <c r="F9" s="23" t="str">
        <f>IF(A9="","",IF(IF(OR(DATE($B$3,1,5)&gt;EOMONTH(DATE($B$3,1,1),0),NETWORKDAYS.INTL(DATE($B$3,1,5),DATE($B$3,1,5),1,'Non-working days'!$A$6:$A$45)=0),"",IF(COUNTIFS('Leave log'!$A$7:$A$306,Employees!$A$8,'Leave log'!$B$7:$B$306,"&lt;="&amp;DATE($B$3,1,5),'Leave log'!$C$7:$C$306,"&gt;="&amp;DATE($B$3,1,5),'Leave log'!$F$7:$F$306,"Approved")&gt;0,"A",""))="A","A",IF(OR(DATE($B$3,1,5)&gt;EOMONTH(DATE($B$3,1,1),0),NETWORKDAYS.INTL(DATE($B$3,1,5),DATE($B$3,1,5),1,'Non-working days'!$A$6:$A$45)=0),"",IF(COUNTIFS('Leave log'!$A$7:$A$306,Employees!$A$8,'Leave log'!$B$7:$B$306,"&lt;="&amp;DATE($B$3,1,5),'Leave log'!$C$7:$C$306,"&gt;="&amp;DATE($B$3,1,5),'Leave log'!$F$7:$F$306,"Pending")&gt;0,"P",""))))</f>
        <v/>
      </c>
      <c r="G9" s="23" t="str">
        <f>IF(A9="","",IF(IF(OR(DATE($B$3,1,6)&gt;EOMONTH(DATE($B$3,1,1),0),NETWORKDAYS.INTL(DATE($B$3,1,6),DATE($B$3,1,6),1,'Non-working days'!$A$6:$A$45)=0),"",IF(COUNTIFS('Leave log'!$A$7:$A$306,Employees!$A$8,'Leave log'!$B$7:$B$306,"&lt;="&amp;DATE($B$3,1,6),'Leave log'!$C$7:$C$306,"&gt;="&amp;DATE($B$3,1,6),'Leave log'!$F$7:$F$306,"Approved")&gt;0,"A",""))="A","A",IF(OR(DATE($B$3,1,6)&gt;EOMONTH(DATE($B$3,1,1),0),NETWORKDAYS.INTL(DATE($B$3,1,6),DATE($B$3,1,6),1,'Non-working days'!$A$6:$A$45)=0),"",IF(COUNTIFS('Leave log'!$A$7:$A$306,Employees!$A$8,'Leave log'!$B$7:$B$306,"&lt;="&amp;DATE($B$3,1,6),'Leave log'!$C$7:$C$306,"&gt;="&amp;DATE($B$3,1,6),'Leave log'!$F$7:$F$306,"Pending")&gt;0,"P",""))))</f>
        <v/>
      </c>
      <c r="H9" s="23" t="str">
        <f>IF(A9="","",IF(IF(OR(DATE($B$3,1,7)&gt;EOMONTH(DATE($B$3,1,1),0),NETWORKDAYS.INTL(DATE($B$3,1,7),DATE($B$3,1,7),1,'Non-working days'!$A$6:$A$45)=0),"",IF(COUNTIFS('Leave log'!$A$7:$A$306,Employees!$A$8,'Leave log'!$B$7:$B$306,"&lt;="&amp;DATE($B$3,1,7),'Leave log'!$C$7:$C$306,"&gt;="&amp;DATE($B$3,1,7),'Leave log'!$F$7:$F$306,"Approved")&gt;0,"A",""))="A","A",IF(OR(DATE($B$3,1,7)&gt;EOMONTH(DATE($B$3,1,1),0),NETWORKDAYS.INTL(DATE($B$3,1,7),DATE($B$3,1,7),1,'Non-working days'!$A$6:$A$45)=0),"",IF(COUNTIFS('Leave log'!$A$7:$A$306,Employees!$A$8,'Leave log'!$B$7:$B$306,"&lt;="&amp;DATE($B$3,1,7),'Leave log'!$C$7:$C$306,"&gt;="&amp;DATE($B$3,1,7),'Leave log'!$F$7:$F$306,"Pending")&gt;0,"P",""))))</f>
        <v/>
      </c>
      <c r="I9" s="23" t="str">
        <f>IF(A9="","",IF(IF(OR(DATE($B$3,1,8)&gt;EOMONTH(DATE($B$3,1,1),0),NETWORKDAYS.INTL(DATE($B$3,1,8),DATE($B$3,1,8),1,'Non-working days'!$A$6:$A$45)=0),"",IF(COUNTIFS('Leave log'!$A$7:$A$306,Employees!$A$8,'Leave log'!$B$7:$B$306,"&lt;="&amp;DATE($B$3,1,8),'Leave log'!$C$7:$C$306,"&gt;="&amp;DATE($B$3,1,8),'Leave log'!$F$7:$F$306,"Approved")&gt;0,"A",""))="A","A",IF(OR(DATE($B$3,1,8)&gt;EOMONTH(DATE($B$3,1,1),0),NETWORKDAYS.INTL(DATE($B$3,1,8),DATE($B$3,1,8),1,'Non-working days'!$A$6:$A$45)=0),"",IF(COUNTIFS('Leave log'!$A$7:$A$306,Employees!$A$8,'Leave log'!$B$7:$B$306,"&lt;="&amp;DATE($B$3,1,8),'Leave log'!$C$7:$C$306,"&gt;="&amp;DATE($B$3,1,8),'Leave log'!$F$7:$F$306,"Pending")&gt;0,"P",""))))</f>
        <v/>
      </c>
      <c r="J9" s="23" t="str">
        <f>IF(A9="","",IF(IF(OR(DATE($B$3,1,9)&gt;EOMONTH(DATE($B$3,1,1),0),NETWORKDAYS.INTL(DATE($B$3,1,9),DATE($B$3,1,9),1,'Non-working days'!$A$6:$A$45)=0),"",IF(COUNTIFS('Leave log'!$A$7:$A$306,Employees!$A$8,'Leave log'!$B$7:$B$306,"&lt;="&amp;DATE($B$3,1,9),'Leave log'!$C$7:$C$306,"&gt;="&amp;DATE($B$3,1,9),'Leave log'!$F$7:$F$306,"Approved")&gt;0,"A",""))="A","A",IF(OR(DATE($B$3,1,9)&gt;EOMONTH(DATE($B$3,1,1),0),NETWORKDAYS.INTL(DATE($B$3,1,9),DATE($B$3,1,9),1,'Non-working days'!$A$6:$A$45)=0),"",IF(COUNTIFS('Leave log'!$A$7:$A$306,Employees!$A$8,'Leave log'!$B$7:$B$306,"&lt;="&amp;DATE($B$3,1,9),'Leave log'!$C$7:$C$306,"&gt;="&amp;DATE($B$3,1,9),'Leave log'!$F$7:$F$306,"Pending")&gt;0,"P",""))))</f>
        <v/>
      </c>
      <c r="K9" s="23" t="str">
        <f>IF(A9="","",IF(IF(OR(DATE($B$3,1,10)&gt;EOMONTH(DATE($B$3,1,1),0),NETWORKDAYS.INTL(DATE($B$3,1,10),DATE($B$3,1,10),1,'Non-working days'!$A$6:$A$45)=0),"",IF(COUNTIFS('Leave log'!$A$7:$A$306,Employees!$A$8,'Leave log'!$B$7:$B$306,"&lt;="&amp;DATE($B$3,1,10),'Leave log'!$C$7:$C$306,"&gt;="&amp;DATE($B$3,1,10),'Leave log'!$F$7:$F$306,"Approved")&gt;0,"A",""))="A","A",IF(OR(DATE($B$3,1,10)&gt;EOMONTH(DATE($B$3,1,1),0),NETWORKDAYS.INTL(DATE($B$3,1,10),DATE($B$3,1,10),1,'Non-working days'!$A$6:$A$45)=0),"",IF(COUNTIFS('Leave log'!$A$7:$A$306,Employees!$A$8,'Leave log'!$B$7:$B$306,"&lt;="&amp;DATE($B$3,1,10),'Leave log'!$C$7:$C$306,"&gt;="&amp;DATE($B$3,1,10),'Leave log'!$F$7:$F$306,"Pending")&gt;0,"P",""))))</f>
        <v/>
      </c>
      <c r="L9" s="23" t="str">
        <f>IF(A9="","",IF(IF(OR(DATE($B$3,1,11)&gt;EOMONTH(DATE($B$3,1,1),0),NETWORKDAYS.INTL(DATE($B$3,1,11),DATE($B$3,1,11),1,'Non-working days'!$A$6:$A$45)=0),"",IF(COUNTIFS('Leave log'!$A$7:$A$306,Employees!$A$8,'Leave log'!$B$7:$B$306,"&lt;="&amp;DATE($B$3,1,11),'Leave log'!$C$7:$C$306,"&gt;="&amp;DATE($B$3,1,11),'Leave log'!$F$7:$F$306,"Approved")&gt;0,"A",""))="A","A",IF(OR(DATE($B$3,1,11)&gt;EOMONTH(DATE($B$3,1,1),0),NETWORKDAYS.INTL(DATE($B$3,1,11),DATE($B$3,1,11),1,'Non-working days'!$A$6:$A$45)=0),"",IF(COUNTIFS('Leave log'!$A$7:$A$306,Employees!$A$8,'Leave log'!$B$7:$B$306,"&lt;="&amp;DATE($B$3,1,11),'Leave log'!$C$7:$C$306,"&gt;="&amp;DATE($B$3,1,11),'Leave log'!$F$7:$F$306,"Pending")&gt;0,"P",""))))</f>
        <v/>
      </c>
      <c r="M9" s="23" t="str">
        <f>IF(A9="","",IF(IF(OR(DATE($B$3,1,12)&gt;EOMONTH(DATE($B$3,1,1),0),NETWORKDAYS.INTL(DATE($B$3,1,12),DATE($B$3,1,12),1,'Non-working days'!$A$6:$A$45)=0),"",IF(COUNTIFS('Leave log'!$A$7:$A$306,Employees!$A$8,'Leave log'!$B$7:$B$306,"&lt;="&amp;DATE($B$3,1,12),'Leave log'!$C$7:$C$306,"&gt;="&amp;DATE($B$3,1,12),'Leave log'!$F$7:$F$306,"Approved")&gt;0,"A",""))="A","A",IF(OR(DATE($B$3,1,12)&gt;EOMONTH(DATE($B$3,1,1),0),NETWORKDAYS.INTL(DATE($B$3,1,12),DATE($B$3,1,12),1,'Non-working days'!$A$6:$A$45)=0),"",IF(COUNTIFS('Leave log'!$A$7:$A$306,Employees!$A$8,'Leave log'!$B$7:$B$306,"&lt;="&amp;DATE($B$3,1,12),'Leave log'!$C$7:$C$306,"&gt;="&amp;DATE($B$3,1,12),'Leave log'!$F$7:$F$306,"Pending")&gt;0,"P",""))))</f>
        <v/>
      </c>
      <c r="N9" s="23" t="str">
        <f>IF(A9="","",IF(IF(OR(DATE($B$3,1,13)&gt;EOMONTH(DATE($B$3,1,1),0),NETWORKDAYS.INTL(DATE($B$3,1,13),DATE($B$3,1,13),1,'Non-working days'!$A$6:$A$45)=0),"",IF(COUNTIFS('Leave log'!$A$7:$A$306,Employees!$A$8,'Leave log'!$B$7:$B$306,"&lt;="&amp;DATE($B$3,1,13),'Leave log'!$C$7:$C$306,"&gt;="&amp;DATE($B$3,1,13),'Leave log'!$F$7:$F$306,"Approved")&gt;0,"A",""))="A","A",IF(OR(DATE($B$3,1,13)&gt;EOMONTH(DATE($B$3,1,1),0),NETWORKDAYS.INTL(DATE($B$3,1,13),DATE($B$3,1,13),1,'Non-working days'!$A$6:$A$45)=0),"",IF(COUNTIFS('Leave log'!$A$7:$A$306,Employees!$A$8,'Leave log'!$B$7:$B$306,"&lt;="&amp;DATE($B$3,1,13),'Leave log'!$C$7:$C$306,"&gt;="&amp;DATE($B$3,1,13),'Leave log'!$F$7:$F$306,"Pending")&gt;0,"P",""))))</f>
        <v/>
      </c>
      <c r="O9" s="23" t="str">
        <f>IF(A9="","",IF(IF(OR(DATE($B$3,1,14)&gt;EOMONTH(DATE($B$3,1,1),0),NETWORKDAYS.INTL(DATE($B$3,1,14),DATE($B$3,1,14),1,'Non-working days'!$A$6:$A$45)=0),"",IF(COUNTIFS('Leave log'!$A$7:$A$306,Employees!$A$8,'Leave log'!$B$7:$B$306,"&lt;="&amp;DATE($B$3,1,14),'Leave log'!$C$7:$C$306,"&gt;="&amp;DATE($B$3,1,14),'Leave log'!$F$7:$F$306,"Approved")&gt;0,"A",""))="A","A",IF(OR(DATE($B$3,1,14)&gt;EOMONTH(DATE($B$3,1,1),0),NETWORKDAYS.INTL(DATE($B$3,1,14),DATE($B$3,1,14),1,'Non-working days'!$A$6:$A$45)=0),"",IF(COUNTIFS('Leave log'!$A$7:$A$306,Employees!$A$8,'Leave log'!$B$7:$B$306,"&lt;="&amp;DATE($B$3,1,14),'Leave log'!$C$7:$C$306,"&gt;="&amp;DATE($B$3,1,14),'Leave log'!$F$7:$F$306,"Pending")&gt;0,"P",""))))</f>
        <v/>
      </c>
      <c r="P9" s="23" t="str">
        <f>IF(A9="","",IF(IF(OR(DATE($B$3,1,15)&gt;EOMONTH(DATE($B$3,1,1),0),NETWORKDAYS.INTL(DATE($B$3,1,15),DATE($B$3,1,15),1,'Non-working days'!$A$6:$A$45)=0),"",IF(COUNTIFS('Leave log'!$A$7:$A$306,Employees!$A$8,'Leave log'!$B$7:$B$306,"&lt;="&amp;DATE($B$3,1,15),'Leave log'!$C$7:$C$306,"&gt;="&amp;DATE($B$3,1,15),'Leave log'!$F$7:$F$306,"Approved")&gt;0,"A",""))="A","A",IF(OR(DATE($B$3,1,15)&gt;EOMONTH(DATE($B$3,1,1),0),NETWORKDAYS.INTL(DATE($B$3,1,15),DATE($B$3,1,15),1,'Non-working days'!$A$6:$A$45)=0),"",IF(COUNTIFS('Leave log'!$A$7:$A$306,Employees!$A$8,'Leave log'!$B$7:$B$306,"&lt;="&amp;DATE($B$3,1,15),'Leave log'!$C$7:$C$306,"&gt;="&amp;DATE($B$3,1,15),'Leave log'!$F$7:$F$306,"Pending")&gt;0,"P",""))))</f>
        <v/>
      </c>
      <c r="Q9" s="23" t="str">
        <f>IF(A9="","",IF(IF(OR(DATE($B$3,1,16)&gt;EOMONTH(DATE($B$3,1,1),0),NETWORKDAYS.INTL(DATE($B$3,1,16),DATE($B$3,1,16),1,'Non-working days'!$A$6:$A$45)=0),"",IF(COUNTIFS('Leave log'!$A$7:$A$306,Employees!$A$8,'Leave log'!$B$7:$B$306,"&lt;="&amp;DATE($B$3,1,16),'Leave log'!$C$7:$C$306,"&gt;="&amp;DATE($B$3,1,16),'Leave log'!$F$7:$F$306,"Approved")&gt;0,"A",""))="A","A",IF(OR(DATE($B$3,1,16)&gt;EOMONTH(DATE($B$3,1,1),0),NETWORKDAYS.INTL(DATE($B$3,1,16),DATE($B$3,1,16),1,'Non-working days'!$A$6:$A$45)=0),"",IF(COUNTIFS('Leave log'!$A$7:$A$306,Employees!$A$8,'Leave log'!$B$7:$B$306,"&lt;="&amp;DATE($B$3,1,16),'Leave log'!$C$7:$C$306,"&gt;="&amp;DATE($B$3,1,16),'Leave log'!$F$7:$F$306,"Pending")&gt;0,"P",""))))</f>
        <v/>
      </c>
      <c r="R9" s="23" t="str">
        <f>IF(A9="","",IF(IF(OR(DATE($B$3,1,17)&gt;EOMONTH(DATE($B$3,1,1),0),NETWORKDAYS.INTL(DATE($B$3,1,17),DATE($B$3,1,17),1,'Non-working days'!$A$6:$A$45)=0),"",IF(COUNTIFS('Leave log'!$A$7:$A$306,Employees!$A$8,'Leave log'!$B$7:$B$306,"&lt;="&amp;DATE($B$3,1,17),'Leave log'!$C$7:$C$306,"&gt;="&amp;DATE($B$3,1,17),'Leave log'!$F$7:$F$306,"Approved")&gt;0,"A",""))="A","A",IF(OR(DATE($B$3,1,17)&gt;EOMONTH(DATE($B$3,1,1),0),NETWORKDAYS.INTL(DATE($B$3,1,17),DATE($B$3,1,17),1,'Non-working days'!$A$6:$A$45)=0),"",IF(COUNTIFS('Leave log'!$A$7:$A$306,Employees!$A$8,'Leave log'!$B$7:$B$306,"&lt;="&amp;DATE($B$3,1,17),'Leave log'!$C$7:$C$306,"&gt;="&amp;DATE($B$3,1,17),'Leave log'!$F$7:$F$306,"Pending")&gt;0,"P",""))))</f>
        <v/>
      </c>
      <c r="S9" s="23" t="str">
        <f>IF(A9="","",IF(IF(OR(DATE($B$3,1,18)&gt;EOMONTH(DATE($B$3,1,1),0),NETWORKDAYS.INTL(DATE($B$3,1,18),DATE($B$3,1,18),1,'Non-working days'!$A$6:$A$45)=0),"",IF(COUNTIFS('Leave log'!$A$7:$A$306,Employees!$A$8,'Leave log'!$B$7:$B$306,"&lt;="&amp;DATE($B$3,1,18),'Leave log'!$C$7:$C$306,"&gt;="&amp;DATE($B$3,1,18),'Leave log'!$F$7:$F$306,"Approved")&gt;0,"A",""))="A","A",IF(OR(DATE($B$3,1,18)&gt;EOMONTH(DATE($B$3,1,1),0),NETWORKDAYS.INTL(DATE($B$3,1,18),DATE($B$3,1,18),1,'Non-working days'!$A$6:$A$45)=0),"",IF(COUNTIFS('Leave log'!$A$7:$A$306,Employees!$A$8,'Leave log'!$B$7:$B$306,"&lt;="&amp;DATE($B$3,1,18),'Leave log'!$C$7:$C$306,"&gt;="&amp;DATE($B$3,1,18),'Leave log'!$F$7:$F$306,"Pending")&gt;0,"P",""))))</f>
        <v/>
      </c>
      <c r="T9" s="23" t="str">
        <f>IF(A9="","",IF(IF(OR(DATE($B$3,1,19)&gt;EOMONTH(DATE($B$3,1,1),0),NETWORKDAYS.INTL(DATE($B$3,1,19),DATE($B$3,1,19),1,'Non-working days'!$A$6:$A$45)=0),"",IF(COUNTIFS('Leave log'!$A$7:$A$306,Employees!$A$8,'Leave log'!$B$7:$B$306,"&lt;="&amp;DATE($B$3,1,19),'Leave log'!$C$7:$C$306,"&gt;="&amp;DATE($B$3,1,19),'Leave log'!$F$7:$F$306,"Approved")&gt;0,"A",""))="A","A",IF(OR(DATE($B$3,1,19)&gt;EOMONTH(DATE($B$3,1,1),0),NETWORKDAYS.INTL(DATE($B$3,1,19),DATE($B$3,1,19),1,'Non-working days'!$A$6:$A$45)=0),"",IF(COUNTIFS('Leave log'!$A$7:$A$306,Employees!$A$8,'Leave log'!$B$7:$B$306,"&lt;="&amp;DATE($B$3,1,19),'Leave log'!$C$7:$C$306,"&gt;="&amp;DATE($B$3,1,19),'Leave log'!$F$7:$F$306,"Pending")&gt;0,"P",""))))</f>
        <v/>
      </c>
      <c r="U9" s="23" t="str">
        <f>IF(A9="","",IF(IF(OR(DATE($B$3,1,20)&gt;EOMONTH(DATE($B$3,1,1),0),NETWORKDAYS.INTL(DATE($B$3,1,20),DATE($B$3,1,20),1,'Non-working days'!$A$6:$A$45)=0),"",IF(COUNTIFS('Leave log'!$A$7:$A$306,Employees!$A$8,'Leave log'!$B$7:$B$306,"&lt;="&amp;DATE($B$3,1,20),'Leave log'!$C$7:$C$306,"&gt;="&amp;DATE($B$3,1,20),'Leave log'!$F$7:$F$306,"Approved")&gt;0,"A",""))="A","A",IF(OR(DATE($B$3,1,20)&gt;EOMONTH(DATE($B$3,1,1),0),NETWORKDAYS.INTL(DATE($B$3,1,20),DATE($B$3,1,20),1,'Non-working days'!$A$6:$A$45)=0),"",IF(COUNTIFS('Leave log'!$A$7:$A$306,Employees!$A$8,'Leave log'!$B$7:$B$306,"&lt;="&amp;DATE($B$3,1,20),'Leave log'!$C$7:$C$306,"&gt;="&amp;DATE($B$3,1,20),'Leave log'!$F$7:$F$306,"Pending")&gt;0,"P",""))))</f>
        <v/>
      </c>
      <c r="V9" s="23" t="str">
        <f>IF(A9="","",IF(IF(OR(DATE($B$3,1,21)&gt;EOMONTH(DATE($B$3,1,1),0),NETWORKDAYS.INTL(DATE($B$3,1,21),DATE($B$3,1,21),1,'Non-working days'!$A$6:$A$45)=0),"",IF(COUNTIFS('Leave log'!$A$7:$A$306,Employees!$A$8,'Leave log'!$B$7:$B$306,"&lt;="&amp;DATE($B$3,1,21),'Leave log'!$C$7:$C$306,"&gt;="&amp;DATE($B$3,1,21),'Leave log'!$F$7:$F$306,"Approved")&gt;0,"A",""))="A","A",IF(OR(DATE($B$3,1,21)&gt;EOMONTH(DATE($B$3,1,1),0),NETWORKDAYS.INTL(DATE($B$3,1,21),DATE($B$3,1,21),1,'Non-working days'!$A$6:$A$45)=0),"",IF(COUNTIFS('Leave log'!$A$7:$A$306,Employees!$A$8,'Leave log'!$B$7:$B$306,"&lt;="&amp;DATE($B$3,1,21),'Leave log'!$C$7:$C$306,"&gt;="&amp;DATE($B$3,1,21),'Leave log'!$F$7:$F$306,"Pending")&gt;0,"P",""))))</f>
        <v/>
      </c>
      <c r="W9" s="23" t="str">
        <f>IF(A9="","",IF(IF(OR(DATE($B$3,1,22)&gt;EOMONTH(DATE($B$3,1,1),0),NETWORKDAYS.INTL(DATE($B$3,1,22),DATE($B$3,1,22),1,'Non-working days'!$A$6:$A$45)=0),"",IF(COUNTIFS('Leave log'!$A$7:$A$306,Employees!$A$8,'Leave log'!$B$7:$B$306,"&lt;="&amp;DATE($B$3,1,22),'Leave log'!$C$7:$C$306,"&gt;="&amp;DATE($B$3,1,22),'Leave log'!$F$7:$F$306,"Approved")&gt;0,"A",""))="A","A",IF(OR(DATE($B$3,1,22)&gt;EOMONTH(DATE($B$3,1,1),0),NETWORKDAYS.INTL(DATE($B$3,1,22),DATE($B$3,1,22),1,'Non-working days'!$A$6:$A$45)=0),"",IF(COUNTIFS('Leave log'!$A$7:$A$306,Employees!$A$8,'Leave log'!$B$7:$B$306,"&lt;="&amp;DATE($B$3,1,22),'Leave log'!$C$7:$C$306,"&gt;="&amp;DATE($B$3,1,22),'Leave log'!$F$7:$F$306,"Pending")&gt;0,"P",""))))</f>
        <v/>
      </c>
      <c r="X9" s="23" t="str">
        <f>IF(A9="","",IF(IF(OR(DATE($B$3,1,23)&gt;EOMONTH(DATE($B$3,1,1),0),NETWORKDAYS.INTL(DATE($B$3,1,23),DATE($B$3,1,23),1,'Non-working days'!$A$6:$A$45)=0),"",IF(COUNTIFS('Leave log'!$A$7:$A$306,Employees!$A$8,'Leave log'!$B$7:$B$306,"&lt;="&amp;DATE($B$3,1,23),'Leave log'!$C$7:$C$306,"&gt;="&amp;DATE($B$3,1,23),'Leave log'!$F$7:$F$306,"Approved")&gt;0,"A",""))="A","A",IF(OR(DATE($B$3,1,23)&gt;EOMONTH(DATE($B$3,1,1),0),NETWORKDAYS.INTL(DATE($B$3,1,23),DATE($B$3,1,23),1,'Non-working days'!$A$6:$A$45)=0),"",IF(COUNTIFS('Leave log'!$A$7:$A$306,Employees!$A$8,'Leave log'!$B$7:$B$306,"&lt;="&amp;DATE($B$3,1,23),'Leave log'!$C$7:$C$306,"&gt;="&amp;DATE($B$3,1,23),'Leave log'!$F$7:$F$306,"Pending")&gt;0,"P",""))))</f>
        <v/>
      </c>
      <c r="Y9" s="23" t="str">
        <f>IF(A9="","",IF(IF(OR(DATE($B$3,1,24)&gt;EOMONTH(DATE($B$3,1,1),0),NETWORKDAYS.INTL(DATE($B$3,1,24),DATE($B$3,1,24),1,'Non-working days'!$A$6:$A$45)=0),"",IF(COUNTIFS('Leave log'!$A$7:$A$306,Employees!$A$8,'Leave log'!$B$7:$B$306,"&lt;="&amp;DATE($B$3,1,24),'Leave log'!$C$7:$C$306,"&gt;="&amp;DATE($B$3,1,24),'Leave log'!$F$7:$F$306,"Approved")&gt;0,"A",""))="A","A",IF(OR(DATE($B$3,1,24)&gt;EOMONTH(DATE($B$3,1,1),0),NETWORKDAYS.INTL(DATE($B$3,1,24),DATE($B$3,1,24),1,'Non-working days'!$A$6:$A$45)=0),"",IF(COUNTIFS('Leave log'!$A$7:$A$306,Employees!$A$8,'Leave log'!$B$7:$B$306,"&lt;="&amp;DATE($B$3,1,24),'Leave log'!$C$7:$C$306,"&gt;="&amp;DATE($B$3,1,24),'Leave log'!$F$7:$F$306,"Pending")&gt;0,"P",""))))</f>
        <v/>
      </c>
      <c r="Z9" s="23" t="str">
        <f>IF(A9="","",IF(IF(OR(DATE($B$3,1,25)&gt;EOMONTH(DATE($B$3,1,1),0),NETWORKDAYS.INTL(DATE($B$3,1,25),DATE($B$3,1,25),1,'Non-working days'!$A$6:$A$45)=0),"",IF(COUNTIFS('Leave log'!$A$7:$A$306,Employees!$A$8,'Leave log'!$B$7:$B$306,"&lt;="&amp;DATE($B$3,1,25),'Leave log'!$C$7:$C$306,"&gt;="&amp;DATE($B$3,1,25),'Leave log'!$F$7:$F$306,"Approved")&gt;0,"A",""))="A","A",IF(OR(DATE($B$3,1,25)&gt;EOMONTH(DATE($B$3,1,1),0),NETWORKDAYS.INTL(DATE($B$3,1,25),DATE($B$3,1,25),1,'Non-working days'!$A$6:$A$45)=0),"",IF(COUNTIFS('Leave log'!$A$7:$A$306,Employees!$A$8,'Leave log'!$B$7:$B$306,"&lt;="&amp;DATE($B$3,1,25),'Leave log'!$C$7:$C$306,"&gt;="&amp;DATE($B$3,1,25),'Leave log'!$F$7:$F$306,"Pending")&gt;0,"P",""))))</f>
        <v/>
      </c>
      <c r="AA9" s="23" t="str">
        <f>IF(A9="","",IF(IF(OR(DATE($B$3,1,26)&gt;EOMONTH(DATE($B$3,1,1),0),NETWORKDAYS.INTL(DATE($B$3,1,26),DATE($B$3,1,26),1,'Non-working days'!$A$6:$A$45)=0),"",IF(COUNTIFS('Leave log'!$A$7:$A$306,Employees!$A$8,'Leave log'!$B$7:$B$306,"&lt;="&amp;DATE($B$3,1,26),'Leave log'!$C$7:$C$306,"&gt;="&amp;DATE($B$3,1,26),'Leave log'!$F$7:$F$306,"Approved")&gt;0,"A",""))="A","A",IF(OR(DATE($B$3,1,26)&gt;EOMONTH(DATE($B$3,1,1),0),NETWORKDAYS.INTL(DATE($B$3,1,26),DATE($B$3,1,26),1,'Non-working days'!$A$6:$A$45)=0),"",IF(COUNTIFS('Leave log'!$A$7:$A$306,Employees!$A$8,'Leave log'!$B$7:$B$306,"&lt;="&amp;DATE($B$3,1,26),'Leave log'!$C$7:$C$306,"&gt;="&amp;DATE($B$3,1,26),'Leave log'!$F$7:$F$306,"Pending")&gt;0,"P",""))))</f>
        <v/>
      </c>
      <c r="AB9" s="23" t="str">
        <f>IF(A9="","",IF(IF(OR(DATE($B$3,1,27)&gt;EOMONTH(DATE($B$3,1,1),0),NETWORKDAYS.INTL(DATE($B$3,1,27),DATE($B$3,1,27),1,'Non-working days'!$A$6:$A$45)=0),"",IF(COUNTIFS('Leave log'!$A$7:$A$306,Employees!$A$8,'Leave log'!$B$7:$B$306,"&lt;="&amp;DATE($B$3,1,27),'Leave log'!$C$7:$C$306,"&gt;="&amp;DATE($B$3,1,27),'Leave log'!$F$7:$F$306,"Approved")&gt;0,"A",""))="A","A",IF(OR(DATE($B$3,1,27)&gt;EOMONTH(DATE($B$3,1,1),0),NETWORKDAYS.INTL(DATE($B$3,1,27),DATE($B$3,1,27),1,'Non-working days'!$A$6:$A$45)=0),"",IF(COUNTIFS('Leave log'!$A$7:$A$306,Employees!$A$8,'Leave log'!$B$7:$B$306,"&lt;="&amp;DATE($B$3,1,27),'Leave log'!$C$7:$C$306,"&gt;="&amp;DATE($B$3,1,27),'Leave log'!$F$7:$F$306,"Pending")&gt;0,"P",""))))</f>
        <v/>
      </c>
      <c r="AC9" s="23" t="str">
        <f>IF(A9="","",IF(IF(OR(DATE($B$3,1,28)&gt;EOMONTH(DATE($B$3,1,1),0),NETWORKDAYS.INTL(DATE($B$3,1,28),DATE($B$3,1,28),1,'Non-working days'!$A$6:$A$45)=0),"",IF(COUNTIFS('Leave log'!$A$7:$A$306,Employees!$A$8,'Leave log'!$B$7:$B$306,"&lt;="&amp;DATE($B$3,1,28),'Leave log'!$C$7:$C$306,"&gt;="&amp;DATE($B$3,1,28),'Leave log'!$F$7:$F$306,"Approved")&gt;0,"A",""))="A","A",IF(OR(DATE($B$3,1,28)&gt;EOMONTH(DATE($B$3,1,1),0),NETWORKDAYS.INTL(DATE($B$3,1,28),DATE($B$3,1,28),1,'Non-working days'!$A$6:$A$45)=0),"",IF(COUNTIFS('Leave log'!$A$7:$A$306,Employees!$A$8,'Leave log'!$B$7:$B$306,"&lt;="&amp;DATE($B$3,1,28),'Leave log'!$C$7:$C$306,"&gt;="&amp;DATE($B$3,1,28),'Leave log'!$F$7:$F$306,"Pending")&gt;0,"P",""))))</f>
        <v/>
      </c>
      <c r="AD9" s="23" t="str">
        <f>IF(A9="","",IF(IF(OR(DATE($B$3,1,29)&gt;EOMONTH(DATE($B$3,1,1),0),NETWORKDAYS.INTL(DATE($B$3,1,29),DATE($B$3,1,29),1,'Non-working days'!$A$6:$A$45)=0),"",IF(COUNTIFS('Leave log'!$A$7:$A$306,Employees!$A$8,'Leave log'!$B$7:$B$306,"&lt;="&amp;DATE($B$3,1,29),'Leave log'!$C$7:$C$306,"&gt;="&amp;DATE($B$3,1,29),'Leave log'!$F$7:$F$306,"Approved")&gt;0,"A",""))="A","A",IF(OR(DATE($B$3,1,29)&gt;EOMONTH(DATE($B$3,1,1),0),NETWORKDAYS.INTL(DATE($B$3,1,29),DATE($B$3,1,29),1,'Non-working days'!$A$6:$A$45)=0),"",IF(COUNTIFS('Leave log'!$A$7:$A$306,Employees!$A$8,'Leave log'!$B$7:$B$306,"&lt;="&amp;DATE($B$3,1,29),'Leave log'!$C$7:$C$306,"&gt;="&amp;DATE($B$3,1,29),'Leave log'!$F$7:$F$306,"Pending")&gt;0,"P",""))))</f>
        <v/>
      </c>
      <c r="AE9" s="23" t="str">
        <f>IF(A9="","",IF(IF(OR(DATE($B$3,1,30)&gt;EOMONTH(DATE($B$3,1,1),0),NETWORKDAYS.INTL(DATE($B$3,1,30),DATE($B$3,1,30),1,'Non-working days'!$A$6:$A$45)=0),"",IF(COUNTIFS('Leave log'!$A$7:$A$306,Employees!$A$8,'Leave log'!$B$7:$B$306,"&lt;="&amp;DATE($B$3,1,30),'Leave log'!$C$7:$C$306,"&gt;="&amp;DATE($B$3,1,30),'Leave log'!$F$7:$F$306,"Approved")&gt;0,"A",""))="A","A",IF(OR(DATE($B$3,1,30)&gt;EOMONTH(DATE($B$3,1,1),0),NETWORKDAYS.INTL(DATE($B$3,1,30),DATE($B$3,1,30),1,'Non-working days'!$A$6:$A$45)=0),"",IF(COUNTIFS('Leave log'!$A$7:$A$306,Employees!$A$8,'Leave log'!$B$7:$B$306,"&lt;="&amp;DATE($B$3,1,30),'Leave log'!$C$7:$C$306,"&gt;="&amp;DATE($B$3,1,30),'Leave log'!$F$7:$F$306,"Pending")&gt;0,"P",""))))</f>
        <v/>
      </c>
      <c r="AF9" s="23" t="str">
        <f>IF(A9="","",IF(IF(OR(DATE($B$3,1,31)&gt;EOMONTH(DATE($B$3,1,1),0),NETWORKDAYS.INTL(DATE($B$3,1,31),DATE($B$3,1,31),1,'Non-working days'!$A$6:$A$45)=0),"",IF(COUNTIFS('Leave log'!$A$7:$A$306,Employees!$A$8,'Leave log'!$B$7:$B$306,"&lt;="&amp;DATE($B$3,1,31),'Leave log'!$C$7:$C$306,"&gt;="&amp;DATE($B$3,1,31),'Leave log'!$F$7:$F$306,"Approved")&gt;0,"A",""))="A","A",IF(OR(DATE($B$3,1,31)&gt;EOMONTH(DATE($B$3,1,1),0),NETWORKDAYS.INTL(DATE($B$3,1,31),DATE($B$3,1,31),1,'Non-working days'!$A$6:$A$45)=0),"",IF(COUNTIFS('Leave log'!$A$7:$A$306,Employees!$A$8,'Leave log'!$B$7:$B$306,"&lt;="&amp;DATE($B$3,1,31),'Leave log'!$C$7:$C$306,"&gt;="&amp;DATE($B$3,1,31),'Leave log'!$F$7:$F$306,"Pending")&gt;0,"P",""))))</f>
        <v/>
      </c>
    </row>
    <row r="10" spans="1:32" ht="18" customHeight="1" x14ac:dyDescent="0.3">
      <c r="A10" s="22" t="str">
        <f>IF(Employees!F9="Yes",Employees!B9,"")</f>
        <v/>
      </c>
      <c r="B10" s="23" t="str">
        <f>IF(A10="","",IF(IF(OR(DATE($B$3,1,1)&gt;EOMONTH(DATE($B$3,1,1),0),NETWORKDAYS.INTL(DATE($B$3,1,1),DATE($B$3,1,1),1,'Non-working days'!$A$6:$A$45)=0),"",IF(COUNTIFS('Leave log'!$A$7:$A$306,Employees!$A$9,'Leave log'!$B$7:$B$306,"&lt;="&amp;DATE($B$3,1,1),'Leave log'!$C$7:$C$306,"&gt;="&amp;DATE($B$3,1,1),'Leave log'!$F$7:$F$306,"Approved")&gt;0,"A",""))="A","A",IF(OR(DATE($B$3,1,1)&gt;EOMONTH(DATE($B$3,1,1),0),NETWORKDAYS.INTL(DATE($B$3,1,1),DATE($B$3,1,1),1,'Non-working days'!$A$6:$A$45)=0),"",IF(COUNTIFS('Leave log'!$A$7:$A$306,Employees!$A$9,'Leave log'!$B$7:$B$306,"&lt;="&amp;DATE($B$3,1,1),'Leave log'!$C$7:$C$306,"&gt;="&amp;DATE($B$3,1,1),'Leave log'!$F$7:$F$306,"Pending")&gt;0,"P",""))))</f>
        <v/>
      </c>
      <c r="C10" s="23" t="str">
        <f>IF(A10="","",IF(IF(OR(DATE($B$3,1,2)&gt;EOMONTH(DATE($B$3,1,1),0),NETWORKDAYS.INTL(DATE($B$3,1,2),DATE($B$3,1,2),1,'Non-working days'!$A$6:$A$45)=0),"",IF(COUNTIFS('Leave log'!$A$7:$A$306,Employees!$A$9,'Leave log'!$B$7:$B$306,"&lt;="&amp;DATE($B$3,1,2),'Leave log'!$C$7:$C$306,"&gt;="&amp;DATE($B$3,1,2),'Leave log'!$F$7:$F$306,"Approved")&gt;0,"A",""))="A","A",IF(OR(DATE($B$3,1,2)&gt;EOMONTH(DATE($B$3,1,1),0),NETWORKDAYS.INTL(DATE($B$3,1,2),DATE($B$3,1,2),1,'Non-working days'!$A$6:$A$45)=0),"",IF(COUNTIFS('Leave log'!$A$7:$A$306,Employees!$A$9,'Leave log'!$B$7:$B$306,"&lt;="&amp;DATE($B$3,1,2),'Leave log'!$C$7:$C$306,"&gt;="&amp;DATE($B$3,1,2),'Leave log'!$F$7:$F$306,"Pending")&gt;0,"P",""))))</f>
        <v/>
      </c>
      <c r="D10" s="23" t="str">
        <f>IF(A10="","",IF(IF(OR(DATE($B$3,1,3)&gt;EOMONTH(DATE($B$3,1,1),0),NETWORKDAYS.INTL(DATE($B$3,1,3),DATE($B$3,1,3),1,'Non-working days'!$A$6:$A$45)=0),"",IF(COUNTIFS('Leave log'!$A$7:$A$306,Employees!$A$9,'Leave log'!$B$7:$B$306,"&lt;="&amp;DATE($B$3,1,3),'Leave log'!$C$7:$C$306,"&gt;="&amp;DATE($B$3,1,3),'Leave log'!$F$7:$F$306,"Approved")&gt;0,"A",""))="A","A",IF(OR(DATE($B$3,1,3)&gt;EOMONTH(DATE($B$3,1,1),0),NETWORKDAYS.INTL(DATE($B$3,1,3),DATE($B$3,1,3),1,'Non-working days'!$A$6:$A$45)=0),"",IF(COUNTIFS('Leave log'!$A$7:$A$306,Employees!$A$9,'Leave log'!$B$7:$B$306,"&lt;="&amp;DATE($B$3,1,3),'Leave log'!$C$7:$C$306,"&gt;="&amp;DATE($B$3,1,3),'Leave log'!$F$7:$F$306,"Pending")&gt;0,"P",""))))</f>
        <v/>
      </c>
      <c r="E10" s="23" t="str">
        <f>IF(A10="","",IF(IF(OR(DATE($B$3,1,4)&gt;EOMONTH(DATE($B$3,1,1),0),NETWORKDAYS.INTL(DATE($B$3,1,4),DATE($B$3,1,4),1,'Non-working days'!$A$6:$A$45)=0),"",IF(COUNTIFS('Leave log'!$A$7:$A$306,Employees!$A$9,'Leave log'!$B$7:$B$306,"&lt;="&amp;DATE($B$3,1,4),'Leave log'!$C$7:$C$306,"&gt;="&amp;DATE($B$3,1,4),'Leave log'!$F$7:$F$306,"Approved")&gt;0,"A",""))="A","A",IF(OR(DATE($B$3,1,4)&gt;EOMONTH(DATE($B$3,1,1),0),NETWORKDAYS.INTL(DATE($B$3,1,4),DATE($B$3,1,4),1,'Non-working days'!$A$6:$A$45)=0),"",IF(COUNTIFS('Leave log'!$A$7:$A$306,Employees!$A$9,'Leave log'!$B$7:$B$306,"&lt;="&amp;DATE($B$3,1,4),'Leave log'!$C$7:$C$306,"&gt;="&amp;DATE($B$3,1,4),'Leave log'!$F$7:$F$306,"Pending")&gt;0,"P",""))))</f>
        <v/>
      </c>
      <c r="F10" s="23" t="str">
        <f>IF(A10="","",IF(IF(OR(DATE($B$3,1,5)&gt;EOMONTH(DATE($B$3,1,1),0),NETWORKDAYS.INTL(DATE($B$3,1,5),DATE($B$3,1,5),1,'Non-working days'!$A$6:$A$45)=0),"",IF(COUNTIFS('Leave log'!$A$7:$A$306,Employees!$A$9,'Leave log'!$B$7:$B$306,"&lt;="&amp;DATE($B$3,1,5),'Leave log'!$C$7:$C$306,"&gt;="&amp;DATE($B$3,1,5),'Leave log'!$F$7:$F$306,"Approved")&gt;0,"A",""))="A","A",IF(OR(DATE($B$3,1,5)&gt;EOMONTH(DATE($B$3,1,1),0),NETWORKDAYS.INTL(DATE($B$3,1,5),DATE($B$3,1,5),1,'Non-working days'!$A$6:$A$45)=0),"",IF(COUNTIFS('Leave log'!$A$7:$A$306,Employees!$A$9,'Leave log'!$B$7:$B$306,"&lt;="&amp;DATE($B$3,1,5),'Leave log'!$C$7:$C$306,"&gt;="&amp;DATE($B$3,1,5),'Leave log'!$F$7:$F$306,"Pending")&gt;0,"P",""))))</f>
        <v/>
      </c>
      <c r="G10" s="23" t="str">
        <f>IF(A10="","",IF(IF(OR(DATE($B$3,1,6)&gt;EOMONTH(DATE($B$3,1,1),0),NETWORKDAYS.INTL(DATE($B$3,1,6),DATE($B$3,1,6),1,'Non-working days'!$A$6:$A$45)=0),"",IF(COUNTIFS('Leave log'!$A$7:$A$306,Employees!$A$9,'Leave log'!$B$7:$B$306,"&lt;="&amp;DATE($B$3,1,6),'Leave log'!$C$7:$C$306,"&gt;="&amp;DATE($B$3,1,6),'Leave log'!$F$7:$F$306,"Approved")&gt;0,"A",""))="A","A",IF(OR(DATE($B$3,1,6)&gt;EOMONTH(DATE($B$3,1,1),0),NETWORKDAYS.INTL(DATE($B$3,1,6),DATE($B$3,1,6),1,'Non-working days'!$A$6:$A$45)=0),"",IF(COUNTIFS('Leave log'!$A$7:$A$306,Employees!$A$9,'Leave log'!$B$7:$B$306,"&lt;="&amp;DATE($B$3,1,6),'Leave log'!$C$7:$C$306,"&gt;="&amp;DATE($B$3,1,6),'Leave log'!$F$7:$F$306,"Pending")&gt;0,"P",""))))</f>
        <v/>
      </c>
      <c r="H10" s="23" t="str">
        <f>IF(A10="","",IF(IF(OR(DATE($B$3,1,7)&gt;EOMONTH(DATE($B$3,1,1),0),NETWORKDAYS.INTL(DATE($B$3,1,7),DATE($B$3,1,7),1,'Non-working days'!$A$6:$A$45)=0),"",IF(COUNTIFS('Leave log'!$A$7:$A$306,Employees!$A$9,'Leave log'!$B$7:$B$306,"&lt;="&amp;DATE($B$3,1,7),'Leave log'!$C$7:$C$306,"&gt;="&amp;DATE($B$3,1,7),'Leave log'!$F$7:$F$306,"Approved")&gt;0,"A",""))="A","A",IF(OR(DATE($B$3,1,7)&gt;EOMONTH(DATE($B$3,1,1),0),NETWORKDAYS.INTL(DATE($B$3,1,7),DATE($B$3,1,7),1,'Non-working days'!$A$6:$A$45)=0),"",IF(COUNTIFS('Leave log'!$A$7:$A$306,Employees!$A$9,'Leave log'!$B$7:$B$306,"&lt;="&amp;DATE($B$3,1,7),'Leave log'!$C$7:$C$306,"&gt;="&amp;DATE($B$3,1,7),'Leave log'!$F$7:$F$306,"Pending")&gt;0,"P",""))))</f>
        <v/>
      </c>
      <c r="I10" s="23" t="str">
        <f>IF(A10="","",IF(IF(OR(DATE($B$3,1,8)&gt;EOMONTH(DATE($B$3,1,1),0),NETWORKDAYS.INTL(DATE($B$3,1,8),DATE($B$3,1,8),1,'Non-working days'!$A$6:$A$45)=0),"",IF(COUNTIFS('Leave log'!$A$7:$A$306,Employees!$A$9,'Leave log'!$B$7:$B$306,"&lt;="&amp;DATE($B$3,1,8),'Leave log'!$C$7:$C$306,"&gt;="&amp;DATE($B$3,1,8),'Leave log'!$F$7:$F$306,"Approved")&gt;0,"A",""))="A","A",IF(OR(DATE($B$3,1,8)&gt;EOMONTH(DATE($B$3,1,1),0),NETWORKDAYS.INTL(DATE($B$3,1,8),DATE($B$3,1,8),1,'Non-working days'!$A$6:$A$45)=0),"",IF(COUNTIFS('Leave log'!$A$7:$A$306,Employees!$A$9,'Leave log'!$B$7:$B$306,"&lt;="&amp;DATE($B$3,1,8),'Leave log'!$C$7:$C$306,"&gt;="&amp;DATE($B$3,1,8),'Leave log'!$F$7:$F$306,"Pending")&gt;0,"P",""))))</f>
        <v/>
      </c>
      <c r="J10" s="23" t="str">
        <f>IF(A10="","",IF(IF(OR(DATE($B$3,1,9)&gt;EOMONTH(DATE($B$3,1,1),0),NETWORKDAYS.INTL(DATE($B$3,1,9),DATE($B$3,1,9),1,'Non-working days'!$A$6:$A$45)=0),"",IF(COUNTIFS('Leave log'!$A$7:$A$306,Employees!$A$9,'Leave log'!$B$7:$B$306,"&lt;="&amp;DATE($B$3,1,9),'Leave log'!$C$7:$C$306,"&gt;="&amp;DATE($B$3,1,9),'Leave log'!$F$7:$F$306,"Approved")&gt;0,"A",""))="A","A",IF(OR(DATE($B$3,1,9)&gt;EOMONTH(DATE($B$3,1,1),0),NETWORKDAYS.INTL(DATE($B$3,1,9),DATE($B$3,1,9),1,'Non-working days'!$A$6:$A$45)=0),"",IF(COUNTIFS('Leave log'!$A$7:$A$306,Employees!$A$9,'Leave log'!$B$7:$B$306,"&lt;="&amp;DATE($B$3,1,9),'Leave log'!$C$7:$C$306,"&gt;="&amp;DATE($B$3,1,9),'Leave log'!$F$7:$F$306,"Pending")&gt;0,"P",""))))</f>
        <v/>
      </c>
      <c r="K10" s="23" t="str">
        <f>IF(A10="","",IF(IF(OR(DATE($B$3,1,10)&gt;EOMONTH(DATE($B$3,1,1),0),NETWORKDAYS.INTL(DATE($B$3,1,10),DATE($B$3,1,10),1,'Non-working days'!$A$6:$A$45)=0),"",IF(COUNTIFS('Leave log'!$A$7:$A$306,Employees!$A$9,'Leave log'!$B$7:$B$306,"&lt;="&amp;DATE($B$3,1,10),'Leave log'!$C$7:$C$306,"&gt;="&amp;DATE($B$3,1,10),'Leave log'!$F$7:$F$306,"Approved")&gt;0,"A",""))="A","A",IF(OR(DATE($B$3,1,10)&gt;EOMONTH(DATE($B$3,1,1),0),NETWORKDAYS.INTL(DATE($B$3,1,10),DATE($B$3,1,10),1,'Non-working days'!$A$6:$A$45)=0),"",IF(COUNTIFS('Leave log'!$A$7:$A$306,Employees!$A$9,'Leave log'!$B$7:$B$306,"&lt;="&amp;DATE($B$3,1,10),'Leave log'!$C$7:$C$306,"&gt;="&amp;DATE($B$3,1,10),'Leave log'!$F$7:$F$306,"Pending")&gt;0,"P",""))))</f>
        <v/>
      </c>
      <c r="L10" s="23" t="str">
        <f>IF(A10="","",IF(IF(OR(DATE($B$3,1,11)&gt;EOMONTH(DATE($B$3,1,1),0),NETWORKDAYS.INTL(DATE($B$3,1,11),DATE($B$3,1,11),1,'Non-working days'!$A$6:$A$45)=0),"",IF(COUNTIFS('Leave log'!$A$7:$A$306,Employees!$A$9,'Leave log'!$B$7:$B$306,"&lt;="&amp;DATE($B$3,1,11),'Leave log'!$C$7:$C$306,"&gt;="&amp;DATE($B$3,1,11),'Leave log'!$F$7:$F$306,"Approved")&gt;0,"A",""))="A","A",IF(OR(DATE($B$3,1,11)&gt;EOMONTH(DATE($B$3,1,1),0),NETWORKDAYS.INTL(DATE($B$3,1,11),DATE($B$3,1,11),1,'Non-working days'!$A$6:$A$45)=0),"",IF(COUNTIFS('Leave log'!$A$7:$A$306,Employees!$A$9,'Leave log'!$B$7:$B$306,"&lt;="&amp;DATE($B$3,1,11),'Leave log'!$C$7:$C$306,"&gt;="&amp;DATE($B$3,1,11),'Leave log'!$F$7:$F$306,"Pending")&gt;0,"P",""))))</f>
        <v/>
      </c>
      <c r="M10" s="23" t="str">
        <f>IF(A10="","",IF(IF(OR(DATE($B$3,1,12)&gt;EOMONTH(DATE($B$3,1,1),0),NETWORKDAYS.INTL(DATE($B$3,1,12),DATE($B$3,1,12),1,'Non-working days'!$A$6:$A$45)=0),"",IF(COUNTIFS('Leave log'!$A$7:$A$306,Employees!$A$9,'Leave log'!$B$7:$B$306,"&lt;="&amp;DATE($B$3,1,12),'Leave log'!$C$7:$C$306,"&gt;="&amp;DATE($B$3,1,12),'Leave log'!$F$7:$F$306,"Approved")&gt;0,"A",""))="A","A",IF(OR(DATE($B$3,1,12)&gt;EOMONTH(DATE($B$3,1,1),0),NETWORKDAYS.INTL(DATE($B$3,1,12),DATE($B$3,1,12),1,'Non-working days'!$A$6:$A$45)=0),"",IF(COUNTIFS('Leave log'!$A$7:$A$306,Employees!$A$9,'Leave log'!$B$7:$B$306,"&lt;="&amp;DATE($B$3,1,12),'Leave log'!$C$7:$C$306,"&gt;="&amp;DATE($B$3,1,12),'Leave log'!$F$7:$F$306,"Pending")&gt;0,"P",""))))</f>
        <v/>
      </c>
      <c r="N10" s="23" t="str">
        <f>IF(A10="","",IF(IF(OR(DATE($B$3,1,13)&gt;EOMONTH(DATE($B$3,1,1),0),NETWORKDAYS.INTL(DATE($B$3,1,13),DATE($B$3,1,13),1,'Non-working days'!$A$6:$A$45)=0),"",IF(COUNTIFS('Leave log'!$A$7:$A$306,Employees!$A$9,'Leave log'!$B$7:$B$306,"&lt;="&amp;DATE($B$3,1,13),'Leave log'!$C$7:$C$306,"&gt;="&amp;DATE($B$3,1,13),'Leave log'!$F$7:$F$306,"Approved")&gt;0,"A",""))="A","A",IF(OR(DATE($B$3,1,13)&gt;EOMONTH(DATE($B$3,1,1),0),NETWORKDAYS.INTL(DATE($B$3,1,13),DATE($B$3,1,13),1,'Non-working days'!$A$6:$A$45)=0),"",IF(COUNTIFS('Leave log'!$A$7:$A$306,Employees!$A$9,'Leave log'!$B$7:$B$306,"&lt;="&amp;DATE($B$3,1,13),'Leave log'!$C$7:$C$306,"&gt;="&amp;DATE($B$3,1,13),'Leave log'!$F$7:$F$306,"Pending")&gt;0,"P",""))))</f>
        <v/>
      </c>
      <c r="O10" s="23" t="str">
        <f>IF(A10="","",IF(IF(OR(DATE($B$3,1,14)&gt;EOMONTH(DATE($B$3,1,1),0),NETWORKDAYS.INTL(DATE($B$3,1,14),DATE($B$3,1,14),1,'Non-working days'!$A$6:$A$45)=0),"",IF(COUNTIFS('Leave log'!$A$7:$A$306,Employees!$A$9,'Leave log'!$B$7:$B$306,"&lt;="&amp;DATE($B$3,1,14),'Leave log'!$C$7:$C$306,"&gt;="&amp;DATE($B$3,1,14),'Leave log'!$F$7:$F$306,"Approved")&gt;0,"A",""))="A","A",IF(OR(DATE($B$3,1,14)&gt;EOMONTH(DATE($B$3,1,1),0),NETWORKDAYS.INTL(DATE($B$3,1,14),DATE($B$3,1,14),1,'Non-working days'!$A$6:$A$45)=0),"",IF(COUNTIFS('Leave log'!$A$7:$A$306,Employees!$A$9,'Leave log'!$B$7:$B$306,"&lt;="&amp;DATE($B$3,1,14),'Leave log'!$C$7:$C$306,"&gt;="&amp;DATE($B$3,1,14),'Leave log'!$F$7:$F$306,"Pending")&gt;0,"P",""))))</f>
        <v/>
      </c>
      <c r="P10" s="23" t="str">
        <f>IF(A10="","",IF(IF(OR(DATE($B$3,1,15)&gt;EOMONTH(DATE($B$3,1,1),0),NETWORKDAYS.INTL(DATE($B$3,1,15),DATE($B$3,1,15),1,'Non-working days'!$A$6:$A$45)=0),"",IF(COUNTIFS('Leave log'!$A$7:$A$306,Employees!$A$9,'Leave log'!$B$7:$B$306,"&lt;="&amp;DATE($B$3,1,15),'Leave log'!$C$7:$C$306,"&gt;="&amp;DATE($B$3,1,15),'Leave log'!$F$7:$F$306,"Approved")&gt;0,"A",""))="A","A",IF(OR(DATE($B$3,1,15)&gt;EOMONTH(DATE($B$3,1,1),0),NETWORKDAYS.INTL(DATE($B$3,1,15),DATE($B$3,1,15),1,'Non-working days'!$A$6:$A$45)=0),"",IF(COUNTIFS('Leave log'!$A$7:$A$306,Employees!$A$9,'Leave log'!$B$7:$B$306,"&lt;="&amp;DATE($B$3,1,15),'Leave log'!$C$7:$C$306,"&gt;="&amp;DATE($B$3,1,15),'Leave log'!$F$7:$F$306,"Pending")&gt;0,"P",""))))</f>
        <v/>
      </c>
      <c r="Q10" s="23" t="str">
        <f>IF(A10="","",IF(IF(OR(DATE($B$3,1,16)&gt;EOMONTH(DATE($B$3,1,1),0),NETWORKDAYS.INTL(DATE($B$3,1,16),DATE($B$3,1,16),1,'Non-working days'!$A$6:$A$45)=0),"",IF(COUNTIFS('Leave log'!$A$7:$A$306,Employees!$A$9,'Leave log'!$B$7:$B$306,"&lt;="&amp;DATE($B$3,1,16),'Leave log'!$C$7:$C$306,"&gt;="&amp;DATE($B$3,1,16),'Leave log'!$F$7:$F$306,"Approved")&gt;0,"A",""))="A","A",IF(OR(DATE($B$3,1,16)&gt;EOMONTH(DATE($B$3,1,1),0),NETWORKDAYS.INTL(DATE($B$3,1,16),DATE($B$3,1,16),1,'Non-working days'!$A$6:$A$45)=0),"",IF(COUNTIFS('Leave log'!$A$7:$A$306,Employees!$A$9,'Leave log'!$B$7:$B$306,"&lt;="&amp;DATE($B$3,1,16),'Leave log'!$C$7:$C$306,"&gt;="&amp;DATE($B$3,1,16),'Leave log'!$F$7:$F$306,"Pending")&gt;0,"P",""))))</f>
        <v/>
      </c>
      <c r="R10" s="23" t="str">
        <f>IF(A10="","",IF(IF(OR(DATE($B$3,1,17)&gt;EOMONTH(DATE($B$3,1,1),0),NETWORKDAYS.INTL(DATE($B$3,1,17),DATE($B$3,1,17),1,'Non-working days'!$A$6:$A$45)=0),"",IF(COUNTIFS('Leave log'!$A$7:$A$306,Employees!$A$9,'Leave log'!$B$7:$B$306,"&lt;="&amp;DATE($B$3,1,17),'Leave log'!$C$7:$C$306,"&gt;="&amp;DATE($B$3,1,17),'Leave log'!$F$7:$F$306,"Approved")&gt;0,"A",""))="A","A",IF(OR(DATE($B$3,1,17)&gt;EOMONTH(DATE($B$3,1,1),0),NETWORKDAYS.INTL(DATE($B$3,1,17),DATE($B$3,1,17),1,'Non-working days'!$A$6:$A$45)=0),"",IF(COUNTIFS('Leave log'!$A$7:$A$306,Employees!$A$9,'Leave log'!$B$7:$B$306,"&lt;="&amp;DATE($B$3,1,17),'Leave log'!$C$7:$C$306,"&gt;="&amp;DATE($B$3,1,17),'Leave log'!$F$7:$F$306,"Pending")&gt;0,"P",""))))</f>
        <v/>
      </c>
      <c r="S10" s="23" t="str">
        <f>IF(A10="","",IF(IF(OR(DATE($B$3,1,18)&gt;EOMONTH(DATE($B$3,1,1),0),NETWORKDAYS.INTL(DATE($B$3,1,18),DATE($B$3,1,18),1,'Non-working days'!$A$6:$A$45)=0),"",IF(COUNTIFS('Leave log'!$A$7:$A$306,Employees!$A$9,'Leave log'!$B$7:$B$306,"&lt;="&amp;DATE($B$3,1,18),'Leave log'!$C$7:$C$306,"&gt;="&amp;DATE($B$3,1,18),'Leave log'!$F$7:$F$306,"Approved")&gt;0,"A",""))="A","A",IF(OR(DATE($B$3,1,18)&gt;EOMONTH(DATE($B$3,1,1),0),NETWORKDAYS.INTL(DATE($B$3,1,18),DATE($B$3,1,18),1,'Non-working days'!$A$6:$A$45)=0),"",IF(COUNTIFS('Leave log'!$A$7:$A$306,Employees!$A$9,'Leave log'!$B$7:$B$306,"&lt;="&amp;DATE($B$3,1,18),'Leave log'!$C$7:$C$306,"&gt;="&amp;DATE($B$3,1,18),'Leave log'!$F$7:$F$306,"Pending")&gt;0,"P",""))))</f>
        <v/>
      </c>
      <c r="T10" s="23" t="str">
        <f>IF(A10="","",IF(IF(OR(DATE($B$3,1,19)&gt;EOMONTH(DATE($B$3,1,1),0),NETWORKDAYS.INTL(DATE($B$3,1,19),DATE($B$3,1,19),1,'Non-working days'!$A$6:$A$45)=0),"",IF(COUNTIFS('Leave log'!$A$7:$A$306,Employees!$A$9,'Leave log'!$B$7:$B$306,"&lt;="&amp;DATE($B$3,1,19),'Leave log'!$C$7:$C$306,"&gt;="&amp;DATE($B$3,1,19),'Leave log'!$F$7:$F$306,"Approved")&gt;0,"A",""))="A","A",IF(OR(DATE($B$3,1,19)&gt;EOMONTH(DATE($B$3,1,1),0),NETWORKDAYS.INTL(DATE($B$3,1,19),DATE($B$3,1,19),1,'Non-working days'!$A$6:$A$45)=0),"",IF(COUNTIFS('Leave log'!$A$7:$A$306,Employees!$A$9,'Leave log'!$B$7:$B$306,"&lt;="&amp;DATE($B$3,1,19),'Leave log'!$C$7:$C$306,"&gt;="&amp;DATE($B$3,1,19),'Leave log'!$F$7:$F$306,"Pending")&gt;0,"P",""))))</f>
        <v/>
      </c>
      <c r="U10" s="23" t="str">
        <f>IF(A10="","",IF(IF(OR(DATE($B$3,1,20)&gt;EOMONTH(DATE($B$3,1,1),0),NETWORKDAYS.INTL(DATE($B$3,1,20),DATE($B$3,1,20),1,'Non-working days'!$A$6:$A$45)=0),"",IF(COUNTIFS('Leave log'!$A$7:$A$306,Employees!$A$9,'Leave log'!$B$7:$B$306,"&lt;="&amp;DATE($B$3,1,20),'Leave log'!$C$7:$C$306,"&gt;="&amp;DATE($B$3,1,20),'Leave log'!$F$7:$F$306,"Approved")&gt;0,"A",""))="A","A",IF(OR(DATE($B$3,1,20)&gt;EOMONTH(DATE($B$3,1,1),0),NETWORKDAYS.INTL(DATE($B$3,1,20),DATE($B$3,1,20),1,'Non-working days'!$A$6:$A$45)=0),"",IF(COUNTIFS('Leave log'!$A$7:$A$306,Employees!$A$9,'Leave log'!$B$7:$B$306,"&lt;="&amp;DATE($B$3,1,20),'Leave log'!$C$7:$C$306,"&gt;="&amp;DATE($B$3,1,20),'Leave log'!$F$7:$F$306,"Pending")&gt;0,"P",""))))</f>
        <v/>
      </c>
      <c r="V10" s="23" t="str">
        <f>IF(A10="","",IF(IF(OR(DATE($B$3,1,21)&gt;EOMONTH(DATE($B$3,1,1),0),NETWORKDAYS.INTL(DATE($B$3,1,21),DATE($B$3,1,21),1,'Non-working days'!$A$6:$A$45)=0),"",IF(COUNTIFS('Leave log'!$A$7:$A$306,Employees!$A$9,'Leave log'!$B$7:$B$306,"&lt;="&amp;DATE($B$3,1,21),'Leave log'!$C$7:$C$306,"&gt;="&amp;DATE($B$3,1,21),'Leave log'!$F$7:$F$306,"Approved")&gt;0,"A",""))="A","A",IF(OR(DATE($B$3,1,21)&gt;EOMONTH(DATE($B$3,1,1),0),NETWORKDAYS.INTL(DATE($B$3,1,21),DATE($B$3,1,21),1,'Non-working days'!$A$6:$A$45)=0),"",IF(COUNTIFS('Leave log'!$A$7:$A$306,Employees!$A$9,'Leave log'!$B$7:$B$306,"&lt;="&amp;DATE($B$3,1,21),'Leave log'!$C$7:$C$306,"&gt;="&amp;DATE($B$3,1,21),'Leave log'!$F$7:$F$306,"Pending")&gt;0,"P",""))))</f>
        <v/>
      </c>
      <c r="W10" s="23" t="str">
        <f>IF(A10="","",IF(IF(OR(DATE($B$3,1,22)&gt;EOMONTH(DATE($B$3,1,1),0),NETWORKDAYS.INTL(DATE($B$3,1,22),DATE($B$3,1,22),1,'Non-working days'!$A$6:$A$45)=0),"",IF(COUNTIFS('Leave log'!$A$7:$A$306,Employees!$A$9,'Leave log'!$B$7:$B$306,"&lt;="&amp;DATE($B$3,1,22),'Leave log'!$C$7:$C$306,"&gt;="&amp;DATE($B$3,1,22),'Leave log'!$F$7:$F$306,"Approved")&gt;0,"A",""))="A","A",IF(OR(DATE($B$3,1,22)&gt;EOMONTH(DATE($B$3,1,1),0),NETWORKDAYS.INTL(DATE($B$3,1,22),DATE($B$3,1,22),1,'Non-working days'!$A$6:$A$45)=0),"",IF(COUNTIFS('Leave log'!$A$7:$A$306,Employees!$A$9,'Leave log'!$B$7:$B$306,"&lt;="&amp;DATE($B$3,1,22),'Leave log'!$C$7:$C$306,"&gt;="&amp;DATE($B$3,1,22),'Leave log'!$F$7:$F$306,"Pending")&gt;0,"P",""))))</f>
        <v/>
      </c>
      <c r="X10" s="23" t="str">
        <f>IF(A10="","",IF(IF(OR(DATE($B$3,1,23)&gt;EOMONTH(DATE($B$3,1,1),0),NETWORKDAYS.INTL(DATE($B$3,1,23),DATE($B$3,1,23),1,'Non-working days'!$A$6:$A$45)=0),"",IF(COUNTIFS('Leave log'!$A$7:$A$306,Employees!$A$9,'Leave log'!$B$7:$B$306,"&lt;="&amp;DATE($B$3,1,23),'Leave log'!$C$7:$C$306,"&gt;="&amp;DATE($B$3,1,23),'Leave log'!$F$7:$F$306,"Approved")&gt;0,"A",""))="A","A",IF(OR(DATE($B$3,1,23)&gt;EOMONTH(DATE($B$3,1,1),0),NETWORKDAYS.INTL(DATE($B$3,1,23),DATE($B$3,1,23),1,'Non-working days'!$A$6:$A$45)=0),"",IF(COUNTIFS('Leave log'!$A$7:$A$306,Employees!$A$9,'Leave log'!$B$7:$B$306,"&lt;="&amp;DATE($B$3,1,23),'Leave log'!$C$7:$C$306,"&gt;="&amp;DATE($B$3,1,23),'Leave log'!$F$7:$F$306,"Pending")&gt;0,"P",""))))</f>
        <v/>
      </c>
      <c r="Y10" s="23" t="str">
        <f>IF(A10="","",IF(IF(OR(DATE($B$3,1,24)&gt;EOMONTH(DATE($B$3,1,1),0),NETWORKDAYS.INTL(DATE($B$3,1,24),DATE($B$3,1,24),1,'Non-working days'!$A$6:$A$45)=0),"",IF(COUNTIFS('Leave log'!$A$7:$A$306,Employees!$A$9,'Leave log'!$B$7:$B$306,"&lt;="&amp;DATE($B$3,1,24),'Leave log'!$C$7:$C$306,"&gt;="&amp;DATE($B$3,1,24),'Leave log'!$F$7:$F$306,"Approved")&gt;0,"A",""))="A","A",IF(OR(DATE($B$3,1,24)&gt;EOMONTH(DATE($B$3,1,1),0),NETWORKDAYS.INTL(DATE($B$3,1,24),DATE($B$3,1,24),1,'Non-working days'!$A$6:$A$45)=0),"",IF(COUNTIFS('Leave log'!$A$7:$A$306,Employees!$A$9,'Leave log'!$B$7:$B$306,"&lt;="&amp;DATE($B$3,1,24),'Leave log'!$C$7:$C$306,"&gt;="&amp;DATE($B$3,1,24),'Leave log'!$F$7:$F$306,"Pending")&gt;0,"P",""))))</f>
        <v/>
      </c>
      <c r="Z10" s="23" t="str">
        <f>IF(A10="","",IF(IF(OR(DATE($B$3,1,25)&gt;EOMONTH(DATE($B$3,1,1),0),NETWORKDAYS.INTL(DATE($B$3,1,25),DATE($B$3,1,25),1,'Non-working days'!$A$6:$A$45)=0),"",IF(COUNTIFS('Leave log'!$A$7:$A$306,Employees!$A$9,'Leave log'!$B$7:$B$306,"&lt;="&amp;DATE($B$3,1,25),'Leave log'!$C$7:$C$306,"&gt;="&amp;DATE($B$3,1,25),'Leave log'!$F$7:$F$306,"Approved")&gt;0,"A",""))="A","A",IF(OR(DATE($B$3,1,25)&gt;EOMONTH(DATE($B$3,1,1),0),NETWORKDAYS.INTL(DATE($B$3,1,25),DATE($B$3,1,25),1,'Non-working days'!$A$6:$A$45)=0),"",IF(COUNTIFS('Leave log'!$A$7:$A$306,Employees!$A$9,'Leave log'!$B$7:$B$306,"&lt;="&amp;DATE($B$3,1,25),'Leave log'!$C$7:$C$306,"&gt;="&amp;DATE($B$3,1,25),'Leave log'!$F$7:$F$306,"Pending")&gt;0,"P",""))))</f>
        <v/>
      </c>
      <c r="AA10" s="23" t="str">
        <f>IF(A10="","",IF(IF(OR(DATE($B$3,1,26)&gt;EOMONTH(DATE($B$3,1,1),0),NETWORKDAYS.INTL(DATE($B$3,1,26),DATE($B$3,1,26),1,'Non-working days'!$A$6:$A$45)=0),"",IF(COUNTIFS('Leave log'!$A$7:$A$306,Employees!$A$9,'Leave log'!$B$7:$B$306,"&lt;="&amp;DATE($B$3,1,26),'Leave log'!$C$7:$C$306,"&gt;="&amp;DATE($B$3,1,26),'Leave log'!$F$7:$F$306,"Approved")&gt;0,"A",""))="A","A",IF(OR(DATE($B$3,1,26)&gt;EOMONTH(DATE($B$3,1,1),0),NETWORKDAYS.INTL(DATE($B$3,1,26),DATE($B$3,1,26),1,'Non-working days'!$A$6:$A$45)=0),"",IF(COUNTIFS('Leave log'!$A$7:$A$306,Employees!$A$9,'Leave log'!$B$7:$B$306,"&lt;="&amp;DATE($B$3,1,26),'Leave log'!$C$7:$C$306,"&gt;="&amp;DATE($B$3,1,26),'Leave log'!$F$7:$F$306,"Pending")&gt;0,"P",""))))</f>
        <v/>
      </c>
      <c r="AB10" s="23" t="str">
        <f>IF(A10="","",IF(IF(OR(DATE($B$3,1,27)&gt;EOMONTH(DATE($B$3,1,1),0),NETWORKDAYS.INTL(DATE($B$3,1,27),DATE($B$3,1,27),1,'Non-working days'!$A$6:$A$45)=0),"",IF(COUNTIFS('Leave log'!$A$7:$A$306,Employees!$A$9,'Leave log'!$B$7:$B$306,"&lt;="&amp;DATE($B$3,1,27),'Leave log'!$C$7:$C$306,"&gt;="&amp;DATE($B$3,1,27),'Leave log'!$F$7:$F$306,"Approved")&gt;0,"A",""))="A","A",IF(OR(DATE($B$3,1,27)&gt;EOMONTH(DATE($B$3,1,1),0),NETWORKDAYS.INTL(DATE($B$3,1,27),DATE($B$3,1,27),1,'Non-working days'!$A$6:$A$45)=0),"",IF(COUNTIFS('Leave log'!$A$7:$A$306,Employees!$A$9,'Leave log'!$B$7:$B$306,"&lt;="&amp;DATE($B$3,1,27),'Leave log'!$C$7:$C$306,"&gt;="&amp;DATE($B$3,1,27),'Leave log'!$F$7:$F$306,"Pending")&gt;0,"P",""))))</f>
        <v/>
      </c>
      <c r="AC10" s="23" t="str">
        <f>IF(A10="","",IF(IF(OR(DATE($B$3,1,28)&gt;EOMONTH(DATE($B$3,1,1),0),NETWORKDAYS.INTL(DATE($B$3,1,28),DATE($B$3,1,28),1,'Non-working days'!$A$6:$A$45)=0),"",IF(COUNTIFS('Leave log'!$A$7:$A$306,Employees!$A$9,'Leave log'!$B$7:$B$306,"&lt;="&amp;DATE($B$3,1,28),'Leave log'!$C$7:$C$306,"&gt;="&amp;DATE($B$3,1,28),'Leave log'!$F$7:$F$306,"Approved")&gt;0,"A",""))="A","A",IF(OR(DATE($B$3,1,28)&gt;EOMONTH(DATE($B$3,1,1),0),NETWORKDAYS.INTL(DATE($B$3,1,28),DATE($B$3,1,28),1,'Non-working days'!$A$6:$A$45)=0),"",IF(COUNTIFS('Leave log'!$A$7:$A$306,Employees!$A$9,'Leave log'!$B$7:$B$306,"&lt;="&amp;DATE($B$3,1,28),'Leave log'!$C$7:$C$306,"&gt;="&amp;DATE($B$3,1,28),'Leave log'!$F$7:$F$306,"Pending")&gt;0,"P",""))))</f>
        <v/>
      </c>
      <c r="AD10" s="23" t="str">
        <f>IF(A10="","",IF(IF(OR(DATE($B$3,1,29)&gt;EOMONTH(DATE($B$3,1,1),0),NETWORKDAYS.INTL(DATE($B$3,1,29),DATE($B$3,1,29),1,'Non-working days'!$A$6:$A$45)=0),"",IF(COUNTIFS('Leave log'!$A$7:$A$306,Employees!$A$9,'Leave log'!$B$7:$B$306,"&lt;="&amp;DATE($B$3,1,29),'Leave log'!$C$7:$C$306,"&gt;="&amp;DATE($B$3,1,29),'Leave log'!$F$7:$F$306,"Approved")&gt;0,"A",""))="A","A",IF(OR(DATE($B$3,1,29)&gt;EOMONTH(DATE($B$3,1,1),0),NETWORKDAYS.INTL(DATE($B$3,1,29),DATE($B$3,1,29),1,'Non-working days'!$A$6:$A$45)=0),"",IF(COUNTIFS('Leave log'!$A$7:$A$306,Employees!$A$9,'Leave log'!$B$7:$B$306,"&lt;="&amp;DATE($B$3,1,29),'Leave log'!$C$7:$C$306,"&gt;="&amp;DATE($B$3,1,29),'Leave log'!$F$7:$F$306,"Pending")&gt;0,"P",""))))</f>
        <v/>
      </c>
      <c r="AE10" s="23" t="str">
        <f>IF(A10="","",IF(IF(OR(DATE($B$3,1,30)&gt;EOMONTH(DATE($B$3,1,1),0),NETWORKDAYS.INTL(DATE($B$3,1,30),DATE($B$3,1,30),1,'Non-working days'!$A$6:$A$45)=0),"",IF(COUNTIFS('Leave log'!$A$7:$A$306,Employees!$A$9,'Leave log'!$B$7:$B$306,"&lt;="&amp;DATE($B$3,1,30),'Leave log'!$C$7:$C$306,"&gt;="&amp;DATE($B$3,1,30),'Leave log'!$F$7:$F$306,"Approved")&gt;0,"A",""))="A","A",IF(OR(DATE($B$3,1,30)&gt;EOMONTH(DATE($B$3,1,1),0),NETWORKDAYS.INTL(DATE($B$3,1,30),DATE($B$3,1,30),1,'Non-working days'!$A$6:$A$45)=0),"",IF(COUNTIFS('Leave log'!$A$7:$A$306,Employees!$A$9,'Leave log'!$B$7:$B$306,"&lt;="&amp;DATE($B$3,1,30),'Leave log'!$C$7:$C$306,"&gt;="&amp;DATE($B$3,1,30),'Leave log'!$F$7:$F$306,"Pending")&gt;0,"P",""))))</f>
        <v/>
      </c>
      <c r="AF10" s="23" t="str">
        <f>IF(A10="","",IF(IF(OR(DATE($B$3,1,31)&gt;EOMONTH(DATE($B$3,1,1),0),NETWORKDAYS.INTL(DATE($B$3,1,31),DATE($B$3,1,31),1,'Non-working days'!$A$6:$A$45)=0),"",IF(COUNTIFS('Leave log'!$A$7:$A$306,Employees!$A$9,'Leave log'!$B$7:$B$306,"&lt;="&amp;DATE($B$3,1,31),'Leave log'!$C$7:$C$306,"&gt;="&amp;DATE($B$3,1,31),'Leave log'!$F$7:$F$306,"Approved")&gt;0,"A",""))="A","A",IF(OR(DATE($B$3,1,31)&gt;EOMONTH(DATE($B$3,1,1),0),NETWORKDAYS.INTL(DATE($B$3,1,31),DATE($B$3,1,31),1,'Non-working days'!$A$6:$A$45)=0),"",IF(COUNTIFS('Leave log'!$A$7:$A$306,Employees!$A$9,'Leave log'!$B$7:$B$306,"&lt;="&amp;DATE($B$3,1,31),'Leave log'!$C$7:$C$306,"&gt;="&amp;DATE($B$3,1,31),'Leave log'!$F$7:$F$306,"Pending")&gt;0,"P",""))))</f>
        <v/>
      </c>
    </row>
    <row r="11" spans="1:32" ht="18" customHeight="1" x14ac:dyDescent="0.3">
      <c r="A11" s="22" t="str">
        <f>IF(Employees!F10="Yes",Employees!B10,"")</f>
        <v/>
      </c>
      <c r="B11" s="23" t="str">
        <f>IF(A11="","",IF(IF(OR(DATE($B$3,1,1)&gt;EOMONTH(DATE($B$3,1,1),0),NETWORKDAYS.INTL(DATE($B$3,1,1),DATE($B$3,1,1),1,'Non-working days'!$A$6:$A$45)=0),"",IF(COUNTIFS('Leave log'!$A$7:$A$306,Employees!$A$10,'Leave log'!$B$7:$B$306,"&lt;="&amp;DATE($B$3,1,1),'Leave log'!$C$7:$C$306,"&gt;="&amp;DATE($B$3,1,1),'Leave log'!$F$7:$F$306,"Approved")&gt;0,"A",""))="A","A",IF(OR(DATE($B$3,1,1)&gt;EOMONTH(DATE($B$3,1,1),0),NETWORKDAYS.INTL(DATE($B$3,1,1),DATE($B$3,1,1),1,'Non-working days'!$A$6:$A$45)=0),"",IF(COUNTIFS('Leave log'!$A$7:$A$306,Employees!$A$10,'Leave log'!$B$7:$B$306,"&lt;="&amp;DATE($B$3,1,1),'Leave log'!$C$7:$C$306,"&gt;="&amp;DATE($B$3,1,1),'Leave log'!$F$7:$F$306,"Pending")&gt;0,"P",""))))</f>
        <v/>
      </c>
      <c r="C11" s="23" t="str">
        <f>IF(A11="","",IF(IF(OR(DATE($B$3,1,2)&gt;EOMONTH(DATE($B$3,1,1),0),NETWORKDAYS.INTL(DATE($B$3,1,2),DATE($B$3,1,2),1,'Non-working days'!$A$6:$A$45)=0),"",IF(COUNTIFS('Leave log'!$A$7:$A$306,Employees!$A$10,'Leave log'!$B$7:$B$306,"&lt;="&amp;DATE($B$3,1,2),'Leave log'!$C$7:$C$306,"&gt;="&amp;DATE($B$3,1,2),'Leave log'!$F$7:$F$306,"Approved")&gt;0,"A",""))="A","A",IF(OR(DATE($B$3,1,2)&gt;EOMONTH(DATE($B$3,1,1),0),NETWORKDAYS.INTL(DATE($B$3,1,2),DATE($B$3,1,2),1,'Non-working days'!$A$6:$A$45)=0),"",IF(COUNTIFS('Leave log'!$A$7:$A$306,Employees!$A$10,'Leave log'!$B$7:$B$306,"&lt;="&amp;DATE($B$3,1,2),'Leave log'!$C$7:$C$306,"&gt;="&amp;DATE($B$3,1,2),'Leave log'!$F$7:$F$306,"Pending")&gt;0,"P",""))))</f>
        <v/>
      </c>
      <c r="D11" s="23" t="str">
        <f>IF(A11="","",IF(IF(OR(DATE($B$3,1,3)&gt;EOMONTH(DATE($B$3,1,1),0),NETWORKDAYS.INTL(DATE($B$3,1,3),DATE($B$3,1,3),1,'Non-working days'!$A$6:$A$45)=0),"",IF(COUNTIFS('Leave log'!$A$7:$A$306,Employees!$A$10,'Leave log'!$B$7:$B$306,"&lt;="&amp;DATE($B$3,1,3),'Leave log'!$C$7:$C$306,"&gt;="&amp;DATE($B$3,1,3),'Leave log'!$F$7:$F$306,"Approved")&gt;0,"A",""))="A","A",IF(OR(DATE($B$3,1,3)&gt;EOMONTH(DATE($B$3,1,1),0),NETWORKDAYS.INTL(DATE($B$3,1,3),DATE($B$3,1,3),1,'Non-working days'!$A$6:$A$45)=0),"",IF(COUNTIFS('Leave log'!$A$7:$A$306,Employees!$A$10,'Leave log'!$B$7:$B$306,"&lt;="&amp;DATE($B$3,1,3),'Leave log'!$C$7:$C$306,"&gt;="&amp;DATE($B$3,1,3),'Leave log'!$F$7:$F$306,"Pending")&gt;0,"P",""))))</f>
        <v/>
      </c>
      <c r="E11" s="23" t="str">
        <f>IF(A11="","",IF(IF(OR(DATE($B$3,1,4)&gt;EOMONTH(DATE($B$3,1,1),0),NETWORKDAYS.INTL(DATE($B$3,1,4),DATE($B$3,1,4),1,'Non-working days'!$A$6:$A$45)=0),"",IF(COUNTIFS('Leave log'!$A$7:$A$306,Employees!$A$10,'Leave log'!$B$7:$B$306,"&lt;="&amp;DATE($B$3,1,4),'Leave log'!$C$7:$C$306,"&gt;="&amp;DATE($B$3,1,4),'Leave log'!$F$7:$F$306,"Approved")&gt;0,"A",""))="A","A",IF(OR(DATE($B$3,1,4)&gt;EOMONTH(DATE($B$3,1,1),0),NETWORKDAYS.INTL(DATE($B$3,1,4),DATE($B$3,1,4),1,'Non-working days'!$A$6:$A$45)=0),"",IF(COUNTIFS('Leave log'!$A$7:$A$306,Employees!$A$10,'Leave log'!$B$7:$B$306,"&lt;="&amp;DATE($B$3,1,4),'Leave log'!$C$7:$C$306,"&gt;="&amp;DATE($B$3,1,4),'Leave log'!$F$7:$F$306,"Pending")&gt;0,"P",""))))</f>
        <v/>
      </c>
      <c r="F11" s="23" t="str">
        <f>IF(A11="","",IF(IF(OR(DATE($B$3,1,5)&gt;EOMONTH(DATE($B$3,1,1),0),NETWORKDAYS.INTL(DATE($B$3,1,5),DATE($B$3,1,5),1,'Non-working days'!$A$6:$A$45)=0),"",IF(COUNTIFS('Leave log'!$A$7:$A$306,Employees!$A$10,'Leave log'!$B$7:$B$306,"&lt;="&amp;DATE($B$3,1,5),'Leave log'!$C$7:$C$306,"&gt;="&amp;DATE($B$3,1,5),'Leave log'!$F$7:$F$306,"Approved")&gt;0,"A",""))="A","A",IF(OR(DATE($B$3,1,5)&gt;EOMONTH(DATE($B$3,1,1),0),NETWORKDAYS.INTL(DATE($B$3,1,5),DATE($B$3,1,5),1,'Non-working days'!$A$6:$A$45)=0),"",IF(COUNTIFS('Leave log'!$A$7:$A$306,Employees!$A$10,'Leave log'!$B$7:$B$306,"&lt;="&amp;DATE($B$3,1,5),'Leave log'!$C$7:$C$306,"&gt;="&amp;DATE($B$3,1,5),'Leave log'!$F$7:$F$306,"Pending")&gt;0,"P",""))))</f>
        <v/>
      </c>
      <c r="G11" s="23" t="str">
        <f>IF(A11="","",IF(IF(OR(DATE($B$3,1,6)&gt;EOMONTH(DATE($B$3,1,1),0),NETWORKDAYS.INTL(DATE($B$3,1,6),DATE($B$3,1,6),1,'Non-working days'!$A$6:$A$45)=0),"",IF(COUNTIFS('Leave log'!$A$7:$A$306,Employees!$A$10,'Leave log'!$B$7:$B$306,"&lt;="&amp;DATE($B$3,1,6),'Leave log'!$C$7:$C$306,"&gt;="&amp;DATE($B$3,1,6),'Leave log'!$F$7:$F$306,"Approved")&gt;0,"A",""))="A","A",IF(OR(DATE($B$3,1,6)&gt;EOMONTH(DATE($B$3,1,1),0),NETWORKDAYS.INTL(DATE($B$3,1,6),DATE($B$3,1,6),1,'Non-working days'!$A$6:$A$45)=0),"",IF(COUNTIFS('Leave log'!$A$7:$A$306,Employees!$A$10,'Leave log'!$B$7:$B$306,"&lt;="&amp;DATE($B$3,1,6),'Leave log'!$C$7:$C$306,"&gt;="&amp;DATE($B$3,1,6),'Leave log'!$F$7:$F$306,"Pending")&gt;0,"P",""))))</f>
        <v/>
      </c>
      <c r="H11" s="23" t="str">
        <f>IF(A11="","",IF(IF(OR(DATE($B$3,1,7)&gt;EOMONTH(DATE($B$3,1,1),0),NETWORKDAYS.INTL(DATE($B$3,1,7),DATE($B$3,1,7),1,'Non-working days'!$A$6:$A$45)=0),"",IF(COUNTIFS('Leave log'!$A$7:$A$306,Employees!$A$10,'Leave log'!$B$7:$B$306,"&lt;="&amp;DATE($B$3,1,7),'Leave log'!$C$7:$C$306,"&gt;="&amp;DATE($B$3,1,7),'Leave log'!$F$7:$F$306,"Approved")&gt;0,"A",""))="A","A",IF(OR(DATE($B$3,1,7)&gt;EOMONTH(DATE($B$3,1,1),0),NETWORKDAYS.INTL(DATE($B$3,1,7),DATE($B$3,1,7),1,'Non-working days'!$A$6:$A$45)=0),"",IF(COUNTIFS('Leave log'!$A$7:$A$306,Employees!$A$10,'Leave log'!$B$7:$B$306,"&lt;="&amp;DATE($B$3,1,7),'Leave log'!$C$7:$C$306,"&gt;="&amp;DATE($B$3,1,7),'Leave log'!$F$7:$F$306,"Pending")&gt;0,"P",""))))</f>
        <v/>
      </c>
      <c r="I11" s="23" t="str">
        <f>IF(A11="","",IF(IF(OR(DATE($B$3,1,8)&gt;EOMONTH(DATE($B$3,1,1),0),NETWORKDAYS.INTL(DATE($B$3,1,8),DATE($B$3,1,8),1,'Non-working days'!$A$6:$A$45)=0),"",IF(COUNTIFS('Leave log'!$A$7:$A$306,Employees!$A$10,'Leave log'!$B$7:$B$306,"&lt;="&amp;DATE($B$3,1,8),'Leave log'!$C$7:$C$306,"&gt;="&amp;DATE($B$3,1,8),'Leave log'!$F$7:$F$306,"Approved")&gt;0,"A",""))="A","A",IF(OR(DATE($B$3,1,8)&gt;EOMONTH(DATE($B$3,1,1),0),NETWORKDAYS.INTL(DATE($B$3,1,8),DATE($B$3,1,8),1,'Non-working days'!$A$6:$A$45)=0),"",IF(COUNTIFS('Leave log'!$A$7:$A$306,Employees!$A$10,'Leave log'!$B$7:$B$306,"&lt;="&amp;DATE($B$3,1,8),'Leave log'!$C$7:$C$306,"&gt;="&amp;DATE($B$3,1,8),'Leave log'!$F$7:$F$306,"Pending")&gt;0,"P",""))))</f>
        <v/>
      </c>
      <c r="J11" s="23" t="str">
        <f>IF(A11="","",IF(IF(OR(DATE($B$3,1,9)&gt;EOMONTH(DATE($B$3,1,1),0),NETWORKDAYS.INTL(DATE($B$3,1,9),DATE($B$3,1,9),1,'Non-working days'!$A$6:$A$45)=0),"",IF(COUNTIFS('Leave log'!$A$7:$A$306,Employees!$A$10,'Leave log'!$B$7:$B$306,"&lt;="&amp;DATE($B$3,1,9),'Leave log'!$C$7:$C$306,"&gt;="&amp;DATE($B$3,1,9),'Leave log'!$F$7:$F$306,"Approved")&gt;0,"A",""))="A","A",IF(OR(DATE($B$3,1,9)&gt;EOMONTH(DATE($B$3,1,1),0),NETWORKDAYS.INTL(DATE($B$3,1,9),DATE($B$3,1,9),1,'Non-working days'!$A$6:$A$45)=0),"",IF(COUNTIFS('Leave log'!$A$7:$A$306,Employees!$A$10,'Leave log'!$B$7:$B$306,"&lt;="&amp;DATE($B$3,1,9),'Leave log'!$C$7:$C$306,"&gt;="&amp;DATE($B$3,1,9),'Leave log'!$F$7:$F$306,"Pending")&gt;0,"P",""))))</f>
        <v/>
      </c>
      <c r="K11" s="23" t="str">
        <f>IF(A11="","",IF(IF(OR(DATE($B$3,1,10)&gt;EOMONTH(DATE($B$3,1,1),0),NETWORKDAYS.INTL(DATE($B$3,1,10),DATE($B$3,1,10),1,'Non-working days'!$A$6:$A$45)=0),"",IF(COUNTIFS('Leave log'!$A$7:$A$306,Employees!$A$10,'Leave log'!$B$7:$B$306,"&lt;="&amp;DATE($B$3,1,10),'Leave log'!$C$7:$C$306,"&gt;="&amp;DATE($B$3,1,10),'Leave log'!$F$7:$F$306,"Approved")&gt;0,"A",""))="A","A",IF(OR(DATE($B$3,1,10)&gt;EOMONTH(DATE($B$3,1,1),0),NETWORKDAYS.INTL(DATE($B$3,1,10),DATE($B$3,1,10),1,'Non-working days'!$A$6:$A$45)=0),"",IF(COUNTIFS('Leave log'!$A$7:$A$306,Employees!$A$10,'Leave log'!$B$7:$B$306,"&lt;="&amp;DATE($B$3,1,10),'Leave log'!$C$7:$C$306,"&gt;="&amp;DATE($B$3,1,10),'Leave log'!$F$7:$F$306,"Pending")&gt;0,"P",""))))</f>
        <v/>
      </c>
      <c r="L11" s="23" t="str">
        <f>IF(A11="","",IF(IF(OR(DATE($B$3,1,11)&gt;EOMONTH(DATE($B$3,1,1),0),NETWORKDAYS.INTL(DATE($B$3,1,11),DATE($B$3,1,11),1,'Non-working days'!$A$6:$A$45)=0),"",IF(COUNTIFS('Leave log'!$A$7:$A$306,Employees!$A$10,'Leave log'!$B$7:$B$306,"&lt;="&amp;DATE($B$3,1,11),'Leave log'!$C$7:$C$306,"&gt;="&amp;DATE($B$3,1,11),'Leave log'!$F$7:$F$306,"Approved")&gt;0,"A",""))="A","A",IF(OR(DATE($B$3,1,11)&gt;EOMONTH(DATE($B$3,1,1),0),NETWORKDAYS.INTL(DATE($B$3,1,11),DATE($B$3,1,11),1,'Non-working days'!$A$6:$A$45)=0),"",IF(COUNTIFS('Leave log'!$A$7:$A$306,Employees!$A$10,'Leave log'!$B$7:$B$306,"&lt;="&amp;DATE($B$3,1,11),'Leave log'!$C$7:$C$306,"&gt;="&amp;DATE($B$3,1,11),'Leave log'!$F$7:$F$306,"Pending")&gt;0,"P",""))))</f>
        <v/>
      </c>
      <c r="M11" s="23" t="str">
        <f>IF(A11="","",IF(IF(OR(DATE($B$3,1,12)&gt;EOMONTH(DATE($B$3,1,1),0),NETWORKDAYS.INTL(DATE($B$3,1,12),DATE($B$3,1,12),1,'Non-working days'!$A$6:$A$45)=0),"",IF(COUNTIFS('Leave log'!$A$7:$A$306,Employees!$A$10,'Leave log'!$B$7:$B$306,"&lt;="&amp;DATE($B$3,1,12),'Leave log'!$C$7:$C$306,"&gt;="&amp;DATE($B$3,1,12),'Leave log'!$F$7:$F$306,"Approved")&gt;0,"A",""))="A","A",IF(OR(DATE($B$3,1,12)&gt;EOMONTH(DATE($B$3,1,1),0),NETWORKDAYS.INTL(DATE($B$3,1,12),DATE($B$3,1,12),1,'Non-working days'!$A$6:$A$45)=0),"",IF(COUNTIFS('Leave log'!$A$7:$A$306,Employees!$A$10,'Leave log'!$B$7:$B$306,"&lt;="&amp;DATE($B$3,1,12),'Leave log'!$C$7:$C$306,"&gt;="&amp;DATE($B$3,1,12),'Leave log'!$F$7:$F$306,"Pending")&gt;0,"P",""))))</f>
        <v/>
      </c>
      <c r="N11" s="23" t="str">
        <f>IF(A11="","",IF(IF(OR(DATE($B$3,1,13)&gt;EOMONTH(DATE($B$3,1,1),0),NETWORKDAYS.INTL(DATE($B$3,1,13),DATE($B$3,1,13),1,'Non-working days'!$A$6:$A$45)=0),"",IF(COUNTIFS('Leave log'!$A$7:$A$306,Employees!$A$10,'Leave log'!$B$7:$B$306,"&lt;="&amp;DATE($B$3,1,13),'Leave log'!$C$7:$C$306,"&gt;="&amp;DATE($B$3,1,13),'Leave log'!$F$7:$F$306,"Approved")&gt;0,"A",""))="A","A",IF(OR(DATE($B$3,1,13)&gt;EOMONTH(DATE($B$3,1,1),0),NETWORKDAYS.INTL(DATE($B$3,1,13),DATE($B$3,1,13),1,'Non-working days'!$A$6:$A$45)=0),"",IF(COUNTIFS('Leave log'!$A$7:$A$306,Employees!$A$10,'Leave log'!$B$7:$B$306,"&lt;="&amp;DATE($B$3,1,13),'Leave log'!$C$7:$C$306,"&gt;="&amp;DATE($B$3,1,13),'Leave log'!$F$7:$F$306,"Pending")&gt;0,"P",""))))</f>
        <v/>
      </c>
      <c r="O11" s="23" t="str">
        <f>IF(A11="","",IF(IF(OR(DATE($B$3,1,14)&gt;EOMONTH(DATE($B$3,1,1),0),NETWORKDAYS.INTL(DATE($B$3,1,14),DATE($B$3,1,14),1,'Non-working days'!$A$6:$A$45)=0),"",IF(COUNTIFS('Leave log'!$A$7:$A$306,Employees!$A$10,'Leave log'!$B$7:$B$306,"&lt;="&amp;DATE($B$3,1,14),'Leave log'!$C$7:$C$306,"&gt;="&amp;DATE($B$3,1,14),'Leave log'!$F$7:$F$306,"Approved")&gt;0,"A",""))="A","A",IF(OR(DATE($B$3,1,14)&gt;EOMONTH(DATE($B$3,1,1),0),NETWORKDAYS.INTL(DATE($B$3,1,14),DATE($B$3,1,14),1,'Non-working days'!$A$6:$A$45)=0),"",IF(COUNTIFS('Leave log'!$A$7:$A$306,Employees!$A$10,'Leave log'!$B$7:$B$306,"&lt;="&amp;DATE($B$3,1,14),'Leave log'!$C$7:$C$306,"&gt;="&amp;DATE($B$3,1,14),'Leave log'!$F$7:$F$306,"Pending")&gt;0,"P",""))))</f>
        <v/>
      </c>
      <c r="P11" s="23" t="str">
        <f>IF(A11="","",IF(IF(OR(DATE($B$3,1,15)&gt;EOMONTH(DATE($B$3,1,1),0),NETWORKDAYS.INTL(DATE($B$3,1,15),DATE($B$3,1,15),1,'Non-working days'!$A$6:$A$45)=0),"",IF(COUNTIFS('Leave log'!$A$7:$A$306,Employees!$A$10,'Leave log'!$B$7:$B$306,"&lt;="&amp;DATE($B$3,1,15),'Leave log'!$C$7:$C$306,"&gt;="&amp;DATE($B$3,1,15),'Leave log'!$F$7:$F$306,"Approved")&gt;0,"A",""))="A","A",IF(OR(DATE($B$3,1,15)&gt;EOMONTH(DATE($B$3,1,1),0),NETWORKDAYS.INTL(DATE($B$3,1,15),DATE($B$3,1,15),1,'Non-working days'!$A$6:$A$45)=0),"",IF(COUNTIFS('Leave log'!$A$7:$A$306,Employees!$A$10,'Leave log'!$B$7:$B$306,"&lt;="&amp;DATE($B$3,1,15),'Leave log'!$C$7:$C$306,"&gt;="&amp;DATE($B$3,1,15),'Leave log'!$F$7:$F$306,"Pending")&gt;0,"P",""))))</f>
        <v/>
      </c>
      <c r="Q11" s="23" t="str">
        <f>IF(A11="","",IF(IF(OR(DATE($B$3,1,16)&gt;EOMONTH(DATE($B$3,1,1),0),NETWORKDAYS.INTL(DATE($B$3,1,16),DATE($B$3,1,16),1,'Non-working days'!$A$6:$A$45)=0),"",IF(COUNTIFS('Leave log'!$A$7:$A$306,Employees!$A$10,'Leave log'!$B$7:$B$306,"&lt;="&amp;DATE($B$3,1,16),'Leave log'!$C$7:$C$306,"&gt;="&amp;DATE($B$3,1,16),'Leave log'!$F$7:$F$306,"Approved")&gt;0,"A",""))="A","A",IF(OR(DATE($B$3,1,16)&gt;EOMONTH(DATE($B$3,1,1),0),NETWORKDAYS.INTL(DATE($B$3,1,16),DATE($B$3,1,16),1,'Non-working days'!$A$6:$A$45)=0),"",IF(COUNTIFS('Leave log'!$A$7:$A$306,Employees!$A$10,'Leave log'!$B$7:$B$306,"&lt;="&amp;DATE($B$3,1,16),'Leave log'!$C$7:$C$306,"&gt;="&amp;DATE($B$3,1,16),'Leave log'!$F$7:$F$306,"Pending")&gt;0,"P",""))))</f>
        <v/>
      </c>
      <c r="R11" s="23" t="str">
        <f>IF(A11="","",IF(IF(OR(DATE($B$3,1,17)&gt;EOMONTH(DATE($B$3,1,1),0),NETWORKDAYS.INTL(DATE($B$3,1,17),DATE($B$3,1,17),1,'Non-working days'!$A$6:$A$45)=0),"",IF(COUNTIFS('Leave log'!$A$7:$A$306,Employees!$A$10,'Leave log'!$B$7:$B$306,"&lt;="&amp;DATE($B$3,1,17),'Leave log'!$C$7:$C$306,"&gt;="&amp;DATE($B$3,1,17),'Leave log'!$F$7:$F$306,"Approved")&gt;0,"A",""))="A","A",IF(OR(DATE($B$3,1,17)&gt;EOMONTH(DATE($B$3,1,1),0),NETWORKDAYS.INTL(DATE($B$3,1,17),DATE($B$3,1,17),1,'Non-working days'!$A$6:$A$45)=0),"",IF(COUNTIFS('Leave log'!$A$7:$A$306,Employees!$A$10,'Leave log'!$B$7:$B$306,"&lt;="&amp;DATE($B$3,1,17),'Leave log'!$C$7:$C$306,"&gt;="&amp;DATE($B$3,1,17),'Leave log'!$F$7:$F$306,"Pending")&gt;0,"P",""))))</f>
        <v/>
      </c>
      <c r="S11" s="23" t="str">
        <f>IF(A11="","",IF(IF(OR(DATE($B$3,1,18)&gt;EOMONTH(DATE($B$3,1,1),0),NETWORKDAYS.INTL(DATE($B$3,1,18),DATE($B$3,1,18),1,'Non-working days'!$A$6:$A$45)=0),"",IF(COUNTIFS('Leave log'!$A$7:$A$306,Employees!$A$10,'Leave log'!$B$7:$B$306,"&lt;="&amp;DATE($B$3,1,18),'Leave log'!$C$7:$C$306,"&gt;="&amp;DATE($B$3,1,18),'Leave log'!$F$7:$F$306,"Approved")&gt;0,"A",""))="A","A",IF(OR(DATE($B$3,1,18)&gt;EOMONTH(DATE($B$3,1,1),0),NETWORKDAYS.INTL(DATE($B$3,1,18),DATE($B$3,1,18),1,'Non-working days'!$A$6:$A$45)=0),"",IF(COUNTIFS('Leave log'!$A$7:$A$306,Employees!$A$10,'Leave log'!$B$7:$B$306,"&lt;="&amp;DATE($B$3,1,18),'Leave log'!$C$7:$C$306,"&gt;="&amp;DATE($B$3,1,18),'Leave log'!$F$7:$F$306,"Pending")&gt;0,"P",""))))</f>
        <v/>
      </c>
      <c r="T11" s="23" t="str">
        <f>IF(A11="","",IF(IF(OR(DATE($B$3,1,19)&gt;EOMONTH(DATE($B$3,1,1),0),NETWORKDAYS.INTL(DATE($B$3,1,19),DATE($B$3,1,19),1,'Non-working days'!$A$6:$A$45)=0),"",IF(COUNTIFS('Leave log'!$A$7:$A$306,Employees!$A$10,'Leave log'!$B$7:$B$306,"&lt;="&amp;DATE($B$3,1,19),'Leave log'!$C$7:$C$306,"&gt;="&amp;DATE($B$3,1,19),'Leave log'!$F$7:$F$306,"Approved")&gt;0,"A",""))="A","A",IF(OR(DATE($B$3,1,19)&gt;EOMONTH(DATE($B$3,1,1),0),NETWORKDAYS.INTL(DATE($B$3,1,19),DATE($B$3,1,19),1,'Non-working days'!$A$6:$A$45)=0),"",IF(COUNTIFS('Leave log'!$A$7:$A$306,Employees!$A$10,'Leave log'!$B$7:$B$306,"&lt;="&amp;DATE($B$3,1,19),'Leave log'!$C$7:$C$306,"&gt;="&amp;DATE($B$3,1,19),'Leave log'!$F$7:$F$306,"Pending")&gt;0,"P",""))))</f>
        <v/>
      </c>
      <c r="U11" s="23" t="str">
        <f>IF(A11="","",IF(IF(OR(DATE($B$3,1,20)&gt;EOMONTH(DATE($B$3,1,1),0),NETWORKDAYS.INTL(DATE($B$3,1,20),DATE($B$3,1,20),1,'Non-working days'!$A$6:$A$45)=0),"",IF(COUNTIFS('Leave log'!$A$7:$A$306,Employees!$A$10,'Leave log'!$B$7:$B$306,"&lt;="&amp;DATE($B$3,1,20),'Leave log'!$C$7:$C$306,"&gt;="&amp;DATE($B$3,1,20),'Leave log'!$F$7:$F$306,"Approved")&gt;0,"A",""))="A","A",IF(OR(DATE($B$3,1,20)&gt;EOMONTH(DATE($B$3,1,1),0),NETWORKDAYS.INTL(DATE($B$3,1,20),DATE($B$3,1,20),1,'Non-working days'!$A$6:$A$45)=0),"",IF(COUNTIFS('Leave log'!$A$7:$A$306,Employees!$A$10,'Leave log'!$B$7:$B$306,"&lt;="&amp;DATE($B$3,1,20),'Leave log'!$C$7:$C$306,"&gt;="&amp;DATE($B$3,1,20),'Leave log'!$F$7:$F$306,"Pending")&gt;0,"P",""))))</f>
        <v/>
      </c>
      <c r="V11" s="23" t="str">
        <f>IF(A11="","",IF(IF(OR(DATE($B$3,1,21)&gt;EOMONTH(DATE($B$3,1,1),0),NETWORKDAYS.INTL(DATE($B$3,1,21),DATE($B$3,1,21),1,'Non-working days'!$A$6:$A$45)=0),"",IF(COUNTIFS('Leave log'!$A$7:$A$306,Employees!$A$10,'Leave log'!$B$7:$B$306,"&lt;="&amp;DATE($B$3,1,21),'Leave log'!$C$7:$C$306,"&gt;="&amp;DATE($B$3,1,21),'Leave log'!$F$7:$F$306,"Approved")&gt;0,"A",""))="A","A",IF(OR(DATE($B$3,1,21)&gt;EOMONTH(DATE($B$3,1,1),0),NETWORKDAYS.INTL(DATE($B$3,1,21),DATE($B$3,1,21),1,'Non-working days'!$A$6:$A$45)=0),"",IF(COUNTIFS('Leave log'!$A$7:$A$306,Employees!$A$10,'Leave log'!$B$7:$B$306,"&lt;="&amp;DATE($B$3,1,21),'Leave log'!$C$7:$C$306,"&gt;="&amp;DATE($B$3,1,21),'Leave log'!$F$7:$F$306,"Pending")&gt;0,"P",""))))</f>
        <v/>
      </c>
      <c r="W11" s="23" t="str">
        <f>IF(A11="","",IF(IF(OR(DATE($B$3,1,22)&gt;EOMONTH(DATE($B$3,1,1),0),NETWORKDAYS.INTL(DATE($B$3,1,22),DATE($B$3,1,22),1,'Non-working days'!$A$6:$A$45)=0),"",IF(COUNTIFS('Leave log'!$A$7:$A$306,Employees!$A$10,'Leave log'!$B$7:$B$306,"&lt;="&amp;DATE($B$3,1,22),'Leave log'!$C$7:$C$306,"&gt;="&amp;DATE($B$3,1,22),'Leave log'!$F$7:$F$306,"Approved")&gt;0,"A",""))="A","A",IF(OR(DATE($B$3,1,22)&gt;EOMONTH(DATE($B$3,1,1),0),NETWORKDAYS.INTL(DATE($B$3,1,22),DATE($B$3,1,22),1,'Non-working days'!$A$6:$A$45)=0),"",IF(COUNTIFS('Leave log'!$A$7:$A$306,Employees!$A$10,'Leave log'!$B$7:$B$306,"&lt;="&amp;DATE($B$3,1,22),'Leave log'!$C$7:$C$306,"&gt;="&amp;DATE($B$3,1,22),'Leave log'!$F$7:$F$306,"Pending")&gt;0,"P",""))))</f>
        <v/>
      </c>
      <c r="X11" s="23" t="str">
        <f>IF(A11="","",IF(IF(OR(DATE($B$3,1,23)&gt;EOMONTH(DATE($B$3,1,1),0),NETWORKDAYS.INTL(DATE($B$3,1,23),DATE($B$3,1,23),1,'Non-working days'!$A$6:$A$45)=0),"",IF(COUNTIFS('Leave log'!$A$7:$A$306,Employees!$A$10,'Leave log'!$B$7:$B$306,"&lt;="&amp;DATE($B$3,1,23),'Leave log'!$C$7:$C$306,"&gt;="&amp;DATE($B$3,1,23),'Leave log'!$F$7:$F$306,"Approved")&gt;0,"A",""))="A","A",IF(OR(DATE($B$3,1,23)&gt;EOMONTH(DATE($B$3,1,1),0),NETWORKDAYS.INTL(DATE($B$3,1,23),DATE($B$3,1,23),1,'Non-working days'!$A$6:$A$45)=0),"",IF(COUNTIFS('Leave log'!$A$7:$A$306,Employees!$A$10,'Leave log'!$B$7:$B$306,"&lt;="&amp;DATE($B$3,1,23),'Leave log'!$C$7:$C$306,"&gt;="&amp;DATE($B$3,1,23),'Leave log'!$F$7:$F$306,"Pending")&gt;0,"P",""))))</f>
        <v/>
      </c>
      <c r="Y11" s="23" t="str">
        <f>IF(A11="","",IF(IF(OR(DATE($B$3,1,24)&gt;EOMONTH(DATE($B$3,1,1),0),NETWORKDAYS.INTL(DATE($B$3,1,24),DATE($B$3,1,24),1,'Non-working days'!$A$6:$A$45)=0),"",IF(COUNTIFS('Leave log'!$A$7:$A$306,Employees!$A$10,'Leave log'!$B$7:$B$306,"&lt;="&amp;DATE($B$3,1,24),'Leave log'!$C$7:$C$306,"&gt;="&amp;DATE($B$3,1,24),'Leave log'!$F$7:$F$306,"Approved")&gt;0,"A",""))="A","A",IF(OR(DATE($B$3,1,24)&gt;EOMONTH(DATE($B$3,1,1),0),NETWORKDAYS.INTL(DATE($B$3,1,24),DATE($B$3,1,24),1,'Non-working days'!$A$6:$A$45)=0),"",IF(COUNTIFS('Leave log'!$A$7:$A$306,Employees!$A$10,'Leave log'!$B$7:$B$306,"&lt;="&amp;DATE($B$3,1,24),'Leave log'!$C$7:$C$306,"&gt;="&amp;DATE($B$3,1,24),'Leave log'!$F$7:$F$306,"Pending")&gt;0,"P",""))))</f>
        <v/>
      </c>
      <c r="Z11" s="23" t="str">
        <f>IF(A11="","",IF(IF(OR(DATE($B$3,1,25)&gt;EOMONTH(DATE($B$3,1,1),0),NETWORKDAYS.INTL(DATE($B$3,1,25),DATE($B$3,1,25),1,'Non-working days'!$A$6:$A$45)=0),"",IF(COUNTIFS('Leave log'!$A$7:$A$306,Employees!$A$10,'Leave log'!$B$7:$B$306,"&lt;="&amp;DATE($B$3,1,25),'Leave log'!$C$7:$C$306,"&gt;="&amp;DATE($B$3,1,25),'Leave log'!$F$7:$F$306,"Approved")&gt;0,"A",""))="A","A",IF(OR(DATE($B$3,1,25)&gt;EOMONTH(DATE($B$3,1,1),0),NETWORKDAYS.INTL(DATE($B$3,1,25),DATE($B$3,1,25),1,'Non-working days'!$A$6:$A$45)=0),"",IF(COUNTIFS('Leave log'!$A$7:$A$306,Employees!$A$10,'Leave log'!$B$7:$B$306,"&lt;="&amp;DATE($B$3,1,25),'Leave log'!$C$7:$C$306,"&gt;="&amp;DATE($B$3,1,25),'Leave log'!$F$7:$F$306,"Pending")&gt;0,"P",""))))</f>
        <v/>
      </c>
      <c r="AA11" s="23" t="str">
        <f>IF(A11="","",IF(IF(OR(DATE($B$3,1,26)&gt;EOMONTH(DATE($B$3,1,1),0),NETWORKDAYS.INTL(DATE($B$3,1,26),DATE($B$3,1,26),1,'Non-working days'!$A$6:$A$45)=0),"",IF(COUNTIFS('Leave log'!$A$7:$A$306,Employees!$A$10,'Leave log'!$B$7:$B$306,"&lt;="&amp;DATE($B$3,1,26),'Leave log'!$C$7:$C$306,"&gt;="&amp;DATE($B$3,1,26),'Leave log'!$F$7:$F$306,"Approved")&gt;0,"A",""))="A","A",IF(OR(DATE($B$3,1,26)&gt;EOMONTH(DATE($B$3,1,1),0),NETWORKDAYS.INTL(DATE($B$3,1,26),DATE($B$3,1,26),1,'Non-working days'!$A$6:$A$45)=0),"",IF(COUNTIFS('Leave log'!$A$7:$A$306,Employees!$A$10,'Leave log'!$B$7:$B$306,"&lt;="&amp;DATE($B$3,1,26),'Leave log'!$C$7:$C$306,"&gt;="&amp;DATE($B$3,1,26),'Leave log'!$F$7:$F$306,"Pending")&gt;0,"P",""))))</f>
        <v/>
      </c>
      <c r="AB11" s="23" t="str">
        <f>IF(A11="","",IF(IF(OR(DATE($B$3,1,27)&gt;EOMONTH(DATE($B$3,1,1),0),NETWORKDAYS.INTL(DATE($B$3,1,27),DATE($B$3,1,27),1,'Non-working days'!$A$6:$A$45)=0),"",IF(COUNTIFS('Leave log'!$A$7:$A$306,Employees!$A$10,'Leave log'!$B$7:$B$306,"&lt;="&amp;DATE($B$3,1,27),'Leave log'!$C$7:$C$306,"&gt;="&amp;DATE($B$3,1,27),'Leave log'!$F$7:$F$306,"Approved")&gt;0,"A",""))="A","A",IF(OR(DATE($B$3,1,27)&gt;EOMONTH(DATE($B$3,1,1),0),NETWORKDAYS.INTL(DATE($B$3,1,27),DATE($B$3,1,27),1,'Non-working days'!$A$6:$A$45)=0),"",IF(COUNTIFS('Leave log'!$A$7:$A$306,Employees!$A$10,'Leave log'!$B$7:$B$306,"&lt;="&amp;DATE($B$3,1,27),'Leave log'!$C$7:$C$306,"&gt;="&amp;DATE($B$3,1,27),'Leave log'!$F$7:$F$306,"Pending")&gt;0,"P",""))))</f>
        <v/>
      </c>
      <c r="AC11" s="23" t="str">
        <f>IF(A11="","",IF(IF(OR(DATE($B$3,1,28)&gt;EOMONTH(DATE($B$3,1,1),0),NETWORKDAYS.INTL(DATE($B$3,1,28),DATE($B$3,1,28),1,'Non-working days'!$A$6:$A$45)=0),"",IF(COUNTIFS('Leave log'!$A$7:$A$306,Employees!$A$10,'Leave log'!$B$7:$B$306,"&lt;="&amp;DATE($B$3,1,28),'Leave log'!$C$7:$C$306,"&gt;="&amp;DATE($B$3,1,28),'Leave log'!$F$7:$F$306,"Approved")&gt;0,"A",""))="A","A",IF(OR(DATE($B$3,1,28)&gt;EOMONTH(DATE($B$3,1,1),0),NETWORKDAYS.INTL(DATE($B$3,1,28),DATE($B$3,1,28),1,'Non-working days'!$A$6:$A$45)=0),"",IF(COUNTIFS('Leave log'!$A$7:$A$306,Employees!$A$10,'Leave log'!$B$7:$B$306,"&lt;="&amp;DATE($B$3,1,28),'Leave log'!$C$7:$C$306,"&gt;="&amp;DATE($B$3,1,28),'Leave log'!$F$7:$F$306,"Pending")&gt;0,"P",""))))</f>
        <v/>
      </c>
      <c r="AD11" s="23" t="str">
        <f>IF(A11="","",IF(IF(OR(DATE($B$3,1,29)&gt;EOMONTH(DATE($B$3,1,1),0),NETWORKDAYS.INTL(DATE($B$3,1,29),DATE($B$3,1,29),1,'Non-working days'!$A$6:$A$45)=0),"",IF(COUNTIFS('Leave log'!$A$7:$A$306,Employees!$A$10,'Leave log'!$B$7:$B$306,"&lt;="&amp;DATE($B$3,1,29),'Leave log'!$C$7:$C$306,"&gt;="&amp;DATE($B$3,1,29),'Leave log'!$F$7:$F$306,"Approved")&gt;0,"A",""))="A","A",IF(OR(DATE($B$3,1,29)&gt;EOMONTH(DATE($B$3,1,1),0),NETWORKDAYS.INTL(DATE($B$3,1,29),DATE($B$3,1,29),1,'Non-working days'!$A$6:$A$45)=0),"",IF(COUNTIFS('Leave log'!$A$7:$A$306,Employees!$A$10,'Leave log'!$B$7:$B$306,"&lt;="&amp;DATE($B$3,1,29),'Leave log'!$C$7:$C$306,"&gt;="&amp;DATE($B$3,1,29),'Leave log'!$F$7:$F$306,"Pending")&gt;0,"P",""))))</f>
        <v/>
      </c>
      <c r="AE11" s="23" t="str">
        <f>IF(A11="","",IF(IF(OR(DATE($B$3,1,30)&gt;EOMONTH(DATE($B$3,1,1),0),NETWORKDAYS.INTL(DATE($B$3,1,30),DATE($B$3,1,30),1,'Non-working days'!$A$6:$A$45)=0),"",IF(COUNTIFS('Leave log'!$A$7:$A$306,Employees!$A$10,'Leave log'!$B$7:$B$306,"&lt;="&amp;DATE($B$3,1,30),'Leave log'!$C$7:$C$306,"&gt;="&amp;DATE($B$3,1,30),'Leave log'!$F$7:$F$306,"Approved")&gt;0,"A",""))="A","A",IF(OR(DATE($B$3,1,30)&gt;EOMONTH(DATE($B$3,1,1),0),NETWORKDAYS.INTL(DATE($B$3,1,30),DATE($B$3,1,30),1,'Non-working days'!$A$6:$A$45)=0),"",IF(COUNTIFS('Leave log'!$A$7:$A$306,Employees!$A$10,'Leave log'!$B$7:$B$306,"&lt;="&amp;DATE($B$3,1,30),'Leave log'!$C$7:$C$306,"&gt;="&amp;DATE($B$3,1,30),'Leave log'!$F$7:$F$306,"Pending")&gt;0,"P",""))))</f>
        <v/>
      </c>
      <c r="AF11" s="23" t="str">
        <f>IF(A11="","",IF(IF(OR(DATE($B$3,1,31)&gt;EOMONTH(DATE($B$3,1,1),0),NETWORKDAYS.INTL(DATE($B$3,1,31),DATE($B$3,1,31),1,'Non-working days'!$A$6:$A$45)=0),"",IF(COUNTIFS('Leave log'!$A$7:$A$306,Employees!$A$10,'Leave log'!$B$7:$B$306,"&lt;="&amp;DATE($B$3,1,31),'Leave log'!$C$7:$C$306,"&gt;="&amp;DATE($B$3,1,31),'Leave log'!$F$7:$F$306,"Approved")&gt;0,"A",""))="A","A",IF(OR(DATE($B$3,1,31)&gt;EOMONTH(DATE($B$3,1,1),0),NETWORKDAYS.INTL(DATE($B$3,1,31),DATE($B$3,1,31),1,'Non-working days'!$A$6:$A$45)=0),"",IF(COUNTIFS('Leave log'!$A$7:$A$306,Employees!$A$10,'Leave log'!$B$7:$B$306,"&lt;="&amp;DATE($B$3,1,31),'Leave log'!$C$7:$C$306,"&gt;="&amp;DATE($B$3,1,31),'Leave log'!$F$7:$F$306,"Pending")&gt;0,"P",""))))</f>
        <v/>
      </c>
    </row>
    <row r="12" spans="1:32" ht="18" customHeight="1" x14ac:dyDescent="0.3">
      <c r="A12" s="22" t="str">
        <f>IF(Employees!F11="Yes",Employees!B11,"")</f>
        <v/>
      </c>
      <c r="B12" s="23" t="str">
        <f>IF(A12="","",IF(IF(OR(DATE($B$3,1,1)&gt;EOMONTH(DATE($B$3,1,1),0),NETWORKDAYS.INTL(DATE($B$3,1,1),DATE($B$3,1,1),1,'Non-working days'!$A$6:$A$45)=0),"",IF(COUNTIFS('Leave log'!$A$7:$A$306,Employees!$A$11,'Leave log'!$B$7:$B$306,"&lt;="&amp;DATE($B$3,1,1),'Leave log'!$C$7:$C$306,"&gt;="&amp;DATE($B$3,1,1),'Leave log'!$F$7:$F$306,"Approved")&gt;0,"A",""))="A","A",IF(OR(DATE($B$3,1,1)&gt;EOMONTH(DATE($B$3,1,1),0),NETWORKDAYS.INTL(DATE($B$3,1,1),DATE($B$3,1,1),1,'Non-working days'!$A$6:$A$45)=0),"",IF(COUNTIFS('Leave log'!$A$7:$A$306,Employees!$A$11,'Leave log'!$B$7:$B$306,"&lt;="&amp;DATE($B$3,1,1),'Leave log'!$C$7:$C$306,"&gt;="&amp;DATE($B$3,1,1),'Leave log'!$F$7:$F$306,"Pending")&gt;0,"P",""))))</f>
        <v/>
      </c>
      <c r="C12" s="23" t="str">
        <f>IF(A12="","",IF(IF(OR(DATE($B$3,1,2)&gt;EOMONTH(DATE($B$3,1,1),0),NETWORKDAYS.INTL(DATE($B$3,1,2),DATE($B$3,1,2),1,'Non-working days'!$A$6:$A$45)=0),"",IF(COUNTIFS('Leave log'!$A$7:$A$306,Employees!$A$11,'Leave log'!$B$7:$B$306,"&lt;="&amp;DATE($B$3,1,2),'Leave log'!$C$7:$C$306,"&gt;="&amp;DATE($B$3,1,2),'Leave log'!$F$7:$F$306,"Approved")&gt;0,"A",""))="A","A",IF(OR(DATE($B$3,1,2)&gt;EOMONTH(DATE($B$3,1,1),0),NETWORKDAYS.INTL(DATE($B$3,1,2),DATE($B$3,1,2),1,'Non-working days'!$A$6:$A$45)=0),"",IF(COUNTIFS('Leave log'!$A$7:$A$306,Employees!$A$11,'Leave log'!$B$7:$B$306,"&lt;="&amp;DATE($B$3,1,2),'Leave log'!$C$7:$C$306,"&gt;="&amp;DATE($B$3,1,2),'Leave log'!$F$7:$F$306,"Pending")&gt;0,"P",""))))</f>
        <v/>
      </c>
      <c r="D12" s="23" t="str">
        <f>IF(A12="","",IF(IF(OR(DATE($B$3,1,3)&gt;EOMONTH(DATE($B$3,1,1),0),NETWORKDAYS.INTL(DATE($B$3,1,3),DATE($B$3,1,3),1,'Non-working days'!$A$6:$A$45)=0),"",IF(COUNTIFS('Leave log'!$A$7:$A$306,Employees!$A$11,'Leave log'!$B$7:$B$306,"&lt;="&amp;DATE($B$3,1,3),'Leave log'!$C$7:$C$306,"&gt;="&amp;DATE($B$3,1,3),'Leave log'!$F$7:$F$306,"Approved")&gt;0,"A",""))="A","A",IF(OR(DATE($B$3,1,3)&gt;EOMONTH(DATE($B$3,1,1),0),NETWORKDAYS.INTL(DATE($B$3,1,3),DATE($B$3,1,3),1,'Non-working days'!$A$6:$A$45)=0),"",IF(COUNTIFS('Leave log'!$A$7:$A$306,Employees!$A$11,'Leave log'!$B$7:$B$306,"&lt;="&amp;DATE($B$3,1,3),'Leave log'!$C$7:$C$306,"&gt;="&amp;DATE($B$3,1,3),'Leave log'!$F$7:$F$306,"Pending")&gt;0,"P",""))))</f>
        <v/>
      </c>
      <c r="E12" s="23" t="str">
        <f>IF(A12="","",IF(IF(OR(DATE($B$3,1,4)&gt;EOMONTH(DATE($B$3,1,1),0),NETWORKDAYS.INTL(DATE($B$3,1,4),DATE($B$3,1,4),1,'Non-working days'!$A$6:$A$45)=0),"",IF(COUNTIFS('Leave log'!$A$7:$A$306,Employees!$A$11,'Leave log'!$B$7:$B$306,"&lt;="&amp;DATE($B$3,1,4),'Leave log'!$C$7:$C$306,"&gt;="&amp;DATE($B$3,1,4),'Leave log'!$F$7:$F$306,"Approved")&gt;0,"A",""))="A","A",IF(OR(DATE($B$3,1,4)&gt;EOMONTH(DATE($B$3,1,1),0),NETWORKDAYS.INTL(DATE($B$3,1,4),DATE($B$3,1,4),1,'Non-working days'!$A$6:$A$45)=0),"",IF(COUNTIFS('Leave log'!$A$7:$A$306,Employees!$A$11,'Leave log'!$B$7:$B$306,"&lt;="&amp;DATE($B$3,1,4),'Leave log'!$C$7:$C$306,"&gt;="&amp;DATE($B$3,1,4),'Leave log'!$F$7:$F$306,"Pending")&gt;0,"P",""))))</f>
        <v/>
      </c>
      <c r="F12" s="23" t="str">
        <f>IF(A12="","",IF(IF(OR(DATE($B$3,1,5)&gt;EOMONTH(DATE($B$3,1,1),0),NETWORKDAYS.INTL(DATE($B$3,1,5),DATE($B$3,1,5),1,'Non-working days'!$A$6:$A$45)=0),"",IF(COUNTIFS('Leave log'!$A$7:$A$306,Employees!$A$11,'Leave log'!$B$7:$B$306,"&lt;="&amp;DATE($B$3,1,5),'Leave log'!$C$7:$C$306,"&gt;="&amp;DATE($B$3,1,5),'Leave log'!$F$7:$F$306,"Approved")&gt;0,"A",""))="A","A",IF(OR(DATE($B$3,1,5)&gt;EOMONTH(DATE($B$3,1,1),0),NETWORKDAYS.INTL(DATE($B$3,1,5),DATE($B$3,1,5),1,'Non-working days'!$A$6:$A$45)=0),"",IF(COUNTIFS('Leave log'!$A$7:$A$306,Employees!$A$11,'Leave log'!$B$7:$B$306,"&lt;="&amp;DATE($B$3,1,5),'Leave log'!$C$7:$C$306,"&gt;="&amp;DATE($B$3,1,5),'Leave log'!$F$7:$F$306,"Pending")&gt;0,"P",""))))</f>
        <v/>
      </c>
      <c r="G12" s="23" t="str">
        <f>IF(A12="","",IF(IF(OR(DATE($B$3,1,6)&gt;EOMONTH(DATE($B$3,1,1),0),NETWORKDAYS.INTL(DATE($B$3,1,6),DATE($B$3,1,6),1,'Non-working days'!$A$6:$A$45)=0),"",IF(COUNTIFS('Leave log'!$A$7:$A$306,Employees!$A$11,'Leave log'!$B$7:$B$306,"&lt;="&amp;DATE($B$3,1,6),'Leave log'!$C$7:$C$306,"&gt;="&amp;DATE($B$3,1,6),'Leave log'!$F$7:$F$306,"Approved")&gt;0,"A",""))="A","A",IF(OR(DATE($B$3,1,6)&gt;EOMONTH(DATE($B$3,1,1),0),NETWORKDAYS.INTL(DATE($B$3,1,6),DATE($B$3,1,6),1,'Non-working days'!$A$6:$A$45)=0),"",IF(COUNTIFS('Leave log'!$A$7:$A$306,Employees!$A$11,'Leave log'!$B$7:$B$306,"&lt;="&amp;DATE($B$3,1,6),'Leave log'!$C$7:$C$306,"&gt;="&amp;DATE($B$3,1,6),'Leave log'!$F$7:$F$306,"Pending")&gt;0,"P",""))))</f>
        <v/>
      </c>
      <c r="H12" s="23" t="str">
        <f>IF(A12="","",IF(IF(OR(DATE($B$3,1,7)&gt;EOMONTH(DATE($B$3,1,1),0),NETWORKDAYS.INTL(DATE($B$3,1,7),DATE($B$3,1,7),1,'Non-working days'!$A$6:$A$45)=0),"",IF(COUNTIFS('Leave log'!$A$7:$A$306,Employees!$A$11,'Leave log'!$B$7:$B$306,"&lt;="&amp;DATE($B$3,1,7),'Leave log'!$C$7:$C$306,"&gt;="&amp;DATE($B$3,1,7),'Leave log'!$F$7:$F$306,"Approved")&gt;0,"A",""))="A","A",IF(OR(DATE($B$3,1,7)&gt;EOMONTH(DATE($B$3,1,1),0),NETWORKDAYS.INTL(DATE($B$3,1,7),DATE($B$3,1,7),1,'Non-working days'!$A$6:$A$45)=0),"",IF(COUNTIFS('Leave log'!$A$7:$A$306,Employees!$A$11,'Leave log'!$B$7:$B$306,"&lt;="&amp;DATE($B$3,1,7),'Leave log'!$C$7:$C$306,"&gt;="&amp;DATE($B$3,1,7),'Leave log'!$F$7:$F$306,"Pending")&gt;0,"P",""))))</f>
        <v/>
      </c>
      <c r="I12" s="23" t="str">
        <f>IF(A12="","",IF(IF(OR(DATE($B$3,1,8)&gt;EOMONTH(DATE($B$3,1,1),0),NETWORKDAYS.INTL(DATE($B$3,1,8),DATE($B$3,1,8),1,'Non-working days'!$A$6:$A$45)=0),"",IF(COUNTIFS('Leave log'!$A$7:$A$306,Employees!$A$11,'Leave log'!$B$7:$B$306,"&lt;="&amp;DATE($B$3,1,8),'Leave log'!$C$7:$C$306,"&gt;="&amp;DATE($B$3,1,8),'Leave log'!$F$7:$F$306,"Approved")&gt;0,"A",""))="A","A",IF(OR(DATE($B$3,1,8)&gt;EOMONTH(DATE($B$3,1,1),0),NETWORKDAYS.INTL(DATE($B$3,1,8),DATE($B$3,1,8),1,'Non-working days'!$A$6:$A$45)=0),"",IF(COUNTIFS('Leave log'!$A$7:$A$306,Employees!$A$11,'Leave log'!$B$7:$B$306,"&lt;="&amp;DATE($B$3,1,8),'Leave log'!$C$7:$C$306,"&gt;="&amp;DATE($B$3,1,8),'Leave log'!$F$7:$F$306,"Pending")&gt;0,"P",""))))</f>
        <v/>
      </c>
      <c r="J12" s="23" t="str">
        <f>IF(A12="","",IF(IF(OR(DATE($B$3,1,9)&gt;EOMONTH(DATE($B$3,1,1),0),NETWORKDAYS.INTL(DATE($B$3,1,9),DATE($B$3,1,9),1,'Non-working days'!$A$6:$A$45)=0),"",IF(COUNTIFS('Leave log'!$A$7:$A$306,Employees!$A$11,'Leave log'!$B$7:$B$306,"&lt;="&amp;DATE($B$3,1,9),'Leave log'!$C$7:$C$306,"&gt;="&amp;DATE($B$3,1,9),'Leave log'!$F$7:$F$306,"Approved")&gt;0,"A",""))="A","A",IF(OR(DATE($B$3,1,9)&gt;EOMONTH(DATE($B$3,1,1),0),NETWORKDAYS.INTL(DATE($B$3,1,9),DATE($B$3,1,9),1,'Non-working days'!$A$6:$A$45)=0),"",IF(COUNTIFS('Leave log'!$A$7:$A$306,Employees!$A$11,'Leave log'!$B$7:$B$306,"&lt;="&amp;DATE($B$3,1,9),'Leave log'!$C$7:$C$306,"&gt;="&amp;DATE($B$3,1,9),'Leave log'!$F$7:$F$306,"Pending")&gt;0,"P",""))))</f>
        <v/>
      </c>
      <c r="K12" s="23" t="str">
        <f>IF(A12="","",IF(IF(OR(DATE($B$3,1,10)&gt;EOMONTH(DATE($B$3,1,1),0),NETWORKDAYS.INTL(DATE($B$3,1,10),DATE($B$3,1,10),1,'Non-working days'!$A$6:$A$45)=0),"",IF(COUNTIFS('Leave log'!$A$7:$A$306,Employees!$A$11,'Leave log'!$B$7:$B$306,"&lt;="&amp;DATE($B$3,1,10),'Leave log'!$C$7:$C$306,"&gt;="&amp;DATE($B$3,1,10),'Leave log'!$F$7:$F$306,"Approved")&gt;0,"A",""))="A","A",IF(OR(DATE($B$3,1,10)&gt;EOMONTH(DATE($B$3,1,1),0),NETWORKDAYS.INTL(DATE($B$3,1,10),DATE($B$3,1,10),1,'Non-working days'!$A$6:$A$45)=0),"",IF(COUNTIFS('Leave log'!$A$7:$A$306,Employees!$A$11,'Leave log'!$B$7:$B$306,"&lt;="&amp;DATE($B$3,1,10),'Leave log'!$C$7:$C$306,"&gt;="&amp;DATE($B$3,1,10),'Leave log'!$F$7:$F$306,"Pending")&gt;0,"P",""))))</f>
        <v/>
      </c>
      <c r="L12" s="23" t="str">
        <f>IF(A12="","",IF(IF(OR(DATE($B$3,1,11)&gt;EOMONTH(DATE($B$3,1,1),0),NETWORKDAYS.INTL(DATE($B$3,1,11),DATE($B$3,1,11),1,'Non-working days'!$A$6:$A$45)=0),"",IF(COUNTIFS('Leave log'!$A$7:$A$306,Employees!$A$11,'Leave log'!$B$7:$B$306,"&lt;="&amp;DATE($B$3,1,11),'Leave log'!$C$7:$C$306,"&gt;="&amp;DATE($B$3,1,11),'Leave log'!$F$7:$F$306,"Approved")&gt;0,"A",""))="A","A",IF(OR(DATE($B$3,1,11)&gt;EOMONTH(DATE($B$3,1,1),0),NETWORKDAYS.INTL(DATE($B$3,1,11),DATE($B$3,1,11),1,'Non-working days'!$A$6:$A$45)=0),"",IF(COUNTIFS('Leave log'!$A$7:$A$306,Employees!$A$11,'Leave log'!$B$7:$B$306,"&lt;="&amp;DATE($B$3,1,11),'Leave log'!$C$7:$C$306,"&gt;="&amp;DATE($B$3,1,11),'Leave log'!$F$7:$F$306,"Pending")&gt;0,"P",""))))</f>
        <v/>
      </c>
      <c r="M12" s="23" t="str">
        <f>IF(A12="","",IF(IF(OR(DATE($B$3,1,12)&gt;EOMONTH(DATE($B$3,1,1),0),NETWORKDAYS.INTL(DATE($B$3,1,12),DATE($B$3,1,12),1,'Non-working days'!$A$6:$A$45)=0),"",IF(COUNTIFS('Leave log'!$A$7:$A$306,Employees!$A$11,'Leave log'!$B$7:$B$306,"&lt;="&amp;DATE($B$3,1,12),'Leave log'!$C$7:$C$306,"&gt;="&amp;DATE($B$3,1,12),'Leave log'!$F$7:$F$306,"Approved")&gt;0,"A",""))="A","A",IF(OR(DATE($B$3,1,12)&gt;EOMONTH(DATE($B$3,1,1),0),NETWORKDAYS.INTL(DATE($B$3,1,12),DATE($B$3,1,12),1,'Non-working days'!$A$6:$A$45)=0),"",IF(COUNTIFS('Leave log'!$A$7:$A$306,Employees!$A$11,'Leave log'!$B$7:$B$306,"&lt;="&amp;DATE($B$3,1,12),'Leave log'!$C$7:$C$306,"&gt;="&amp;DATE($B$3,1,12),'Leave log'!$F$7:$F$306,"Pending")&gt;0,"P",""))))</f>
        <v/>
      </c>
      <c r="N12" s="23" t="str">
        <f>IF(A12="","",IF(IF(OR(DATE($B$3,1,13)&gt;EOMONTH(DATE($B$3,1,1),0),NETWORKDAYS.INTL(DATE($B$3,1,13),DATE($B$3,1,13),1,'Non-working days'!$A$6:$A$45)=0),"",IF(COUNTIFS('Leave log'!$A$7:$A$306,Employees!$A$11,'Leave log'!$B$7:$B$306,"&lt;="&amp;DATE($B$3,1,13),'Leave log'!$C$7:$C$306,"&gt;="&amp;DATE($B$3,1,13),'Leave log'!$F$7:$F$306,"Approved")&gt;0,"A",""))="A","A",IF(OR(DATE($B$3,1,13)&gt;EOMONTH(DATE($B$3,1,1),0),NETWORKDAYS.INTL(DATE($B$3,1,13),DATE($B$3,1,13),1,'Non-working days'!$A$6:$A$45)=0),"",IF(COUNTIFS('Leave log'!$A$7:$A$306,Employees!$A$11,'Leave log'!$B$7:$B$306,"&lt;="&amp;DATE($B$3,1,13),'Leave log'!$C$7:$C$306,"&gt;="&amp;DATE($B$3,1,13),'Leave log'!$F$7:$F$306,"Pending")&gt;0,"P",""))))</f>
        <v/>
      </c>
      <c r="O12" s="23" t="str">
        <f>IF(A12="","",IF(IF(OR(DATE($B$3,1,14)&gt;EOMONTH(DATE($B$3,1,1),0),NETWORKDAYS.INTL(DATE($B$3,1,14),DATE($B$3,1,14),1,'Non-working days'!$A$6:$A$45)=0),"",IF(COUNTIFS('Leave log'!$A$7:$A$306,Employees!$A$11,'Leave log'!$B$7:$B$306,"&lt;="&amp;DATE($B$3,1,14),'Leave log'!$C$7:$C$306,"&gt;="&amp;DATE($B$3,1,14),'Leave log'!$F$7:$F$306,"Approved")&gt;0,"A",""))="A","A",IF(OR(DATE($B$3,1,14)&gt;EOMONTH(DATE($B$3,1,1),0),NETWORKDAYS.INTL(DATE($B$3,1,14),DATE($B$3,1,14),1,'Non-working days'!$A$6:$A$45)=0),"",IF(COUNTIFS('Leave log'!$A$7:$A$306,Employees!$A$11,'Leave log'!$B$7:$B$306,"&lt;="&amp;DATE($B$3,1,14),'Leave log'!$C$7:$C$306,"&gt;="&amp;DATE($B$3,1,14),'Leave log'!$F$7:$F$306,"Pending")&gt;0,"P",""))))</f>
        <v/>
      </c>
      <c r="P12" s="23" t="str">
        <f>IF(A12="","",IF(IF(OR(DATE($B$3,1,15)&gt;EOMONTH(DATE($B$3,1,1),0),NETWORKDAYS.INTL(DATE($B$3,1,15),DATE($B$3,1,15),1,'Non-working days'!$A$6:$A$45)=0),"",IF(COUNTIFS('Leave log'!$A$7:$A$306,Employees!$A$11,'Leave log'!$B$7:$B$306,"&lt;="&amp;DATE($B$3,1,15),'Leave log'!$C$7:$C$306,"&gt;="&amp;DATE($B$3,1,15),'Leave log'!$F$7:$F$306,"Approved")&gt;0,"A",""))="A","A",IF(OR(DATE($B$3,1,15)&gt;EOMONTH(DATE($B$3,1,1),0),NETWORKDAYS.INTL(DATE($B$3,1,15),DATE($B$3,1,15),1,'Non-working days'!$A$6:$A$45)=0),"",IF(COUNTIFS('Leave log'!$A$7:$A$306,Employees!$A$11,'Leave log'!$B$7:$B$306,"&lt;="&amp;DATE($B$3,1,15),'Leave log'!$C$7:$C$306,"&gt;="&amp;DATE($B$3,1,15),'Leave log'!$F$7:$F$306,"Pending")&gt;0,"P",""))))</f>
        <v/>
      </c>
      <c r="Q12" s="23" t="str">
        <f>IF(A12="","",IF(IF(OR(DATE($B$3,1,16)&gt;EOMONTH(DATE($B$3,1,1),0),NETWORKDAYS.INTL(DATE($B$3,1,16),DATE($B$3,1,16),1,'Non-working days'!$A$6:$A$45)=0),"",IF(COUNTIFS('Leave log'!$A$7:$A$306,Employees!$A$11,'Leave log'!$B$7:$B$306,"&lt;="&amp;DATE($B$3,1,16),'Leave log'!$C$7:$C$306,"&gt;="&amp;DATE($B$3,1,16),'Leave log'!$F$7:$F$306,"Approved")&gt;0,"A",""))="A","A",IF(OR(DATE($B$3,1,16)&gt;EOMONTH(DATE($B$3,1,1),0),NETWORKDAYS.INTL(DATE($B$3,1,16),DATE($B$3,1,16),1,'Non-working days'!$A$6:$A$45)=0),"",IF(COUNTIFS('Leave log'!$A$7:$A$306,Employees!$A$11,'Leave log'!$B$7:$B$306,"&lt;="&amp;DATE($B$3,1,16),'Leave log'!$C$7:$C$306,"&gt;="&amp;DATE($B$3,1,16),'Leave log'!$F$7:$F$306,"Pending")&gt;0,"P",""))))</f>
        <v/>
      </c>
      <c r="R12" s="23" t="str">
        <f>IF(A12="","",IF(IF(OR(DATE($B$3,1,17)&gt;EOMONTH(DATE($B$3,1,1),0),NETWORKDAYS.INTL(DATE($B$3,1,17),DATE($B$3,1,17),1,'Non-working days'!$A$6:$A$45)=0),"",IF(COUNTIFS('Leave log'!$A$7:$A$306,Employees!$A$11,'Leave log'!$B$7:$B$306,"&lt;="&amp;DATE($B$3,1,17),'Leave log'!$C$7:$C$306,"&gt;="&amp;DATE($B$3,1,17),'Leave log'!$F$7:$F$306,"Approved")&gt;0,"A",""))="A","A",IF(OR(DATE($B$3,1,17)&gt;EOMONTH(DATE($B$3,1,1),0),NETWORKDAYS.INTL(DATE($B$3,1,17),DATE($B$3,1,17),1,'Non-working days'!$A$6:$A$45)=0),"",IF(COUNTIFS('Leave log'!$A$7:$A$306,Employees!$A$11,'Leave log'!$B$7:$B$306,"&lt;="&amp;DATE($B$3,1,17),'Leave log'!$C$7:$C$306,"&gt;="&amp;DATE($B$3,1,17),'Leave log'!$F$7:$F$306,"Pending")&gt;0,"P",""))))</f>
        <v/>
      </c>
      <c r="S12" s="23" t="str">
        <f>IF(A12="","",IF(IF(OR(DATE($B$3,1,18)&gt;EOMONTH(DATE($B$3,1,1),0),NETWORKDAYS.INTL(DATE($B$3,1,18),DATE($B$3,1,18),1,'Non-working days'!$A$6:$A$45)=0),"",IF(COUNTIFS('Leave log'!$A$7:$A$306,Employees!$A$11,'Leave log'!$B$7:$B$306,"&lt;="&amp;DATE($B$3,1,18),'Leave log'!$C$7:$C$306,"&gt;="&amp;DATE($B$3,1,18),'Leave log'!$F$7:$F$306,"Approved")&gt;0,"A",""))="A","A",IF(OR(DATE($B$3,1,18)&gt;EOMONTH(DATE($B$3,1,1),0),NETWORKDAYS.INTL(DATE($B$3,1,18),DATE($B$3,1,18),1,'Non-working days'!$A$6:$A$45)=0),"",IF(COUNTIFS('Leave log'!$A$7:$A$306,Employees!$A$11,'Leave log'!$B$7:$B$306,"&lt;="&amp;DATE($B$3,1,18),'Leave log'!$C$7:$C$306,"&gt;="&amp;DATE($B$3,1,18),'Leave log'!$F$7:$F$306,"Pending")&gt;0,"P",""))))</f>
        <v/>
      </c>
      <c r="T12" s="23" t="str">
        <f>IF(A12="","",IF(IF(OR(DATE($B$3,1,19)&gt;EOMONTH(DATE($B$3,1,1),0),NETWORKDAYS.INTL(DATE($B$3,1,19),DATE($B$3,1,19),1,'Non-working days'!$A$6:$A$45)=0),"",IF(COUNTIFS('Leave log'!$A$7:$A$306,Employees!$A$11,'Leave log'!$B$7:$B$306,"&lt;="&amp;DATE($B$3,1,19),'Leave log'!$C$7:$C$306,"&gt;="&amp;DATE($B$3,1,19),'Leave log'!$F$7:$F$306,"Approved")&gt;0,"A",""))="A","A",IF(OR(DATE($B$3,1,19)&gt;EOMONTH(DATE($B$3,1,1),0),NETWORKDAYS.INTL(DATE($B$3,1,19),DATE($B$3,1,19),1,'Non-working days'!$A$6:$A$45)=0),"",IF(COUNTIFS('Leave log'!$A$7:$A$306,Employees!$A$11,'Leave log'!$B$7:$B$306,"&lt;="&amp;DATE($B$3,1,19),'Leave log'!$C$7:$C$306,"&gt;="&amp;DATE($B$3,1,19),'Leave log'!$F$7:$F$306,"Pending")&gt;0,"P",""))))</f>
        <v/>
      </c>
      <c r="U12" s="23" t="str">
        <f>IF(A12="","",IF(IF(OR(DATE($B$3,1,20)&gt;EOMONTH(DATE($B$3,1,1),0),NETWORKDAYS.INTL(DATE($B$3,1,20),DATE($B$3,1,20),1,'Non-working days'!$A$6:$A$45)=0),"",IF(COUNTIFS('Leave log'!$A$7:$A$306,Employees!$A$11,'Leave log'!$B$7:$B$306,"&lt;="&amp;DATE($B$3,1,20),'Leave log'!$C$7:$C$306,"&gt;="&amp;DATE($B$3,1,20),'Leave log'!$F$7:$F$306,"Approved")&gt;0,"A",""))="A","A",IF(OR(DATE($B$3,1,20)&gt;EOMONTH(DATE($B$3,1,1),0),NETWORKDAYS.INTL(DATE($B$3,1,20),DATE($B$3,1,20),1,'Non-working days'!$A$6:$A$45)=0),"",IF(COUNTIFS('Leave log'!$A$7:$A$306,Employees!$A$11,'Leave log'!$B$7:$B$306,"&lt;="&amp;DATE($B$3,1,20),'Leave log'!$C$7:$C$306,"&gt;="&amp;DATE($B$3,1,20),'Leave log'!$F$7:$F$306,"Pending")&gt;0,"P",""))))</f>
        <v/>
      </c>
      <c r="V12" s="23" t="str">
        <f>IF(A12="","",IF(IF(OR(DATE($B$3,1,21)&gt;EOMONTH(DATE($B$3,1,1),0),NETWORKDAYS.INTL(DATE($B$3,1,21),DATE($B$3,1,21),1,'Non-working days'!$A$6:$A$45)=0),"",IF(COUNTIFS('Leave log'!$A$7:$A$306,Employees!$A$11,'Leave log'!$B$7:$B$306,"&lt;="&amp;DATE($B$3,1,21),'Leave log'!$C$7:$C$306,"&gt;="&amp;DATE($B$3,1,21),'Leave log'!$F$7:$F$306,"Approved")&gt;0,"A",""))="A","A",IF(OR(DATE($B$3,1,21)&gt;EOMONTH(DATE($B$3,1,1),0),NETWORKDAYS.INTL(DATE($B$3,1,21),DATE($B$3,1,21),1,'Non-working days'!$A$6:$A$45)=0),"",IF(COUNTIFS('Leave log'!$A$7:$A$306,Employees!$A$11,'Leave log'!$B$7:$B$306,"&lt;="&amp;DATE($B$3,1,21),'Leave log'!$C$7:$C$306,"&gt;="&amp;DATE($B$3,1,21),'Leave log'!$F$7:$F$306,"Pending")&gt;0,"P",""))))</f>
        <v/>
      </c>
      <c r="W12" s="23" t="str">
        <f>IF(A12="","",IF(IF(OR(DATE($B$3,1,22)&gt;EOMONTH(DATE($B$3,1,1),0),NETWORKDAYS.INTL(DATE($B$3,1,22),DATE($B$3,1,22),1,'Non-working days'!$A$6:$A$45)=0),"",IF(COUNTIFS('Leave log'!$A$7:$A$306,Employees!$A$11,'Leave log'!$B$7:$B$306,"&lt;="&amp;DATE($B$3,1,22),'Leave log'!$C$7:$C$306,"&gt;="&amp;DATE($B$3,1,22),'Leave log'!$F$7:$F$306,"Approved")&gt;0,"A",""))="A","A",IF(OR(DATE($B$3,1,22)&gt;EOMONTH(DATE($B$3,1,1),0),NETWORKDAYS.INTL(DATE($B$3,1,22),DATE($B$3,1,22),1,'Non-working days'!$A$6:$A$45)=0),"",IF(COUNTIFS('Leave log'!$A$7:$A$306,Employees!$A$11,'Leave log'!$B$7:$B$306,"&lt;="&amp;DATE($B$3,1,22),'Leave log'!$C$7:$C$306,"&gt;="&amp;DATE($B$3,1,22),'Leave log'!$F$7:$F$306,"Pending")&gt;0,"P",""))))</f>
        <v/>
      </c>
      <c r="X12" s="23" t="str">
        <f>IF(A12="","",IF(IF(OR(DATE($B$3,1,23)&gt;EOMONTH(DATE($B$3,1,1),0),NETWORKDAYS.INTL(DATE($B$3,1,23),DATE($B$3,1,23),1,'Non-working days'!$A$6:$A$45)=0),"",IF(COUNTIFS('Leave log'!$A$7:$A$306,Employees!$A$11,'Leave log'!$B$7:$B$306,"&lt;="&amp;DATE($B$3,1,23),'Leave log'!$C$7:$C$306,"&gt;="&amp;DATE($B$3,1,23),'Leave log'!$F$7:$F$306,"Approved")&gt;0,"A",""))="A","A",IF(OR(DATE($B$3,1,23)&gt;EOMONTH(DATE($B$3,1,1),0),NETWORKDAYS.INTL(DATE($B$3,1,23),DATE($B$3,1,23),1,'Non-working days'!$A$6:$A$45)=0),"",IF(COUNTIFS('Leave log'!$A$7:$A$306,Employees!$A$11,'Leave log'!$B$7:$B$306,"&lt;="&amp;DATE($B$3,1,23),'Leave log'!$C$7:$C$306,"&gt;="&amp;DATE($B$3,1,23),'Leave log'!$F$7:$F$306,"Pending")&gt;0,"P",""))))</f>
        <v/>
      </c>
      <c r="Y12" s="23" t="str">
        <f>IF(A12="","",IF(IF(OR(DATE($B$3,1,24)&gt;EOMONTH(DATE($B$3,1,1),0),NETWORKDAYS.INTL(DATE($B$3,1,24),DATE($B$3,1,24),1,'Non-working days'!$A$6:$A$45)=0),"",IF(COUNTIFS('Leave log'!$A$7:$A$306,Employees!$A$11,'Leave log'!$B$7:$B$306,"&lt;="&amp;DATE($B$3,1,24),'Leave log'!$C$7:$C$306,"&gt;="&amp;DATE($B$3,1,24),'Leave log'!$F$7:$F$306,"Approved")&gt;0,"A",""))="A","A",IF(OR(DATE($B$3,1,24)&gt;EOMONTH(DATE($B$3,1,1),0),NETWORKDAYS.INTL(DATE($B$3,1,24),DATE($B$3,1,24),1,'Non-working days'!$A$6:$A$45)=0),"",IF(COUNTIFS('Leave log'!$A$7:$A$306,Employees!$A$11,'Leave log'!$B$7:$B$306,"&lt;="&amp;DATE($B$3,1,24),'Leave log'!$C$7:$C$306,"&gt;="&amp;DATE($B$3,1,24),'Leave log'!$F$7:$F$306,"Pending")&gt;0,"P",""))))</f>
        <v/>
      </c>
      <c r="Z12" s="23" t="str">
        <f>IF(A12="","",IF(IF(OR(DATE($B$3,1,25)&gt;EOMONTH(DATE($B$3,1,1),0),NETWORKDAYS.INTL(DATE($B$3,1,25),DATE($B$3,1,25),1,'Non-working days'!$A$6:$A$45)=0),"",IF(COUNTIFS('Leave log'!$A$7:$A$306,Employees!$A$11,'Leave log'!$B$7:$B$306,"&lt;="&amp;DATE($B$3,1,25),'Leave log'!$C$7:$C$306,"&gt;="&amp;DATE($B$3,1,25),'Leave log'!$F$7:$F$306,"Approved")&gt;0,"A",""))="A","A",IF(OR(DATE($B$3,1,25)&gt;EOMONTH(DATE($B$3,1,1),0),NETWORKDAYS.INTL(DATE($B$3,1,25),DATE($B$3,1,25),1,'Non-working days'!$A$6:$A$45)=0),"",IF(COUNTIFS('Leave log'!$A$7:$A$306,Employees!$A$11,'Leave log'!$B$7:$B$306,"&lt;="&amp;DATE($B$3,1,25),'Leave log'!$C$7:$C$306,"&gt;="&amp;DATE($B$3,1,25),'Leave log'!$F$7:$F$306,"Pending")&gt;0,"P",""))))</f>
        <v/>
      </c>
      <c r="AA12" s="23" t="str">
        <f>IF(A12="","",IF(IF(OR(DATE($B$3,1,26)&gt;EOMONTH(DATE($B$3,1,1),0),NETWORKDAYS.INTL(DATE($B$3,1,26),DATE($B$3,1,26),1,'Non-working days'!$A$6:$A$45)=0),"",IF(COUNTIFS('Leave log'!$A$7:$A$306,Employees!$A$11,'Leave log'!$B$7:$B$306,"&lt;="&amp;DATE($B$3,1,26),'Leave log'!$C$7:$C$306,"&gt;="&amp;DATE($B$3,1,26),'Leave log'!$F$7:$F$306,"Approved")&gt;0,"A",""))="A","A",IF(OR(DATE($B$3,1,26)&gt;EOMONTH(DATE($B$3,1,1),0),NETWORKDAYS.INTL(DATE($B$3,1,26),DATE($B$3,1,26),1,'Non-working days'!$A$6:$A$45)=0),"",IF(COUNTIFS('Leave log'!$A$7:$A$306,Employees!$A$11,'Leave log'!$B$7:$B$306,"&lt;="&amp;DATE($B$3,1,26),'Leave log'!$C$7:$C$306,"&gt;="&amp;DATE($B$3,1,26),'Leave log'!$F$7:$F$306,"Pending")&gt;0,"P",""))))</f>
        <v/>
      </c>
      <c r="AB12" s="23" t="str">
        <f>IF(A12="","",IF(IF(OR(DATE($B$3,1,27)&gt;EOMONTH(DATE($B$3,1,1),0),NETWORKDAYS.INTL(DATE($B$3,1,27),DATE($B$3,1,27),1,'Non-working days'!$A$6:$A$45)=0),"",IF(COUNTIFS('Leave log'!$A$7:$A$306,Employees!$A$11,'Leave log'!$B$7:$B$306,"&lt;="&amp;DATE($B$3,1,27),'Leave log'!$C$7:$C$306,"&gt;="&amp;DATE($B$3,1,27),'Leave log'!$F$7:$F$306,"Approved")&gt;0,"A",""))="A","A",IF(OR(DATE($B$3,1,27)&gt;EOMONTH(DATE($B$3,1,1),0),NETWORKDAYS.INTL(DATE($B$3,1,27),DATE($B$3,1,27),1,'Non-working days'!$A$6:$A$45)=0),"",IF(COUNTIFS('Leave log'!$A$7:$A$306,Employees!$A$11,'Leave log'!$B$7:$B$306,"&lt;="&amp;DATE($B$3,1,27),'Leave log'!$C$7:$C$306,"&gt;="&amp;DATE($B$3,1,27),'Leave log'!$F$7:$F$306,"Pending")&gt;0,"P",""))))</f>
        <v/>
      </c>
      <c r="AC12" s="23" t="str">
        <f>IF(A12="","",IF(IF(OR(DATE($B$3,1,28)&gt;EOMONTH(DATE($B$3,1,1),0),NETWORKDAYS.INTL(DATE($B$3,1,28),DATE($B$3,1,28),1,'Non-working days'!$A$6:$A$45)=0),"",IF(COUNTIFS('Leave log'!$A$7:$A$306,Employees!$A$11,'Leave log'!$B$7:$B$306,"&lt;="&amp;DATE($B$3,1,28),'Leave log'!$C$7:$C$306,"&gt;="&amp;DATE($B$3,1,28),'Leave log'!$F$7:$F$306,"Approved")&gt;0,"A",""))="A","A",IF(OR(DATE($B$3,1,28)&gt;EOMONTH(DATE($B$3,1,1),0),NETWORKDAYS.INTL(DATE($B$3,1,28),DATE($B$3,1,28),1,'Non-working days'!$A$6:$A$45)=0),"",IF(COUNTIFS('Leave log'!$A$7:$A$306,Employees!$A$11,'Leave log'!$B$7:$B$306,"&lt;="&amp;DATE($B$3,1,28),'Leave log'!$C$7:$C$306,"&gt;="&amp;DATE($B$3,1,28),'Leave log'!$F$7:$F$306,"Pending")&gt;0,"P",""))))</f>
        <v/>
      </c>
      <c r="AD12" s="23" t="str">
        <f>IF(A12="","",IF(IF(OR(DATE($B$3,1,29)&gt;EOMONTH(DATE($B$3,1,1),0),NETWORKDAYS.INTL(DATE($B$3,1,29),DATE($B$3,1,29),1,'Non-working days'!$A$6:$A$45)=0),"",IF(COUNTIFS('Leave log'!$A$7:$A$306,Employees!$A$11,'Leave log'!$B$7:$B$306,"&lt;="&amp;DATE($B$3,1,29),'Leave log'!$C$7:$C$306,"&gt;="&amp;DATE($B$3,1,29),'Leave log'!$F$7:$F$306,"Approved")&gt;0,"A",""))="A","A",IF(OR(DATE($B$3,1,29)&gt;EOMONTH(DATE($B$3,1,1),0),NETWORKDAYS.INTL(DATE($B$3,1,29),DATE($B$3,1,29),1,'Non-working days'!$A$6:$A$45)=0),"",IF(COUNTIFS('Leave log'!$A$7:$A$306,Employees!$A$11,'Leave log'!$B$7:$B$306,"&lt;="&amp;DATE($B$3,1,29),'Leave log'!$C$7:$C$306,"&gt;="&amp;DATE($B$3,1,29),'Leave log'!$F$7:$F$306,"Pending")&gt;0,"P",""))))</f>
        <v/>
      </c>
      <c r="AE12" s="23" t="str">
        <f>IF(A12="","",IF(IF(OR(DATE($B$3,1,30)&gt;EOMONTH(DATE($B$3,1,1),0),NETWORKDAYS.INTL(DATE($B$3,1,30),DATE($B$3,1,30),1,'Non-working days'!$A$6:$A$45)=0),"",IF(COUNTIFS('Leave log'!$A$7:$A$306,Employees!$A$11,'Leave log'!$B$7:$B$306,"&lt;="&amp;DATE($B$3,1,30),'Leave log'!$C$7:$C$306,"&gt;="&amp;DATE($B$3,1,30),'Leave log'!$F$7:$F$306,"Approved")&gt;0,"A",""))="A","A",IF(OR(DATE($B$3,1,30)&gt;EOMONTH(DATE($B$3,1,1),0),NETWORKDAYS.INTL(DATE($B$3,1,30),DATE($B$3,1,30),1,'Non-working days'!$A$6:$A$45)=0),"",IF(COUNTIFS('Leave log'!$A$7:$A$306,Employees!$A$11,'Leave log'!$B$7:$B$306,"&lt;="&amp;DATE($B$3,1,30),'Leave log'!$C$7:$C$306,"&gt;="&amp;DATE($B$3,1,30),'Leave log'!$F$7:$F$306,"Pending")&gt;0,"P",""))))</f>
        <v/>
      </c>
      <c r="AF12" s="23" t="str">
        <f>IF(A12="","",IF(IF(OR(DATE($B$3,1,31)&gt;EOMONTH(DATE($B$3,1,1),0),NETWORKDAYS.INTL(DATE($B$3,1,31),DATE($B$3,1,31),1,'Non-working days'!$A$6:$A$45)=0),"",IF(COUNTIFS('Leave log'!$A$7:$A$306,Employees!$A$11,'Leave log'!$B$7:$B$306,"&lt;="&amp;DATE($B$3,1,31),'Leave log'!$C$7:$C$306,"&gt;="&amp;DATE($B$3,1,31),'Leave log'!$F$7:$F$306,"Approved")&gt;0,"A",""))="A","A",IF(OR(DATE($B$3,1,31)&gt;EOMONTH(DATE($B$3,1,1),0),NETWORKDAYS.INTL(DATE($B$3,1,31),DATE($B$3,1,31),1,'Non-working days'!$A$6:$A$45)=0),"",IF(COUNTIFS('Leave log'!$A$7:$A$306,Employees!$A$11,'Leave log'!$B$7:$B$306,"&lt;="&amp;DATE($B$3,1,31),'Leave log'!$C$7:$C$306,"&gt;="&amp;DATE($B$3,1,31),'Leave log'!$F$7:$F$306,"Pending")&gt;0,"P",""))))</f>
        <v/>
      </c>
    </row>
    <row r="13" spans="1:32" ht="18" customHeight="1" x14ac:dyDescent="0.3">
      <c r="A13" s="22" t="str">
        <f>IF(Employees!F12="Yes",Employees!B12,"")</f>
        <v/>
      </c>
      <c r="B13" s="23" t="str">
        <f>IF(A13="","",IF(IF(OR(DATE($B$3,1,1)&gt;EOMONTH(DATE($B$3,1,1),0),NETWORKDAYS.INTL(DATE($B$3,1,1),DATE($B$3,1,1),1,'Non-working days'!$A$6:$A$45)=0),"",IF(COUNTIFS('Leave log'!$A$7:$A$306,Employees!$A$12,'Leave log'!$B$7:$B$306,"&lt;="&amp;DATE($B$3,1,1),'Leave log'!$C$7:$C$306,"&gt;="&amp;DATE($B$3,1,1),'Leave log'!$F$7:$F$306,"Approved")&gt;0,"A",""))="A","A",IF(OR(DATE($B$3,1,1)&gt;EOMONTH(DATE($B$3,1,1),0),NETWORKDAYS.INTL(DATE($B$3,1,1),DATE($B$3,1,1),1,'Non-working days'!$A$6:$A$45)=0),"",IF(COUNTIFS('Leave log'!$A$7:$A$306,Employees!$A$12,'Leave log'!$B$7:$B$306,"&lt;="&amp;DATE($B$3,1,1),'Leave log'!$C$7:$C$306,"&gt;="&amp;DATE($B$3,1,1),'Leave log'!$F$7:$F$306,"Pending")&gt;0,"P",""))))</f>
        <v/>
      </c>
      <c r="C13" s="23" t="str">
        <f>IF(A13="","",IF(IF(OR(DATE($B$3,1,2)&gt;EOMONTH(DATE($B$3,1,1),0),NETWORKDAYS.INTL(DATE($B$3,1,2),DATE($B$3,1,2),1,'Non-working days'!$A$6:$A$45)=0),"",IF(COUNTIFS('Leave log'!$A$7:$A$306,Employees!$A$12,'Leave log'!$B$7:$B$306,"&lt;="&amp;DATE($B$3,1,2),'Leave log'!$C$7:$C$306,"&gt;="&amp;DATE($B$3,1,2),'Leave log'!$F$7:$F$306,"Approved")&gt;0,"A",""))="A","A",IF(OR(DATE($B$3,1,2)&gt;EOMONTH(DATE($B$3,1,1),0),NETWORKDAYS.INTL(DATE($B$3,1,2),DATE($B$3,1,2),1,'Non-working days'!$A$6:$A$45)=0),"",IF(COUNTIFS('Leave log'!$A$7:$A$306,Employees!$A$12,'Leave log'!$B$7:$B$306,"&lt;="&amp;DATE($B$3,1,2),'Leave log'!$C$7:$C$306,"&gt;="&amp;DATE($B$3,1,2),'Leave log'!$F$7:$F$306,"Pending")&gt;0,"P",""))))</f>
        <v/>
      </c>
      <c r="D13" s="23" t="str">
        <f>IF(A13="","",IF(IF(OR(DATE($B$3,1,3)&gt;EOMONTH(DATE($B$3,1,1),0),NETWORKDAYS.INTL(DATE($B$3,1,3),DATE($B$3,1,3),1,'Non-working days'!$A$6:$A$45)=0),"",IF(COUNTIFS('Leave log'!$A$7:$A$306,Employees!$A$12,'Leave log'!$B$7:$B$306,"&lt;="&amp;DATE($B$3,1,3),'Leave log'!$C$7:$C$306,"&gt;="&amp;DATE($B$3,1,3),'Leave log'!$F$7:$F$306,"Approved")&gt;0,"A",""))="A","A",IF(OR(DATE($B$3,1,3)&gt;EOMONTH(DATE($B$3,1,1),0),NETWORKDAYS.INTL(DATE($B$3,1,3),DATE($B$3,1,3),1,'Non-working days'!$A$6:$A$45)=0),"",IF(COUNTIFS('Leave log'!$A$7:$A$306,Employees!$A$12,'Leave log'!$B$7:$B$306,"&lt;="&amp;DATE($B$3,1,3),'Leave log'!$C$7:$C$306,"&gt;="&amp;DATE($B$3,1,3),'Leave log'!$F$7:$F$306,"Pending")&gt;0,"P",""))))</f>
        <v/>
      </c>
      <c r="E13" s="23" t="str">
        <f>IF(A13="","",IF(IF(OR(DATE($B$3,1,4)&gt;EOMONTH(DATE($B$3,1,1),0),NETWORKDAYS.INTL(DATE($B$3,1,4),DATE($B$3,1,4),1,'Non-working days'!$A$6:$A$45)=0),"",IF(COUNTIFS('Leave log'!$A$7:$A$306,Employees!$A$12,'Leave log'!$B$7:$B$306,"&lt;="&amp;DATE($B$3,1,4),'Leave log'!$C$7:$C$306,"&gt;="&amp;DATE($B$3,1,4),'Leave log'!$F$7:$F$306,"Approved")&gt;0,"A",""))="A","A",IF(OR(DATE($B$3,1,4)&gt;EOMONTH(DATE($B$3,1,1),0),NETWORKDAYS.INTL(DATE($B$3,1,4),DATE($B$3,1,4),1,'Non-working days'!$A$6:$A$45)=0),"",IF(COUNTIFS('Leave log'!$A$7:$A$306,Employees!$A$12,'Leave log'!$B$7:$B$306,"&lt;="&amp;DATE($B$3,1,4),'Leave log'!$C$7:$C$306,"&gt;="&amp;DATE($B$3,1,4),'Leave log'!$F$7:$F$306,"Pending")&gt;0,"P",""))))</f>
        <v/>
      </c>
      <c r="F13" s="23" t="str">
        <f>IF(A13="","",IF(IF(OR(DATE($B$3,1,5)&gt;EOMONTH(DATE($B$3,1,1),0),NETWORKDAYS.INTL(DATE($B$3,1,5),DATE($B$3,1,5),1,'Non-working days'!$A$6:$A$45)=0),"",IF(COUNTIFS('Leave log'!$A$7:$A$306,Employees!$A$12,'Leave log'!$B$7:$B$306,"&lt;="&amp;DATE($B$3,1,5),'Leave log'!$C$7:$C$306,"&gt;="&amp;DATE($B$3,1,5),'Leave log'!$F$7:$F$306,"Approved")&gt;0,"A",""))="A","A",IF(OR(DATE($B$3,1,5)&gt;EOMONTH(DATE($B$3,1,1),0),NETWORKDAYS.INTL(DATE($B$3,1,5),DATE($B$3,1,5),1,'Non-working days'!$A$6:$A$45)=0),"",IF(COUNTIFS('Leave log'!$A$7:$A$306,Employees!$A$12,'Leave log'!$B$7:$B$306,"&lt;="&amp;DATE($B$3,1,5),'Leave log'!$C$7:$C$306,"&gt;="&amp;DATE($B$3,1,5),'Leave log'!$F$7:$F$306,"Pending")&gt;0,"P",""))))</f>
        <v/>
      </c>
      <c r="G13" s="23" t="str">
        <f>IF(A13="","",IF(IF(OR(DATE($B$3,1,6)&gt;EOMONTH(DATE($B$3,1,1),0),NETWORKDAYS.INTL(DATE($B$3,1,6),DATE($B$3,1,6),1,'Non-working days'!$A$6:$A$45)=0),"",IF(COUNTIFS('Leave log'!$A$7:$A$306,Employees!$A$12,'Leave log'!$B$7:$B$306,"&lt;="&amp;DATE($B$3,1,6),'Leave log'!$C$7:$C$306,"&gt;="&amp;DATE($B$3,1,6),'Leave log'!$F$7:$F$306,"Approved")&gt;0,"A",""))="A","A",IF(OR(DATE($B$3,1,6)&gt;EOMONTH(DATE($B$3,1,1),0),NETWORKDAYS.INTL(DATE($B$3,1,6),DATE($B$3,1,6),1,'Non-working days'!$A$6:$A$45)=0),"",IF(COUNTIFS('Leave log'!$A$7:$A$306,Employees!$A$12,'Leave log'!$B$7:$B$306,"&lt;="&amp;DATE($B$3,1,6),'Leave log'!$C$7:$C$306,"&gt;="&amp;DATE($B$3,1,6),'Leave log'!$F$7:$F$306,"Pending")&gt;0,"P",""))))</f>
        <v/>
      </c>
      <c r="H13" s="23" t="str">
        <f>IF(A13="","",IF(IF(OR(DATE($B$3,1,7)&gt;EOMONTH(DATE($B$3,1,1),0),NETWORKDAYS.INTL(DATE($B$3,1,7),DATE($B$3,1,7),1,'Non-working days'!$A$6:$A$45)=0),"",IF(COUNTIFS('Leave log'!$A$7:$A$306,Employees!$A$12,'Leave log'!$B$7:$B$306,"&lt;="&amp;DATE($B$3,1,7),'Leave log'!$C$7:$C$306,"&gt;="&amp;DATE($B$3,1,7),'Leave log'!$F$7:$F$306,"Approved")&gt;0,"A",""))="A","A",IF(OR(DATE($B$3,1,7)&gt;EOMONTH(DATE($B$3,1,1),0),NETWORKDAYS.INTL(DATE($B$3,1,7),DATE($B$3,1,7),1,'Non-working days'!$A$6:$A$45)=0),"",IF(COUNTIFS('Leave log'!$A$7:$A$306,Employees!$A$12,'Leave log'!$B$7:$B$306,"&lt;="&amp;DATE($B$3,1,7),'Leave log'!$C$7:$C$306,"&gt;="&amp;DATE($B$3,1,7),'Leave log'!$F$7:$F$306,"Pending")&gt;0,"P",""))))</f>
        <v/>
      </c>
      <c r="I13" s="23" t="str">
        <f>IF(A13="","",IF(IF(OR(DATE($B$3,1,8)&gt;EOMONTH(DATE($B$3,1,1),0),NETWORKDAYS.INTL(DATE($B$3,1,8),DATE($B$3,1,8),1,'Non-working days'!$A$6:$A$45)=0),"",IF(COUNTIFS('Leave log'!$A$7:$A$306,Employees!$A$12,'Leave log'!$B$7:$B$306,"&lt;="&amp;DATE($B$3,1,8),'Leave log'!$C$7:$C$306,"&gt;="&amp;DATE($B$3,1,8),'Leave log'!$F$7:$F$306,"Approved")&gt;0,"A",""))="A","A",IF(OR(DATE($B$3,1,8)&gt;EOMONTH(DATE($B$3,1,1),0),NETWORKDAYS.INTL(DATE($B$3,1,8),DATE($B$3,1,8),1,'Non-working days'!$A$6:$A$45)=0),"",IF(COUNTIFS('Leave log'!$A$7:$A$306,Employees!$A$12,'Leave log'!$B$7:$B$306,"&lt;="&amp;DATE($B$3,1,8),'Leave log'!$C$7:$C$306,"&gt;="&amp;DATE($B$3,1,8),'Leave log'!$F$7:$F$306,"Pending")&gt;0,"P",""))))</f>
        <v/>
      </c>
      <c r="J13" s="23" t="str">
        <f>IF(A13="","",IF(IF(OR(DATE($B$3,1,9)&gt;EOMONTH(DATE($B$3,1,1),0),NETWORKDAYS.INTL(DATE($B$3,1,9),DATE($B$3,1,9),1,'Non-working days'!$A$6:$A$45)=0),"",IF(COUNTIFS('Leave log'!$A$7:$A$306,Employees!$A$12,'Leave log'!$B$7:$B$306,"&lt;="&amp;DATE($B$3,1,9),'Leave log'!$C$7:$C$306,"&gt;="&amp;DATE($B$3,1,9),'Leave log'!$F$7:$F$306,"Approved")&gt;0,"A",""))="A","A",IF(OR(DATE($B$3,1,9)&gt;EOMONTH(DATE($B$3,1,1),0),NETWORKDAYS.INTL(DATE($B$3,1,9),DATE($B$3,1,9),1,'Non-working days'!$A$6:$A$45)=0),"",IF(COUNTIFS('Leave log'!$A$7:$A$306,Employees!$A$12,'Leave log'!$B$7:$B$306,"&lt;="&amp;DATE($B$3,1,9),'Leave log'!$C$7:$C$306,"&gt;="&amp;DATE($B$3,1,9),'Leave log'!$F$7:$F$306,"Pending")&gt;0,"P",""))))</f>
        <v/>
      </c>
      <c r="K13" s="23" t="str">
        <f>IF(A13="","",IF(IF(OR(DATE($B$3,1,10)&gt;EOMONTH(DATE($B$3,1,1),0),NETWORKDAYS.INTL(DATE($B$3,1,10),DATE($B$3,1,10),1,'Non-working days'!$A$6:$A$45)=0),"",IF(COUNTIFS('Leave log'!$A$7:$A$306,Employees!$A$12,'Leave log'!$B$7:$B$306,"&lt;="&amp;DATE($B$3,1,10),'Leave log'!$C$7:$C$306,"&gt;="&amp;DATE($B$3,1,10),'Leave log'!$F$7:$F$306,"Approved")&gt;0,"A",""))="A","A",IF(OR(DATE($B$3,1,10)&gt;EOMONTH(DATE($B$3,1,1),0),NETWORKDAYS.INTL(DATE($B$3,1,10),DATE($B$3,1,10),1,'Non-working days'!$A$6:$A$45)=0),"",IF(COUNTIFS('Leave log'!$A$7:$A$306,Employees!$A$12,'Leave log'!$B$7:$B$306,"&lt;="&amp;DATE($B$3,1,10),'Leave log'!$C$7:$C$306,"&gt;="&amp;DATE($B$3,1,10),'Leave log'!$F$7:$F$306,"Pending")&gt;0,"P",""))))</f>
        <v/>
      </c>
      <c r="L13" s="23" t="str">
        <f>IF(A13="","",IF(IF(OR(DATE($B$3,1,11)&gt;EOMONTH(DATE($B$3,1,1),0),NETWORKDAYS.INTL(DATE($B$3,1,11),DATE($B$3,1,11),1,'Non-working days'!$A$6:$A$45)=0),"",IF(COUNTIFS('Leave log'!$A$7:$A$306,Employees!$A$12,'Leave log'!$B$7:$B$306,"&lt;="&amp;DATE($B$3,1,11),'Leave log'!$C$7:$C$306,"&gt;="&amp;DATE($B$3,1,11),'Leave log'!$F$7:$F$306,"Approved")&gt;0,"A",""))="A","A",IF(OR(DATE($B$3,1,11)&gt;EOMONTH(DATE($B$3,1,1),0),NETWORKDAYS.INTL(DATE($B$3,1,11),DATE($B$3,1,11),1,'Non-working days'!$A$6:$A$45)=0),"",IF(COUNTIFS('Leave log'!$A$7:$A$306,Employees!$A$12,'Leave log'!$B$7:$B$306,"&lt;="&amp;DATE($B$3,1,11),'Leave log'!$C$7:$C$306,"&gt;="&amp;DATE($B$3,1,11),'Leave log'!$F$7:$F$306,"Pending")&gt;0,"P",""))))</f>
        <v/>
      </c>
      <c r="M13" s="23" t="str">
        <f>IF(A13="","",IF(IF(OR(DATE($B$3,1,12)&gt;EOMONTH(DATE($B$3,1,1),0),NETWORKDAYS.INTL(DATE($B$3,1,12),DATE($B$3,1,12),1,'Non-working days'!$A$6:$A$45)=0),"",IF(COUNTIFS('Leave log'!$A$7:$A$306,Employees!$A$12,'Leave log'!$B$7:$B$306,"&lt;="&amp;DATE($B$3,1,12),'Leave log'!$C$7:$C$306,"&gt;="&amp;DATE($B$3,1,12),'Leave log'!$F$7:$F$306,"Approved")&gt;0,"A",""))="A","A",IF(OR(DATE($B$3,1,12)&gt;EOMONTH(DATE($B$3,1,1),0),NETWORKDAYS.INTL(DATE($B$3,1,12),DATE($B$3,1,12),1,'Non-working days'!$A$6:$A$45)=0),"",IF(COUNTIFS('Leave log'!$A$7:$A$306,Employees!$A$12,'Leave log'!$B$7:$B$306,"&lt;="&amp;DATE($B$3,1,12),'Leave log'!$C$7:$C$306,"&gt;="&amp;DATE($B$3,1,12),'Leave log'!$F$7:$F$306,"Pending")&gt;0,"P",""))))</f>
        <v/>
      </c>
      <c r="N13" s="23" t="str">
        <f>IF(A13="","",IF(IF(OR(DATE($B$3,1,13)&gt;EOMONTH(DATE($B$3,1,1),0),NETWORKDAYS.INTL(DATE($B$3,1,13),DATE($B$3,1,13),1,'Non-working days'!$A$6:$A$45)=0),"",IF(COUNTIFS('Leave log'!$A$7:$A$306,Employees!$A$12,'Leave log'!$B$7:$B$306,"&lt;="&amp;DATE($B$3,1,13),'Leave log'!$C$7:$C$306,"&gt;="&amp;DATE($B$3,1,13),'Leave log'!$F$7:$F$306,"Approved")&gt;0,"A",""))="A","A",IF(OR(DATE($B$3,1,13)&gt;EOMONTH(DATE($B$3,1,1),0),NETWORKDAYS.INTL(DATE($B$3,1,13),DATE($B$3,1,13),1,'Non-working days'!$A$6:$A$45)=0),"",IF(COUNTIFS('Leave log'!$A$7:$A$306,Employees!$A$12,'Leave log'!$B$7:$B$306,"&lt;="&amp;DATE($B$3,1,13),'Leave log'!$C$7:$C$306,"&gt;="&amp;DATE($B$3,1,13),'Leave log'!$F$7:$F$306,"Pending")&gt;0,"P",""))))</f>
        <v/>
      </c>
      <c r="O13" s="23" t="str">
        <f>IF(A13="","",IF(IF(OR(DATE($B$3,1,14)&gt;EOMONTH(DATE($B$3,1,1),0),NETWORKDAYS.INTL(DATE($B$3,1,14),DATE($B$3,1,14),1,'Non-working days'!$A$6:$A$45)=0),"",IF(COUNTIFS('Leave log'!$A$7:$A$306,Employees!$A$12,'Leave log'!$B$7:$B$306,"&lt;="&amp;DATE($B$3,1,14),'Leave log'!$C$7:$C$306,"&gt;="&amp;DATE($B$3,1,14),'Leave log'!$F$7:$F$306,"Approved")&gt;0,"A",""))="A","A",IF(OR(DATE($B$3,1,14)&gt;EOMONTH(DATE($B$3,1,1),0),NETWORKDAYS.INTL(DATE($B$3,1,14),DATE($B$3,1,14),1,'Non-working days'!$A$6:$A$45)=0),"",IF(COUNTIFS('Leave log'!$A$7:$A$306,Employees!$A$12,'Leave log'!$B$7:$B$306,"&lt;="&amp;DATE($B$3,1,14),'Leave log'!$C$7:$C$306,"&gt;="&amp;DATE($B$3,1,14),'Leave log'!$F$7:$F$306,"Pending")&gt;0,"P",""))))</f>
        <v/>
      </c>
      <c r="P13" s="23" t="str">
        <f>IF(A13="","",IF(IF(OR(DATE($B$3,1,15)&gt;EOMONTH(DATE($B$3,1,1),0),NETWORKDAYS.INTL(DATE($B$3,1,15),DATE($B$3,1,15),1,'Non-working days'!$A$6:$A$45)=0),"",IF(COUNTIFS('Leave log'!$A$7:$A$306,Employees!$A$12,'Leave log'!$B$7:$B$306,"&lt;="&amp;DATE($B$3,1,15),'Leave log'!$C$7:$C$306,"&gt;="&amp;DATE($B$3,1,15),'Leave log'!$F$7:$F$306,"Approved")&gt;0,"A",""))="A","A",IF(OR(DATE($B$3,1,15)&gt;EOMONTH(DATE($B$3,1,1),0),NETWORKDAYS.INTL(DATE($B$3,1,15),DATE($B$3,1,15),1,'Non-working days'!$A$6:$A$45)=0),"",IF(COUNTIFS('Leave log'!$A$7:$A$306,Employees!$A$12,'Leave log'!$B$7:$B$306,"&lt;="&amp;DATE($B$3,1,15),'Leave log'!$C$7:$C$306,"&gt;="&amp;DATE($B$3,1,15),'Leave log'!$F$7:$F$306,"Pending")&gt;0,"P",""))))</f>
        <v/>
      </c>
      <c r="Q13" s="23" t="str">
        <f>IF(A13="","",IF(IF(OR(DATE($B$3,1,16)&gt;EOMONTH(DATE($B$3,1,1),0),NETWORKDAYS.INTL(DATE($B$3,1,16),DATE($B$3,1,16),1,'Non-working days'!$A$6:$A$45)=0),"",IF(COUNTIFS('Leave log'!$A$7:$A$306,Employees!$A$12,'Leave log'!$B$7:$B$306,"&lt;="&amp;DATE($B$3,1,16),'Leave log'!$C$7:$C$306,"&gt;="&amp;DATE($B$3,1,16),'Leave log'!$F$7:$F$306,"Approved")&gt;0,"A",""))="A","A",IF(OR(DATE($B$3,1,16)&gt;EOMONTH(DATE($B$3,1,1),0),NETWORKDAYS.INTL(DATE($B$3,1,16),DATE($B$3,1,16),1,'Non-working days'!$A$6:$A$45)=0),"",IF(COUNTIFS('Leave log'!$A$7:$A$306,Employees!$A$12,'Leave log'!$B$7:$B$306,"&lt;="&amp;DATE($B$3,1,16),'Leave log'!$C$7:$C$306,"&gt;="&amp;DATE($B$3,1,16),'Leave log'!$F$7:$F$306,"Pending")&gt;0,"P",""))))</f>
        <v/>
      </c>
      <c r="R13" s="23" t="str">
        <f>IF(A13="","",IF(IF(OR(DATE($B$3,1,17)&gt;EOMONTH(DATE($B$3,1,1),0),NETWORKDAYS.INTL(DATE($B$3,1,17),DATE($B$3,1,17),1,'Non-working days'!$A$6:$A$45)=0),"",IF(COUNTIFS('Leave log'!$A$7:$A$306,Employees!$A$12,'Leave log'!$B$7:$B$306,"&lt;="&amp;DATE($B$3,1,17),'Leave log'!$C$7:$C$306,"&gt;="&amp;DATE($B$3,1,17),'Leave log'!$F$7:$F$306,"Approved")&gt;0,"A",""))="A","A",IF(OR(DATE($B$3,1,17)&gt;EOMONTH(DATE($B$3,1,1),0),NETWORKDAYS.INTL(DATE($B$3,1,17),DATE($B$3,1,17),1,'Non-working days'!$A$6:$A$45)=0),"",IF(COUNTIFS('Leave log'!$A$7:$A$306,Employees!$A$12,'Leave log'!$B$7:$B$306,"&lt;="&amp;DATE($B$3,1,17),'Leave log'!$C$7:$C$306,"&gt;="&amp;DATE($B$3,1,17),'Leave log'!$F$7:$F$306,"Pending")&gt;0,"P",""))))</f>
        <v/>
      </c>
      <c r="S13" s="23" t="str">
        <f>IF(A13="","",IF(IF(OR(DATE($B$3,1,18)&gt;EOMONTH(DATE($B$3,1,1),0),NETWORKDAYS.INTL(DATE($B$3,1,18),DATE($B$3,1,18),1,'Non-working days'!$A$6:$A$45)=0),"",IF(COUNTIFS('Leave log'!$A$7:$A$306,Employees!$A$12,'Leave log'!$B$7:$B$306,"&lt;="&amp;DATE($B$3,1,18),'Leave log'!$C$7:$C$306,"&gt;="&amp;DATE($B$3,1,18),'Leave log'!$F$7:$F$306,"Approved")&gt;0,"A",""))="A","A",IF(OR(DATE($B$3,1,18)&gt;EOMONTH(DATE($B$3,1,1),0),NETWORKDAYS.INTL(DATE($B$3,1,18),DATE($B$3,1,18),1,'Non-working days'!$A$6:$A$45)=0),"",IF(COUNTIFS('Leave log'!$A$7:$A$306,Employees!$A$12,'Leave log'!$B$7:$B$306,"&lt;="&amp;DATE($B$3,1,18),'Leave log'!$C$7:$C$306,"&gt;="&amp;DATE($B$3,1,18),'Leave log'!$F$7:$F$306,"Pending")&gt;0,"P",""))))</f>
        <v/>
      </c>
      <c r="T13" s="23" t="str">
        <f>IF(A13="","",IF(IF(OR(DATE($B$3,1,19)&gt;EOMONTH(DATE($B$3,1,1),0),NETWORKDAYS.INTL(DATE($B$3,1,19),DATE($B$3,1,19),1,'Non-working days'!$A$6:$A$45)=0),"",IF(COUNTIFS('Leave log'!$A$7:$A$306,Employees!$A$12,'Leave log'!$B$7:$B$306,"&lt;="&amp;DATE($B$3,1,19),'Leave log'!$C$7:$C$306,"&gt;="&amp;DATE($B$3,1,19),'Leave log'!$F$7:$F$306,"Approved")&gt;0,"A",""))="A","A",IF(OR(DATE($B$3,1,19)&gt;EOMONTH(DATE($B$3,1,1),0),NETWORKDAYS.INTL(DATE($B$3,1,19),DATE($B$3,1,19),1,'Non-working days'!$A$6:$A$45)=0),"",IF(COUNTIFS('Leave log'!$A$7:$A$306,Employees!$A$12,'Leave log'!$B$7:$B$306,"&lt;="&amp;DATE($B$3,1,19),'Leave log'!$C$7:$C$306,"&gt;="&amp;DATE($B$3,1,19),'Leave log'!$F$7:$F$306,"Pending")&gt;0,"P",""))))</f>
        <v/>
      </c>
      <c r="U13" s="23" t="str">
        <f>IF(A13="","",IF(IF(OR(DATE($B$3,1,20)&gt;EOMONTH(DATE($B$3,1,1),0),NETWORKDAYS.INTL(DATE($B$3,1,20),DATE($B$3,1,20),1,'Non-working days'!$A$6:$A$45)=0),"",IF(COUNTIFS('Leave log'!$A$7:$A$306,Employees!$A$12,'Leave log'!$B$7:$B$306,"&lt;="&amp;DATE($B$3,1,20),'Leave log'!$C$7:$C$306,"&gt;="&amp;DATE($B$3,1,20),'Leave log'!$F$7:$F$306,"Approved")&gt;0,"A",""))="A","A",IF(OR(DATE($B$3,1,20)&gt;EOMONTH(DATE($B$3,1,1),0),NETWORKDAYS.INTL(DATE($B$3,1,20),DATE($B$3,1,20),1,'Non-working days'!$A$6:$A$45)=0),"",IF(COUNTIFS('Leave log'!$A$7:$A$306,Employees!$A$12,'Leave log'!$B$7:$B$306,"&lt;="&amp;DATE($B$3,1,20),'Leave log'!$C$7:$C$306,"&gt;="&amp;DATE($B$3,1,20),'Leave log'!$F$7:$F$306,"Pending")&gt;0,"P",""))))</f>
        <v/>
      </c>
      <c r="V13" s="23" t="str">
        <f>IF(A13="","",IF(IF(OR(DATE($B$3,1,21)&gt;EOMONTH(DATE($B$3,1,1),0),NETWORKDAYS.INTL(DATE($B$3,1,21),DATE($B$3,1,21),1,'Non-working days'!$A$6:$A$45)=0),"",IF(COUNTIFS('Leave log'!$A$7:$A$306,Employees!$A$12,'Leave log'!$B$7:$B$306,"&lt;="&amp;DATE($B$3,1,21),'Leave log'!$C$7:$C$306,"&gt;="&amp;DATE($B$3,1,21),'Leave log'!$F$7:$F$306,"Approved")&gt;0,"A",""))="A","A",IF(OR(DATE($B$3,1,21)&gt;EOMONTH(DATE($B$3,1,1),0),NETWORKDAYS.INTL(DATE($B$3,1,21),DATE($B$3,1,21),1,'Non-working days'!$A$6:$A$45)=0),"",IF(COUNTIFS('Leave log'!$A$7:$A$306,Employees!$A$12,'Leave log'!$B$7:$B$306,"&lt;="&amp;DATE($B$3,1,21),'Leave log'!$C$7:$C$306,"&gt;="&amp;DATE($B$3,1,21),'Leave log'!$F$7:$F$306,"Pending")&gt;0,"P",""))))</f>
        <v/>
      </c>
      <c r="W13" s="23" t="str">
        <f>IF(A13="","",IF(IF(OR(DATE($B$3,1,22)&gt;EOMONTH(DATE($B$3,1,1),0),NETWORKDAYS.INTL(DATE($B$3,1,22),DATE($B$3,1,22),1,'Non-working days'!$A$6:$A$45)=0),"",IF(COUNTIFS('Leave log'!$A$7:$A$306,Employees!$A$12,'Leave log'!$B$7:$B$306,"&lt;="&amp;DATE($B$3,1,22),'Leave log'!$C$7:$C$306,"&gt;="&amp;DATE($B$3,1,22),'Leave log'!$F$7:$F$306,"Approved")&gt;0,"A",""))="A","A",IF(OR(DATE($B$3,1,22)&gt;EOMONTH(DATE($B$3,1,1),0),NETWORKDAYS.INTL(DATE($B$3,1,22),DATE($B$3,1,22),1,'Non-working days'!$A$6:$A$45)=0),"",IF(COUNTIFS('Leave log'!$A$7:$A$306,Employees!$A$12,'Leave log'!$B$7:$B$306,"&lt;="&amp;DATE($B$3,1,22),'Leave log'!$C$7:$C$306,"&gt;="&amp;DATE($B$3,1,22),'Leave log'!$F$7:$F$306,"Pending")&gt;0,"P",""))))</f>
        <v/>
      </c>
      <c r="X13" s="23" t="str">
        <f>IF(A13="","",IF(IF(OR(DATE($B$3,1,23)&gt;EOMONTH(DATE($B$3,1,1),0),NETWORKDAYS.INTL(DATE($B$3,1,23),DATE($B$3,1,23),1,'Non-working days'!$A$6:$A$45)=0),"",IF(COUNTIFS('Leave log'!$A$7:$A$306,Employees!$A$12,'Leave log'!$B$7:$B$306,"&lt;="&amp;DATE($B$3,1,23),'Leave log'!$C$7:$C$306,"&gt;="&amp;DATE($B$3,1,23),'Leave log'!$F$7:$F$306,"Approved")&gt;0,"A",""))="A","A",IF(OR(DATE($B$3,1,23)&gt;EOMONTH(DATE($B$3,1,1),0),NETWORKDAYS.INTL(DATE($B$3,1,23),DATE($B$3,1,23),1,'Non-working days'!$A$6:$A$45)=0),"",IF(COUNTIFS('Leave log'!$A$7:$A$306,Employees!$A$12,'Leave log'!$B$7:$B$306,"&lt;="&amp;DATE($B$3,1,23),'Leave log'!$C$7:$C$306,"&gt;="&amp;DATE($B$3,1,23),'Leave log'!$F$7:$F$306,"Pending")&gt;0,"P",""))))</f>
        <v/>
      </c>
      <c r="Y13" s="23" t="str">
        <f>IF(A13="","",IF(IF(OR(DATE($B$3,1,24)&gt;EOMONTH(DATE($B$3,1,1),0),NETWORKDAYS.INTL(DATE($B$3,1,24),DATE($B$3,1,24),1,'Non-working days'!$A$6:$A$45)=0),"",IF(COUNTIFS('Leave log'!$A$7:$A$306,Employees!$A$12,'Leave log'!$B$7:$B$306,"&lt;="&amp;DATE($B$3,1,24),'Leave log'!$C$7:$C$306,"&gt;="&amp;DATE($B$3,1,24),'Leave log'!$F$7:$F$306,"Approved")&gt;0,"A",""))="A","A",IF(OR(DATE($B$3,1,24)&gt;EOMONTH(DATE($B$3,1,1),0),NETWORKDAYS.INTL(DATE($B$3,1,24),DATE($B$3,1,24),1,'Non-working days'!$A$6:$A$45)=0),"",IF(COUNTIFS('Leave log'!$A$7:$A$306,Employees!$A$12,'Leave log'!$B$7:$B$306,"&lt;="&amp;DATE($B$3,1,24),'Leave log'!$C$7:$C$306,"&gt;="&amp;DATE($B$3,1,24),'Leave log'!$F$7:$F$306,"Pending")&gt;0,"P",""))))</f>
        <v/>
      </c>
      <c r="Z13" s="23" t="str">
        <f>IF(A13="","",IF(IF(OR(DATE($B$3,1,25)&gt;EOMONTH(DATE($B$3,1,1),0),NETWORKDAYS.INTL(DATE($B$3,1,25),DATE($B$3,1,25),1,'Non-working days'!$A$6:$A$45)=0),"",IF(COUNTIFS('Leave log'!$A$7:$A$306,Employees!$A$12,'Leave log'!$B$7:$B$306,"&lt;="&amp;DATE($B$3,1,25),'Leave log'!$C$7:$C$306,"&gt;="&amp;DATE($B$3,1,25),'Leave log'!$F$7:$F$306,"Approved")&gt;0,"A",""))="A","A",IF(OR(DATE($B$3,1,25)&gt;EOMONTH(DATE($B$3,1,1),0),NETWORKDAYS.INTL(DATE($B$3,1,25),DATE($B$3,1,25),1,'Non-working days'!$A$6:$A$45)=0),"",IF(COUNTIFS('Leave log'!$A$7:$A$306,Employees!$A$12,'Leave log'!$B$7:$B$306,"&lt;="&amp;DATE($B$3,1,25),'Leave log'!$C$7:$C$306,"&gt;="&amp;DATE($B$3,1,25),'Leave log'!$F$7:$F$306,"Pending")&gt;0,"P",""))))</f>
        <v/>
      </c>
      <c r="AA13" s="23" t="str">
        <f>IF(A13="","",IF(IF(OR(DATE($B$3,1,26)&gt;EOMONTH(DATE($B$3,1,1),0),NETWORKDAYS.INTL(DATE($B$3,1,26),DATE($B$3,1,26),1,'Non-working days'!$A$6:$A$45)=0),"",IF(COUNTIFS('Leave log'!$A$7:$A$306,Employees!$A$12,'Leave log'!$B$7:$B$306,"&lt;="&amp;DATE($B$3,1,26),'Leave log'!$C$7:$C$306,"&gt;="&amp;DATE($B$3,1,26),'Leave log'!$F$7:$F$306,"Approved")&gt;0,"A",""))="A","A",IF(OR(DATE($B$3,1,26)&gt;EOMONTH(DATE($B$3,1,1),0),NETWORKDAYS.INTL(DATE($B$3,1,26),DATE($B$3,1,26),1,'Non-working days'!$A$6:$A$45)=0),"",IF(COUNTIFS('Leave log'!$A$7:$A$306,Employees!$A$12,'Leave log'!$B$7:$B$306,"&lt;="&amp;DATE($B$3,1,26),'Leave log'!$C$7:$C$306,"&gt;="&amp;DATE($B$3,1,26),'Leave log'!$F$7:$F$306,"Pending")&gt;0,"P",""))))</f>
        <v/>
      </c>
      <c r="AB13" s="23" t="str">
        <f>IF(A13="","",IF(IF(OR(DATE($B$3,1,27)&gt;EOMONTH(DATE($B$3,1,1),0),NETWORKDAYS.INTL(DATE($B$3,1,27),DATE($B$3,1,27),1,'Non-working days'!$A$6:$A$45)=0),"",IF(COUNTIFS('Leave log'!$A$7:$A$306,Employees!$A$12,'Leave log'!$B$7:$B$306,"&lt;="&amp;DATE($B$3,1,27),'Leave log'!$C$7:$C$306,"&gt;="&amp;DATE($B$3,1,27),'Leave log'!$F$7:$F$306,"Approved")&gt;0,"A",""))="A","A",IF(OR(DATE($B$3,1,27)&gt;EOMONTH(DATE($B$3,1,1),0),NETWORKDAYS.INTL(DATE($B$3,1,27),DATE($B$3,1,27),1,'Non-working days'!$A$6:$A$45)=0),"",IF(COUNTIFS('Leave log'!$A$7:$A$306,Employees!$A$12,'Leave log'!$B$7:$B$306,"&lt;="&amp;DATE($B$3,1,27),'Leave log'!$C$7:$C$306,"&gt;="&amp;DATE($B$3,1,27),'Leave log'!$F$7:$F$306,"Pending")&gt;0,"P",""))))</f>
        <v/>
      </c>
      <c r="AC13" s="23" t="str">
        <f>IF(A13="","",IF(IF(OR(DATE($B$3,1,28)&gt;EOMONTH(DATE($B$3,1,1),0),NETWORKDAYS.INTL(DATE($B$3,1,28),DATE($B$3,1,28),1,'Non-working days'!$A$6:$A$45)=0),"",IF(COUNTIFS('Leave log'!$A$7:$A$306,Employees!$A$12,'Leave log'!$B$7:$B$306,"&lt;="&amp;DATE($B$3,1,28),'Leave log'!$C$7:$C$306,"&gt;="&amp;DATE($B$3,1,28),'Leave log'!$F$7:$F$306,"Approved")&gt;0,"A",""))="A","A",IF(OR(DATE($B$3,1,28)&gt;EOMONTH(DATE($B$3,1,1),0),NETWORKDAYS.INTL(DATE($B$3,1,28),DATE($B$3,1,28),1,'Non-working days'!$A$6:$A$45)=0),"",IF(COUNTIFS('Leave log'!$A$7:$A$306,Employees!$A$12,'Leave log'!$B$7:$B$306,"&lt;="&amp;DATE($B$3,1,28),'Leave log'!$C$7:$C$306,"&gt;="&amp;DATE($B$3,1,28),'Leave log'!$F$7:$F$306,"Pending")&gt;0,"P",""))))</f>
        <v/>
      </c>
      <c r="AD13" s="23" t="str">
        <f>IF(A13="","",IF(IF(OR(DATE($B$3,1,29)&gt;EOMONTH(DATE($B$3,1,1),0),NETWORKDAYS.INTL(DATE($B$3,1,29),DATE($B$3,1,29),1,'Non-working days'!$A$6:$A$45)=0),"",IF(COUNTIFS('Leave log'!$A$7:$A$306,Employees!$A$12,'Leave log'!$B$7:$B$306,"&lt;="&amp;DATE($B$3,1,29),'Leave log'!$C$7:$C$306,"&gt;="&amp;DATE($B$3,1,29),'Leave log'!$F$7:$F$306,"Approved")&gt;0,"A",""))="A","A",IF(OR(DATE($B$3,1,29)&gt;EOMONTH(DATE($B$3,1,1),0),NETWORKDAYS.INTL(DATE($B$3,1,29),DATE($B$3,1,29),1,'Non-working days'!$A$6:$A$45)=0),"",IF(COUNTIFS('Leave log'!$A$7:$A$306,Employees!$A$12,'Leave log'!$B$7:$B$306,"&lt;="&amp;DATE($B$3,1,29),'Leave log'!$C$7:$C$306,"&gt;="&amp;DATE($B$3,1,29),'Leave log'!$F$7:$F$306,"Pending")&gt;0,"P",""))))</f>
        <v/>
      </c>
      <c r="AE13" s="23" t="str">
        <f>IF(A13="","",IF(IF(OR(DATE($B$3,1,30)&gt;EOMONTH(DATE($B$3,1,1),0),NETWORKDAYS.INTL(DATE($B$3,1,30),DATE($B$3,1,30),1,'Non-working days'!$A$6:$A$45)=0),"",IF(COUNTIFS('Leave log'!$A$7:$A$306,Employees!$A$12,'Leave log'!$B$7:$B$306,"&lt;="&amp;DATE($B$3,1,30),'Leave log'!$C$7:$C$306,"&gt;="&amp;DATE($B$3,1,30),'Leave log'!$F$7:$F$306,"Approved")&gt;0,"A",""))="A","A",IF(OR(DATE($B$3,1,30)&gt;EOMONTH(DATE($B$3,1,1),0),NETWORKDAYS.INTL(DATE($B$3,1,30),DATE($B$3,1,30),1,'Non-working days'!$A$6:$A$45)=0),"",IF(COUNTIFS('Leave log'!$A$7:$A$306,Employees!$A$12,'Leave log'!$B$7:$B$306,"&lt;="&amp;DATE($B$3,1,30),'Leave log'!$C$7:$C$306,"&gt;="&amp;DATE($B$3,1,30),'Leave log'!$F$7:$F$306,"Pending")&gt;0,"P",""))))</f>
        <v/>
      </c>
      <c r="AF13" s="23" t="str">
        <f>IF(A13="","",IF(IF(OR(DATE($B$3,1,31)&gt;EOMONTH(DATE($B$3,1,1),0),NETWORKDAYS.INTL(DATE($B$3,1,31),DATE($B$3,1,31),1,'Non-working days'!$A$6:$A$45)=0),"",IF(COUNTIFS('Leave log'!$A$7:$A$306,Employees!$A$12,'Leave log'!$B$7:$B$306,"&lt;="&amp;DATE($B$3,1,31),'Leave log'!$C$7:$C$306,"&gt;="&amp;DATE($B$3,1,31),'Leave log'!$F$7:$F$306,"Approved")&gt;0,"A",""))="A","A",IF(OR(DATE($B$3,1,31)&gt;EOMONTH(DATE($B$3,1,1),0),NETWORKDAYS.INTL(DATE($B$3,1,31),DATE($B$3,1,31),1,'Non-working days'!$A$6:$A$45)=0),"",IF(COUNTIFS('Leave log'!$A$7:$A$306,Employees!$A$12,'Leave log'!$B$7:$B$306,"&lt;="&amp;DATE($B$3,1,31),'Leave log'!$C$7:$C$306,"&gt;="&amp;DATE($B$3,1,31),'Leave log'!$F$7:$F$306,"Pending")&gt;0,"P",""))))</f>
        <v/>
      </c>
    </row>
    <row r="14" spans="1:32" ht="18" customHeight="1" x14ac:dyDescent="0.3">
      <c r="A14" s="22" t="str">
        <f>IF(Employees!F13="Yes",Employees!B13,"")</f>
        <v/>
      </c>
      <c r="B14" s="23" t="str">
        <f>IF(A14="","",IF(IF(OR(DATE($B$3,1,1)&gt;EOMONTH(DATE($B$3,1,1),0),NETWORKDAYS.INTL(DATE($B$3,1,1),DATE($B$3,1,1),1,'Non-working days'!$A$6:$A$45)=0),"",IF(COUNTIFS('Leave log'!$A$7:$A$306,Employees!$A$13,'Leave log'!$B$7:$B$306,"&lt;="&amp;DATE($B$3,1,1),'Leave log'!$C$7:$C$306,"&gt;="&amp;DATE($B$3,1,1),'Leave log'!$F$7:$F$306,"Approved")&gt;0,"A",""))="A","A",IF(OR(DATE($B$3,1,1)&gt;EOMONTH(DATE($B$3,1,1),0),NETWORKDAYS.INTL(DATE($B$3,1,1),DATE($B$3,1,1),1,'Non-working days'!$A$6:$A$45)=0),"",IF(COUNTIFS('Leave log'!$A$7:$A$306,Employees!$A$13,'Leave log'!$B$7:$B$306,"&lt;="&amp;DATE($B$3,1,1),'Leave log'!$C$7:$C$306,"&gt;="&amp;DATE($B$3,1,1),'Leave log'!$F$7:$F$306,"Pending")&gt;0,"P",""))))</f>
        <v/>
      </c>
      <c r="C14" s="23" t="str">
        <f>IF(A14="","",IF(IF(OR(DATE($B$3,1,2)&gt;EOMONTH(DATE($B$3,1,1),0),NETWORKDAYS.INTL(DATE($B$3,1,2),DATE($B$3,1,2),1,'Non-working days'!$A$6:$A$45)=0),"",IF(COUNTIFS('Leave log'!$A$7:$A$306,Employees!$A$13,'Leave log'!$B$7:$B$306,"&lt;="&amp;DATE($B$3,1,2),'Leave log'!$C$7:$C$306,"&gt;="&amp;DATE($B$3,1,2),'Leave log'!$F$7:$F$306,"Approved")&gt;0,"A",""))="A","A",IF(OR(DATE($B$3,1,2)&gt;EOMONTH(DATE($B$3,1,1),0),NETWORKDAYS.INTL(DATE($B$3,1,2),DATE($B$3,1,2),1,'Non-working days'!$A$6:$A$45)=0),"",IF(COUNTIFS('Leave log'!$A$7:$A$306,Employees!$A$13,'Leave log'!$B$7:$B$306,"&lt;="&amp;DATE($B$3,1,2),'Leave log'!$C$7:$C$306,"&gt;="&amp;DATE($B$3,1,2),'Leave log'!$F$7:$F$306,"Pending")&gt;0,"P",""))))</f>
        <v/>
      </c>
      <c r="D14" s="23" t="str">
        <f>IF(A14="","",IF(IF(OR(DATE($B$3,1,3)&gt;EOMONTH(DATE($B$3,1,1),0),NETWORKDAYS.INTL(DATE($B$3,1,3),DATE($B$3,1,3),1,'Non-working days'!$A$6:$A$45)=0),"",IF(COUNTIFS('Leave log'!$A$7:$A$306,Employees!$A$13,'Leave log'!$B$7:$B$306,"&lt;="&amp;DATE($B$3,1,3),'Leave log'!$C$7:$C$306,"&gt;="&amp;DATE($B$3,1,3),'Leave log'!$F$7:$F$306,"Approved")&gt;0,"A",""))="A","A",IF(OR(DATE($B$3,1,3)&gt;EOMONTH(DATE($B$3,1,1),0),NETWORKDAYS.INTL(DATE($B$3,1,3),DATE($B$3,1,3),1,'Non-working days'!$A$6:$A$45)=0),"",IF(COUNTIFS('Leave log'!$A$7:$A$306,Employees!$A$13,'Leave log'!$B$7:$B$306,"&lt;="&amp;DATE($B$3,1,3),'Leave log'!$C$7:$C$306,"&gt;="&amp;DATE($B$3,1,3),'Leave log'!$F$7:$F$306,"Pending")&gt;0,"P",""))))</f>
        <v/>
      </c>
      <c r="E14" s="23" t="str">
        <f>IF(A14="","",IF(IF(OR(DATE($B$3,1,4)&gt;EOMONTH(DATE($B$3,1,1),0),NETWORKDAYS.INTL(DATE($B$3,1,4),DATE($B$3,1,4),1,'Non-working days'!$A$6:$A$45)=0),"",IF(COUNTIFS('Leave log'!$A$7:$A$306,Employees!$A$13,'Leave log'!$B$7:$B$306,"&lt;="&amp;DATE($B$3,1,4),'Leave log'!$C$7:$C$306,"&gt;="&amp;DATE($B$3,1,4),'Leave log'!$F$7:$F$306,"Approved")&gt;0,"A",""))="A","A",IF(OR(DATE($B$3,1,4)&gt;EOMONTH(DATE($B$3,1,1),0),NETWORKDAYS.INTL(DATE($B$3,1,4),DATE($B$3,1,4),1,'Non-working days'!$A$6:$A$45)=0),"",IF(COUNTIFS('Leave log'!$A$7:$A$306,Employees!$A$13,'Leave log'!$B$7:$B$306,"&lt;="&amp;DATE($B$3,1,4),'Leave log'!$C$7:$C$306,"&gt;="&amp;DATE($B$3,1,4),'Leave log'!$F$7:$F$306,"Pending")&gt;0,"P",""))))</f>
        <v/>
      </c>
      <c r="F14" s="23" t="str">
        <f>IF(A14="","",IF(IF(OR(DATE($B$3,1,5)&gt;EOMONTH(DATE($B$3,1,1),0),NETWORKDAYS.INTL(DATE($B$3,1,5),DATE($B$3,1,5),1,'Non-working days'!$A$6:$A$45)=0),"",IF(COUNTIFS('Leave log'!$A$7:$A$306,Employees!$A$13,'Leave log'!$B$7:$B$306,"&lt;="&amp;DATE($B$3,1,5),'Leave log'!$C$7:$C$306,"&gt;="&amp;DATE($B$3,1,5),'Leave log'!$F$7:$F$306,"Approved")&gt;0,"A",""))="A","A",IF(OR(DATE($B$3,1,5)&gt;EOMONTH(DATE($B$3,1,1),0),NETWORKDAYS.INTL(DATE($B$3,1,5),DATE($B$3,1,5),1,'Non-working days'!$A$6:$A$45)=0),"",IF(COUNTIFS('Leave log'!$A$7:$A$306,Employees!$A$13,'Leave log'!$B$7:$B$306,"&lt;="&amp;DATE($B$3,1,5),'Leave log'!$C$7:$C$306,"&gt;="&amp;DATE($B$3,1,5),'Leave log'!$F$7:$F$306,"Pending")&gt;0,"P",""))))</f>
        <v/>
      </c>
      <c r="G14" s="23" t="str">
        <f>IF(A14="","",IF(IF(OR(DATE($B$3,1,6)&gt;EOMONTH(DATE($B$3,1,1),0),NETWORKDAYS.INTL(DATE($B$3,1,6),DATE($B$3,1,6),1,'Non-working days'!$A$6:$A$45)=0),"",IF(COUNTIFS('Leave log'!$A$7:$A$306,Employees!$A$13,'Leave log'!$B$7:$B$306,"&lt;="&amp;DATE($B$3,1,6),'Leave log'!$C$7:$C$306,"&gt;="&amp;DATE($B$3,1,6),'Leave log'!$F$7:$F$306,"Approved")&gt;0,"A",""))="A","A",IF(OR(DATE($B$3,1,6)&gt;EOMONTH(DATE($B$3,1,1),0),NETWORKDAYS.INTL(DATE($B$3,1,6),DATE($B$3,1,6),1,'Non-working days'!$A$6:$A$45)=0),"",IF(COUNTIFS('Leave log'!$A$7:$A$306,Employees!$A$13,'Leave log'!$B$7:$B$306,"&lt;="&amp;DATE($B$3,1,6),'Leave log'!$C$7:$C$306,"&gt;="&amp;DATE($B$3,1,6),'Leave log'!$F$7:$F$306,"Pending")&gt;0,"P",""))))</f>
        <v/>
      </c>
      <c r="H14" s="23" t="str">
        <f>IF(A14="","",IF(IF(OR(DATE($B$3,1,7)&gt;EOMONTH(DATE($B$3,1,1),0),NETWORKDAYS.INTL(DATE($B$3,1,7),DATE($B$3,1,7),1,'Non-working days'!$A$6:$A$45)=0),"",IF(COUNTIFS('Leave log'!$A$7:$A$306,Employees!$A$13,'Leave log'!$B$7:$B$306,"&lt;="&amp;DATE($B$3,1,7),'Leave log'!$C$7:$C$306,"&gt;="&amp;DATE($B$3,1,7),'Leave log'!$F$7:$F$306,"Approved")&gt;0,"A",""))="A","A",IF(OR(DATE($B$3,1,7)&gt;EOMONTH(DATE($B$3,1,1),0),NETWORKDAYS.INTL(DATE($B$3,1,7),DATE($B$3,1,7),1,'Non-working days'!$A$6:$A$45)=0),"",IF(COUNTIFS('Leave log'!$A$7:$A$306,Employees!$A$13,'Leave log'!$B$7:$B$306,"&lt;="&amp;DATE($B$3,1,7),'Leave log'!$C$7:$C$306,"&gt;="&amp;DATE($B$3,1,7),'Leave log'!$F$7:$F$306,"Pending")&gt;0,"P",""))))</f>
        <v/>
      </c>
      <c r="I14" s="23" t="str">
        <f>IF(A14="","",IF(IF(OR(DATE($B$3,1,8)&gt;EOMONTH(DATE($B$3,1,1),0),NETWORKDAYS.INTL(DATE($B$3,1,8),DATE($B$3,1,8),1,'Non-working days'!$A$6:$A$45)=0),"",IF(COUNTIFS('Leave log'!$A$7:$A$306,Employees!$A$13,'Leave log'!$B$7:$B$306,"&lt;="&amp;DATE($B$3,1,8),'Leave log'!$C$7:$C$306,"&gt;="&amp;DATE($B$3,1,8),'Leave log'!$F$7:$F$306,"Approved")&gt;0,"A",""))="A","A",IF(OR(DATE($B$3,1,8)&gt;EOMONTH(DATE($B$3,1,1),0),NETWORKDAYS.INTL(DATE($B$3,1,8),DATE($B$3,1,8),1,'Non-working days'!$A$6:$A$45)=0),"",IF(COUNTIFS('Leave log'!$A$7:$A$306,Employees!$A$13,'Leave log'!$B$7:$B$306,"&lt;="&amp;DATE($B$3,1,8),'Leave log'!$C$7:$C$306,"&gt;="&amp;DATE($B$3,1,8),'Leave log'!$F$7:$F$306,"Pending")&gt;0,"P",""))))</f>
        <v/>
      </c>
      <c r="J14" s="23" t="str">
        <f>IF(A14="","",IF(IF(OR(DATE($B$3,1,9)&gt;EOMONTH(DATE($B$3,1,1),0),NETWORKDAYS.INTL(DATE($B$3,1,9),DATE($B$3,1,9),1,'Non-working days'!$A$6:$A$45)=0),"",IF(COUNTIFS('Leave log'!$A$7:$A$306,Employees!$A$13,'Leave log'!$B$7:$B$306,"&lt;="&amp;DATE($B$3,1,9),'Leave log'!$C$7:$C$306,"&gt;="&amp;DATE($B$3,1,9),'Leave log'!$F$7:$F$306,"Approved")&gt;0,"A",""))="A","A",IF(OR(DATE($B$3,1,9)&gt;EOMONTH(DATE($B$3,1,1),0),NETWORKDAYS.INTL(DATE($B$3,1,9),DATE($B$3,1,9),1,'Non-working days'!$A$6:$A$45)=0),"",IF(COUNTIFS('Leave log'!$A$7:$A$306,Employees!$A$13,'Leave log'!$B$7:$B$306,"&lt;="&amp;DATE($B$3,1,9),'Leave log'!$C$7:$C$306,"&gt;="&amp;DATE($B$3,1,9),'Leave log'!$F$7:$F$306,"Pending")&gt;0,"P",""))))</f>
        <v/>
      </c>
      <c r="K14" s="23" t="str">
        <f>IF(A14="","",IF(IF(OR(DATE($B$3,1,10)&gt;EOMONTH(DATE($B$3,1,1),0),NETWORKDAYS.INTL(DATE($B$3,1,10),DATE($B$3,1,10),1,'Non-working days'!$A$6:$A$45)=0),"",IF(COUNTIFS('Leave log'!$A$7:$A$306,Employees!$A$13,'Leave log'!$B$7:$B$306,"&lt;="&amp;DATE($B$3,1,10),'Leave log'!$C$7:$C$306,"&gt;="&amp;DATE($B$3,1,10),'Leave log'!$F$7:$F$306,"Approved")&gt;0,"A",""))="A","A",IF(OR(DATE($B$3,1,10)&gt;EOMONTH(DATE($B$3,1,1),0),NETWORKDAYS.INTL(DATE($B$3,1,10),DATE($B$3,1,10),1,'Non-working days'!$A$6:$A$45)=0),"",IF(COUNTIFS('Leave log'!$A$7:$A$306,Employees!$A$13,'Leave log'!$B$7:$B$306,"&lt;="&amp;DATE($B$3,1,10),'Leave log'!$C$7:$C$306,"&gt;="&amp;DATE($B$3,1,10),'Leave log'!$F$7:$F$306,"Pending")&gt;0,"P",""))))</f>
        <v/>
      </c>
      <c r="L14" s="23" t="str">
        <f>IF(A14="","",IF(IF(OR(DATE($B$3,1,11)&gt;EOMONTH(DATE($B$3,1,1),0),NETWORKDAYS.INTL(DATE($B$3,1,11),DATE($B$3,1,11),1,'Non-working days'!$A$6:$A$45)=0),"",IF(COUNTIFS('Leave log'!$A$7:$A$306,Employees!$A$13,'Leave log'!$B$7:$B$306,"&lt;="&amp;DATE($B$3,1,11),'Leave log'!$C$7:$C$306,"&gt;="&amp;DATE($B$3,1,11),'Leave log'!$F$7:$F$306,"Approved")&gt;0,"A",""))="A","A",IF(OR(DATE($B$3,1,11)&gt;EOMONTH(DATE($B$3,1,1),0),NETWORKDAYS.INTL(DATE($B$3,1,11),DATE($B$3,1,11),1,'Non-working days'!$A$6:$A$45)=0),"",IF(COUNTIFS('Leave log'!$A$7:$A$306,Employees!$A$13,'Leave log'!$B$7:$B$306,"&lt;="&amp;DATE($B$3,1,11),'Leave log'!$C$7:$C$306,"&gt;="&amp;DATE($B$3,1,11),'Leave log'!$F$7:$F$306,"Pending")&gt;0,"P",""))))</f>
        <v/>
      </c>
      <c r="M14" s="23" t="str">
        <f>IF(A14="","",IF(IF(OR(DATE($B$3,1,12)&gt;EOMONTH(DATE($B$3,1,1),0),NETWORKDAYS.INTL(DATE($B$3,1,12),DATE($B$3,1,12),1,'Non-working days'!$A$6:$A$45)=0),"",IF(COUNTIFS('Leave log'!$A$7:$A$306,Employees!$A$13,'Leave log'!$B$7:$B$306,"&lt;="&amp;DATE($B$3,1,12),'Leave log'!$C$7:$C$306,"&gt;="&amp;DATE($B$3,1,12),'Leave log'!$F$7:$F$306,"Approved")&gt;0,"A",""))="A","A",IF(OR(DATE($B$3,1,12)&gt;EOMONTH(DATE($B$3,1,1),0),NETWORKDAYS.INTL(DATE($B$3,1,12),DATE($B$3,1,12),1,'Non-working days'!$A$6:$A$45)=0),"",IF(COUNTIFS('Leave log'!$A$7:$A$306,Employees!$A$13,'Leave log'!$B$7:$B$306,"&lt;="&amp;DATE($B$3,1,12),'Leave log'!$C$7:$C$306,"&gt;="&amp;DATE($B$3,1,12),'Leave log'!$F$7:$F$306,"Pending")&gt;0,"P",""))))</f>
        <v/>
      </c>
      <c r="N14" s="23" t="str">
        <f>IF(A14="","",IF(IF(OR(DATE($B$3,1,13)&gt;EOMONTH(DATE($B$3,1,1),0),NETWORKDAYS.INTL(DATE($B$3,1,13),DATE($B$3,1,13),1,'Non-working days'!$A$6:$A$45)=0),"",IF(COUNTIFS('Leave log'!$A$7:$A$306,Employees!$A$13,'Leave log'!$B$7:$B$306,"&lt;="&amp;DATE($B$3,1,13),'Leave log'!$C$7:$C$306,"&gt;="&amp;DATE($B$3,1,13),'Leave log'!$F$7:$F$306,"Approved")&gt;0,"A",""))="A","A",IF(OR(DATE($B$3,1,13)&gt;EOMONTH(DATE($B$3,1,1),0),NETWORKDAYS.INTL(DATE($B$3,1,13),DATE($B$3,1,13),1,'Non-working days'!$A$6:$A$45)=0),"",IF(COUNTIFS('Leave log'!$A$7:$A$306,Employees!$A$13,'Leave log'!$B$7:$B$306,"&lt;="&amp;DATE($B$3,1,13),'Leave log'!$C$7:$C$306,"&gt;="&amp;DATE($B$3,1,13),'Leave log'!$F$7:$F$306,"Pending")&gt;0,"P",""))))</f>
        <v/>
      </c>
      <c r="O14" s="23" t="str">
        <f>IF(A14="","",IF(IF(OR(DATE($B$3,1,14)&gt;EOMONTH(DATE($B$3,1,1),0),NETWORKDAYS.INTL(DATE($B$3,1,14),DATE($B$3,1,14),1,'Non-working days'!$A$6:$A$45)=0),"",IF(COUNTIFS('Leave log'!$A$7:$A$306,Employees!$A$13,'Leave log'!$B$7:$B$306,"&lt;="&amp;DATE($B$3,1,14),'Leave log'!$C$7:$C$306,"&gt;="&amp;DATE($B$3,1,14),'Leave log'!$F$7:$F$306,"Approved")&gt;0,"A",""))="A","A",IF(OR(DATE($B$3,1,14)&gt;EOMONTH(DATE($B$3,1,1),0),NETWORKDAYS.INTL(DATE($B$3,1,14),DATE($B$3,1,14),1,'Non-working days'!$A$6:$A$45)=0),"",IF(COUNTIFS('Leave log'!$A$7:$A$306,Employees!$A$13,'Leave log'!$B$7:$B$306,"&lt;="&amp;DATE($B$3,1,14),'Leave log'!$C$7:$C$306,"&gt;="&amp;DATE($B$3,1,14),'Leave log'!$F$7:$F$306,"Pending")&gt;0,"P",""))))</f>
        <v/>
      </c>
      <c r="P14" s="23" t="str">
        <f>IF(A14="","",IF(IF(OR(DATE($B$3,1,15)&gt;EOMONTH(DATE($B$3,1,1),0),NETWORKDAYS.INTL(DATE($B$3,1,15),DATE($B$3,1,15),1,'Non-working days'!$A$6:$A$45)=0),"",IF(COUNTIFS('Leave log'!$A$7:$A$306,Employees!$A$13,'Leave log'!$B$7:$B$306,"&lt;="&amp;DATE($B$3,1,15),'Leave log'!$C$7:$C$306,"&gt;="&amp;DATE($B$3,1,15),'Leave log'!$F$7:$F$306,"Approved")&gt;0,"A",""))="A","A",IF(OR(DATE($B$3,1,15)&gt;EOMONTH(DATE($B$3,1,1),0),NETWORKDAYS.INTL(DATE($B$3,1,15),DATE($B$3,1,15),1,'Non-working days'!$A$6:$A$45)=0),"",IF(COUNTIFS('Leave log'!$A$7:$A$306,Employees!$A$13,'Leave log'!$B$7:$B$306,"&lt;="&amp;DATE($B$3,1,15),'Leave log'!$C$7:$C$306,"&gt;="&amp;DATE($B$3,1,15),'Leave log'!$F$7:$F$306,"Pending")&gt;0,"P",""))))</f>
        <v/>
      </c>
      <c r="Q14" s="23" t="str">
        <f>IF(A14="","",IF(IF(OR(DATE($B$3,1,16)&gt;EOMONTH(DATE($B$3,1,1),0),NETWORKDAYS.INTL(DATE($B$3,1,16),DATE($B$3,1,16),1,'Non-working days'!$A$6:$A$45)=0),"",IF(COUNTIFS('Leave log'!$A$7:$A$306,Employees!$A$13,'Leave log'!$B$7:$B$306,"&lt;="&amp;DATE($B$3,1,16),'Leave log'!$C$7:$C$306,"&gt;="&amp;DATE($B$3,1,16),'Leave log'!$F$7:$F$306,"Approved")&gt;0,"A",""))="A","A",IF(OR(DATE($B$3,1,16)&gt;EOMONTH(DATE($B$3,1,1),0),NETWORKDAYS.INTL(DATE($B$3,1,16),DATE($B$3,1,16),1,'Non-working days'!$A$6:$A$45)=0),"",IF(COUNTIFS('Leave log'!$A$7:$A$306,Employees!$A$13,'Leave log'!$B$7:$B$306,"&lt;="&amp;DATE($B$3,1,16),'Leave log'!$C$7:$C$306,"&gt;="&amp;DATE($B$3,1,16),'Leave log'!$F$7:$F$306,"Pending")&gt;0,"P",""))))</f>
        <v/>
      </c>
      <c r="R14" s="23" t="str">
        <f>IF(A14="","",IF(IF(OR(DATE($B$3,1,17)&gt;EOMONTH(DATE($B$3,1,1),0),NETWORKDAYS.INTL(DATE($B$3,1,17),DATE($B$3,1,17),1,'Non-working days'!$A$6:$A$45)=0),"",IF(COUNTIFS('Leave log'!$A$7:$A$306,Employees!$A$13,'Leave log'!$B$7:$B$306,"&lt;="&amp;DATE($B$3,1,17),'Leave log'!$C$7:$C$306,"&gt;="&amp;DATE($B$3,1,17),'Leave log'!$F$7:$F$306,"Approved")&gt;0,"A",""))="A","A",IF(OR(DATE($B$3,1,17)&gt;EOMONTH(DATE($B$3,1,1),0),NETWORKDAYS.INTL(DATE($B$3,1,17),DATE($B$3,1,17),1,'Non-working days'!$A$6:$A$45)=0),"",IF(COUNTIFS('Leave log'!$A$7:$A$306,Employees!$A$13,'Leave log'!$B$7:$B$306,"&lt;="&amp;DATE($B$3,1,17),'Leave log'!$C$7:$C$306,"&gt;="&amp;DATE($B$3,1,17),'Leave log'!$F$7:$F$306,"Pending")&gt;0,"P",""))))</f>
        <v/>
      </c>
      <c r="S14" s="23" t="str">
        <f>IF(A14="","",IF(IF(OR(DATE($B$3,1,18)&gt;EOMONTH(DATE($B$3,1,1),0),NETWORKDAYS.INTL(DATE($B$3,1,18),DATE($B$3,1,18),1,'Non-working days'!$A$6:$A$45)=0),"",IF(COUNTIFS('Leave log'!$A$7:$A$306,Employees!$A$13,'Leave log'!$B$7:$B$306,"&lt;="&amp;DATE($B$3,1,18),'Leave log'!$C$7:$C$306,"&gt;="&amp;DATE($B$3,1,18),'Leave log'!$F$7:$F$306,"Approved")&gt;0,"A",""))="A","A",IF(OR(DATE($B$3,1,18)&gt;EOMONTH(DATE($B$3,1,1),0),NETWORKDAYS.INTL(DATE($B$3,1,18),DATE($B$3,1,18),1,'Non-working days'!$A$6:$A$45)=0),"",IF(COUNTIFS('Leave log'!$A$7:$A$306,Employees!$A$13,'Leave log'!$B$7:$B$306,"&lt;="&amp;DATE($B$3,1,18),'Leave log'!$C$7:$C$306,"&gt;="&amp;DATE($B$3,1,18),'Leave log'!$F$7:$F$306,"Pending")&gt;0,"P",""))))</f>
        <v/>
      </c>
      <c r="T14" s="23" t="str">
        <f>IF(A14="","",IF(IF(OR(DATE($B$3,1,19)&gt;EOMONTH(DATE($B$3,1,1),0),NETWORKDAYS.INTL(DATE($B$3,1,19),DATE($B$3,1,19),1,'Non-working days'!$A$6:$A$45)=0),"",IF(COUNTIFS('Leave log'!$A$7:$A$306,Employees!$A$13,'Leave log'!$B$7:$B$306,"&lt;="&amp;DATE($B$3,1,19),'Leave log'!$C$7:$C$306,"&gt;="&amp;DATE($B$3,1,19),'Leave log'!$F$7:$F$306,"Approved")&gt;0,"A",""))="A","A",IF(OR(DATE($B$3,1,19)&gt;EOMONTH(DATE($B$3,1,1),0),NETWORKDAYS.INTL(DATE($B$3,1,19),DATE($B$3,1,19),1,'Non-working days'!$A$6:$A$45)=0),"",IF(COUNTIFS('Leave log'!$A$7:$A$306,Employees!$A$13,'Leave log'!$B$7:$B$306,"&lt;="&amp;DATE($B$3,1,19),'Leave log'!$C$7:$C$306,"&gt;="&amp;DATE($B$3,1,19),'Leave log'!$F$7:$F$306,"Pending")&gt;0,"P",""))))</f>
        <v/>
      </c>
      <c r="U14" s="23" t="str">
        <f>IF(A14="","",IF(IF(OR(DATE($B$3,1,20)&gt;EOMONTH(DATE($B$3,1,1),0),NETWORKDAYS.INTL(DATE($B$3,1,20),DATE($B$3,1,20),1,'Non-working days'!$A$6:$A$45)=0),"",IF(COUNTIFS('Leave log'!$A$7:$A$306,Employees!$A$13,'Leave log'!$B$7:$B$306,"&lt;="&amp;DATE($B$3,1,20),'Leave log'!$C$7:$C$306,"&gt;="&amp;DATE($B$3,1,20),'Leave log'!$F$7:$F$306,"Approved")&gt;0,"A",""))="A","A",IF(OR(DATE($B$3,1,20)&gt;EOMONTH(DATE($B$3,1,1),0),NETWORKDAYS.INTL(DATE($B$3,1,20),DATE($B$3,1,20),1,'Non-working days'!$A$6:$A$45)=0),"",IF(COUNTIFS('Leave log'!$A$7:$A$306,Employees!$A$13,'Leave log'!$B$7:$B$306,"&lt;="&amp;DATE($B$3,1,20),'Leave log'!$C$7:$C$306,"&gt;="&amp;DATE($B$3,1,20),'Leave log'!$F$7:$F$306,"Pending")&gt;0,"P",""))))</f>
        <v/>
      </c>
      <c r="V14" s="23" t="str">
        <f>IF(A14="","",IF(IF(OR(DATE($B$3,1,21)&gt;EOMONTH(DATE($B$3,1,1),0),NETWORKDAYS.INTL(DATE($B$3,1,21),DATE($B$3,1,21),1,'Non-working days'!$A$6:$A$45)=0),"",IF(COUNTIFS('Leave log'!$A$7:$A$306,Employees!$A$13,'Leave log'!$B$7:$B$306,"&lt;="&amp;DATE($B$3,1,21),'Leave log'!$C$7:$C$306,"&gt;="&amp;DATE($B$3,1,21),'Leave log'!$F$7:$F$306,"Approved")&gt;0,"A",""))="A","A",IF(OR(DATE($B$3,1,21)&gt;EOMONTH(DATE($B$3,1,1),0),NETWORKDAYS.INTL(DATE($B$3,1,21),DATE($B$3,1,21),1,'Non-working days'!$A$6:$A$45)=0),"",IF(COUNTIFS('Leave log'!$A$7:$A$306,Employees!$A$13,'Leave log'!$B$7:$B$306,"&lt;="&amp;DATE($B$3,1,21),'Leave log'!$C$7:$C$306,"&gt;="&amp;DATE($B$3,1,21),'Leave log'!$F$7:$F$306,"Pending")&gt;0,"P",""))))</f>
        <v/>
      </c>
      <c r="W14" s="23" t="str">
        <f>IF(A14="","",IF(IF(OR(DATE($B$3,1,22)&gt;EOMONTH(DATE($B$3,1,1),0),NETWORKDAYS.INTL(DATE($B$3,1,22),DATE($B$3,1,22),1,'Non-working days'!$A$6:$A$45)=0),"",IF(COUNTIFS('Leave log'!$A$7:$A$306,Employees!$A$13,'Leave log'!$B$7:$B$306,"&lt;="&amp;DATE($B$3,1,22),'Leave log'!$C$7:$C$306,"&gt;="&amp;DATE($B$3,1,22),'Leave log'!$F$7:$F$306,"Approved")&gt;0,"A",""))="A","A",IF(OR(DATE($B$3,1,22)&gt;EOMONTH(DATE($B$3,1,1),0),NETWORKDAYS.INTL(DATE($B$3,1,22),DATE($B$3,1,22),1,'Non-working days'!$A$6:$A$45)=0),"",IF(COUNTIFS('Leave log'!$A$7:$A$306,Employees!$A$13,'Leave log'!$B$7:$B$306,"&lt;="&amp;DATE($B$3,1,22),'Leave log'!$C$7:$C$306,"&gt;="&amp;DATE($B$3,1,22),'Leave log'!$F$7:$F$306,"Pending")&gt;0,"P",""))))</f>
        <v/>
      </c>
      <c r="X14" s="23" t="str">
        <f>IF(A14="","",IF(IF(OR(DATE($B$3,1,23)&gt;EOMONTH(DATE($B$3,1,1),0),NETWORKDAYS.INTL(DATE($B$3,1,23),DATE($B$3,1,23),1,'Non-working days'!$A$6:$A$45)=0),"",IF(COUNTIFS('Leave log'!$A$7:$A$306,Employees!$A$13,'Leave log'!$B$7:$B$306,"&lt;="&amp;DATE($B$3,1,23),'Leave log'!$C$7:$C$306,"&gt;="&amp;DATE($B$3,1,23),'Leave log'!$F$7:$F$306,"Approved")&gt;0,"A",""))="A","A",IF(OR(DATE($B$3,1,23)&gt;EOMONTH(DATE($B$3,1,1),0),NETWORKDAYS.INTL(DATE($B$3,1,23),DATE($B$3,1,23),1,'Non-working days'!$A$6:$A$45)=0),"",IF(COUNTIFS('Leave log'!$A$7:$A$306,Employees!$A$13,'Leave log'!$B$7:$B$306,"&lt;="&amp;DATE($B$3,1,23),'Leave log'!$C$7:$C$306,"&gt;="&amp;DATE($B$3,1,23),'Leave log'!$F$7:$F$306,"Pending")&gt;0,"P",""))))</f>
        <v/>
      </c>
      <c r="Y14" s="23" t="str">
        <f>IF(A14="","",IF(IF(OR(DATE($B$3,1,24)&gt;EOMONTH(DATE($B$3,1,1),0),NETWORKDAYS.INTL(DATE($B$3,1,24),DATE($B$3,1,24),1,'Non-working days'!$A$6:$A$45)=0),"",IF(COUNTIFS('Leave log'!$A$7:$A$306,Employees!$A$13,'Leave log'!$B$7:$B$306,"&lt;="&amp;DATE($B$3,1,24),'Leave log'!$C$7:$C$306,"&gt;="&amp;DATE($B$3,1,24),'Leave log'!$F$7:$F$306,"Approved")&gt;0,"A",""))="A","A",IF(OR(DATE($B$3,1,24)&gt;EOMONTH(DATE($B$3,1,1),0),NETWORKDAYS.INTL(DATE($B$3,1,24),DATE($B$3,1,24),1,'Non-working days'!$A$6:$A$45)=0),"",IF(COUNTIFS('Leave log'!$A$7:$A$306,Employees!$A$13,'Leave log'!$B$7:$B$306,"&lt;="&amp;DATE($B$3,1,24),'Leave log'!$C$7:$C$306,"&gt;="&amp;DATE($B$3,1,24),'Leave log'!$F$7:$F$306,"Pending")&gt;0,"P",""))))</f>
        <v/>
      </c>
      <c r="Z14" s="23" t="str">
        <f>IF(A14="","",IF(IF(OR(DATE($B$3,1,25)&gt;EOMONTH(DATE($B$3,1,1),0),NETWORKDAYS.INTL(DATE($B$3,1,25),DATE($B$3,1,25),1,'Non-working days'!$A$6:$A$45)=0),"",IF(COUNTIFS('Leave log'!$A$7:$A$306,Employees!$A$13,'Leave log'!$B$7:$B$306,"&lt;="&amp;DATE($B$3,1,25),'Leave log'!$C$7:$C$306,"&gt;="&amp;DATE($B$3,1,25),'Leave log'!$F$7:$F$306,"Approved")&gt;0,"A",""))="A","A",IF(OR(DATE($B$3,1,25)&gt;EOMONTH(DATE($B$3,1,1),0),NETWORKDAYS.INTL(DATE($B$3,1,25),DATE($B$3,1,25),1,'Non-working days'!$A$6:$A$45)=0),"",IF(COUNTIFS('Leave log'!$A$7:$A$306,Employees!$A$13,'Leave log'!$B$7:$B$306,"&lt;="&amp;DATE($B$3,1,25),'Leave log'!$C$7:$C$306,"&gt;="&amp;DATE($B$3,1,25),'Leave log'!$F$7:$F$306,"Pending")&gt;0,"P",""))))</f>
        <v/>
      </c>
      <c r="AA14" s="23" t="str">
        <f>IF(A14="","",IF(IF(OR(DATE($B$3,1,26)&gt;EOMONTH(DATE($B$3,1,1),0),NETWORKDAYS.INTL(DATE($B$3,1,26),DATE($B$3,1,26),1,'Non-working days'!$A$6:$A$45)=0),"",IF(COUNTIFS('Leave log'!$A$7:$A$306,Employees!$A$13,'Leave log'!$B$7:$B$306,"&lt;="&amp;DATE($B$3,1,26),'Leave log'!$C$7:$C$306,"&gt;="&amp;DATE($B$3,1,26),'Leave log'!$F$7:$F$306,"Approved")&gt;0,"A",""))="A","A",IF(OR(DATE($B$3,1,26)&gt;EOMONTH(DATE($B$3,1,1),0),NETWORKDAYS.INTL(DATE($B$3,1,26),DATE($B$3,1,26),1,'Non-working days'!$A$6:$A$45)=0),"",IF(COUNTIFS('Leave log'!$A$7:$A$306,Employees!$A$13,'Leave log'!$B$7:$B$306,"&lt;="&amp;DATE($B$3,1,26),'Leave log'!$C$7:$C$306,"&gt;="&amp;DATE($B$3,1,26),'Leave log'!$F$7:$F$306,"Pending")&gt;0,"P",""))))</f>
        <v/>
      </c>
      <c r="AB14" s="23" t="str">
        <f>IF(A14="","",IF(IF(OR(DATE($B$3,1,27)&gt;EOMONTH(DATE($B$3,1,1),0),NETWORKDAYS.INTL(DATE($B$3,1,27),DATE($B$3,1,27),1,'Non-working days'!$A$6:$A$45)=0),"",IF(COUNTIFS('Leave log'!$A$7:$A$306,Employees!$A$13,'Leave log'!$B$7:$B$306,"&lt;="&amp;DATE($B$3,1,27),'Leave log'!$C$7:$C$306,"&gt;="&amp;DATE($B$3,1,27),'Leave log'!$F$7:$F$306,"Approved")&gt;0,"A",""))="A","A",IF(OR(DATE($B$3,1,27)&gt;EOMONTH(DATE($B$3,1,1),0),NETWORKDAYS.INTL(DATE($B$3,1,27),DATE($B$3,1,27),1,'Non-working days'!$A$6:$A$45)=0),"",IF(COUNTIFS('Leave log'!$A$7:$A$306,Employees!$A$13,'Leave log'!$B$7:$B$306,"&lt;="&amp;DATE($B$3,1,27),'Leave log'!$C$7:$C$306,"&gt;="&amp;DATE($B$3,1,27),'Leave log'!$F$7:$F$306,"Pending")&gt;0,"P",""))))</f>
        <v/>
      </c>
      <c r="AC14" s="23" t="str">
        <f>IF(A14="","",IF(IF(OR(DATE($B$3,1,28)&gt;EOMONTH(DATE($B$3,1,1),0),NETWORKDAYS.INTL(DATE($B$3,1,28),DATE($B$3,1,28),1,'Non-working days'!$A$6:$A$45)=0),"",IF(COUNTIFS('Leave log'!$A$7:$A$306,Employees!$A$13,'Leave log'!$B$7:$B$306,"&lt;="&amp;DATE($B$3,1,28),'Leave log'!$C$7:$C$306,"&gt;="&amp;DATE($B$3,1,28),'Leave log'!$F$7:$F$306,"Approved")&gt;0,"A",""))="A","A",IF(OR(DATE($B$3,1,28)&gt;EOMONTH(DATE($B$3,1,1),0),NETWORKDAYS.INTL(DATE($B$3,1,28),DATE($B$3,1,28),1,'Non-working days'!$A$6:$A$45)=0),"",IF(COUNTIFS('Leave log'!$A$7:$A$306,Employees!$A$13,'Leave log'!$B$7:$B$306,"&lt;="&amp;DATE($B$3,1,28),'Leave log'!$C$7:$C$306,"&gt;="&amp;DATE($B$3,1,28),'Leave log'!$F$7:$F$306,"Pending")&gt;0,"P",""))))</f>
        <v/>
      </c>
      <c r="AD14" s="23" t="str">
        <f>IF(A14="","",IF(IF(OR(DATE($B$3,1,29)&gt;EOMONTH(DATE($B$3,1,1),0),NETWORKDAYS.INTL(DATE($B$3,1,29),DATE($B$3,1,29),1,'Non-working days'!$A$6:$A$45)=0),"",IF(COUNTIFS('Leave log'!$A$7:$A$306,Employees!$A$13,'Leave log'!$B$7:$B$306,"&lt;="&amp;DATE($B$3,1,29),'Leave log'!$C$7:$C$306,"&gt;="&amp;DATE($B$3,1,29),'Leave log'!$F$7:$F$306,"Approved")&gt;0,"A",""))="A","A",IF(OR(DATE($B$3,1,29)&gt;EOMONTH(DATE($B$3,1,1),0),NETWORKDAYS.INTL(DATE($B$3,1,29),DATE($B$3,1,29),1,'Non-working days'!$A$6:$A$45)=0),"",IF(COUNTIFS('Leave log'!$A$7:$A$306,Employees!$A$13,'Leave log'!$B$7:$B$306,"&lt;="&amp;DATE($B$3,1,29),'Leave log'!$C$7:$C$306,"&gt;="&amp;DATE($B$3,1,29),'Leave log'!$F$7:$F$306,"Pending")&gt;0,"P",""))))</f>
        <v/>
      </c>
      <c r="AE14" s="23" t="str">
        <f>IF(A14="","",IF(IF(OR(DATE($B$3,1,30)&gt;EOMONTH(DATE($B$3,1,1),0),NETWORKDAYS.INTL(DATE($B$3,1,30),DATE($B$3,1,30),1,'Non-working days'!$A$6:$A$45)=0),"",IF(COUNTIFS('Leave log'!$A$7:$A$306,Employees!$A$13,'Leave log'!$B$7:$B$306,"&lt;="&amp;DATE($B$3,1,30),'Leave log'!$C$7:$C$306,"&gt;="&amp;DATE($B$3,1,30),'Leave log'!$F$7:$F$306,"Approved")&gt;0,"A",""))="A","A",IF(OR(DATE($B$3,1,30)&gt;EOMONTH(DATE($B$3,1,1),0),NETWORKDAYS.INTL(DATE($B$3,1,30),DATE($B$3,1,30),1,'Non-working days'!$A$6:$A$45)=0),"",IF(COUNTIFS('Leave log'!$A$7:$A$306,Employees!$A$13,'Leave log'!$B$7:$B$306,"&lt;="&amp;DATE($B$3,1,30),'Leave log'!$C$7:$C$306,"&gt;="&amp;DATE($B$3,1,30),'Leave log'!$F$7:$F$306,"Pending")&gt;0,"P",""))))</f>
        <v/>
      </c>
      <c r="AF14" s="23" t="str">
        <f>IF(A14="","",IF(IF(OR(DATE($B$3,1,31)&gt;EOMONTH(DATE($B$3,1,1),0),NETWORKDAYS.INTL(DATE($B$3,1,31),DATE($B$3,1,31),1,'Non-working days'!$A$6:$A$45)=0),"",IF(COUNTIFS('Leave log'!$A$7:$A$306,Employees!$A$13,'Leave log'!$B$7:$B$306,"&lt;="&amp;DATE($B$3,1,31),'Leave log'!$C$7:$C$306,"&gt;="&amp;DATE($B$3,1,31),'Leave log'!$F$7:$F$306,"Approved")&gt;0,"A",""))="A","A",IF(OR(DATE($B$3,1,31)&gt;EOMONTH(DATE($B$3,1,1),0),NETWORKDAYS.INTL(DATE($B$3,1,31),DATE($B$3,1,31),1,'Non-working days'!$A$6:$A$45)=0),"",IF(COUNTIFS('Leave log'!$A$7:$A$306,Employees!$A$13,'Leave log'!$B$7:$B$306,"&lt;="&amp;DATE($B$3,1,31),'Leave log'!$C$7:$C$306,"&gt;="&amp;DATE($B$3,1,31),'Leave log'!$F$7:$F$306,"Pending")&gt;0,"P",""))))</f>
        <v/>
      </c>
    </row>
    <row r="15" spans="1:32" ht="18" customHeight="1" x14ac:dyDescent="0.3">
      <c r="A15" s="22" t="str">
        <f>IF(Employees!F14="Yes",Employees!B14,"")</f>
        <v/>
      </c>
      <c r="B15" s="23" t="str">
        <f>IF(A15="","",IF(IF(OR(DATE($B$3,1,1)&gt;EOMONTH(DATE($B$3,1,1),0),NETWORKDAYS.INTL(DATE($B$3,1,1),DATE($B$3,1,1),1,'Non-working days'!$A$6:$A$45)=0),"",IF(COUNTIFS('Leave log'!$A$7:$A$306,Employees!$A$14,'Leave log'!$B$7:$B$306,"&lt;="&amp;DATE($B$3,1,1),'Leave log'!$C$7:$C$306,"&gt;="&amp;DATE($B$3,1,1),'Leave log'!$F$7:$F$306,"Approved")&gt;0,"A",""))="A","A",IF(OR(DATE($B$3,1,1)&gt;EOMONTH(DATE($B$3,1,1),0),NETWORKDAYS.INTL(DATE($B$3,1,1),DATE($B$3,1,1),1,'Non-working days'!$A$6:$A$45)=0),"",IF(COUNTIFS('Leave log'!$A$7:$A$306,Employees!$A$14,'Leave log'!$B$7:$B$306,"&lt;="&amp;DATE($B$3,1,1),'Leave log'!$C$7:$C$306,"&gt;="&amp;DATE($B$3,1,1),'Leave log'!$F$7:$F$306,"Pending")&gt;0,"P",""))))</f>
        <v/>
      </c>
      <c r="C15" s="23" t="str">
        <f>IF(A15="","",IF(IF(OR(DATE($B$3,1,2)&gt;EOMONTH(DATE($B$3,1,1),0),NETWORKDAYS.INTL(DATE($B$3,1,2),DATE($B$3,1,2),1,'Non-working days'!$A$6:$A$45)=0),"",IF(COUNTIFS('Leave log'!$A$7:$A$306,Employees!$A$14,'Leave log'!$B$7:$B$306,"&lt;="&amp;DATE($B$3,1,2),'Leave log'!$C$7:$C$306,"&gt;="&amp;DATE($B$3,1,2),'Leave log'!$F$7:$F$306,"Approved")&gt;0,"A",""))="A","A",IF(OR(DATE($B$3,1,2)&gt;EOMONTH(DATE($B$3,1,1),0),NETWORKDAYS.INTL(DATE($B$3,1,2),DATE($B$3,1,2),1,'Non-working days'!$A$6:$A$45)=0),"",IF(COUNTIFS('Leave log'!$A$7:$A$306,Employees!$A$14,'Leave log'!$B$7:$B$306,"&lt;="&amp;DATE($B$3,1,2),'Leave log'!$C$7:$C$306,"&gt;="&amp;DATE($B$3,1,2),'Leave log'!$F$7:$F$306,"Pending")&gt;0,"P",""))))</f>
        <v/>
      </c>
      <c r="D15" s="23" t="str">
        <f>IF(A15="","",IF(IF(OR(DATE($B$3,1,3)&gt;EOMONTH(DATE($B$3,1,1),0),NETWORKDAYS.INTL(DATE($B$3,1,3),DATE($B$3,1,3),1,'Non-working days'!$A$6:$A$45)=0),"",IF(COUNTIFS('Leave log'!$A$7:$A$306,Employees!$A$14,'Leave log'!$B$7:$B$306,"&lt;="&amp;DATE($B$3,1,3),'Leave log'!$C$7:$C$306,"&gt;="&amp;DATE($B$3,1,3),'Leave log'!$F$7:$F$306,"Approved")&gt;0,"A",""))="A","A",IF(OR(DATE($B$3,1,3)&gt;EOMONTH(DATE($B$3,1,1),0),NETWORKDAYS.INTL(DATE($B$3,1,3),DATE($B$3,1,3),1,'Non-working days'!$A$6:$A$45)=0),"",IF(COUNTIFS('Leave log'!$A$7:$A$306,Employees!$A$14,'Leave log'!$B$7:$B$306,"&lt;="&amp;DATE($B$3,1,3),'Leave log'!$C$7:$C$306,"&gt;="&amp;DATE($B$3,1,3),'Leave log'!$F$7:$F$306,"Pending")&gt;0,"P",""))))</f>
        <v/>
      </c>
      <c r="E15" s="23" t="str">
        <f>IF(A15="","",IF(IF(OR(DATE($B$3,1,4)&gt;EOMONTH(DATE($B$3,1,1),0),NETWORKDAYS.INTL(DATE($B$3,1,4),DATE($B$3,1,4),1,'Non-working days'!$A$6:$A$45)=0),"",IF(COUNTIFS('Leave log'!$A$7:$A$306,Employees!$A$14,'Leave log'!$B$7:$B$306,"&lt;="&amp;DATE($B$3,1,4),'Leave log'!$C$7:$C$306,"&gt;="&amp;DATE($B$3,1,4),'Leave log'!$F$7:$F$306,"Approved")&gt;0,"A",""))="A","A",IF(OR(DATE($B$3,1,4)&gt;EOMONTH(DATE($B$3,1,1),0),NETWORKDAYS.INTL(DATE($B$3,1,4),DATE($B$3,1,4),1,'Non-working days'!$A$6:$A$45)=0),"",IF(COUNTIFS('Leave log'!$A$7:$A$306,Employees!$A$14,'Leave log'!$B$7:$B$306,"&lt;="&amp;DATE($B$3,1,4),'Leave log'!$C$7:$C$306,"&gt;="&amp;DATE($B$3,1,4),'Leave log'!$F$7:$F$306,"Pending")&gt;0,"P",""))))</f>
        <v/>
      </c>
      <c r="F15" s="23" t="str">
        <f>IF(A15="","",IF(IF(OR(DATE($B$3,1,5)&gt;EOMONTH(DATE($B$3,1,1),0),NETWORKDAYS.INTL(DATE($B$3,1,5),DATE($B$3,1,5),1,'Non-working days'!$A$6:$A$45)=0),"",IF(COUNTIFS('Leave log'!$A$7:$A$306,Employees!$A$14,'Leave log'!$B$7:$B$306,"&lt;="&amp;DATE($B$3,1,5),'Leave log'!$C$7:$C$306,"&gt;="&amp;DATE($B$3,1,5),'Leave log'!$F$7:$F$306,"Approved")&gt;0,"A",""))="A","A",IF(OR(DATE($B$3,1,5)&gt;EOMONTH(DATE($B$3,1,1),0),NETWORKDAYS.INTL(DATE($B$3,1,5),DATE($B$3,1,5),1,'Non-working days'!$A$6:$A$45)=0),"",IF(COUNTIFS('Leave log'!$A$7:$A$306,Employees!$A$14,'Leave log'!$B$7:$B$306,"&lt;="&amp;DATE($B$3,1,5),'Leave log'!$C$7:$C$306,"&gt;="&amp;DATE($B$3,1,5),'Leave log'!$F$7:$F$306,"Pending")&gt;0,"P",""))))</f>
        <v/>
      </c>
      <c r="G15" s="23" t="str">
        <f>IF(A15="","",IF(IF(OR(DATE($B$3,1,6)&gt;EOMONTH(DATE($B$3,1,1),0),NETWORKDAYS.INTL(DATE($B$3,1,6),DATE($B$3,1,6),1,'Non-working days'!$A$6:$A$45)=0),"",IF(COUNTIFS('Leave log'!$A$7:$A$306,Employees!$A$14,'Leave log'!$B$7:$B$306,"&lt;="&amp;DATE($B$3,1,6),'Leave log'!$C$7:$C$306,"&gt;="&amp;DATE($B$3,1,6),'Leave log'!$F$7:$F$306,"Approved")&gt;0,"A",""))="A","A",IF(OR(DATE($B$3,1,6)&gt;EOMONTH(DATE($B$3,1,1),0),NETWORKDAYS.INTL(DATE($B$3,1,6),DATE($B$3,1,6),1,'Non-working days'!$A$6:$A$45)=0),"",IF(COUNTIFS('Leave log'!$A$7:$A$306,Employees!$A$14,'Leave log'!$B$7:$B$306,"&lt;="&amp;DATE($B$3,1,6),'Leave log'!$C$7:$C$306,"&gt;="&amp;DATE($B$3,1,6),'Leave log'!$F$7:$F$306,"Pending")&gt;0,"P",""))))</f>
        <v/>
      </c>
      <c r="H15" s="23" t="str">
        <f>IF(A15="","",IF(IF(OR(DATE($B$3,1,7)&gt;EOMONTH(DATE($B$3,1,1),0),NETWORKDAYS.INTL(DATE($B$3,1,7),DATE($B$3,1,7),1,'Non-working days'!$A$6:$A$45)=0),"",IF(COUNTIFS('Leave log'!$A$7:$A$306,Employees!$A$14,'Leave log'!$B$7:$B$306,"&lt;="&amp;DATE($B$3,1,7),'Leave log'!$C$7:$C$306,"&gt;="&amp;DATE($B$3,1,7),'Leave log'!$F$7:$F$306,"Approved")&gt;0,"A",""))="A","A",IF(OR(DATE($B$3,1,7)&gt;EOMONTH(DATE($B$3,1,1),0),NETWORKDAYS.INTL(DATE($B$3,1,7),DATE($B$3,1,7),1,'Non-working days'!$A$6:$A$45)=0),"",IF(COUNTIFS('Leave log'!$A$7:$A$306,Employees!$A$14,'Leave log'!$B$7:$B$306,"&lt;="&amp;DATE($B$3,1,7),'Leave log'!$C$7:$C$306,"&gt;="&amp;DATE($B$3,1,7),'Leave log'!$F$7:$F$306,"Pending")&gt;0,"P",""))))</f>
        <v/>
      </c>
      <c r="I15" s="23" t="str">
        <f>IF(A15="","",IF(IF(OR(DATE($B$3,1,8)&gt;EOMONTH(DATE($B$3,1,1),0),NETWORKDAYS.INTL(DATE($B$3,1,8),DATE($B$3,1,8),1,'Non-working days'!$A$6:$A$45)=0),"",IF(COUNTIFS('Leave log'!$A$7:$A$306,Employees!$A$14,'Leave log'!$B$7:$B$306,"&lt;="&amp;DATE($B$3,1,8),'Leave log'!$C$7:$C$306,"&gt;="&amp;DATE($B$3,1,8),'Leave log'!$F$7:$F$306,"Approved")&gt;0,"A",""))="A","A",IF(OR(DATE($B$3,1,8)&gt;EOMONTH(DATE($B$3,1,1),0),NETWORKDAYS.INTL(DATE($B$3,1,8),DATE($B$3,1,8),1,'Non-working days'!$A$6:$A$45)=0),"",IF(COUNTIFS('Leave log'!$A$7:$A$306,Employees!$A$14,'Leave log'!$B$7:$B$306,"&lt;="&amp;DATE($B$3,1,8),'Leave log'!$C$7:$C$306,"&gt;="&amp;DATE($B$3,1,8),'Leave log'!$F$7:$F$306,"Pending")&gt;0,"P",""))))</f>
        <v/>
      </c>
      <c r="J15" s="23" t="str">
        <f>IF(A15="","",IF(IF(OR(DATE($B$3,1,9)&gt;EOMONTH(DATE($B$3,1,1),0),NETWORKDAYS.INTL(DATE($B$3,1,9),DATE($B$3,1,9),1,'Non-working days'!$A$6:$A$45)=0),"",IF(COUNTIFS('Leave log'!$A$7:$A$306,Employees!$A$14,'Leave log'!$B$7:$B$306,"&lt;="&amp;DATE($B$3,1,9),'Leave log'!$C$7:$C$306,"&gt;="&amp;DATE($B$3,1,9),'Leave log'!$F$7:$F$306,"Approved")&gt;0,"A",""))="A","A",IF(OR(DATE($B$3,1,9)&gt;EOMONTH(DATE($B$3,1,1),0),NETWORKDAYS.INTL(DATE($B$3,1,9),DATE($B$3,1,9),1,'Non-working days'!$A$6:$A$45)=0),"",IF(COUNTIFS('Leave log'!$A$7:$A$306,Employees!$A$14,'Leave log'!$B$7:$B$306,"&lt;="&amp;DATE($B$3,1,9),'Leave log'!$C$7:$C$306,"&gt;="&amp;DATE($B$3,1,9),'Leave log'!$F$7:$F$306,"Pending")&gt;0,"P",""))))</f>
        <v/>
      </c>
      <c r="K15" s="23" t="str">
        <f>IF(A15="","",IF(IF(OR(DATE($B$3,1,10)&gt;EOMONTH(DATE($B$3,1,1),0),NETWORKDAYS.INTL(DATE($B$3,1,10),DATE($B$3,1,10),1,'Non-working days'!$A$6:$A$45)=0),"",IF(COUNTIFS('Leave log'!$A$7:$A$306,Employees!$A$14,'Leave log'!$B$7:$B$306,"&lt;="&amp;DATE($B$3,1,10),'Leave log'!$C$7:$C$306,"&gt;="&amp;DATE($B$3,1,10),'Leave log'!$F$7:$F$306,"Approved")&gt;0,"A",""))="A","A",IF(OR(DATE($B$3,1,10)&gt;EOMONTH(DATE($B$3,1,1),0),NETWORKDAYS.INTL(DATE($B$3,1,10),DATE($B$3,1,10),1,'Non-working days'!$A$6:$A$45)=0),"",IF(COUNTIFS('Leave log'!$A$7:$A$306,Employees!$A$14,'Leave log'!$B$7:$B$306,"&lt;="&amp;DATE($B$3,1,10),'Leave log'!$C$7:$C$306,"&gt;="&amp;DATE($B$3,1,10),'Leave log'!$F$7:$F$306,"Pending")&gt;0,"P",""))))</f>
        <v/>
      </c>
      <c r="L15" s="23" t="str">
        <f>IF(A15="","",IF(IF(OR(DATE($B$3,1,11)&gt;EOMONTH(DATE($B$3,1,1),0),NETWORKDAYS.INTL(DATE($B$3,1,11),DATE($B$3,1,11),1,'Non-working days'!$A$6:$A$45)=0),"",IF(COUNTIFS('Leave log'!$A$7:$A$306,Employees!$A$14,'Leave log'!$B$7:$B$306,"&lt;="&amp;DATE($B$3,1,11),'Leave log'!$C$7:$C$306,"&gt;="&amp;DATE($B$3,1,11),'Leave log'!$F$7:$F$306,"Approved")&gt;0,"A",""))="A","A",IF(OR(DATE($B$3,1,11)&gt;EOMONTH(DATE($B$3,1,1),0),NETWORKDAYS.INTL(DATE($B$3,1,11),DATE($B$3,1,11),1,'Non-working days'!$A$6:$A$45)=0),"",IF(COUNTIFS('Leave log'!$A$7:$A$306,Employees!$A$14,'Leave log'!$B$7:$B$306,"&lt;="&amp;DATE($B$3,1,11),'Leave log'!$C$7:$C$306,"&gt;="&amp;DATE($B$3,1,11),'Leave log'!$F$7:$F$306,"Pending")&gt;0,"P",""))))</f>
        <v/>
      </c>
      <c r="M15" s="23" t="str">
        <f>IF(A15="","",IF(IF(OR(DATE($B$3,1,12)&gt;EOMONTH(DATE($B$3,1,1),0),NETWORKDAYS.INTL(DATE($B$3,1,12),DATE($B$3,1,12),1,'Non-working days'!$A$6:$A$45)=0),"",IF(COUNTIFS('Leave log'!$A$7:$A$306,Employees!$A$14,'Leave log'!$B$7:$B$306,"&lt;="&amp;DATE($B$3,1,12),'Leave log'!$C$7:$C$306,"&gt;="&amp;DATE($B$3,1,12),'Leave log'!$F$7:$F$306,"Approved")&gt;0,"A",""))="A","A",IF(OR(DATE($B$3,1,12)&gt;EOMONTH(DATE($B$3,1,1),0),NETWORKDAYS.INTL(DATE($B$3,1,12),DATE($B$3,1,12),1,'Non-working days'!$A$6:$A$45)=0),"",IF(COUNTIFS('Leave log'!$A$7:$A$306,Employees!$A$14,'Leave log'!$B$7:$B$306,"&lt;="&amp;DATE($B$3,1,12),'Leave log'!$C$7:$C$306,"&gt;="&amp;DATE($B$3,1,12),'Leave log'!$F$7:$F$306,"Pending")&gt;0,"P",""))))</f>
        <v/>
      </c>
      <c r="N15" s="23" t="str">
        <f>IF(A15="","",IF(IF(OR(DATE($B$3,1,13)&gt;EOMONTH(DATE($B$3,1,1),0),NETWORKDAYS.INTL(DATE($B$3,1,13),DATE($B$3,1,13),1,'Non-working days'!$A$6:$A$45)=0),"",IF(COUNTIFS('Leave log'!$A$7:$A$306,Employees!$A$14,'Leave log'!$B$7:$B$306,"&lt;="&amp;DATE($B$3,1,13),'Leave log'!$C$7:$C$306,"&gt;="&amp;DATE($B$3,1,13),'Leave log'!$F$7:$F$306,"Approved")&gt;0,"A",""))="A","A",IF(OR(DATE($B$3,1,13)&gt;EOMONTH(DATE($B$3,1,1),0),NETWORKDAYS.INTL(DATE($B$3,1,13),DATE($B$3,1,13),1,'Non-working days'!$A$6:$A$45)=0),"",IF(COUNTIFS('Leave log'!$A$7:$A$306,Employees!$A$14,'Leave log'!$B$7:$B$306,"&lt;="&amp;DATE($B$3,1,13),'Leave log'!$C$7:$C$306,"&gt;="&amp;DATE($B$3,1,13),'Leave log'!$F$7:$F$306,"Pending")&gt;0,"P",""))))</f>
        <v/>
      </c>
      <c r="O15" s="23" t="str">
        <f>IF(A15="","",IF(IF(OR(DATE($B$3,1,14)&gt;EOMONTH(DATE($B$3,1,1),0),NETWORKDAYS.INTL(DATE($B$3,1,14),DATE($B$3,1,14),1,'Non-working days'!$A$6:$A$45)=0),"",IF(COUNTIFS('Leave log'!$A$7:$A$306,Employees!$A$14,'Leave log'!$B$7:$B$306,"&lt;="&amp;DATE($B$3,1,14),'Leave log'!$C$7:$C$306,"&gt;="&amp;DATE($B$3,1,14),'Leave log'!$F$7:$F$306,"Approved")&gt;0,"A",""))="A","A",IF(OR(DATE($B$3,1,14)&gt;EOMONTH(DATE($B$3,1,1),0),NETWORKDAYS.INTL(DATE($B$3,1,14),DATE($B$3,1,14),1,'Non-working days'!$A$6:$A$45)=0),"",IF(COUNTIFS('Leave log'!$A$7:$A$306,Employees!$A$14,'Leave log'!$B$7:$B$306,"&lt;="&amp;DATE($B$3,1,14),'Leave log'!$C$7:$C$306,"&gt;="&amp;DATE($B$3,1,14),'Leave log'!$F$7:$F$306,"Pending")&gt;0,"P",""))))</f>
        <v/>
      </c>
      <c r="P15" s="23" t="str">
        <f>IF(A15="","",IF(IF(OR(DATE($B$3,1,15)&gt;EOMONTH(DATE($B$3,1,1),0),NETWORKDAYS.INTL(DATE($B$3,1,15),DATE($B$3,1,15),1,'Non-working days'!$A$6:$A$45)=0),"",IF(COUNTIFS('Leave log'!$A$7:$A$306,Employees!$A$14,'Leave log'!$B$7:$B$306,"&lt;="&amp;DATE($B$3,1,15),'Leave log'!$C$7:$C$306,"&gt;="&amp;DATE($B$3,1,15),'Leave log'!$F$7:$F$306,"Approved")&gt;0,"A",""))="A","A",IF(OR(DATE($B$3,1,15)&gt;EOMONTH(DATE($B$3,1,1),0),NETWORKDAYS.INTL(DATE($B$3,1,15),DATE($B$3,1,15),1,'Non-working days'!$A$6:$A$45)=0),"",IF(COUNTIFS('Leave log'!$A$7:$A$306,Employees!$A$14,'Leave log'!$B$7:$B$306,"&lt;="&amp;DATE($B$3,1,15),'Leave log'!$C$7:$C$306,"&gt;="&amp;DATE($B$3,1,15),'Leave log'!$F$7:$F$306,"Pending")&gt;0,"P",""))))</f>
        <v/>
      </c>
      <c r="Q15" s="23" t="str">
        <f>IF(A15="","",IF(IF(OR(DATE($B$3,1,16)&gt;EOMONTH(DATE($B$3,1,1),0),NETWORKDAYS.INTL(DATE($B$3,1,16),DATE($B$3,1,16),1,'Non-working days'!$A$6:$A$45)=0),"",IF(COUNTIFS('Leave log'!$A$7:$A$306,Employees!$A$14,'Leave log'!$B$7:$B$306,"&lt;="&amp;DATE($B$3,1,16),'Leave log'!$C$7:$C$306,"&gt;="&amp;DATE($B$3,1,16),'Leave log'!$F$7:$F$306,"Approved")&gt;0,"A",""))="A","A",IF(OR(DATE($B$3,1,16)&gt;EOMONTH(DATE($B$3,1,1),0),NETWORKDAYS.INTL(DATE($B$3,1,16),DATE($B$3,1,16),1,'Non-working days'!$A$6:$A$45)=0),"",IF(COUNTIFS('Leave log'!$A$7:$A$306,Employees!$A$14,'Leave log'!$B$7:$B$306,"&lt;="&amp;DATE($B$3,1,16),'Leave log'!$C$7:$C$306,"&gt;="&amp;DATE($B$3,1,16),'Leave log'!$F$7:$F$306,"Pending")&gt;0,"P",""))))</f>
        <v/>
      </c>
      <c r="R15" s="23" t="str">
        <f>IF(A15="","",IF(IF(OR(DATE($B$3,1,17)&gt;EOMONTH(DATE($B$3,1,1),0),NETWORKDAYS.INTL(DATE($B$3,1,17),DATE($B$3,1,17),1,'Non-working days'!$A$6:$A$45)=0),"",IF(COUNTIFS('Leave log'!$A$7:$A$306,Employees!$A$14,'Leave log'!$B$7:$B$306,"&lt;="&amp;DATE($B$3,1,17),'Leave log'!$C$7:$C$306,"&gt;="&amp;DATE($B$3,1,17),'Leave log'!$F$7:$F$306,"Approved")&gt;0,"A",""))="A","A",IF(OR(DATE($B$3,1,17)&gt;EOMONTH(DATE($B$3,1,1),0),NETWORKDAYS.INTL(DATE($B$3,1,17),DATE($B$3,1,17),1,'Non-working days'!$A$6:$A$45)=0),"",IF(COUNTIFS('Leave log'!$A$7:$A$306,Employees!$A$14,'Leave log'!$B$7:$B$306,"&lt;="&amp;DATE($B$3,1,17),'Leave log'!$C$7:$C$306,"&gt;="&amp;DATE($B$3,1,17),'Leave log'!$F$7:$F$306,"Pending")&gt;0,"P",""))))</f>
        <v/>
      </c>
      <c r="S15" s="23" t="str">
        <f>IF(A15="","",IF(IF(OR(DATE($B$3,1,18)&gt;EOMONTH(DATE($B$3,1,1),0),NETWORKDAYS.INTL(DATE($B$3,1,18),DATE($B$3,1,18),1,'Non-working days'!$A$6:$A$45)=0),"",IF(COUNTIFS('Leave log'!$A$7:$A$306,Employees!$A$14,'Leave log'!$B$7:$B$306,"&lt;="&amp;DATE($B$3,1,18),'Leave log'!$C$7:$C$306,"&gt;="&amp;DATE($B$3,1,18),'Leave log'!$F$7:$F$306,"Approved")&gt;0,"A",""))="A","A",IF(OR(DATE($B$3,1,18)&gt;EOMONTH(DATE($B$3,1,1),0),NETWORKDAYS.INTL(DATE($B$3,1,18),DATE($B$3,1,18),1,'Non-working days'!$A$6:$A$45)=0),"",IF(COUNTIFS('Leave log'!$A$7:$A$306,Employees!$A$14,'Leave log'!$B$7:$B$306,"&lt;="&amp;DATE($B$3,1,18),'Leave log'!$C$7:$C$306,"&gt;="&amp;DATE($B$3,1,18),'Leave log'!$F$7:$F$306,"Pending")&gt;0,"P",""))))</f>
        <v/>
      </c>
      <c r="T15" s="23" t="str">
        <f>IF(A15="","",IF(IF(OR(DATE($B$3,1,19)&gt;EOMONTH(DATE($B$3,1,1),0),NETWORKDAYS.INTL(DATE($B$3,1,19),DATE($B$3,1,19),1,'Non-working days'!$A$6:$A$45)=0),"",IF(COUNTIFS('Leave log'!$A$7:$A$306,Employees!$A$14,'Leave log'!$B$7:$B$306,"&lt;="&amp;DATE($B$3,1,19),'Leave log'!$C$7:$C$306,"&gt;="&amp;DATE($B$3,1,19),'Leave log'!$F$7:$F$306,"Approved")&gt;0,"A",""))="A","A",IF(OR(DATE($B$3,1,19)&gt;EOMONTH(DATE($B$3,1,1),0),NETWORKDAYS.INTL(DATE($B$3,1,19),DATE($B$3,1,19),1,'Non-working days'!$A$6:$A$45)=0),"",IF(COUNTIFS('Leave log'!$A$7:$A$306,Employees!$A$14,'Leave log'!$B$7:$B$306,"&lt;="&amp;DATE($B$3,1,19),'Leave log'!$C$7:$C$306,"&gt;="&amp;DATE($B$3,1,19),'Leave log'!$F$7:$F$306,"Pending")&gt;0,"P",""))))</f>
        <v/>
      </c>
      <c r="U15" s="23" t="str">
        <f>IF(A15="","",IF(IF(OR(DATE($B$3,1,20)&gt;EOMONTH(DATE($B$3,1,1),0),NETWORKDAYS.INTL(DATE($B$3,1,20),DATE($B$3,1,20),1,'Non-working days'!$A$6:$A$45)=0),"",IF(COUNTIFS('Leave log'!$A$7:$A$306,Employees!$A$14,'Leave log'!$B$7:$B$306,"&lt;="&amp;DATE($B$3,1,20),'Leave log'!$C$7:$C$306,"&gt;="&amp;DATE($B$3,1,20),'Leave log'!$F$7:$F$306,"Approved")&gt;0,"A",""))="A","A",IF(OR(DATE($B$3,1,20)&gt;EOMONTH(DATE($B$3,1,1),0),NETWORKDAYS.INTL(DATE($B$3,1,20),DATE($B$3,1,20),1,'Non-working days'!$A$6:$A$45)=0),"",IF(COUNTIFS('Leave log'!$A$7:$A$306,Employees!$A$14,'Leave log'!$B$7:$B$306,"&lt;="&amp;DATE($B$3,1,20),'Leave log'!$C$7:$C$306,"&gt;="&amp;DATE($B$3,1,20),'Leave log'!$F$7:$F$306,"Pending")&gt;0,"P",""))))</f>
        <v/>
      </c>
      <c r="V15" s="23" t="str">
        <f>IF(A15="","",IF(IF(OR(DATE($B$3,1,21)&gt;EOMONTH(DATE($B$3,1,1),0),NETWORKDAYS.INTL(DATE($B$3,1,21),DATE($B$3,1,21),1,'Non-working days'!$A$6:$A$45)=0),"",IF(COUNTIFS('Leave log'!$A$7:$A$306,Employees!$A$14,'Leave log'!$B$7:$B$306,"&lt;="&amp;DATE($B$3,1,21),'Leave log'!$C$7:$C$306,"&gt;="&amp;DATE($B$3,1,21),'Leave log'!$F$7:$F$306,"Approved")&gt;0,"A",""))="A","A",IF(OR(DATE($B$3,1,21)&gt;EOMONTH(DATE($B$3,1,1),0),NETWORKDAYS.INTL(DATE($B$3,1,21),DATE($B$3,1,21),1,'Non-working days'!$A$6:$A$45)=0),"",IF(COUNTIFS('Leave log'!$A$7:$A$306,Employees!$A$14,'Leave log'!$B$7:$B$306,"&lt;="&amp;DATE($B$3,1,21),'Leave log'!$C$7:$C$306,"&gt;="&amp;DATE($B$3,1,21),'Leave log'!$F$7:$F$306,"Pending")&gt;0,"P",""))))</f>
        <v/>
      </c>
      <c r="W15" s="23" t="str">
        <f>IF(A15="","",IF(IF(OR(DATE($B$3,1,22)&gt;EOMONTH(DATE($B$3,1,1),0),NETWORKDAYS.INTL(DATE($B$3,1,22),DATE($B$3,1,22),1,'Non-working days'!$A$6:$A$45)=0),"",IF(COUNTIFS('Leave log'!$A$7:$A$306,Employees!$A$14,'Leave log'!$B$7:$B$306,"&lt;="&amp;DATE($B$3,1,22),'Leave log'!$C$7:$C$306,"&gt;="&amp;DATE($B$3,1,22),'Leave log'!$F$7:$F$306,"Approved")&gt;0,"A",""))="A","A",IF(OR(DATE($B$3,1,22)&gt;EOMONTH(DATE($B$3,1,1),0),NETWORKDAYS.INTL(DATE($B$3,1,22),DATE($B$3,1,22),1,'Non-working days'!$A$6:$A$45)=0),"",IF(COUNTIFS('Leave log'!$A$7:$A$306,Employees!$A$14,'Leave log'!$B$7:$B$306,"&lt;="&amp;DATE($B$3,1,22),'Leave log'!$C$7:$C$306,"&gt;="&amp;DATE($B$3,1,22),'Leave log'!$F$7:$F$306,"Pending")&gt;0,"P",""))))</f>
        <v/>
      </c>
      <c r="X15" s="23" t="str">
        <f>IF(A15="","",IF(IF(OR(DATE($B$3,1,23)&gt;EOMONTH(DATE($B$3,1,1),0),NETWORKDAYS.INTL(DATE($B$3,1,23),DATE($B$3,1,23),1,'Non-working days'!$A$6:$A$45)=0),"",IF(COUNTIFS('Leave log'!$A$7:$A$306,Employees!$A$14,'Leave log'!$B$7:$B$306,"&lt;="&amp;DATE($B$3,1,23),'Leave log'!$C$7:$C$306,"&gt;="&amp;DATE($B$3,1,23),'Leave log'!$F$7:$F$306,"Approved")&gt;0,"A",""))="A","A",IF(OR(DATE($B$3,1,23)&gt;EOMONTH(DATE($B$3,1,1),0),NETWORKDAYS.INTL(DATE($B$3,1,23),DATE($B$3,1,23),1,'Non-working days'!$A$6:$A$45)=0),"",IF(COUNTIFS('Leave log'!$A$7:$A$306,Employees!$A$14,'Leave log'!$B$7:$B$306,"&lt;="&amp;DATE($B$3,1,23),'Leave log'!$C$7:$C$306,"&gt;="&amp;DATE($B$3,1,23),'Leave log'!$F$7:$F$306,"Pending")&gt;0,"P",""))))</f>
        <v/>
      </c>
      <c r="Y15" s="23" t="str">
        <f>IF(A15="","",IF(IF(OR(DATE($B$3,1,24)&gt;EOMONTH(DATE($B$3,1,1),0),NETWORKDAYS.INTL(DATE($B$3,1,24),DATE($B$3,1,24),1,'Non-working days'!$A$6:$A$45)=0),"",IF(COUNTIFS('Leave log'!$A$7:$A$306,Employees!$A$14,'Leave log'!$B$7:$B$306,"&lt;="&amp;DATE($B$3,1,24),'Leave log'!$C$7:$C$306,"&gt;="&amp;DATE($B$3,1,24),'Leave log'!$F$7:$F$306,"Approved")&gt;0,"A",""))="A","A",IF(OR(DATE($B$3,1,24)&gt;EOMONTH(DATE($B$3,1,1),0),NETWORKDAYS.INTL(DATE($B$3,1,24),DATE($B$3,1,24),1,'Non-working days'!$A$6:$A$45)=0),"",IF(COUNTIFS('Leave log'!$A$7:$A$306,Employees!$A$14,'Leave log'!$B$7:$B$306,"&lt;="&amp;DATE($B$3,1,24),'Leave log'!$C$7:$C$306,"&gt;="&amp;DATE($B$3,1,24),'Leave log'!$F$7:$F$306,"Pending")&gt;0,"P",""))))</f>
        <v/>
      </c>
      <c r="Z15" s="23" t="str">
        <f>IF(A15="","",IF(IF(OR(DATE($B$3,1,25)&gt;EOMONTH(DATE($B$3,1,1),0),NETWORKDAYS.INTL(DATE($B$3,1,25),DATE($B$3,1,25),1,'Non-working days'!$A$6:$A$45)=0),"",IF(COUNTIFS('Leave log'!$A$7:$A$306,Employees!$A$14,'Leave log'!$B$7:$B$306,"&lt;="&amp;DATE($B$3,1,25),'Leave log'!$C$7:$C$306,"&gt;="&amp;DATE($B$3,1,25),'Leave log'!$F$7:$F$306,"Approved")&gt;0,"A",""))="A","A",IF(OR(DATE($B$3,1,25)&gt;EOMONTH(DATE($B$3,1,1),0),NETWORKDAYS.INTL(DATE($B$3,1,25),DATE($B$3,1,25),1,'Non-working days'!$A$6:$A$45)=0),"",IF(COUNTIFS('Leave log'!$A$7:$A$306,Employees!$A$14,'Leave log'!$B$7:$B$306,"&lt;="&amp;DATE($B$3,1,25),'Leave log'!$C$7:$C$306,"&gt;="&amp;DATE($B$3,1,25),'Leave log'!$F$7:$F$306,"Pending")&gt;0,"P",""))))</f>
        <v/>
      </c>
      <c r="AA15" s="23" t="str">
        <f>IF(A15="","",IF(IF(OR(DATE($B$3,1,26)&gt;EOMONTH(DATE($B$3,1,1),0),NETWORKDAYS.INTL(DATE($B$3,1,26),DATE($B$3,1,26),1,'Non-working days'!$A$6:$A$45)=0),"",IF(COUNTIFS('Leave log'!$A$7:$A$306,Employees!$A$14,'Leave log'!$B$7:$B$306,"&lt;="&amp;DATE($B$3,1,26),'Leave log'!$C$7:$C$306,"&gt;="&amp;DATE($B$3,1,26),'Leave log'!$F$7:$F$306,"Approved")&gt;0,"A",""))="A","A",IF(OR(DATE($B$3,1,26)&gt;EOMONTH(DATE($B$3,1,1),0),NETWORKDAYS.INTL(DATE($B$3,1,26),DATE($B$3,1,26),1,'Non-working days'!$A$6:$A$45)=0),"",IF(COUNTIFS('Leave log'!$A$7:$A$306,Employees!$A$14,'Leave log'!$B$7:$B$306,"&lt;="&amp;DATE($B$3,1,26),'Leave log'!$C$7:$C$306,"&gt;="&amp;DATE($B$3,1,26),'Leave log'!$F$7:$F$306,"Pending")&gt;0,"P",""))))</f>
        <v/>
      </c>
      <c r="AB15" s="23" t="str">
        <f>IF(A15="","",IF(IF(OR(DATE($B$3,1,27)&gt;EOMONTH(DATE($B$3,1,1),0),NETWORKDAYS.INTL(DATE($B$3,1,27),DATE($B$3,1,27),1,'Non-working days'!$A$6:$A$45)=0),"",IF(COUNTIFS('Leave log'!$A$7:$A$306,Employees!$A$14,'Leave log'!$B$7:$B$306,"&lt;="&amp;DATE($B$3,1,27),'Leave log'!$C$7:$C$306,"&gt;="&amp;DATE($B$3,1,27),'Leave log'!$F$7:$F$306,"Approved")&gt;0,"A",""))="A","A",IF(OR(DATE($B$3,1,27)&gt;EOMONTH(DATE($B$3,1,1),0),NETWORKDAYS.INTL(DATE($B$3,1,27),DATE($B$3,1,27),1,'Non-working days'!$A$6:$A$45)=0),"",IF(COUNTIFS('Leave log'!$A$7:$A$306,Employees!$A$14,'Leave log'!$B$7:$B$306,"&lt;="&amp;DATE($B$3,1,27),'Leave log'!$C$7:$C$306,"&gt;="&amp;DATE($B$3,1,27),'Leave log'!$F$7:$F$306,"Pending")&gt;0,"P",""))))</f>
        <v/>
      </c>
      <c r="AC15" s="23" t="str">
        <f>IF(A15="","",IF(IF(OR(DATE($B$3,1,28)&gt;EOMONTH(DATE($B$3,1,1),0),NETWORKDAYS.INTL(DATE($B$3,1,28),DATE($B$3,1,28),1,'Non-working days'!$A$6:$A$45)=0),"",IF(COUNTIFS('Leave log'!$A$7:$A$306,Employees!$A$14,'Leave log'!$B$7:$B$306,"&lt;="&amp;DATE($B$3,1,28),'Leave log'!$C$7:$C$306,"&gt;="&amp;DATE($B$3,1,28),'Leave log'!$F$7:$F$306,"Approved")&gt;0,"A",""))="A","A",IF(OR(DATE($B$3,1,28)&gt;EOMONTH(DATE($B$3,1,1),0),NETWORKDAYS.INTL(DATE($B$3,1,28),DATE($B$3,1,28),1,'Non-working days'!$A$6:$A$45)=0),"",IF(COUNTIFS('Leave log'!$A$7:$A$306,Employees!$A$14,'Leave log'!$B$7:$B$306,"&lt;="&amp;DATE($B$3,1,28),'Leave log'!$C$7:$C$306,"&gt;="&amp;DATE($B$3,1,28),'Leave log'!$F$7:$F$306,"Pending")&gt;0,"P",""))))</f>
        <v/>
      </c>
      <c r="AD15" s="23" t="str">
        <f>IF(A15="","",IF(IF(OR(DATE($B$3,1,29)&gt;EOMONTH(DATE($B$3,1,1),0),NETWORKDAYS.INTL(DATE($B$3,1,29),DATE($B$3,1,29),1,'Non-working days'!$A$6:$A$45)=0),"",IF(COUNTIFS('Leave log'!$A$7:$A$306,Employees!$A$14,'Leave log'!$B$7:$B$306,"&lt;="&amp;DATE($B$3,1,29),'Leave log'!$C$7:$C$306,"&gt;="&amp;DATE($B$3,1,29),'Leave log'!$F$7:$F$306,"Approved")&gt;0,"A",""))="A","A",IF(OR(DATE($B$3,1,29)&gt;EOMONTH(DATE($B$3,1,1),0),NETWORKDAYS.INTL(DATE($B$3,1,29),DATE($B$3,1,29),1,'Non-working days'!$A$6:$A$45)=0),"",IF(COUNTIFS('Leave log'!$A$7:$A$306,Employees!$A$14,'Leave log'!$B$7:$B$306,"&lt;="&amp;DATE($B$3,1,29),'Leave log'!$C$7:$C$306,"&gt;="&amp;DATE($B$3,1,29),'Leave log'!$F$7:$F$306,"Pending")&gt;0,"P",""))))</f>
        <v/>
      </c>
      <c r="AE15" s="23" t="str">
        <f>IF(A15="","",IF(IF(OR(DATE($B$3,1,30)&gt;EOMONTH(DATE($B$3,1,1),0),NETWORKDAYS.INTL(DATE($B$3,1,30),DATE($B$3,1,30),1,'Non-working days'!$A$6:$A$45)=0),"",IF(COUNTIFS('Leave log'!$A$7:$A$306,Employees!$A$14,'Leave log'!$B$7:$B$306,"&lt;="&amp;DATE($B$3,1,30),'Leave log'!$C$7:$C$306,"&gt;="&amp;DATE($B$3,1,30),'Leave log'!$F$7:$F$306,"Approved")&gt;0,"A",""))="A","A",IF(OR(DATE($B$3,1,30)&gt;EOMONTH(DATE($B$3,1,1),0),NETWORKDAYS.INTL(DATE($B$3,1,30),DATE($B$3,1,30),1,'Non-working days'!$A$6:$A$45)=0),"",IF(COUNTIFS('Leave log'!$A$7:$A$306,Employees!$A$14,'Leave log'!$B$7:$B$306,"&lt;="&amp;DATE($B$3,1,30),'Leave log'!$C$7:$C$306,"&gt;="&amp;DATE($B$3,1,30),'Leave log'!$F$7:$F$306,"Pending")&gt;0,"P",""))))</f>
        <v/>
      </c>
      <c r="AF15" s="23" t="str">
        <f>IF(A15="","",IF(IF(OR(DATE($B$3,1,31)&gt;EOMONTH(DATE($B$3,1,1),0),NETWORKDAYS.INTL(DATE($B$3,1,31),DATE($B$3,1,31),1,'Non-working days'!$A$6:$A$45)=0),"",IF(COUNTIFS('Leave log'!$A$7:$A$306,Employees!$A$14,'Leave log'!$B$7:$B$306,"&lt;="&amp;DATE($B$3,1,31),'Leave log'!$C$7:$C$306,"&gt;="&amp;DATE($B$3,1,31),'Leave log'!$F$7:$F$306,"Approved")&gt;0,"A",""))="A","A",IF(OR(DATE($B$3,1,31)&gt;EOMONTH(DATE($B$3,1,1),0),NETWORKDAYS.INTL(DATE($B$3,1,31),DATE($B$3,1,31),1,'Non-working days'!$A$6:$A$45)=0),"",IF(COUNTIFS('Leave log'!$A$7:$A$306,Employees!$A$14,'Leave log'!$B$7:$B$306,"&lt;="&amp;DATE($B$3,1,31),'Leave log'!$C$7:$C$306,"&gt;="&amp;DATE($B$3,1,31),'Leave log'!$F$7:$F$306,"Pending")&gt;0,"P",""))))</f>
        <v/>
      </c>
    </row>
    <row r="16" spans="1:32" ht="18" customHeight="1" x14ac:dyDescent="0.3">
      <c r="A16" s="22" t="str">
        <f>IF(Employees!F15="Yes",Employees!B15,"")</f>
        <v/>
      </c>
      <c r="B16" s="23" t="str">
        <f>IF(A16="","",IF(IF(OR(DATE($B$3,1,1)&gt;EOMONTH(DATE($B$3,1,1),0),NETWORKDAYS.INTL(DATE($B$3,1,1),DATE($B$3,1,1),1,'Non-working days'!$A$6:$A$45)=0),"",IF(COUNTIFS('Leave log'!$A$7:$A$306,Employees!$A$15,'Leave log'!$B$7:$B$306,"&lt;="&amp;DATE($B$3,1,1),'Leave log'!$C$7:$C$306,"&gt;="&amp;DATE($B$3,1,1),'Leave log'!$F$7:$F$306,"Approved")&gt;0,"A",""))="A","A",IF(OR(DATE($B$3,1,1)&gt;EOMONTH(DATE($B$3,1,1),0),NETWORKDAYS.INTL(DATE($B$3,1,1),DATE($B$3,1,1),1,'Non-working days'!$A$6:$A$45)=0),"",IF(COUNTIFS('Leave log'!$A$7:$A$306,Employees!$A$15,'Leave log'!$B$7:$B$306,"&lt;="&amp;DATE($B$3,1,1),'Leave log'!$C$7:$C$306,"&gt;="&amp;DATE($B$3,1,1),'Leave log'!$F$7:$F$306,"Pending")&gt;0,"P",""))))</f>
        <v/>
      </c>
      <c r="C16" s="23" t="str">
        <f>IF(A16="","",IF(IF(OR(DATE($B$3,1,2)&gt;EOMONTH(DATE($B$3,1,1),0),NETWORKDAYS.INTL(DATE($B$3,1,2),DATE($B$3,1,2),1,'Non-working days'!$A$6:$A$45)=0),"",IF(COUNTIFS('Leave log'!$A$7:$A$306,Employees!$A$15,'Leave log'!$B$7:$B$306,"&lt;="&amp;DATE($B$3,1,2),'Leave log'!$C$7:$C$306,"&gt;="&amp;DATE($B$3,1,2),'Leave log'!$F$7:$F$306,"Approved")&gt;0,"A",""))="A","A",IF(OR(DATE($B$3,1,2)&gt;EOMONTH(DATE($B$3,1,1),0),NETWORKDAYS.INTL(DATE($B$3,1,2),DATE($B$3,1,2),1,'Non-working days'!$A$6:$A$45)=0),"",IF(COUNTIFS('Leave log'!$A$7:$A$306,Employees!$A$15,'Leave log'!$B$7:$B$306,"&lt;="&amp;DATE($B$3,1,2),'Leave log'!$C$7:$C$306,"&gt;="&amp;DATE($B$3,1,2),'Leave log'!$F$7:$F$306,"Pending")&gt;0,"P",""))))</f>
        <v/>
      </c>
      <c r="D16" s="23" t="str">
        <f>IF(A16="","",IF(IF(OR(DATE($B$3,1,3)&gt;EOMONTH(DATE($B$3,1,1),0),NETWORKDAYS.INTL(DATE($B$3,1,3),DATE($B$3,1,3),1,'Non-working days'!$A$6:$A$45)=0),"",IF(COUNTIFS('Leave log'!$A$7:$A$306,Employees!$A$15,'Leave log'!$B$7:$B$306,"&lt;="&amp;DATE($B$3,1,3),'Leave log'!$C$7:$C$306,"&gt;="&amp;DATE($B$3,1,3),'Leave log'!$F$7:$F$306,"Approved")&gt;0,"A",""))="A","A",IF(OR(DATE($B$3,1,3)&gt;EOMONTH(DATE($B$3,1,1),0),NETWORKDAYS.INTL(DATE($B$3,1,3),DATE($B$3,1,3),1,'Non-working days'!$A$6:$A$45)=0),"",IF(COUNTIFS('Leave log'!$A$7:$A$306,Employees!$A$15,'Leave log'!$B$7:$B$306,"&lt;="&amp;DATE($B$3,1,3),'Leave log'!$C$7:$C$306,"&gt;="&amp;DATE($B$3,1,3),'Leave log'!$F$7:$F$306,"Pending")&gt;0,"P",""))))</f>
        <v/>
      </c>
      <c r="E16" s="23" t="str">
        <f>IF(A16="","",IF(IF(OR(DATE($B$3,1,4)&gt;EOMONTH(DATE($B$3,1,1),0),NETWORKDAYS.INTL(DATE($B$3,1,4),DATE($B$3,1,4),1,'Non-working days'!$A$6:$A$45)=0),"",IF(COUNTIFS('Leave log'!$A$7:$A$306,Employees!$A$15,'Leave log'!$B$7:$B$306,"&lt;="&amp;DATE($B$3,1,4),'Leave log'!$C$7:$C$306,"&gt;="&amp;DATE($B$3,1,4),'Leave log'!$F$7:$F$306,"Approved")&gt;0,"A",""))="A","A",IF(OR(DATE($B$3,1,4)&gt;EOMONTH(DATE($B$3,1,1),0),NETWORKDAYS.INTL(DATE($B$3,1,4),DATE($B$3,1,4),1,'Non-working days'!$A$6:$A$45)=0),"",IF(COUNTIFS('Leave log'!$A$7:$A$306,Employees!$A$15,'Leave log'!$B$7:$B$306,"&lt;="&amp;DATE($B$3,1,4),'Leave log'!$C$7:$C$306,"&gt;="&amp;DATE($B$3,1,4),'Leave log'!$F$7:$F$306,"Pending")&gt;0,"P",""))))</f>
        <v/>
      </c>
      <c r="F16" s="23" t="str">
        <f>IF(A16="","",IF(IF(OR(DATE($B$3,1,5)&gt;EOMONTH(DATE($B$3,1,1),0),NETWORKDAYS.INTL(DATE($B$3,1,5),DATE($B$3,1,5),1,'Non-working days'!$A$6:$A$45)=0),"",IF(COUNTIFS('Leave log'!$A$7:$A$306,Employees!$A$15,'Leave log'!$B$7:$B$306,"&lt;="&amp;DATE($B$3,1,5),'Leave log'!$C$7:$C$306,"&gt;="&amp;DATE($B$3,1,5),'Leave log'!$F$7:$F$306,"Approved")&gt;0,"A",""))="A","A",IF(OR(DATE($B$3,1,5)&gt;EOMONTH(DATE($B$3,1,1),0),NETWORKDAYS.INTL(DATE($B$3,1,5),DATE($B$3,1,5),1,'Non-working days'!$A$6:$A$45)=0),"",IF(COUNTIFS('Leave log'!$A$7:$A$306,Employees!$A$15,'Leave log'!$B$7:$B$306,"&lt;="&amp;DATE($B$3,1,5),'Leave log'!$C$7:$C$306,"&gt;="&amp;DATE($B$3,1,5),'Leave log'!$F$7:$F$306,"Pending")&gt;0,"P",""))))</f>
        <v/>
      </c>
      <c r="G16" s="23" t="str">
        <f>IF(A16="","",IF(IF(OR(DATE($B$3,1,6)&gt;EOMONTH(DATE($B$3,1,1),0),NETWORKDAYS.INTL(DATE($B$3,1,6),DATE($B$3,1,6),1,'Non-working days'!$A$6:$A$45)=0),"",IF(COUNTIFS('Leave log'!$A$7:$A$306,Employees!$A$15,'Leave log'!$B$7:$B$306,"&lt;="&amp;DATE($B$3,1,6),'Leave log'!$C$7:$C$306,"&gt;="&amp;DATE($B$3,1,6),'Leave log'!$F$7:$F$306,"Approved")&gt;0,"A",""))="A","A",IF(OR(DATE($B$3,1,6)&gt;EOMONTH(DATE($B$3,1,1),0),NETWORKDAYS.INTL(DATE($B$3,1,6),DATE($B$3,1,6),1,'Non-working days'!$A$6:$A$45)=0),"",IF(COUNTIFS('Leave log'!$A$7:$A$306,Employees!$A$15,'Leave log'!$B$7:$B$306,"&lt;="&amp;DATE($B$3,1,6),'Leave log'!$C$7:$C$306,"&gt;="&amp;DATE($B$3,1,6),'Leave log'!$F$7:$F$306,"Pending")&gt;0,"P",""))))</f>
        <v/>
      </c>
      <c r="H16" s="23" t="str">
        <f>IF(A16="","",IF(IF(OR(DATE($B$3,1,7)&gt;EOMONTH(DATE($B$3,1,1),0),NETWORKDAYS.INTL(DATE($B$3,1,7),DATE($B$3,1,7),1,'Non-working days'!$A$6:$A$45)=0),"",IF(COUNTIFS('Leave log'!$A$7:$A$306,Employees!$A$15,'Leave log'!$B$7:$B$306,"&lt;="&amp;DATE($B$3,1,7),'Leave log'!$C$7:$C$306,"&gt;="&amp;DATE($B$3,1,7),'Leave log'!$F$7:$F$306,"Approved")&gt;0,"A",""))="A","A",IF(OR(DATE($B$3,1,7)&gt;EOMONTH(DATE($B$3,1,1),0),NETWORKDAYS.INTL(DATE($B$3,1,7),DATE($B$3,1,7),1,'Non-working days'!$A$6:$A$45)=0),"",IF(COUNTIFS('Leave log'!$A$7:$A$306,Employees!$A$15,'Leave log'!$B$7:$B$306,"&lt;="&amp;DATE($B$3,1,7),'Leave log'!$C$7:$C$306,"&gt;="&amp;DATE($B$3,1,7),'Leave log'!$F$7:$F$306,"Pending")&gt;0,"P",""))))</f>
        <v/>
      </c>
      <c r="I16" s="23" t="str">
        <f>IF(A16="","",IF(IF(OR(DATE($B$3,1,8)&gt;EOMONTH(DATE($B$3,1,1),0),NETWORKDAYS.INTL(DATE($B$3,1,8),DATE($B$3,1,8),1,'Non-working days'!$A$6:$A$45)=0),"",IF(COUNTIFS('Leave log'!$A$7:$A$306,Employees!$A$15,'Leave log'!$B$7:$B$306,"&lt;="&amp;DATE($B$3,1,8),'Leave log'!$C$7:$C$306,"&gt;="&amp;DATE($B$3,1,8),'Leave log'!$F$7:$F$306,"Approved")&gt;0,"A",""))="A","A",IF(OR(DATE($B$3,1,8)&gt;EOMONTH(DATE($B$3,1,1),0),NETWORKDAYS.INTL(DATE($B$3,1,8),DATE($B$3,1,8),1,'Non-working days'!$A$6:$A$45)=0),"",IF(COUNTIFS('Leave log'!$A$7:$A$306,Employees!$A$15,'Leave log'!$B$7:$B$306,"&lt;="&amp;DATE($B$3,1,8),'Leave log'!$C$7:$C$306,"&gt;="&amp;DATE($B$3,1,8),'Leave log'!$F$7:$F$306,"Pending")&gt;0,"P",""))))</f>
        <v/>
      </c>
      <c r="J16" s="23" t="str">
        <f>IF(A16="","",IF(IF(OR(DATE($B$3,1,9)&gt;EOMONTH(DATE($B$3,1,1),0),NETWORKDAYS.INTL(DATE($B$3,1,9),DATE($B$3,1,9),1,'Non-working days'!$A$6:$A$45)=0),"",IF(COUNTIFS('Leave log'!$A$7:$A$306,Employees!$A$15,'Leave log'!$B$7:$B$306,"&lt;="&amp;DATE($B$3,1,9),'Leave log'!$C$7:$C$306,"&gt;="&amp;DATE($B$3,1,9),'Leave log'!$F$7:$F$306,"Approved")&gt;0,"A",""))="A","A",IF(OR(DATE($B$3,1,9)&gt;EOMONTH(DATE($B$3,1,1),0),NETWORKDAYS.INTL(DATE($B$3,1,9),DATE($B$3,1,9),1,'Non-working days'!$A$6:$A$45)=0),"",IF(COUNTIFS('Leave log'!$A$7:$A$306,Employees!$A$15,'Leave log'!$B$7:$B$306,"&lt;="&amp;DATE($B$3,1,9),'Leave log'!$C$7:$C$306,"&gt;="&amp;DATE($B$3,1,9),'Leave log'!$F$7:$F$306,"Pending")&gt;0,"P",""))))</f>
        <v/>
      </c>
      <c r="K16" s="23" t="str">
        <f>IF(A16="","",IF(IF(OR(DATE($B$3,1,10)&gt;EOMONTH(DATE($B$3,1,1),0),NETWORKDAYS.INTL(DATE($B$3,1,10),DATE($B$3,1,10),1,'Non-working days'!$A$6:$A$45)=0),"",IF(COUNTIFS('Leave log'!$A$7:$A$306,Employees!$A$15,'Leave log'!$B$7:$B$306,"&lt;="&amp;DATE($B$3,1,10),'Leave log'!$C$7:$C$306,"&gt;="&amp;DATE($B$3,1,10),'Leave log'!$F$7:$F$306,"Approved")&gt;0,"A",""))="A","A",IF(OR(DATE($B$3,1,10)&gt;EOMONTH(DATE($B$3,1,1),0),NETWORKDAYS.INTL(DATE($B$3,1,10),DATE($B$3,1,10),1,'Non-working days'!$A$6:$A$45)=0),"",IF(COUNTIFS('Leave log'!$A$7:$A$306,Employees!$A$15,'Leave log'!$B$7:$B$306,"&lt;="&amp;DATE($B$3,1,10),'Leave log'!$C$7:$C$306,"&gt;="&amp;DATE($B$3,1,10),'Leave log'!$F$7:$F$306,"Pending")&gt;0,"P",""))))</f>
        <v/>
      </c>
      <c r="L16" s="23" t="str">
        <f>IF(A16="","",IF(IF(OR(DATE($B$3,1,11)&gt;EOMONTH(DATE($B$3,1,1),0),NETWORKDAYS.INTL(DATE($B$3,1,11),DATE($B$3,1,11),1,'Non-working days'!$A$6:$A$45)=0),"",IF(COUNTIFS('Leave log'!$A$7:$A$306,Employees!$A$15,'Leave log'!$B$7:$B$306,"&lt;="&amp;DATE($B$3,1,11),'Leave log'!$C$7:$C$306,"&gt;="&amp;DATE($B$3,1,11),'Leave log'!$F$7:$F$306,"Approved")&gt;0,"A",""))="A","A",IF(OR(DATE($B$3,1,11)&gt;EOMONTH(DATE($B$3,1,1),0),NETWORKDAYS.INTL(DATE($B$3,1,11),DATE($B$3,1,11),1,'Non-working days'!$A$6:$A$45)=0),"",IF(COUNTIFS('Leave log'!$A$7:$A$306,Employees!$A$15,'Leave log'!$B$7:$B$306,"&lt;="&amp;DATE($B$3,1,11),'Leave log'!$C$7:$C$306,"&gt;="&amp;DATE($B$3,1,11),'Leave log'!$F$7:$F$306,"Pending")&gt;0,"P",""))))</f>
        <v/>
      </c>
      <c r="M16" s="23" t="str">
        <f>IF(A16="","",IF(IF(OR(DATE($B$3,1,12)&gt;EOMONTH(DATE($B$3,1,1),0),NETWORKDAYS.INTL(DATE($B$3,1,12),DATE($B$3,1,12),1,'Non-working days'!$A$6:$A$45)=0),"",IF(COUNTIFS('Leave log'!$A$7:$A$306,Employees!$A$15,'Leave log'!$B$7:$B$306,"&lt;="&amp;DATE($B$3,1,12),'Leave log'!$C$7:$C$306,"&gt;="&amp;DATE($B$3,1,12),'Leave log'!$F$7:$F$306,"Approved")&gt;0,"A",""))="A","A",IF(OR(DATE($B$3,1,12)&gt;EOMONTH(DATE($B$3,1,1),0),NETWORKDAYS.INTL(DATE($B$3,1,12),DATE($B$3,1,12),1,'Non-working days'!$A$6:$A$45)=0),"",IF(COUNTIFS('Leave log'!$A$7:$A$306,Employees!$A$15,'Leave log'!$B$7:$B$306,"&lt;="&amp;DATE($B$3,1,12),'Leave log'!$C$7:$C$306,"&gt;="&amp;DATE($B$3,1,12),'Leave log'!$F$7:$F$306,"Pending")&gt;0,"P",""))))</f>
        <v/>
      </c>
      <c r="N16" s="23" t="str">
        <f>IF(A16="","",IF(IF(OR(DATE($B$3,1,13)&gt;EOMONTH(DATE($B$3,1,1),0),NETWORKDAYS.INTL(DATE($B$3,1,13),DATE($B$3,1,13),1,'Non-working days'!$A$6:$A$45)=0),"",IF(COUNTIFS('Leave log'!$A$7:$A$306,Employees!$A$15,'Leave log'!$B$7:$B$306,"&lt;="&amp;DATE($B$3,1,13),'Leave log'!$C$7:$C$306,"&gt;="&amp;DATE($B$3,1,13),'Leave log'!$F$7:$F$306,"Approved")&gt;0,"A",""))="A","A",IF(OR(DATE($B$3,1,13)&gt;EOMONTH(DATE($B$3,1,1),0),NETWORKDAYS.INTL(DATE($B$3,1,13),DATE($B$3,1,13),1,'Non-working days'!$A$6:$A$45)=0),"",IF(COUNTIFS('Leave log'!$A$7:$A$306,Employees!$A$15,'Leave log'!$B$7:$B$306,"&lt;="&amp;DATE($B$3,1,13),'Leave log'!$C$7:$C$306,"&gt;="&amp;DATE($B$3,1,13),'Leave log'!$F$7:$F$306,"Pending")&gt;0,"P",""))))</f>
        <v/>
      </c>
      <c r="O16" s="23" t="str">
        <f>IF(A16="","",IF(IF(OR(DATE($B$3,1,14)&gt;EOMONTH(DATE($B$3,1,1),0),NETWORKDAYS.INTL(DATE($B$3,1,14),DATE($B$3,1,14),1,'Non-working days'!$A$6:$A$45)=0),"",IF(COUNTIFS('Leave log'!$A$7:$A$306,Employees!$A$15,'Leave log'!$B$7:$B$306,"&lt;="&amp;DATE($B$3,1,14),'Leave log'!$C$7:$C$306,"&gt;="&amp;DATE($B$3,1,14),'Leave log'!$F$7:$F$306,"Approved")&gt;0,"A",""))="A","A",IF(OR(DATE($B$3,1,14)&gt;EOMONTH(DATE($B$3,1,1),0),NETWORKDAYS.INTL(DATE($B$3,1,14),DATE($B$3,1,14),1,'Non-working days'!$A$6:$A$45)=0),"",IF(COUNTIFS('Leave log'!$A$7:$A$306,Employees!$A$15,'Leave log'!$B$7:$B$306,"&lt;="&amp;DATE($B$3,1,14),'Leave log'!$C$7:$C$306,"&gt;="&amp;DATE($B$3,1,14),'Leave log'!$F$7:$F$306,"Pending")&gt;0,"P",""))))</f>
        <v/>
      </c>
      <c r="P16" s="23" t="str">
        <f>IF(A16="","",IF(IF(OR(DATE($B$3,1,15)&gt;EOMONTH(DATE($B$3,1,1),0),NETWORKDAYS.INTL(DATE($B$3,1,15),DATE($B$3,1,15),1,'Non-working days'!$A$6:$A$45)=0),"",IF(COUNTIFS('Leave log'!$A$7:$A$306,Employees!$A$15,'Leave log'!$B$7:$B$306,"&lt;="&amp;DATE($B$3,1,15),'Leave log'!$C$7:$C$306,"&gt;="&amp;DATE($B$3,1,15),'Leave log'!$F$7:$F$306,"Approved")&gt;0,"A",""))="A","A",IF(OR(DATE($B$3,1,15)&gt;EOMONTH(DATE($B$3,1,1),0),NETWORKDAYS.INTL(DATE($B$3,1,15),DATE($B$3,1,15),1,'Non-working days'!$A$6:$A$45)=0),"",IF(COUNTIFS('Leave log'!$A$7:$A$306,Employees!$A$15,'Leave log'!$B$7:$B$306,"&lt;="&amp;DATE($B$3,1,15),'Leave log'!$C$7:$C$306,"&gt;="&amp;DATE($B$3,1,15),'Leave log'!$F$7:$F$306,"Pending")&gt;0,"P",""))))</f>
        <v/>
      </c>
      <c r="Q16" s="23" t="str">
        <f>IF(A16="","",IF(IF(OR(DATE($B$3,1,16)&gt;EOMONTH(DATE($B$3,1,1),0),NETWORKDAYS.INTL(DATE($B$3,1,16),DATE($B$3,1,16),1,'Non-working days'!$A$6:$A$45)=0),"",IF(COUNTIFS('Leave log'!$A$7:$A$306,Employees!$A$15,'Leave log'!$B$7:$B$306,"&lt;="&amp;DATE($B$3,1,16),'Leave log'!$C$7:$C$306,"&gt;="&amp;DATE($B$3,1,16),'Leave log'!$F$7:$F$306,"Approved")&gt;0,"A",""))="A","A",IF(OR(DATE($B$3,1,16)&gt;EOMONTH(DATE($B$3,1,1),0),NETWORKDAYS.INTL(DATE($B$3,1,16),DATE($B$3,1,16),1,'Non-working days'!$A$6:$A$45)=0),"",IF(COUNTIFS('Leave log'!$A$7:$A$306,Employees!$A$15,'Leave log'!$B$7:$B$306,"&lt;="&amp;DATE($B$3,1,16),'Leave log'!$C$7:$C$306,"&gt;="&amp;DATE($B$3,1,16),'Leave log'!$F$7:$F$306,"Pending")&gt;0,"P",""))))</f>
        <v/>
      </c>
      <c r="R16" s="23" t="str">
        <f>IF(A16="","",IF(IF(OR(DATE($B$3,1,17)&gt;EOMONTH(DATE($B$3,1,1),0),NETWORKDAYS.INTL(DATE($B$3,1,17),DATE($B$3,1,17),1,'Non-working days'!$A$6:$A$45)=0),"",IF(COUNTIFS('Leave log'!$A$7:$A$306,Employees!$A$15,'Leave log'!$B$7:$B$306,"&lt;="&amp;DATE($B$3,1,17),'Leave log'!$C$7:$C$306,"&gt;="&amp;DATE($B$3,1,17),'Leave log'!$F$7:$F$306,"Approved")&gt;0,"A",""))="A","A",IF(OR(DATE($B$3,1,17)&gt;EOMONTH(DATE($B$3,1,1),0),NETWORKDAYS.INTL(DATE($B$3,1,17),DATE($B$3,1,17),1,'Non-working days'!$A$6:$A$45)=0),"",IF(COUNTIFS('Leave log'!$A$7:$A$306,Employees!$A$15,'Leave log'!$B$7:$B$306,"&lt;="&amp;DATE($B$3,1,17),'Leave log'!$C$7:$C$306,"&gt;="&amp;DATE($B$3,1,17),'Leave log'!$F$7:$F$306,"Pending")&gt;0,"P",""))))</f>
        <v/>
      </c>
      <c r="S16" s="23" t="str">
        <f>IF(A16="","",IF(IF(OR(DATE($B$3,1,18)&gt;EOMONTH(DATE($B$3,1,1),0),NETWORKDAYS.INTL(DATE($B$3,1,18),DATE($B$3,1,18),1,'Non-working days'!$A$6:$A$45)=0),"",IF(COUNTIFS('Leave log'!$A$7:$A$306,Employees!$A$15,'Leave log'!$B$7:$B$306,"&lt;="&amp;DATE($B$3,1,18),'Leave log'!$C$7:$C$306,"&gt;="&amp;DATE($B$3,1,18),'Leave log'!$F$7:$F$306,"Approved")&gt;0,"A",""))="A","A",IF(OR(DATE($B$3,1,18)&gt;EOMONTH(DATE($B$3,1,1),0),NETWORKDAYS.INTL(DATE($B$3,1,18),DATE($B$3,1,18),1,'Non-working days'!$A$6:$A$45)=0),"",IF(COUNTIFS('Leave log'!$A$7:$A$306,Employees!$A$15,'Leave log'!$B$7:$B$306,"&lt;="&amp;DATE($B$3,1,18),'Leave log'!$C$7:$C$306,"&gt;="&amp;DATE($B$3,1,18),'Leave log'!$F$7:$F$306,"Pending")&gt;0,"P",""))))</f>
        <v/>
      </c>
      <c r="T16" s="23" t="str">
        <f>IF(A16="","",IF(IF(OR(DATE($B$3,1,19)&gt;EOMONTH(DATE($B$3,1,1),0),NETWORKDAYS.INTL(DATE($B$3,1,19),DATE($B$3,1,19),1,'Non-working days'!$A$6:$A$45)=0),"",IF(COUNTIFS('Leave log'!$A$7:$A$306,Employees!$A$15,'Leave log'!$B$7:$B$306,"&lt;="&amp;DATE($B$3,1,19),'Leave log'!$C$7:$C$306,"&gt;="&amp;DATE($B$3,1,19),'Leave log'!$F$7:$F$306,"Approved")&gt;0,"A",""))="A","A",IF(OR(DATE($B$3,1,19)&gt;EOMONTH(DATE($B$3,1,1),0),NETWORKDAYS.INTL(DATE($B$3,1,19),DATE($B$3,1,19),1,'Non-working days'!$A$6:$A$45)=0),"",IF(COUNTIFS('Leave log'!$A$7:$A$306,Employees!$A$15,'Leave log'!$B$7:$B$306,"&lt;="&amp;DATE($B$3,1,19),'Leave log'!$C$7:$C$306,"&gt;="&amp;DATE($B$3,1,19),'Leave log'!$F$7:$F$306,"Pending")&gt;0,"P",""))))</f>
        <v/>
      </c>
      <c r="U16" s="23" t="str">
        <f>IF(A16="","",IF(IF(OR(DATE($B$3,1,20)&gt;EOMONTH(DATE($B$3,1,1),0),NETWORKDAYS.INTL(DATE($B$3,1,20),DATE($B$3,1,20),1,'Non-working days'!$A$6:$A$45)=0),"",IF(COUNTIFS('Leave log'!$A$7:$A$306,Employees!$A$15,'Leave log'!$B$7:$B$306,"&lt;="&amp;DATE($B$3,1,20),'Leave log'!$C$7:$C$306,"&gt;="&amp;DATE($B$3,1,20),'Leave log'!$F$7:$F$306,"Approved")&gt;0,"A",""))="A","A",IF(OR(DATE($B$3,1,20)&gt;EOMONTH(DATE($B$3,1,1),0),NETWORKDAYS.INTL(DATE($B$3,1,20),DATE($B$3,1,20),1,'Non-working days'!$A$6:$A$45)=0),"",IF(COUNTIFS('Leave log'!$A$7:$A$306,Employees!$A$15,'Leave log'!$B$7:$B$306,"&lt;="&amp;DATE($B$3,1,20),'Leave log'!$C$7:$C$306,"&gt;="&amp;DATE($B$3,1,20),'Leave log'!$F$7:$F$306,"Pending")&gt;0,"P",""))))</f>
        <v/>
      </c>
      <c r="V16" s="23" t="str">
        <f>IF(A16="","",IF(IF(OR(DATE($B$3,1,21)&gt;EOMONTH(DATE($B$3,1,1),0),NETWORKDAYS.INTL(DATE($B$3,1,21),DATE($B$3,1,21),1,'Non-working days'!$A$6:$A$45)=0),"",IF(COUNTIFS('Leave log'!$A$7:$A$306,Employees!$A$15,'Leave log'!$B$7:$B$306,"&lt;="&amp;DATE($B$3,1,21),'Leave log'!$C$7:$C$306,"&gt;="&amp;DATE($B$3,1,21),'Leave log'!$F$7:$F$306,"Approved")&gt;0,"A",""))="A","A",IF(OR(DATE($B$3,1,21)&gt;EOMONTH(DATE($B$3,1,1),0),NETWORKDAYS.INTL(DATE($B$3,1,21),DATE($B$3,1,21),1,'Non-working days'!$A$6:$A$45)=0),"",IF(COUNTIFS('Leave log'!$A$7:$A$306,Employees!$A$15,'Leave log'!$B$7:$B$306,"&lt;="&amp;DATE($B$3,1,21),'Leave log'!$C$7:$C$306,"&gt;="&amp;DATE($B$3,1,21),'Leave log'!$F$7:$F$306,"Pending")&gt;0,"P",""))))</f>
        <v/>
      </c>
      <c r="W16" s="23" t="str">
        <f>IF(A16="","",IF(IF(OR(DATE($B$3,1,22)&gt;EOMONTH(DATE($B$3,1,1),0),NETWORKDAYS.INTL(DATE($B$3,1,22),DATE($B$3,1,22),1,'Non-working days'!$A$6:$A$45)=0),"",IF(COUNTIFS('Leave log'!$A$7:$A$306,Employees!$A$15,'Leave log'!$B$7:$B$306,"&lt;="&amp;DATE($B$3,1,22),'Leave log'!$C$7:$C$306,"&gt;="&amp;DATE($B$3,1,22),'Leave log'!$F$7:$F$306,"Approved")&gt;0,"A",""))="A","A",IF(OR(DATE($B$3,1,22)&gt;EOMONTH(DATE($B$3,1,1),0),NETWORKDAYS.INTL(DATE($B$3,1,22),DATE($B$3,1,22),1,'Non-working days'!$A$6:$A$45)=0),"",IF(COUNTIFS('Leave log'!$A$7:$A$306,Employees!$A$15,'Leave log'!$B$7:$B$306,"&lt;="&amp;DATE($B$3,1,22),'Leave log'!$C$7:$C$306,"&gt;="&amp;DATE($B$3,1,22),'Leave log'!$F$7:$F$306,"Pending")&gt;0,"P",""))))</f>
        <v/>
      </c>
      <c r="X16" s="23" t="str">
        <f>IF(A16="","",IF(IF(OR(DATE($B$3,1,23)&gt;EOMONTH(DATE($B$3,1,1),0),NETWORKDAYS.INTL(DATE($B$3,1,23),DATE($B$3,1,23),1,'Non-working days'!$A$6:$A$45)=0),"",IF(COUNTIFS('Leave log'!$A$7:$A$306,Employees!$A$15,'Leave log'!$B$7:$B$306,"&lt;="&amp;DATE($B$3,1,23),'Leave log'!$C$7:$C$306,"&gt;="&amp;DATE($B$3,1,23),'Leave log'!$F$7:$F$306,"Approved")&gt;0,"A",""))="A","A",IF(OR(DATE($B$3,1,23)&gt;EOMONTH(DATE($B$3,1,1),0),NETWORKDAYS.INTL(DATE($B$3,1,23),DATE($B$3,1,23),1,'Non-working days'!$A$6:$A$45)=0),"",IF(COUNTIFS('Leave log'!$A$7:$A$306,Employees!$A$15,'Leave log'!$B$7:$B$306,"&lt;="&amp;DATE($B$3,1,23),'Leave log'!$C$7:$C$306,"&gt;="&amp;DATE($B$3,1,23),'Leave log'!$F$7:$F$306,"Pending")&gt;0,"P",""))))</f>
        <v/>
      </c>
      <c r="Y16" s="23" t="str">
        <f>IF(A16="","",IF(IF(OR(DATE($B$3,1,24)&gt;EOMONTH(DATE($B$3,1,1),0),NETWORKDAYS.INTL(DATE($B$3,1,24),DATE($B$3,1,24),1,'Non-working days'!$A$6:$A$45)=0),"",IF(COUNTIFS('Leave log'!$A$7:$A$306,Employees!$A$15,'Leave log'!$B$7:$B$306,"&lt;="&amp;DATE($B$3,1,24),'Leave log'!$C$7:$C$306,"&gt;="&amp;DATE($B$3,1,24),'Leave log'!$F$7:$F$306,"Approved")&gt;0,"A",""))="A","A",IF(OR(DATE($B$3,1,24)&gt;EOMONTH(DATE($B$3,1,1),0),NETWORKDAYS.INTL(DATE($B$3,1,24),DATE($B$3,1,24),1,'Non-working days'!$A$6:$A$45)=0),"",IF(COUNTIFS('Leave log'!$A$7:$A$306,Employees!$A$15,'Leave log'!$B$7:$B$306,"&lt;="&amp;DATE($B$3,1,24),'Leave log'!$C$7:$C$306,"&gt;="&amp;DATE($B$3,1,24),'Leave log'!$F$7:$F$306,"Pending")&gt;0,"P",""))))</f>
        <v/>
      </c>
      <c r="Z16" s="23" t="str">
        <f>IF(A16="","",IF(IF(OR(DATE($B$3,1,25)&gt;EOMONTH(DATE($B$3,1,1),0),NETWORKDAYS.INTL(DATE($B$3,1,25),DATE($B$3,1,25),1,'Non-working days'!$A$6:$A$45)=0),"",IF(COUNTIFS('Leave log'!$A$7:$A$306,Employees!$A$15,'Leave log'!$B$7:$B$306,"&lt;="&amp;DATE($B$3,1,25),'Leave log'!$C$7:$C$306,"&gt;="&amp;DATE($B$3,1,25),'Leave log'!$F$7:$F$306,"Approved")&gt;0,"A",""))="A","A",IF(OR(DATE($B$3,1,25)&gt;EOMONTH(DATE($B$3,1,1),0),NETWORKDAYS.INTL(DATE($B$3,1,25),DATE($B$3,1,25),1,'Non-working days'!$A$6:$A$45)=0),"",IF(COUNTIFS('Leave log'!$A$7:$A$306,Employees!$A$15,'Leave log'!$B$7:$B$306,"&lt;="&amp;DATE($B$3,1,25),'Leave log'!$C$7:$C$306,"&gt;="&amp;DATE($B$3,1,25),'Leave log'!$F$7:$F$306,"Pending")&gt;0,"P",""))))</f>
        <v/>
      </c>
      <c r="AA16" s="23" t="str">
        <f>IF(A16="","",IF(IF(OR(DATE($B$3,1,26)&gt;EOMONTH(DATE($B$3,1,1),0),NETWORKDAYS.INTL(DATE($B$3,1,26),DATE($B$3,1,26),1,'Non-working days'!$A$6:$A$45)=0),"",IF(COUNTIFS('Leave log'!$A$7:$A$306,Employees!$A$15,'Leave log'!$B$7:$B$306,"&lt;="&amp;DATE($B$3,1,26),'Leave log'!$C$7:$C$306,"&gt;="&amp;DATE($B$3,1,26),'Leave log'!$F$7:$F$306,"Approved")&gt;0,"A",""))="A","A",IF(OR(DATE($B$3,1,26)&gt;EOMONTH(DATE($B$3,1,1),0),NETWORKDAYS.INTL(DATE($B$3,1,26),DATE($B$3,1,26),1,'Non-working days'!$A$6:$A$45)=0),"",IF(COUNTIFS('Leave log'!$A$7:$A$306,Employees!$A$15,'Leave log'!$B$7:$B$306,"&lt;="&amp;DATE($B$3,1,26),'Leave log'!$C$7:$C$306,"&gt;="&amp;DATE($B$3,1,26),'Leave log'!$F$7:$F$306,"Pending")&gt;0,"P",""))))</f>
        <v/>
      </c>
      <c r="AB16" s="23" t="str">
        <f>IF(A16="","",IF(IF(OR(DATE($B$3,1,27)&gt;EOMONTH(DATE($B$3,1,1),0),NETWORKDAYS.INTL(DATE($B$3,1,27),DATE($B$3,1,27),1,'Non-working days'!$A$6:$A$45)=0),"",IF(COUNTIFS('Leave log'!$A$7:$A$306,Employees!$A$15,'Leave log'!$B$7:$B$306,"&lt;="&amp;DATE($B$3,1,27),'Leave log'!$C$7:$C$306,"&gt;="&amp;DATE($B$3,1,27),'Leave log'!$F$7:$F$306,"Approved")&gt;0,"A",""))="A","A",IF(OR(DATE($B$3,1,27)&gt;EOMONTH(DATE($B$3,1,1),0),NETWORKDAYS.INTL(DATE($B$3,1,27),DATE($B$3,1,27),1,'Non-working days'!$A$6:$A$45)=0),"",IF(COUNTIFS('Leave log'!$A$7:$A$306,Employees!$A$15,'Leave log'!$B$7:$B$306,"&lt;="&amp;DATE($B$3,1,27),'Leave log'!$C$7:$C$306,"&gt;="&amp;DATE($B$3,1,27),'Leave log'!$F$7:$F$306,"Pending")&gt;0,"P",""))))</f>
        <v/>
      </c>
      <c r="AC16" s="23" t="str">
        <f>IF(A16="","",IF(IF(OR(DATE($B$3,1,28)&gt;EOMONTH(DATE($B$3,1,1),0),NETWORKDAYS.INTL(DATE($B$3,1,28),DATE($B$3,1,28),1,'Non-working days'!$A$6:$A$45)=0),"",IF(COUNTIFS('Leave log'!$A$7:$A$306,Employees!$A$15,'Leave log'!$B$7:$B$306,"&lt;="&amp;DATE($B$3,1,28),'Leave log'!$C$7:$C$306,"&gt;="&amp;DATE($B$3,1,28),'Leave log'!$F$7:$F$306,"Approved")&gt;0,"A",""))="A","A",IF(OR(DATE($B$3,1,28)&gt;EOMONTH(DATE($B$3,1,1),0),NETWORKDAYS.INTL(DATE($B$3,1,28),DATE($B$3,1,28),1,'Non-working days'!$A$6:$A$45)=0),"",IF(COUNTIFS('Leave log'!$A$7:$A$306,Employees!$A$15,'Leave log'!$B$7:$B$306,"&lt;="&amp;DATE($B$3,1,28),'Leave log'!$C$7:$C$306,"&gt;="&amp;DATE($B$3,1,28),'Leave log'!$F$7:$F$306,"Pending")&gt;0,"P",""))))</f>
        <v/>
      </c>
      <c r="AD16" s="23" t="str">
        <f>IF(A16="","",IF(IF(OR(DATE($B$3,1,29)&gt;EOMONTH(DATE($B$3,1,1),0),NETWORKDAYS.INTL(DATE($B$3,1,29),DATE($B$3,1,29),1,'Non-working days'!$A$6:$A$45)=0),"",IF(COUNTIFS('Leave log'!$A$7:$A$306,Employees!$A$15,'Leave log'!$B$7:$B$306,"&lt;="&amp;DATE($B$3,1,29),'Leave log'!$C$7:$C$306,"&gt;="&amp;DATE($B$3,1,29),'Leave log'!$F$7:$F$306,"Approved")&gt;0,"A",""))="A","A",IF(OR(DATE($B$3,1,29)&gt;EOMONTH(DATE($B$3,1,1),0),NETWORKDAYS.INTL(DATE($B$3,1,29),DATE($B$3,1,29),1,'Non-working days'!$A$6:$A$45)=0),"",IF(COUNTIFS('Leave log'!$A$7:$A$306,Employees!$A$15,'Leave log'!$B$7:$B$306,"&lt;="&amp;DATE($B$3,1,29),'Leave log'!$C$7:$C$306,"&gt;="&amp;DATE($B$3,1,29),'Leave log'!$F$7:$F$306,"Pending")&gt;0,"P",""))))</f>
        <v/>
      </c>
      <c r="AE16" s="23" t="str">
        <f>IF(A16="","",IF(IF(OR(DATE($B$3,1,30)&gt;EOMONTH(DATE($B$3,1,1),0),NETWORKDAYS.INTL(DATE($B$3,1,30),DATE($B$3,1,30),1,'Non-working days'!$A$6:$A$45)=0),"",IF(COUNTIFS('Leave log'!$A$7:$A$306,Employees!$A$15,'Leave log'!$B$7:$B$306,"&lt;="&amp;DATE($B$3,1,30),'Leave log'!$C$7:$C$306,"&gt;="&amp;DATE($B$3,1,30),'Leave log'!$F$7:$F$306,"Approved")&gt;0,"A",""))="A","A",IF(OR(DATE($B$3,1,30)&gt;EOMONTH(DATE($B$3,1,1),0),NETWORKDAYS.INTL(DATE($B$3,1,30),DATE($B$3,1,30),1,'Non-working days'!$A$6:$A$45)=0),"",IF(COUNTIFS('Leave log'!$A$7:$A$306,Employees!$A$15,'Leave log'!$B$7:$B$306,"&lt;="&amp;DATE($B$3,1,30),'Leave log'!$C$7:$C$306,"&gt;="&amp;DATE($B$3,1,30),'Leave log'!$F$7:$F$306,"Pending")&gt;0,"P",""))))</f>
        <v/>
      </c>
      <c r="AF16" s="23" t="str">
        <f>IF(A16="","",IF(IF(OR(DATE($B$3,1,31)&gt;EOMONTH(DATE($B$3,1,1),0),NETWORKDAYS.INTL(DATE($B$3,1,31),DATE($B$3,1,31),1,'Non-working days'!$A$6:$A$45)=0),"",IF(COUNTIFS('Leave log'!$A$7:$A$306,Employees!$A$15,'Leave log'!$B$7:$B$306,"&lt;="&amp;DATE($B$3,1,31),'Leave log'!$C$7:$C$306,"&gt;="&amp;DATE($B$3,1,31),'Leave log'!$F$7:$F$306,"Approved")&gt;0,"A",""))="A","A",IF(OR(DATE($B$3,1,31)&gt;EOMONTH(DATE($B$3,1,1),0),NETWORKDAYS.INTL(DATE($B$3,1,31),DATE($B$3,1,31),1,'Non-working days'!$A$6:$A$45)=0),"",IF(COUNTIFS('Leave log'!$A$7:$A$306,Employees!$A$15,'Leave log'!$B$7:$B$306,"&lt;="&amp;DATE($B$3,1,31),'Leave log'!$C$7:$C$306,"&gt;="&amp;DATE($B$3,1,31),'Leave log'!$F$7:$F$306,"Pending")&gt;0,"P",""))))</f>
        <v/>
      </c>
    </row>
    <row r="17" spans="1:32" ht="18" customHeight="1" x14ac:dyDescent="0.3">
      <c r="A17" s="22" t="str">
        <f>IF(Employees!F16="Yes",Employees!B16,"")</f>
        <v/>
      </c>
      <c r="B17" s="23" t="str">
        <f>IF(A17="","",IF(IF(OR(DATE($B$3,1,1)&gt;EOMONTH(DATE($B$3,1,1),0),NETWORKDAYS.INTL(DATE($B$3,1,1),DATE($B$3,1,1),1,'Non-working days'!$A$6:$A$45)=0),"",IF(COUNTIFS('Leave log'!$A$7:$A$306,Employees!$A$16,'Leave log'!$B$7:$B$306,"&lt;="&amp;DATE($B$3,1,1),'Leave log'!$C$7:$C$306,"&gt;="&amp;DATE($B$3,1,1),'Leave log'!$F$7:$F$306,"Approved")&gt;0,"A",""))="A","A",IF(OR(DATE($B$3,1,1)&gt;EOMONTH(DATE($B$3,1,1),0),NETWORKDAYS.INTL(DATE($B$3,1,1),DATE($B$3,1,1),1,'Non-working days'!$A$6:$A$45)=0),"",IF(COUNTIFS('Leave log'!$A$7:$A$306,Employees!$A$16,'Leave log'!$B$7:$B$306,"&lt;="&amp;DATE($B$3,1,1),'Leave log'!$C$7:$C$306,"&gt;="&amp;DATE($B$3,1,1),'Leave log'!$F$7:$F$306,"Pending")&gt;0,"P",""))))</f>
        <v/>
      </c>
      <c r="C17" s="23" t="str">
        <f>IF(A17="","",IF(IF(OR(DATE($B$3,1,2)&gt;EOMONTH(DATE($B$3,1,1),0),NETWORKDAYS.INTL(DATE($B$3,1,2),DATE($B$3,1,2),1,'Non-working days'!$A$6:$A$45)=0),"",IF(COUNTIFS('Leave log'!$A$7:$A$306,Employees!$A$16,'Leave log'!$B$7:$B$306,"&lt;="&amp;DATE($B$3,1,2),'Leave log'!$C$7:$C$306,"&gt;="&amp;DATE($B$3,1,2),'Leave log'!$F$7:$F$306,"Approved")&gt;0,"A",""))="A","A",IF(OR(DATE($B$3,1,2)&gt;EOMONTH(DATE($B$3,1,1),0),NETWORKDAYS.INTL(DATE($B$3,1,2),DATE($B$3,1,2),1,'Non-working days'!$A$6:$A$45)=0),"",IF(COUNTIFS('Leave log'!$A$7:$A$306,Employees!$A$16,'Leave log'!$B$7:$B$306,"&lt;="&amp;DATE($B$3,1,2),'Leave log'!$C$7:$C$306,"&gt;="&amp;DATE($B$3,1,2),'Leave log'!$F$7:$F$306,"Pending")&gt;0,"P",""))))</f>
        <v/>
      </c>
      <c r="D17" s="23" t="str">
        <f>IF(A17="","",IF(IF(OR(DATE($B$3,1,3)&gt;EOMONTH(DATE($B$3,1,1),0),NETWORKDAYS.INTL(DATE($B$3,1,3),DATE($B$3,1,3),1,'Non-working days'!$A$6:$A$45)=0),"",IF(COUNTIFS('Leave log'!$A$7:$A$306,Employees!$A$16,'Leave log'!$B$7:$B$306,"&lt;="&amp;DATE($B$3,1,3),'Leave log'!$C$7:$C$306,"&gt;="&amp;DATE($B$3,1,3),'Leave log'!$F$7:$F$306,"Approved")&gt;0,"A",""))="A","A",IF(OR(DATE($B$3,1,3)&gt;EOMONTH(DATE($B$3,1,1),0),NETWORKDAYS.INTL(DATE($B$3,1,3),DATE($B$3,1,3),1,'Non-working days'!$A$6:$A$45)=0),"",IF(COUNTIFS('Leave log'!$A$7:$A$306,Employees!$A$16,'Leave log'!$B$7:$B$306,"&lt;="&amp;DATE($B$3,1,3),'Leave log'!$C$7:$C$306,"&gt;="&amp;DATE($B$3,1,3),'Leave log'!$F$7:$F$306,"Pending")&gt;0,"P",""))))</f>
        <v/>
      </c>
      <c r="E17" s="23" t="str">
        <f>IF(A17="","",IF(IF(OR(DATE($B$3,1,4)&gt;EOMONTH(DATE($B$3,1,1),0),NETWORKDAYS.INTL(DATE($B$3,1,4),DATE($B$3,1,4),1,'Non-working days'!$A$6:$A$45)=0),"",IF(COUNTIFS('Leave log'!$A$7:$A$306,Employees!$A$16,'Leave log'!$B$7:$B$306,"&lt;="&amp;DATE($B$3,1,4),'Leave log'!$C$7:$C$306,"&gt;="&amp;DATE($B$3,1,4),'Leave log'!$F$7:$F$306,"Approved")&gt;0,"A",""))="A","A",IF(OR(DATE($B$3,1,4)&gt;EOMONTH(DATE($B$3,1,1),0),NETWORKDAYS.INTL(DATE($B$3,1,4),DATE($B$3,1,4),1,'Non-working days'!$A$6:$A$45)=0),"",IF(COUNTIFS('Leave log'!$A$7:$A$306,Employees!$A$16,'Leave log'!$B$7:$B$306,"&lt;="&amp;DATE($B$3,1,4),'Leave log'!$C$7:$C$306,"&gt;="&amp;DATE($B$3,1,4),'Leave log'!$F$7:$F$306,"Pending")&gt;0,"P",""))))</f>
        <v/>
      </c>
      <c r="F17" s="23" t="str">
        <f>IF(A17="","",IF(IF(OR(DATE($B$3,1,5)&gt;EOMONTH(DATE($B$3,1,1),0),NETWORKDAYS.INTL(DATE($B$3,1,5),DATE($B$3,1,5),1,'Non-working days'!$A$6:$A$45)=0),"",IF(COUNTIFS('Leave log'!$A$7:$A$306,Employees!$A$16,'Leave log'!$B$7:$B$306,"&lt;="&amp;DATE($B$3,1,5),'Leave log'!$C$7:$C$306,"&gt;="&amp;DATE($B$3,1,5),'Leave log'!$F$7:$F$306,"Approved")&gt;0,"A",""))="A","A",IF(OR(DATE($B$3,1,5)&gt;EOMONTH(DATE($B$3,1,1),0),NETWORKDAYS.INTL(DATE($B$3,1,5),DATE($B$3,1,5),1,'Non-working days'!$A$6:$A$45)=0),"",IF(COUNTIFS('Leave log'!$A$7:$A$306,Employees!$A$16,'Leave log'!$B$7:$B$306,"&lt;="&amp;DATE($B$3,1,5),'Leave log'!$C$7:$C$306,"&gt;="&amp;DATE($B$3,1,5),'Leave log'!$F$7:$F$306,"Pending")&gt;0,"P",""))))</f>
        <v/>
      </c>
      <c r="G17" s="23" t="str">
        <f>IF(A17="","",IF(IF(OR(DATE($B$3,1,6)&gt;EOMONTH(DATE($B$3,1,1),0),NETWORKDAYS.INTL(DATE($B$3,1,6),DATE($B$3,1,6),1,'Non-working days'!$A$6:$A$45)=0),"",IF(COUNTIFS('Leave log'!$A$7:$A$306,Employees!$A$16,'Leave log'!$B$7:$B$306,"&lt;="&amp;DATE($B$3,1,6),'Leave log'!$C$7:$C$306,"&gt;="&amp;DATE($B$3,1,6),'Leave log'!$F$7:$F$306,"Approved")&gt;0,"A",""))="A","A",IF(OR(DATE($B$3,1,6)&gt;EOMONTH(DATE($B$3,1,1),0),NETWORKDAYS.INTL(DATE($B$3,1,6),DATE($B$3,1,6),1,'Non-working days'!$A$6:$A$45)=0),"",IF(COUNTIFS('Leave log'!$A$7:$A$306,Employees!$A$16,'Leave log'!$B$7:$B$306,"&lt;="&amp;DATE($B$3,1,6),'Leave log'!$C$7:$C$306,"&gt;="&amp;DATE($B$3,1,6),'Leave log'!$F$7:$F$306,"Pending")&gt;0,"P",""))))</f>
        <v/>
      </c>
      <c r="H17" s="23" t="str">
        <f>IF(A17="","",IF(IF(OR(DATE($B$3,1,7)&gt;EOMONTH(DATE($B$3,1,1),0),NETWORKDAYS.INTL(DATE($B$3,1,7),DATE($B$3,1,7),1,'Non-working days'!$A$6:$A$45)=0),"",IF(COUNTIFS('Leave log'!$A$7:$A$306,Employees!$A$16,'Leave log'!$B$7:$B$306,"&lt;="&amp;DATE($B$3,1,7),'Leave log'!$C$7:$C$306,"&gt;="&amp;DATE($B$3,1,7),'Leave log'!$F$7:$F$306,"Approved")&gt;0,"A",""))="A","A",IF(OR(DATE($B$3,1,7)&gt;EOMONTH(DATE($B$3,1,1),0),NETWORKDAYS.INTL(DATE($B$3,1,7),DATE($B$3,1,7),1,'Non-working days'!$A$6:$A$45)=0),"",IF(COUNTIFS('Leave log'!$A$7:$A$306,Employees!$A$16,'Leave log'!$B$7:$B$306,"&lt;="&amp;DATE($B$3,1,7),'Leave log'!$C$7:$C$306,"&gt;="&amp;DATE($B$3,1,7),'Leave log'!$F$7:$F$306,"Pending")&gt;0,"P",""))))</f>
        <v/>
      </c>
      <c r="I17" s="23" t="str">
        <f>IF(A17="","",IF(IF(OR(DATE($B$3,1,8)&gt;EOMONTH(DATE($B$3,1,1),0),NETWORKDAYS.INTL(DATE($B$3,1,8),DATE($B$3,1,8),1,'Non-working days'!$A$6:$A$45)=0),"",IF(COUNTIFS('Leave log'!$A$7:$A$306,Employees!$A$16,'Leave log'!$B$7:$B$306,"&lt;="&amp;DATE($B$3,1,8),'Leave log'!$C$7:$C$306,"&gt;="&amp;DATE($B$3,1,8),'Leave log'!$F$7:$F$306,"Approved")&gt;0,"A",""))="A","A",IF(OR(DATE($B$3,1,8)&gt;EOMONTH(DATE($B$3,1,1),0),NETWORKDAYS.INTL(DATE($B$3,1,8),DATE($B$3,1,8),1,'Non-working days'!$A$6:$A$45)=0),"",IF(COUNTIFS('Leave log'!$A$7:$A$306,Employees!$A$16,'Leave log'!$B$7:$B$306,"&lt;="&amp;DATE($B$3,1,8),'Leave log'!$C$7:$C$306,"&gt;="&amp;DATE($B$3,1,8),'Leave log'!$F$7:$F$306,"Pending")&gt;0,"P",""))))</f>
        <v/>
      </c>
      <c r="J17" s="23" t="str">
        <f>IF(A17="","",IF(IF(OR(DATE($B$3,1,9)&gt;EOMONTH(DATE($B$3,1,1),0),NETWORKDAYS.INTL(DATE($B$3,1,9),DATE($B$3,1,9),1,'Non-working days'!$A$6:$A$45)=0),"",IF(COUNTIFS('Leave log'!$A$7:$A$306,Employees!$A$16,'Leave log'!$B$7:$B$306,"&lt;="&amp;DATE($B$3,1,9),'Leave log'!$C$7:$C$306,"&gt;="&amp;DATE($B$3,1,9),'Leave log'!$F$7:$F$306,"Approved")&gt;0,"A",""))="A","A",IF(OR(DATE($B$3,1,9)&gt;EOMONTH(DATE($B$3,1,1),0),NETWORKDAYS.INTL(DATE($B$3,1,9),DATE($B$3,1,9),1,'Non-working days'!$A$6:$A$45)=0),"",IF(COUNTIFS('Leave log'!$A$7:$A$306,Employees!$A$16,'Leave log'!$B$7:$B$306,"&lt;="&amp;DATE($B$3,1,9),'Leave log'!$C$7:$C$306,"&gt;="&amp;DATE($B$3,1,9),'Leave log'!$F$7:$F$306,"Pending")&gt;0,"P",""))))</f>
        <v/>
      </c>
      <c r="K17" s="23" t="str">
        <f>IF(A17="","",IF(IF(OR(DATE($B$3,1,10)&gt;EOMONTH(DATE($B$3,1,1),0),NETWORKDAYS.INTL(DATE($B$3,1,10),DATE($B$3,1,10),1,'Non-working days'!$A$6:$A$45)=0),"",IF(COUNTIFS('Leave log'!$A$7:$A$306,Employees!$A$16,'Leave log'!$B$7:$B$306,"&lt;="&amp;DATE($B$3,1,10),'Leave log'!$C$7:$C$306,"&gt;="&amp;DATE($B$3,1,10),'Leave log'!$F$7:$F$306,"Approved")&gt;0,"A",""))="A","A",IF(OR(DATE($B$3,1,10)&gt;EOMONTH(DATE($B$3,1,1),0),NETWORKDAYS.INTL(DATE($B$3,1,10),DATE($B$3,1,10),1,'Non-working days'!$A$6:$A$45)=0),"",IF(COUNTIFS('Leave log'!$A$7:$A$306,Employees!$A$16,'Leave log'!$B$7:$B$306,"&lt;="&amp;DATE($B$3,1,10),'Leave log'!$C$7:$C$306,"&gt;="&amp;DATE($B$3,1,10),'Leave log'!$F$7:$F$306,"Pending")&gt;0,"P",""))))</f>
        <v/>
      </c>
      <c r="L17" s="23" t="str">
        <f>IF(A17="","",IF(IF(OR(DATE($B$3,1,11)&gt;EOMONTH(DATE($B$3,1,1),0),NETWORKDAYS.INTL(DATE($B$3,1,11),DATE($B$3,1,11),1,'Non-working days'!$A$6:$A$45)=0),"",IF(COUNTIFS('Leave log'!$A$7:$A$306,Employees!$A$16,'Leave log'!$B$7:$B$306,"&lt;="&amp;DATE($B$3,1,11),'Leave log'!$C$7:$C$306,"&gt;="&amp;DATE($B$3,1,11),'Leave log'!$F$7:$F$306,"Approved")&gt;0,"A",""))="A","A",IF(OR(DATE($B$3,1,11)&gt;EOMONTH(DATE($B$3,1,1),0),NETWORKDAYS.INTL(DATE($B$3,1,11),DATE($B$3,1,11),1,'Non-working days'!$A$6:$A$45)=0),"",IF(COUNTIFS('Leave log'!$A$7:$A$306,Employees!$A$16,'Leave log'!$B$7:$B$306,"&lt;="&amp;DATE($B$3,1,11),'Leave log'!$C$7:$C$306,"&gt;="&amp;DATE($B$3,1,11),'Leave log'!$F$7:$F$306,"Pending")&gt;0,"P",""))))</f>
        <v/>
      </c>
      <c r="M17" s="23" t="str">
        <f>IF(A17="","",IF(IF(OR(DATE($B$3,1,12)&gt;EOMONTH(DATE($B$3,1,1),0),NETWORKDAYS.INTL(DATE($B$3,1,12),DATE($B$3,1,12),1,'Non-working days'!$A$6:$A$45)=0),"",IF(COUNTIFS('Leave log'!$A$7:$A$306,Employees!$A$16,'Leave log'!$B$7:$B$306,"&lt;="&amp;DATE($B$3,1,12),'Leave log'!$C$7:$C$306,"&gt;="&amp;DATE($B$3,1,12),'Leave log'!$F$7:$F$306,"Approved")&gt;0,"A",""))="A","A",IF(OR(DATE($B$3,1,12)&gt;EOMONTH(DATE($B$3,1,1),0),NETWORKDAYS.INTL(DATE($B$3,1,12),DATE($B$3,1,12),1,'Non-working days'!$A$6:$A$45)=0),"",IF(COUNTIFS('Leave log'!$A$7:$A$306,Employees!$A$16,'Leave log'!$B$7:$B$306,"&lt;="&amp;DATE($B$3,1,12),'Leave log'!$C$7:$C$306,"&gt;="&amp;DATE($B$3,1,12),'Leave log'!$F$7:$F$306,"Pending")&gt;0,"P",""))))</f>
        <v/>
      </c>
      <c r="N17" s="23" t="str">
        <f>IF(A17="","",IF(IF(OR(DATE($B$3,1,13)&gt;EOMONTH(DATE($B$3,1,1),0),NETWORKDAYS.INTL(DATE($B$3,1,13),DATE($B$3,1,13),1,'Non-working days'!$A$6:$A$45)=0),"",IF(COUNTIFS('Leave log'!$A$7:$A$306,Employees!$A$16,'Leave log'!$B$7:$B$306,"&lt;="&amp;DATE($B$3,1,13),'Leave log'!$C$7:$C$306,"&gt;="&amp;DATE($B$3,1,13),'Leave log'!$F$7:$F$306,"Approved")&gt;0,"A",""))="A","A",IF(OR(DATE($B$3,1,13)&gt;EOMONTH(DATE($B$3,1,1),0),NETWORKDAYS.INTL(DATE($B$3,1,13),DATE($B$3,1,13),1,'Non-working days'!$A$6:$A$45)=0),"",IF(COUNTIFS('Leave log'!$A$7:$A$306,Employees!$A$16,'Leave log'!$B$7:$B$306,"&lt;="&amp;DATE($B$3,1,13),'Leave log'!$C$7:$C$306,"&gt;="&amp;DATE($B$3,1,13),'Leave log'!$F$7:$F$306,"Pending")&gt;0,"P",""))))</f>
        <v/>
      </c>
      <c r="O17" s="23" t="str">
        <f>IF(A17="","",IF(IF(OR(DATE($B$3,1,14)&gt;EOMONTH(DATE($B$3,1,1),0),NETWORKDAYS.INTL(DATE($B$3,1,14),DATE($B$3,1,14),1,'Non-working days'!$A$6:$A$45)=0),"",IF(COUNTIFS('Leave log'!$A$7:$A$306,Employees!$A$16,'Leave log'!$B$7:$B$306,"&lt;="&amp;DATE($B$3,1,14),'Leave log'!$C$7:$C$306,"&gt;="&amp;DATE($B$3,1,14),'Leave log'!$F$7:$F$306,"Approved")&gt;0,"A",""))="A","A",IF(OR(DATE($B$3,1,14)&gt;EOMONTH(DATE($B$3,1,1),0),NETWORKDAYS.INTL(DATE($B$3,1,14),DATE($B$3,1,14),1,'Non-working days'!$A$6:$A$45)=0),"",IF(COUNTIFS('Leave log'!$A$7:$A$306,Employees!$A$16,'Leave log'!$B$7:$B$306,"&lt;="&amp;DATE($B$3,1,14),'Leave log'!$C$7:$C$306,"&gt;="&amp;DATE($B$3,1,14),'Leave log'!$F$7:$F$306,"Pending")&gt;0,"P",""))))</f>
        <v/>
      </c>
      <c r="P17" s="23" t="str">
        <f>IF(A17="","",IF(IF(OR(DATE($B$3,1,15)&gt;EOMONTH(DATE($B$3,1,1),0),NETWORKDAYS.INTL(DATE($B$3,1,15),DATE($B$3,1,15),1,'Non-working days'!$A$6:$A$45)=0),"",IF(COUNTIFS('Leave log'!$A$7:$A$306,Employees!$A$16,'Leave log'!$B$7:$B$306,"&lt;="&amp;DATE($B$3,1,15),'Leave log'!$C$7:$C$306,"&gt;="&amp;DATE($B$3,1,15),'Leave log'!$F$7:$F$306,"Approved")&gt;0,"A",""))="A","A",IF(OR(DATE($B$3,1,15)&gt;EOMONTH(DATE($B$3,1,1),0),NETWORKDAYS.INTL(DATE($B$3,1,15),DATE($B$3,1,15),1,'Non-working days'!$A$6:$A$45)=0),"",IF(COUNTIFS('Leave log'!$A$7:$A$306,Employees!$A$16,'Leave log'!$B$7:$B$306,"&lt;="&amp;DATE($B$3,1,15),'Leave log'!$C$7:$C$306,"&gt;="&amp;DATE($B$3,1,15),'Leave log'!$F$7:$F$306,"Pending")&gt;0,"P",""))))</f>
        <v/>
      </c>
      <c r="Q17" s="23" t="str">
        <f>IF(A17="","",IF(IF(OR(DATE($B$3,1,16)&gt;EOMONTH(DATE($B$3,1,1),0),NETWORKDAYS.INTL(DATE($B$3,1,16),DATE($B$3,1,16),1,'Non-working days'!$A$6:$A$45)=0),"",IF(COUNTIFS('Leave log'!$A$7:$A$306,Employees!$A$16,'Leave log'!$B$7:$B$306,"&lt;="&amp;DATE($B$3,1,16),'Leave log'!$C$7:$C$306,"&gt;="&amp;DATE($B$3,1,16),'Leave log'!$F$7:$F$306,"Approved")&gt;0,"A",""))="A","A",IF(OR(DATE($B$3,1,16)&gt;EOMONTH(DATE($B$3,1,1),0),NETWORKDAYS.INTL(DATE($B$3,1,16),DATE($B$3,1,16),1,'Non-working days'!$A$6:$A$45)=0),"",IF(COUNTIFS('Leave log'!$A$7:$A$306,Employees!$A$16,'Leave log'!$B$7:$B$306,"&lt;="&amp;DATE($B$3,1,16),'Leave log'!$C$7:$C$306,"&gt;="&amp;DATE($B$3,1,16),'Leave log'!$F$7:$F$306,"Pending")&gt;0,"P",""))))</f>
        <v/>
      </c>
      <c r="R17" s="23" t="str">
        <f>IF(A17="","",IF(IF(OR(DATE($B$3,1,17)&gt;EOMONTH(DATE($B$3,1,1),0),NETWORKDAYS.INTL(DATE($B$3,1,17),DATE($B$3,1,17),1,'Non-working days'!$A$6:$A$45)=0),"",IF(COUNTIFS('Leave log'!$A$7:$A$306,Employees!$A$16,'Leave log'!$B$7:$B$306,"&lt;="&amp;DATE($B$3,1,17),'Leave log'!$C$7:$C$306,"&gt;="&amp;DATE($B$3,1,17),'Leave log'!$F$7:$F$306,"Approved")&gt;0,"A",""))="A","A",IF(OR(DATE($B$3,1,17)&gt;EOMONTH(DATE($B$3,1,1),0),NETWORKDAYS.INTL(DATE($B$3,1,17),DATE($B$3,1,17),1,'Non-working days'!$A$6:$A$45)=0),"",IF(COUNTIFS('Leave log'!$A$7:$A$306,Employees!$A$16,'Leave log'!$B$7:$B$306,"&lt;="&amp;DATE($B$3,1,17),'Leave log'!$C$7:$C$306,"&gt;="&amp;DATE($B$3,1,17),'Leave log'!$F$7:$F$306,"Pending")&gt;0,"P",""))))</f>
        <v/>
      </c>
      <c r="S17" s="23" t="str">
        <f>IF(A17="","",IF(IF(OR(DATE($B$3,1,18)&gt;EOMONTH(DATE($B$3,1,1),0),NETWORKDAYS.INTL(DATE($B$3,1,18),DATE($B$3,1,18),1,'Non-working days'!$A$6:$A$45)=0),"",IF(COUNTIFS('Leave log'!$A$7:$A$306,Employees!$A$16,'Leave log'!$B$7:$B$306,"&lt;="&amp;DATE($B$3,1,18),'Leave log'!$C$7:$C$306,"&gt;="&amp;DATE($B$3,1,18),'Leave log'!$F$7:$F$306,"Approved")&gt;0,"A",""))="A","A",IF(OR(DATE($B$3,1,18)&gt;EOMONTH(DATE($B$3,1,1),0),NETWORKDAYS.INTL(DATE($B$3,1,18),DATE($B$3,1,18),1,'Non-working days'!$A$6:$A$45)=0),"",IF(COUNTIFS('Leave log'!$A$7:$A$306,Employees!$A$16,'Leave log'!$B$7:$B$306,"&lt;="&amp;DATE($B$3,1,18),'Leave log'!$C$7:$C$306,"&gt;="&amp;DATE($B$3,1,18),'Leave log'!$F$7:$F$306,"Pending")&gt;0,"P",""))))</f>
        <v/>
      </c>
      <c r="T17" s="23" t="str">
        <f>IF(A17="","",IF(IF(OR(DATE($B$3,1,19)&gt;EOMONTH(DATE($B$3,1,1),0),NETWORKDAYS.INTL(DATE($B$3,1,19),DATE($B$3,1,19),1,'Non-working days'!$A$6:$A$45)=0),"",IF(COUNTIFS('Leave log'!$A$7:$A$306,Employees!$A$16,'Leave log'!$B$7:$B$306,"&lt;="&amp;DATE($B$3,1,19),'Leave log'!$C$7:$C$306,"&gt;="&amp;DATE($B$3,1,19),'Leave log'!$F$7:$F$306,"Approved")&gt;0,"A",""))="A","A",IF(OR(DATE($B$3,1,19)&gt;EOMONTH(DATE($B$3,1,1),0),NETWORKDAYS.INTL(DATE($B$3,1,19),DATE($B$3,1,19),1,'Non-working days'!$A$6:$A$45)=0),"",IF(COUNTIFS('Leave log'!$A$7:$A$306,Employees!$A$16,'Leave log'!$B$7:$B$306,"&lt;="&amp;DATE($B$3,1,19),'Leave log'!$C$7:$C$306,"&gt;="&amp;DATE($B$3,1,19),'Leave log'!$F$7:$F$306,"Pending")&gt;0,"P",""))))</f>
        <v/>
      </c>
      <c r="U17" s="23" t="str">
        <f>IF(A17="","",IF(IF(OR(DATE($B$3,1,20)&gt;EOMONTH(DATE($B$3,1,1),0),NETWORKDAYS.INTL(DATE($B$3,1,20),DATE($B$3,1,20),1,'Non-working days'!$A$6:$A$45)=0),"",IF(COUNTIFS('Leave log'!$A$7:$A$306,Employees!$A$16,'Leave log'!$B$7:$B$306,"&lt;="&amp;DATE($B$3,1,20),'Leave log'!$C$7:$C$306,"&gt;="&amp;DATE($B$3,1,20),'Leave log'!$F$7:$F$306,"Approved")&gt;0,"A",""))="A","A",IF(OR(DATE($B$3,1,20)&gt;EOMONTH(DATE($B$3,1,1),0),NETWORKDAYS.INTL(DATE($B$3,1,20),DATE($B$3,1,20),1,'Non-working days'!$A$6:$A$45)=0),"",IF(COUNTIFS('Leave log'!$A$7:$A$306,Employees!$A$16,'Leave log'!$B$7:$B$306,"&lt;="&amp;DATE($B$3,1,20),'Leave log'!$C$7:$C$306,"&gt;="&amp;DATE($B$3,1,20),'Leave log'!$F$7:$F$306,"Pending")&gt;0,"P",""))))</f>
        <v/>
      </c>
      <c r="V17" s="23" t="str">
        <f>IF(A17="","",IF(IF(OR(DATE($B$3,1,21)&gt;EOMONTH(DATE($B$3,1,1),0),NETWORKDAYS.INTL(DATE($B$3,1,21),DATE($B$3,1,21),1,'Non-working days'!$A$6:$A$45)=0),"",IF(COUNTIFS('Leave log'!$A$7:$A$306,Employees!$A$16,'Leave log'!$B$7:$B$306,"&lt;="&amp;DATE($B$3,1,21),'Leave log'!$C$7:$C$306,"&gt;="&amp;DATE($B$3,1,21),'Leave log'!$F$7:$F$306,"Approved")&gt;0,"A",""))="A","A",IF(OR(DATE($B$3,1,21)&gt;EOMONTH(DATE($B$3,1,1),0),NETWORKDAYS.INTL(DATE($B$3,1,21),DATE($B$3,1,21),1,'Non-working days'!$A$6:$A$45)=0),"",IF(COUNTIFS('Leave log'!$A$7:$A$306,Employees!$A$16,'Leave log'!$B$7:$B$306,"&lt;="&amp;DATE($B$3,1,21),'Leave log'!$C$7:$C$306,"&gt;="&amp;DATE($B$3,1,21),'Leave log'!$F$7:$F$306,"Pending")&gt;0,"P",""))))</f>
        <v/>
      </c>
      <c r="W17" s="23" t="str">
        <f>IF(A17="","",IF(IF(OR(DATE($B$3,1,22)&gt;EOMONTH(DATE($B$3,1,1),0),NETWORKDAYS.INTL(DATE($B$3,1,22),DATE($B$3,1,22),1,'Non-working days'!$A$6:$A$45)=0),"",IF(COUNTIFS('Leave log'!$A$7:$A$306,Employees!$A$16,'Leave log'!$B$7:$B$306,"&lt;="&amp;DATE($B$3,1,22),'Leave log'!$C$7:$C$306,"&gt;="&amp;DATE($B$3,1,22),'Leave log'!$F$7:$F$306,"Approved")&gt;0,"A",""))="A","A",IF(OR(DATE($B$3,1,22)&gt;EOMONTH(DATE($B$3,1,1),0),NETWORKDAYS.INTL(DATE($B$3,1,22),DATE($B$3,1,22),1,'Non-working days'!$A$6:$A$45)=0),"",IF(COUNTIFS('Leave log'!$A$7:$A$306,Employees!$A$16,'Leave log'!$B$7:$B$306,"&lt;="&amp;DATE($B$3,1,22),'Leave log'!$C$7:$C$306,"&gt;="&amp;DATE($B$3,1,22),'Leave log'!$F$7:$F$306,"Pending")&gt;0,"P",""))))</f>
        <v/>
      </c>
      <c r="X17" s="23" t="str">
        <f>IF(A17="","",IF(IF(OR(DATE($B$3,1,23)&gt;EOMONTH(DATE($B$3,1,1),0),NETWORKDAYS.INTL(DATE($B$3,1,23),DATE($B$3,1,23),1,'Non-working days'!$A$6:$A$45)=0),"",IF(COUNTIFS('Leave log'!$A$7:$A$306,Employees!$A$16,'Leave log'!$B$7:$B$306,"&lt;="&amp;DATE($B$3,1,23),'Leave log'!$C$7:$C$306,"&gt;="&amp;DATE($B$3,1,23),'Leave log'!$F$7:$F$306,"Approved")&gt;0,"A",""))="A","A",IF(OR(DATE($B$3,1,23)&gt;EOMONTH(DATE($B$3,1,1),0),NETWORKDAYS.INTL(DATE($B$3,1,23),DATE($B$3,1,23),1,'Non-working days'!$A$6:$A$45)=0),"",IF(COUNTIFS('Leave log'!$A$7:$A$306,Employees!$A$16,'Leave log'!$B$7:$B$306,"&lt;="&amp;DATE($B$3,1,23),'Leave log'!$C$7:$C$306,"&gt;="&amp;DATE($B$3,1,23),'Leave log'!$F$7:$F$306,"Pending")&gt;0,"P",""))))</f>
        <v/>
      </c>
      <c r="Y17" s="23" t="str">
        <f>IF(A17="","",IF(IF(OR(DATE($B$3,1,24)&gt;EOMONTH(DATE($B$3,1,1),0),NETWORKDAYS.INTL(DATE($B$3,1,24),DATE($B$3,1,24),1,'Non-working days'!$A$6:$A$45)=0),"",IF(COUNTIFS('Leave log'!$A$7:$A$306,Employees!$A$16,'Leave log'!$B$7:$B$306,"&lt;="&amp;DATE($B$3,1,24),'Leave log'!$C$7:$C$306,"&gt;="&amp;DATE($B$3,1,24),'Leave log'!$F$7:$F$306,"Approved")&gt;0,"A",""))="A","A",IF(OR(DATE($B$3,1,24)&gt;EOMONTH(DATE($B$3,1,1),0),NETWORKDAYS.INTL(DATE($B$3,1,24),DATE($B$3,1,24),1,'Non-working days'!$A$6:$A$45)=0),"",IF(COUNTIFS('Leave log'!$A$7:$A$306,Employees!$A$16,'Leave log'!$B$7:$B$306,"&lt;="&amp;DATE($B$3,1,24),'Leave log'!$C$7:$C$306,"&gt;="&amp;DATE($B$3,1,24),'Leave log'!$F$7:$F$306,"Pending")&gt;0,"P",""))))</f>
        <v/>
      </c>
      <c r="Z17" s="23" t="str">
        <f>IF(A17="","",IF(IF(OR(DATE($B$3,1,25)&gt;EOMONTH(DATE($B$3,1,1),0),NETWORKDAYS.INTL(DATE($B$3,1,25),DATE($B$3,1,25),1,'Non-working days'!$A$6:$A$45)=0),"",IF(COUNTIFS('Leave log'!$A$7:$A$306,Employees!$A$16,'Leave log'!$B$7:$B$306,"&lt;="&amp;DATE($B$3,1,25),'Leave log'!$C$7:$C$306,"&gt;="&amp;DATE($B$3,1,25),'Leave log'!$F$7:$F$306,"Approved")&gt;0,"A",""))="A","A",IF(OR(DATE($B$3,1,25)&gt;EOMONTH(DATE($B$3,1,1),0),NETWORKDAYS.INTL(DATE($B$3,1,25),DATE($B$3,1,25),1,'Non-working days'!$A$6:$A$45)=0),"",IF(COUNTIFS('Leave log'!$A$7:$A$306,Employees!$A$16,'Leave log'!$B$7:$B$306,"&lt;="&amp;DATE($B$3,1,25),'Leave log'!$C$7:$C$306,"&gt;="&amp;DATE($B$3,1,25),'Leave log'!$F$7:$F$306,"Pending")&gt;0,"P",""))))</f>
        <v/>
      </c>
      <c r="AA17" s="23" t="str">
        <f>IF(A17="","",IF(IF(OR(DATE($B$3,1,26)&gt;EOMONTH(DATE($B$3,1,1),0),NETWORKDAYS.INTL(DATE($B$3,1,26),DATE($B$3,1,26),1,'Non-working days'!$A$6:$A$45)=0),"",IF(COUNTIFS('Leave log'!$A$7:$A$306,Employees!$A$16,'Leave log'!$B$7:$B$306,"&lt;="&amp;DATE($B$3,1,26),'Leave log'!$C$7:$C$306,"&gt;="&amp;DATE($B$3,1,26),'Leave log'!$F$7:$F$306,"Approved")&gt;0,"A",""))="A","A",IF(OR(DATE($B$3,1,26)&gt;EOMONTH(DATE($B$3,1,1),0),NETWORKDAYS.INTL(DATE($B$3,1,26),DATE($B$3,1,26),1,'Non-working days'!$A$6:$A$45)=0),"",IF(COUNTIFS('Leave log'!$A$7:$A$306,Employees!$A$16,'Leave log'!$B$7:$B$306,"&lt;="&amp;DATE($B$3,1,26),'Leave log'!$C$7:$C$306,"&gt;="&amp;DATE($B$3,1,26),'Leave log'!$F$7:$F$306,"Pending")&gt;0,"P",""))))</f>
        <v/>
      </c>
      <c r="AB17" s="23" t="str">
        <f>IF(A17="","",IF(IF(OR(DATE($B$3,1,27)&gt;EOMONTH(DATE($B$3,1,1),0),NETWORKDAYS.INTL(DATE($B$3,1,27),DATE($B$3,1,27),1,'Non-working days'!$A$6:$A$45)=0),"",IF(COUNTIFS('Leave log'!$A$7:$A$306,Employees!$A$16,'Leave log'!$B$7:$B$306,"&lt;="&amp;DATE($B$3,1,27),'Leave log'!$C$7:$C$306,"&gt;="&amp;DATE($B$3,1,27),'Leave log'!$F$7:$F$306,"Approved")&gt;0,"A",""))="A","A",IF(OR(DATE($B$3,1,27)&gt;EOMONTH(DATE($B$3,1,1),0),NETWORKDAYS.INTL(DATE($B$3,1,27),DATE($B$3,1,27),1,'Non-working days'!$A$6:$A$45)=0),"",IF(COUNTIFS('Leave log'!$A$7:$A$306,Employees!$A$16,'Leave log'!$B$7:$B$306,"&lt;="&amp;DATE($B$3,1,27),'Leave log'!$C$7:$C$306,"&gt;="&amp;DATE($B$3,1,27),'Leave log'!$F$7:$F$306,"Pending")&gt;0,"P",""))))</f>
        <v/>
      </c>
      <c r="AC17" s="23" t="str">
        <f>IF(A17="","",IF(IF(OR(DATE($B$3,1,28)&gt;EOMONTH(DATE($B$3,1,1),0),NETWORKDAYS.INTL(DATE($B$3,1,28),DATE($B$3,1,28),1,'Non-working days'!$A$6:$A$45)=0),"",IF(COUNTIFS('Leave log'!$A$7:$A$306,Employees!$A$16,'Leave log'!$B$7:$B$306,"&lt;="&amp;DATE($B$3,1,28),'Leave log'!$C$7:$C$306,"&gt;="&amp;DATE($B$3,1,28),'Leave log'!$F$7:$F$306,"Approved")&gt;0,"A",""))="A","A",IF(OR(DATE($B$3,1,28)&gt;EOMONTH(DATE($B$3,1,1),0),NETWORKDAYS.INTL(DATE($B$3,1,28),DATE($B$3,1,28),1,'Non-working days'!$A$6:$A$45)=0),"",IF(COUNTIFS('Leave log'!$A$7:$A$306,Employees!$A$16,'Leave log'!$B$7:$B$306,"&lt;="&amp;DATE($B$3,1,28),'Leave log'!$C$7:$C$306,"&gt;="&amp;DATE($B$3,1,28),'Leave log'!$F$7:$F$306,"Pending")&gt;0,"P",""))))</f>
        <v/>
      </c>
      <c r="AD17" s="23" t="str">
        <f>IF(A17="","",IF(IF(OR(DATE($B$3,1,29)&gt;EOMONTH(DATE($B$3,1,1),0),NETWORKDAYS.INTL(DATE($B$3,1,29),DATE($B$3,1,29),1,'Non-working days'!$A$6:$A$45)=0),"",IF(COUNTIFS('Leave log'!$A$7:$A$306,Employees!$A$16,'Leave log'!$B$7:$B$306,"&lt;="&amp;DATE($B$3,1,29),'Leave log'!$C$7:$C$306,"&gt;="&amp;DATE($B$3,1,29),'Leave log'!$F$7:$F$306,"Approved")&gt;0,"A",""))="A","A",IF(OR(DATE($B$3,1,29)&gt;EOMONTH(DATE($B$3,1,1),0),NETWORKDAYS.INTL(DATE($B$3,1,29),DATE($B$3,1,29),1,'Non-working days'!$A$6:$A$45)=0),"",IF(COUNTIFS('Leave log'!$A$7:$A$306,Employees!$A$16,'Leave log'!$B$7:$B$306,"&lt;="&amp;DATE($B$3,1,29),'Leave log'!$C$7:$C$306,"&gt;="&amp;DATE($B$3,1,29),'Leave log'!$F$7:$F$306,"Pending")&gt;0,"P",""))))</f>
        <v/>
      </c>
      <c r="AE17" s="23" t="str">
        <f>IF(A17="","",IF(IF(OR(DATE($B$3,1,30)&gt;EOMONTH(DATE($B$3,1,1),0),NETWORKDAYS.INTL(DATE($B$3,1,30),DATE($B$3,1,30),1,'Non-working days'!$A$6:$A$45)=0),"",IF(COUNTIFS('Leave log'!$A$7:$A$306,Employees!$A$16,'Leave log'!$B$7:$B$306,"&lt;="&amp;DATE($B$3,1,30),'Leave log'!$C$7:$C$306,"&gt;="&amp;DATE($B$3,1,30),'Leave log'!$F$7:$F$306,"Approved")&gt;0,"A",""))="A","A",IF(OR(DATE($B$3,1,30)&gt;EOMONTH(DATE($B$3,1,1),0),NETWORKDAYS.INTL(DATE($B$3,1,30),DATE($B$3,1,30),1,'Non-working days'!$A$6:$A$45)=0),"",IF(COUNTIFS('Leave log'!$A$7:$A$306,Employees!$A$16,'Leave log'!$B$7:$B$306,"&lt;="&amp;DATE($B$3,1,30),'Leave log'!$C$7:$C$306,"&gt;="&amp;DATE($B$3,1,30),'Leave log'!$F$7:$F$306,"Pending")&gt;0,"P",""))))</f>
        <v/>
      </c>
      <c r="AF17" s="23" t="str">
        <f>IF(A17="","",IF(IF(OR(DATE($B$3,1,31)&gt;EOMONTH(DATE($B$3,1,1),0),NETWORKDAYS.INTL(DATE($B$3,1,31),DATE($B$3,1,31),1,'Non-working days'!$A$6:$A$45)=0),"",IF(COUNTIFS('Leave log'!$A$7:$A$306,Employees!$A$16,'Leave log'!$B$7:$B$306,"&lt;="&amp;DATE($B$3,1,31),'Leave log'!$C$7:$C$306,"&gt;="&amp;DATE($B$3,1,31),'Leave log'!$F$7:$F$306,"Approved")&gt;0,"A",""))="A","A",IF(OR(DATE($B$3,1,31)&gt;EOMONTH(DATE($B$3,1,1),0),NETWORKDAYS.INTL(DATE($B$3,1,31),DATE($B$3,1,31),1,'Non-working days'!$A$6:$A$45)=0),"",IF(COUNTIFS('Leave log'!$A$7:$A$306,Employees!$A$16,'Leave log'!$B$7:$B$306,"&lt;="&amp;DATE($B$3,1,31),'Leave log'!$C$7:$C$306,"&gt;="&amp;DATE($B$3,1,31),'Leave log'!$F$7:$F$306,"Pending")&gt;0,"P",""))))</f>
        <v/>
      </c>
    </row>
    <row r="18" spans="1:32" ht="18" customHeight="1" x14ac:dyDescent="0.3">
      <c r="A18" s="22" t="str">
        <f>IF(Employees!F17="Yes",Employees!B17,"")</f>
        <v/>
      </c>
      <c r="B18" s="23" t="str">
        <f>IF(A18="","",IF(IF(OR(DATE($B$3,1,1)&gt;EOMONTH(DATE($B$3,1,1),0),NETWORKDAYS.INTL(DATE($B$3,1,1),DATE($B$3,1,1),1,'Non-working days'!$A$6:$A$45)=0),"",IF(COUNTIFS('Leave log'!$A$7:$A$306,Employees!$A$17,'Leave log'!$B$7:$B$306,"&lt;="&amp;DATE($B$3,1,1),'Leave log'!$C$7:$C$306,"&gt;="&amp;DATE($B$3,1,1),'Leave log'!$F$7:$F$306,"Approved")&gt;0,"A",""))="A","A",IF(OR(DATE($B$3,1,1)&gt;EOMONTH(DATE($B$3,1,1),0),NETWORKDAYS.INTL(DATE($B$3,1,1),DATE($B$3,1,1),1,'Non-working days'!$A$6:$A$45)=0),"",IF(COUNTIFS('Leave log'!$A$7:$A$306,Employees!$A$17,'Leave log'!$B$7:$B$306,"&lt;="&amp;DATE($B$3,1,1),'Leave log'!$C$7:$C$306,"&gt;="&amp;DATE($B$3,1,1),'Leave log'!$F$7:$F$306,"Pending")&gt;0,"P",""))))</f>
        <v/>
      </c>
      <c r="C18" s="23" t="str">
        <f>IF(A18="","",IF(IF(OR(DATE($B$3,1,2)&gt;EOMONTH(DATE($B$3,1,1),0),NETWORKDAYS.INTL(DATE($B$3,1,2),DATE($B$3,1,2),1,'Non-working days'!$A$6:$A$45)=0),"",IF(COUNTIFS('Leave log'!$A$7:$A$306,Employees!$A$17,'Leave log'!$B$7:$B$306,"&lt;="&amp;DATE($B$3,1,2),'Leave log'!$C$7:$C$306,"&gt;="&amp;DATE($B$3,1,2),'Leave log'!$F$7:$F$306,"Approved")&gt;0,"A",""))="A","A",IF(OR(DATE($B$3,1,2)&gt;EOMONTH(DATE($B$3,1,1),0),NETWORKDAYS.INTL(DATE($B$3,1,2),DATE($B$3,1,2),1,'Non-working days'!$A$6:$A$45)=0),"",IF(COUNTIFS('Leave log'!$A$7:$A$306,Employees!$A$17,'Leave log'!$B$7:$B$306,"&lt;="&amp;DATE($B$3,1,2),'Leave log'!$C$7:$C$306,"&gt;="&amp;DATE($B$3,1,2),'Leave log'!$F$7:$F$306,"Pending")&gt;0,"P",""))))</f>
        <v/>
      </c>
      <c r="D18" s="23" t="str">
        <f>IF(A18="","",IF(IF(OR(DATE($B$3,1,3)&gt;EOMONTH(DATE($B$3,1,1),0),NETWORKDAYS.INTL(DATE($B$3,1,3),DATE($B$3,1,3),1,'Non-working days'!$A$6:$A$45)=0),"",IF(COUNTIFS('Leave log'!$A$7:$A$306,Employees!$A$17,'Leave log'!$B$7:$B$306,"&lt;="&amp;DATE($B$3,1,3),'Leave log'!$C$7:$C$306,"&gt;="&amp;DATE($B$3,1,3),'Leave log'!$F$7:$F$306,"Approved")&gt;0,"A",""))="A","A",IF(OR(DATE($B$3,1,3)&gt;EOMONTH(DATE($B$3,1,1),0),NETWORKDAYS.INTL(DATE($B$3,1,3),DATE($B$3,1,3),1,'Non-working days'!$A$6:$A$45)=0),"",IF(COUNTIFS('Leave log'!$A$7:$A$306,Employees!$A$17,'Leave log'!$B$7:$B$306,"&lt;="&amp;DATE($B$3,1,3),'Leave log'!$C$7:$C$306,"&gt;="&amp;DATE($B$3,1,3),'Leave log'!$F$7:$F$306,"Pending")&gt;0,"P",""))))</f>
        <v/>
      </c>
      <c r="E18" s="23" t="str">
        <f>IF(A18="","",IF(IF(OR(DATE($B$3,1,4)&gt;EOMONTH(DATE($B$3,1,1),0),NETWORKDAYS.INTL(DATE($B$3,1,4),DATE($B$3,1,4),1,'Non-working days'!$A$6:$A$45)=0),"",IF(COUNTIFS('Leave log'!$A$7:$A$306,Employees!$A$17,'Leave log'!$B$7:$B$306,"&lt;="&amp;DATE($B$3,1,4),'Leave log'!$C$7:$C$306,"&gt;="&amp;DATE($B$3,1,4),'Leave log'!$F$7:$F$306,"Approved")&gt;0,"A",""))="A","A",IF(OR(DATE($B$3,1,4)&gt;EOMONTH(DATE($B$3,1,1),0),NETWORKDAYS.INTL(DATE($B$3,1,4),DATE($B$3,1,4),1,'Non-working days'!$A$6:$A$45)=0),"",IF(COUNTIFS('Leave log'!$A$7:$A$306,Employees!$A$17,'Leave log'!$B$7:$B$306,"&lt;="&amp;DATE($B$3,1,4),'Leave log'!$C$7:$C$306,"&gt;="&amp;DATE($B$3,1,4),'Leave log'!$F$7:$F$306,"Pending")&gt;0,"P",""))))</f>
        <v/>
      </c>
      <c r="F18" s="23" t="str">
        <f>IF(A18="","",IF(IF(OR(DATE($B$3,1,5)&gt;EOMONTH(DATE($B$3,1,1),0),NETWORKDAYS.INTL(DATE($B$3,1,5),DATE($B$3,1,5),1,'Non-working days'!$A$6:$A$45)=0),"",IF(COUNTIFS('Leave log'!$A$7:$A$306,Employees!$A$17,'Leave log'!$B$7:$B$306,"&lt;="&amp;DATE($B$3,1,5),'Leave log'!$C$7:$C$306,"&gt;="&amp;DATE($B$3,1,5),'Leave log'!$F$7:$F$306,"Approved")&gt;0,"A",""))="A","A",IF(OR(DATE($B$3,1,5)&gt;EOMONTH(DATE($B$3,1,1),0),NETWORKDAYS.INTL(DATE($B$3,1,5),DATE($B$3,1,5),1,'Non-working days'!$A$6:$A$45)=0),"",IF(COUNTIFS('Leave log'!$A$7:$A$306,Employees!$A$17,'Leave log'!$B$7:$B$306,"&lt;="&amp;DATE($B$3,1,5),'Leave log'!$C$7:$C$306,"&gt;="&amp;DATE($B$3,1,5),'Leave log'!$F$7:$F$306,"Pending")&gt;0,"P",""))))</f>
        <v/>
      </c>
      <c r="G18" s="23" t="str">
        <f>IF(A18="","",IF(IF(OR(DATE($B$3,1,6)&gt;EOMONTH(DATE($B$3,1,1),0),NETWORKDAYS.INTL(DATE($B$3,1,6),DATE($B$3,1,6),1,'Non-working days'!$A$6:$A$45)=0),"",IF(COUNTIFS('Leave log'!$A$7:$A$306,Employees!$A$17,'Leave log'!$B$7:$B$306,"&lt;="&amp;DATE($B$3,1,6),'Leave log'!$C$7:$C$306,"&gt;="&amp;DATE($B$3,1,6),'Leave log'!$F$7:$F$306,"Approved")&gt;0,"A",""))="A","A",IF(OR(DATE($B$3,1,6)&gt;EOMONTH(DATE($B$3,1,1),0),NETWORKDAYS.INTL(DATE($B$3,1,6),DATE($B$3,1,6),1,'Non-working days'!$A$6:$A$45)=0),"",IF(COUNTIFS('Leave log'!$A$7:$A$306,Employees!$A$17,'Leave log'!$B$7:$B$306,"&lt;="&amp;DATE($B$3,1,6),'Leave log'!$C$7:$C$306,"&gt;="&amp;DATE($B$3,1,6),'Leave log'!$F$7:$F$306,"Pending")&gt;0,"P",""))))</f>
        <v/>
      </c>
      <c r="H18" s="23" t="str">
        <f>IF(A18="","",IF(IF(OR(DATE($B$3,1,7)&gt;EOMONTH(DATE($B$3,1,1),0),NETWORKDAYS.INTL(DATE($B$3,1,7),DATE($B$3,1,7),1,'Non-working days'!$A$6:$A$45)=0),"",IF(COUNTIFS('Leave log'!$A$7:$A$306,Employees!$A$17,'Leave log'!$B$7:$B$306,"&lt;="&amp;DATE($B$3,1,7),'Leave log'!$C$7:$C$306,"&gt;="&amp;DATE($B$3,1,7),'Leave log'!$F$7:$F$306,"Approved")&gt;0,"A",""))="A","A",IF(OR(DATE($B$3,1,7)&gt;EOMONTH(DATE($B$3,1,1),0),NETWORKDAYS.INTL(DATE($B$3,1,7),DATE($B$3,1,7),1,'Non-working days'!$A$6:$A$45)=0),"",IF(COUNTIFS('Leave log'!$A$7:$A$306,Employees!$A$17,'Leave log'!$B$7:$B$306,"&lt;="&amp;DATE($B$3,1,7),'Leave log'!$C$7:$C$306,"&gt;="&amp;DATE($B$3,1,7),'Leave log'!$F$7:$F$306,"Pending")&gt;0,"P",""))))</f>
        <v/>
      </c>
      <c r="I18" s="23" t="str">
        <f>IF(A18="","",IF(IF(OR(DATE($B$3,1,8)&gt;EOMONTH(DATE($B$3,1,1),0),NETWORKDAYS.INTL(DATE($B$3,1,8),DATE($B$3,1,8),1,'Non-working days'!$A$6:$A$45)=0),"",IF(COUNTIFS('Leave log'!$A$7:$A$306,Employees!$A$17,'Leave log'!$B$7:$B$306,"&lt;="&amp;DATE($B$3,1,8),'Leave log'!$C$7:$C$306,"&gt;="&amp;DATE($B$3,1,8),'Leave log'!$F$7:$F$306,"Approved")&gt;0,"A",""))="A","A",IF(OR(DATE($B$3,1,8)&gt;EOMONTH(DATE($B$3,1,1),0),NETWORKDAYS.INTL(DATE($B$3,1,8),DATE($B$3,1,8),1,'Non-working days'!$A$6:$A$45)=0),"",IF(COUNTIFS('Leave log'!$A$7:$A$306,Employees!$A$17,'Leave log'!$B$7:$B$306,"&lt;="&amp;DATE($B$3,1,8),'Leave log'!$C$7:$C$306,"&gt;="&amp;DATE($B$3,1,8),'Leave log'!$F$7:$F$306,"Pending")&gt;0,"P",""))))</f>
        <v/>
      </c>
      <c r="J18" s="23" t="str">
        <f>IF(A18="","",IF(IF(OR(DATE($B$3,1,9)&gt;EOMONTH(DATE($B$3,1,1),0),NETWORKDAYS.INTL(DATE($B$3,1,9),DATE($B$3,1,9),1,'Non-working days'!$A$6:$A$45)=0),"",IF(COUNTIFS('Leave log'!$A$7:$A$306,Employees!$A$17,'Leave log'!$B$7:$B$306,"&lt;="&amp;DATE($B$3,1,9),'Leave log'!$C$7:$C$306,"&gt;="&amp;DATE($B$3,1,9),'Leave log'!$F$7:$F$306,"Approved")&gt;0,"A",""))="A","A",IF(OR(DATE($B$3,1,9)&gt;EOMONTH(DATE($B$3,1,1),0),NETWORKDAYS.INTL(DATE($B$3,1,9),DATE($B$3,1,9),1,'Non-working days'!$A$6:$A$45)=0),"",IF(COUNTIFS('Leave log'!$A$7:$A$306,Employees!$A$17,'Leave log'!$B$7:$B$306,"&lt;="&amp;DATE($B$3,1,9),'Leave log'!$C$7:$C$306,"&gt;="&amp;DATE($B$3,1,9),'Leave log'!$F$7:$F$306,"Pending")&gt;0,"P",""))))</f>
        <v/>
      </c>
      <c r="K18" s="23" t="str">
        <f>IF(A18="","",IF(IF(OR(DATE($B$3,1,10)&gt;EOMONTH(DATE($B$3,1,1),0),NETWORKDAYS.INTL(DATE($B$3,1,10),DATE($B$3,1,10),1,'Non-working days'!$A$6:$A$45)=0),"",IF(COUNTIFS('Leave log'!$A$7:$A$306,Employees!$A$17,'Leave log'!$B$7:$B$306,"&lt;="&amp;DATE($B$3,1,10),'Leave log'!$C$7:$C$306,"&gt;="&amp;DATE($B$3,1,10),'Leave log'!$F$7:$F$306,"Approved")&gt;0,"A",""))="A","A",IF(OR(DATE($B$3,1,10)&gt;EOMONTH(DATE($B$3,1,1),0),NETWORKDAYS.INTL(DATE($B$3,1,10),DATE($B$3,1,10),1,'Non-working days'!$A$6:$A$45)=0),"",IF(COUNTIFS('Leave log'!$A$7:$A$306,Employees!$A$17,'Leave log'!$B$7:$B$306,"&lt;="&amp;DATE($B$3,1,10),'Leave log'!$C$7:$C$306,"&gt;="&amp;DATE($B$3,1,10),'Leave log'!$F$7:$F$306,"Pending")&gt;0,"P",""))))</f>
        <v/>
      </c>
      <c r="L18" s="23" t="str">
        <f>IF(A18="","",IF(IF(OR(DATE($B$3,1,11)&gt;EOMONTH(DATE($B$3,1,1),0),NETWORKDAYS.INTL(DATE($B$3,1,11),DATE($B$3,1,11),1,'Non-working days'!$A$6:$A$45)=0),"",IF(COUNTIFS('Leave log'!$A$7:$A$306,Employees!$A$17,'Leave log'!$B$7:$B$306,"&lt;="&amp;DATE($B$3,1,11),'Leave log'!$C$7:$C$306,"&gt;="&amp;DATE($B$3,1,11),'Leave log'!$F$7:$F$306,"Approved")&gt;0,"A",""))="A","A",IF(OR(DATE($B$3,1,11)&gt;EOMONTH(DATE($B$3,1,1),0),NETWORKDAYS.INTL(DATE($B$3,1,11),DATE($B$3,1,11),1,'Non-working days'!$A$6:$A$45)=0),"",IF(COUNTIFS('Leave log'!$A$7:$A$306,Employees!$A$17,'Leave log'!$B$7:$B$306,"&lt;="&amp;DATE($B$3,1,11),'Leave log'!$C$7:$C$306,"&gt;="&amp;DATE($B$3,1,11),'Leave log'!$F$7:$F$306,"Pending")&gt;0,"P",""))))</f>
        <v/>
      </c>
      <c r="M18" s="23" t="str">
        <f>IF(A18="","",IF(IF(OR(DATE($B$3,1,12)&gt;EOMONTH(DATE($B$3,1,1),0),NETWORKDAYS.INTL(DATE($B$3,1,12),DATE($B$3,1,12),1,'Non-working days'!$A$6:$A$45)=0),"",IF(COUNTIFS('Leave log'!$A$7:$A$306,Employees!$A$17,'Leave log'!$B$7:$B$306,"&lt;="&amp;DATE($B$3,1,12),'Leave log'!$C$7:$C$306,"&gt;="&amp;DATE($B$3,1,12),'Leave log'!$F$7:$F$306,"Approved")&gt;0,"A",""))="A","A",IF(OR(DATE($B$3,1,12)&gt;EOMONTH(DATE($B$3,1,1),0),NETWORKDAYS.INTL(DATE($B$3,1,12),DATE($B$3,1,12),1,'Non-working days'!$A$6:$A$45)=0),"",IF(COUNTIFS('Leave log'!$A$7:$A$306,Employees!$A$17,'Leave log'!$B$7:$B$306,"&lt;="&amp;DATE($B$3,1,12),'Leave log'!$C$7:$C$306,"&gt;="&amp;DATE($B$3,1,12),'Leave log'!$F$7:$F$306,"Pending")&gt;0,"P",""))))</f>
        <v/>
      </c>
      <c r="N18" s="23" t="str">
        <f>IF(A18="","",IF(IF(OR(DATE($B$3,1,13)&gt;EOMONTH(DATE($B$3,1,1),0),NETWORKDAYS.INTL(DATE($B$3,1,13),DATE($B$3,1,13),1,'Non-working days'!$A$6:$A$45)=0),"",IF(COUNTIFS('Leave log'!$A$7:$A$306,Employees!$A$17,'Leave log'!$B$7:$B$306,"&lt;="&amp;DATE($B$3,1,13),'Leave log'!$C$7:$C$306,"&gt;="&amp;DATE($B$3,1,13),'Leave log'!$F$7:$F$306,"Approved")&gt;0,"A",""))="A","A",IF(OR(DATE($B$3,1,13)&gt;EOMONTH(DATE($B$3,1,1),0),NETWORKDAYS.INTL(DATE($B$3,1,13),DATE($B$3,1,13),1,'Non-working days'!$A$6:$A$45)=0),"",IF(COUNTIFS('Leave log'!$A$7:$A$306,Employees!$A$17,'Leave log'!$B$7:$B$306,"&lt;="&amp;DATE($B$3,1,13),'Leave log'!$C$7:$C$306,"&gt;="&amp;DATE($B$3,1,13),'Leave log'!$F$7:$F$306,"Pending")&gt;0,"P",""))))</f>
        <v/>
      </c>
      <c r="O18" s="23" t="str">
        <f>IF(A18="","",IF(IF(OR(DATE($B$3,1,14)&gt;EOMONTH(DATE($B$3,1,1),0),NETWORKDAYS.INTL(DATE($B$3,1,14),DATE($B$3,1,14),1,'Non-working days'!$A$6:$A$45)=0),"",IF(COUNTIFS('Leave log'!$A$7:$A$306,Employees!$A$17,'Leave log'!$B$7:$B$306,"&lt;="&amp;DATE($B$3,1,14),'Leave log'!$C$7:$C$306,"&gt;="&amp;DATE($B$3,1,14),'Leave log'!$F$7:$F$306,"Approved")&gt;0,"A",""))="A","A",IF(OR(DATE($B$3,1,14)&gt;EOMONTH(DATE($B$3,1,1),0),NETWORKDAYS.INTL(DATE($B$3,1,14),DATE($B$3,1,14),1,'Non-working days'!$A$6:$A$45)=0),"",IF(COUNTIFS('Leave log'!$A$7:$A$306,Employees!$A$17,'Leave log'!$B$7:$B$306,"&lt;="&amp;DATE($B$3,1,14),'Leave log'!$C$7:$C$306,"&gt;="&amp;DATE($B$3,1,14),'Leave log'!$F$7:$F$306,"Pending")&gt;0,"P",""))))</f>
        <v/>
      </c>
      <c r="P18" s="23" t="str">
        <f>IF(A18="","",IF(IF(OR(DATE($B$3,1,15)&gt;EOMONTH(DATE($B$3,1,1),0),NETWORKDAYS.INTL(DATE($B$3,1,15),DATE($B$3,1,15),1,'Non-working days'!$A$6:$A$45)=0),"",IF(COUNTIFS('Leave log'!$A$7:$A$306,Employees!$A$17,'Leave log'!$B$7:$B$306,"&lt;="&amp;DATE($B$3,1,15),'Leave log'!$C$7:$C$306,"&gt;="&amp;DATE($B$3,1,15),'Leave log'!$F$7:$F$306,"Approved")&gt;0,"A",""))="A","A",IF(OR(DATE($B$3,1,15)&gt;EOMONTH(DATE($B$3,1,1),0),NETWORKDAYS.INTL(DATE($B$3,1,15),DATE($B$3,1,15),1,'Non-working days'!$A$6:$A$45)=0),"",IF(COUNTIFS('Leave log'!$A$7:$A$306,Employees!$A$17,'Leave log'!$B$7:$B$306,"&lt;="&amp;DATE($B$3,1,15),'Leave log'!$C$7:$C$306,"&gt;="&amp;DATE($B$3,1,15),'Leave log'!$F$7:$F$306,"Pending")&gt;0,"P",""))))</f>
        <v/>
      </c>
      <c r="Q18" s="23" t="str">
        <f>IF(A18="","",IF(IF(OR(DATE($B$3,1,16)&gt;EOMONTH(DATE($B$3,1,1),0),NETWORKDAYS.INTL(DATE($B$3,1,16),DATE($B$3,1,16),1,'Non-working days'!$A$6:$A$45)=0),"",IF(COUNTIFS('Leave log'!$A$7:$A$306,Employees!$A$17,'Leave log'!$B$7:$B$306,"&lt;="&amp;DATE($B$3,1,16),'Leave log'!$C$7:$C$306,"&gt;="&amp;DATE($B$3,1,16),'Leave log'!$F$7:$F$306,"Approved")&gt;0,"A",""))="A","A",IF(OR(DATE($B$3,1,16)&gt;EOMONTH(DATE($B$3,1,1),0),NETWORKDAYS.INTL(DATE($B$3,1,16),DATE($B$3,1,16),1,'Non-working days'!$A$6:$A$45)=0),"",IF(COUNTIFS('Leave log'!$A$7:$A$306,Employees!$A$17,'Leave log'!$B$7:$B$306,"&lt;="&amp;DATE($B$3,1,16),'Leave log'!$C$7:$C$306,"&gt;="&amp;DATE($B$3,1,16),'Leave log'!$F$7:$F$306,"Pending")&gt;0,"P",""))))</f>
        <v/>
      </c>
      <c r="R18" s="23" t="str">
        <f>IF(A18="","",IF(IF(OR(DATE($B$3,1,17)&gt;EOMONTH(DATE($B$3,1,1),0),NETWORKDAYS.INTL(DATE($B$3,1,17),DATE($B$3,1,17),1,'Non-working days'!$A$6:$A$45)=0),"",IF(COUNTIFS('Leave log'!$A$7:$A$306,Employees!$A$17,'Leave log'!$B$7:$B$306,"&lt;="&amp;DATE($B$3,1,17),'Leave log'!$C$7:$C$306,"&gt;="&amp;DATE($B$3,1,17),'Leave log'!$F$7:$F$306,"Approved")&gt;0,"A",""))="A","A",IF(OR(DATE($B$3,1,17)&gt;EOMONTH(DATE($B$3,1,1),0),NETWORKDAYS.INTL(DATE($B$3,1,17),DATE($B$3,1,17),1,'Non-working days'!$A$6:$A$45)=0),"",IF(COUNTIFS('Leave log'!$A$7:$A$306,Employees!$A$17,'Leave log'!$B$7:$B$306,"&lt;="&amp;DATE($B$3,1,17),'Leave log'!$C$7:$C$306,"&gt;="&amp;DATE($B$3,1,17),'Leave log'!$F$7:$F$306,"Pending")&gt;0,"P",""))))</f>
        <v/>
      </c>
      <c r="S18" s="23" t="str">
        <f>IF(A18="","",IF(IF(OR(DATE($B$3,1,18)&gt;EOMONTH(DATE($B$3,1,1),0),NETWORKDAYS.INTL(DATE($B$3,1,18),DATE($B$3,1,18),1,'Non-working days'!$A$6:$A$45)=0),"",IF(COUNTIFS('Leave log'!$A$7:$A$306,Employees!$A$17,'Leave log'!$B$7:$B$306,"&lt;="&amp;DATE($B$3,1,18),'Leave log'!$C$7:$C$306,"&gt;="&amp;DATE($B$3,1,18),'Leave log'!$F$7:$F$306,"Approved")&gt;0,"A",""))="A","A",IF(OR(DATE($B$3,1,18)&gt;EOMONTH(DATE($B$3,1,1),0),NETWORKDAYS.INTL(DATE($B$3,1,18),DATE($B$3,1,18),1,'Non-working days'!$A$6:$A$45)=0),"",IF(COUNTIFS('Leave log'!$A$7:$A$306,Employees!$A$17,'Leave log'!$B$7:$B$306,"&lt;="&amp;DATE($B$3,1,18),'Leave log'!$C$7:$C$306,"&gt;="&amp;DATE($B$3,1,18),'Leave log'!$F$7:$F$306,"Pending")&gt;0,"P",""))))</f>
        <v/>
      </c>
      <c r="T18" s="23" t="str">
        <f>IF(A18="","",IF(IF(OR(DATE($B$3,1,19)&gt;EOMONTH(DATE($B$3,1,1),0),NETWORKDAYS.INTL(DATE($B$3,1,19),DATE($B$3,1,19),1,'Non-working days'!$A$6:$A$45)=0),"",IF(COUNTIFS('Leave log'!$A$7:$A$306,Employees!$A$17,'Leave log'!$B$7:$B$306,"&lt;="&amp;DATE($B$3,1,19),'Leave log'!$C$7:$C$306,"&gt;="&amp;DATE($B$3,1,19),'Leave log'!$F$7:$F$306,"Approved")&gt;0,"A",""))="A","A",IF(OR(DATE($B$3,1,19)&gt;EOMONTH(DATE($B$3,1,1),0),NETWORKDAYS.INTL(DATE($B$3,1,19),DATE($B$3,1,19),1,'Non-working days'!$A$6:$A$45)=0),"",IF(COUNTIFS('Leave log'!$A$7:$A$306,Employees!$A$17,'Leave log'!$B$7:$B$306,"&lt;="&amp;DATE($B$3,1,19),'Leave log'!$C$7:$C$306,"&gt;="&amp;DATE($B$3,1,19),'Leave log'!$F$7:$F$306,"Pending")&gt;0,"P",""))))</f>
        <v/>
      </c>
      <c r="U18" s="23" t="str">
        <f>IF(A18="","",IF(IF(OR(DATE($B$3,1,20)&gt;EOMONTH(DATE($B$3,1,1),0),NETWORKDAYS.INTL(DATE($B$3,1,20),DATE($B$3,1,20),1,'Non-working days'!$A$6:$A$45)=0),"",IF(COUNTIFS('Leave log'!$A$7:$A$306,Employees!$A$17,'Leave log'!$B$7:$B$306,"&lt;="&amp;DATE($B$3,1,20),'Leave log'!$C$7:$C$306,"&gt;="&amp;DATE($B$3,1,20),'Leave log'!$F$7:$F$306,"Approved")&gt;0,"A",""))="A","A",IF(OR(DATE($B$3,1,20)&gt;EOMONTH(DATE($B$3,1,1),0),NETWORKDAYS.INTL(DATE($B$3,1,20),DATE($B$3,1,20),1,'Non-working days'!$A$6:$A$45)=0),"",IF(COUNTIFS('Leave log'!$A$7:$A$306,Employees!$A$17,'Leave log'!$B$7:$B$306,"&lt;="&amp;DATE($B$3,1,20),'Leave log'!$C$7:$C$306,"&gt;="&amp;DATE($B$3,1,20),'Leave log'!$F$7:$F$306,"Pending")&gt;0,"P",""))))</f>
        <v/>
      </c>
      <c r="V18" s="23" t="str">
        <f>IF(A18="","",IF(IF(OR(DATE($B$3,1,21)&gt;EOMONTH(DATE($B$3,1,1),0),NETWORKDAYS.INTL(DATE($B$3,1,21),DATE($B$3,1,21),1,'Non-working days'!$A$6:$A$45)=0),"",IF(COUNTIFS('Leave log'!$A$7:$A$306,Employees!$A$17,'Leave log'!$B$7:$B$306,"&lt;="&amp;DATE($B$3,1,21),'Leave log'!$C$7:$C$306,"&gt;="&amp;DATE($B$3,1,21),'Leave log'!$F$7:$F$306,"Approved")&gt;0,"A",""))="A","A",IF(OR(DATE($B$3,1,21)&gt;EOMONTH(DATE($B$3,1,1),0),NETWORKDAYS.INTL(DATE($B$3,1,21),DATE($B$3,1,21),1,'Non-working days'!$A$6:$A$45)=0),"",IF(COUNTIFS('Leave log'!$A$7:$A$306,Employees!$A$17,'Leave log'!$B$7:$B$306,"&lt;="&amp;DATE($B$3,1,21),'Leave log'!$C$7:$C$306,"&gt;="&amp;DATE($B$3,1,21),'Leave log'!$F$7:$F$306,"Pending")&gt;0,"P",""))))</f>
        <v/>
      </c>
      <c r="W18" s="23" t="str">
        <f>IF(A18="","",IF(IF(OR(DATE($B$3,1,22)&gt;EOMONTH(DATE($B$3,1,1),0),NETWORKDAYS.INTL(DATE($B$3,1,22),DATE($B$3,1,22),1,'Non-working days'!$A$6:$A$45)=0),"",IF(COUNTIFS('Leave log'!$A$7:$A$306,Employees!$A$17,'Leave log'!$B$7:$B$306,"&lt;="&amp;DATE($B$3,1,22),'Leave log'!$C$7:$C$306,"&gt;="&amp;DATE($B$3,1,22),'Leave log'!$F$7:$F$306,"Approved")&gt;0,"A",""))="A","A",IF(OR(DATE($B$3,1,22)&gt;EOMONTH(DATE($B$3,1,1),0),NETWORKDAYS.INTL(DATE($B$3,1,22),DATE($B$3,1,22),1,'Non-working days'!$A$6:$A$45)=0),"",IF(COUNTIFS('Leave log'!$A$7:$A$306,Employees!$A$17,'Leave log'!$B$7:$B$306,"&lt;="&amp;DATE($B$3,1,22),'Leave log'!$C$7:$C$306,"&gt;="&amp;DATE($B$3,1,22),'Leave log'!$F$7:$F$306,"Pending")&gt;0,"P",""))))</f>
        <v/>
      </c>
      <c r="X18" s="23" t="str">
        <f>IF(A18="","",IF(IF(OR(DATE($B$3,1,23)&gt;EOMONTH(DATE($B$3,1,1),0),NETWORKDAYS.INTL(DATE($B$3,1,23),DATE($B$3,1,23),1,'Non-working days'!$A$6:$A$45)=0),"",IF(COUNTIFS('Leave log'!$A$7:$A$306,Employees!$A$17,'Leave log'!$B$7:$B$306,"&lt;="&amp;DATE($B$3,1,23),'Leave log'!$C$7:$C$306,"&gt;="&amp;DATE($B$3,1,23),'Leave log'!$F$7:$F$306,"Approved")&gt;0,"A",""))="A","A",IF(OR(DATE($B$3,1,23)&gt;EOMONTH(DATE($B$3,1,1),0),NETWORKDAYS.INTL(DATE($B$3,1,23),DATE($B$3,1,23),1,'Non-working days'!$A$6:$A$45)=0),"",IF(COUNTIFS('Leave log'!$A$7:$A$306,Employees!$A$17,'Leave log'!$B$7:$B$306,"&lt;="&amp;DATE($B$3,1,23),'Leave log'!$C$7:$C$306,"&gt;="&amp;DATE($B$3,1,23),'Leave log'!$F$7:$F$306,"Pending")&gt;0,"P",""))))</f>
        <v/>
      </c>
      <c r="Y18" s="23" t="str">
        <f>IF(A18="","",IF(IF(OR(DATE($B$3,1,24)&gt;EOMONTH(DATE($B$3,1,1),0),NETWORKDAYS.INTL(DATE($B$3,1,24),DATE($B$3,1,24),1,'Non-working days'!$A$6:$A$45)=0),"",IF(COUNTIFS('Leave log'!$A$7:$A$306,Employees!$A$17,'Leave log'!$B$7:$B$306,"&lt;="&amp;DATE($B$3,1,24),'Leave log'!$C$7:$C$306,"&gt;="&amp;DATE($B$3,1,24),'Leave log'!$F$7:$F$306,"Approved")&gt;0,"A",""))="A","A",IF(OR(DATE($B$3,1,24)&gt;EOMONTH(DATE($B$3,1,1),0),NETWORKDAYS.INTL(DATE($B$3,1,24),DATE($B$3,1,24),1,'Non-working days'!$A$6:$A$45)=0),"",IF(COUNTIFS('Leave log'!$A$7:$A$306,Employees!$A$17,'Leave log'!$B$7:$B$306,"&lt;="&amp;DATE($B$3,1,24),'Leave log'!$C$7:$C$306,"&gt;="&amp;DATE($B$3,1,24),'Leave log'!$F$7:$F$306,"Pending")&gt;0,"P",""))))</f>
        <v/>
      </c>
      <c r="Z18" s="23" t="str">
        <f>IF(A18="","",IF(IF(OR(DATE($B$3,1,25)&gt;EOMONTH(DATE($B$3,1,1),0),NETWORKDAYS.INTL(DATE($B$3,1,25),DATE($B$3,1,25),1,'Non-working days'!$A$6:$A$45)=0),"",IF(COUNTIFS('Leave log'!$A$7:$A$306,Employees!$A$17,'Leave log'!$B$7:$B$306,"&lt;="&amp;DATE($B$3,1,25),'Leave log'!$C$7:$C$306,"&gt;="&amp;DATE($B$3,1,25),'Leave log'!$F$7:$F$306,"Approved")&gt;0,"A",""))="A","A",IF(OR(DATE($B$3,1,25)&gt;EOMONTH(DATE($B$3,1,1),0),NETWORKDAYS.INTL(DATE($B$3,1,25),DATE($B$3,1,25),1,'Non-working days'!$A$6:$A$45)=0),"",IF(COUNTIFS('Leave log'!$A$7:$A$306,Employees!$A$17,'Leave log'!$B$7:$B$306,"&lt;="&amp;DATE($B$3,1,25),'Leave log'!$C$7:$C$306,"&gt;="&amp;DATE($B$3,1,25),'Leave log'!$F$7:$F$306,"Pending")&gt;0,"P",""))))</f>
        <v/>
      </c>
      <c r="AA18" s="23" t="str">
        <f>IF(A18="","",IF(IF(OR(DATE($B$3,1,26)&gt;EOMONTH(DATE($B$3,1,1),0),NETWORKDAYS.INTL(DATE($B$3,1,26),DATE($B$3,1,26),1,'Non-working days'!$A$6:$A$45)=0),"",IF(COUNTIFS('Leave log'!$A$7:$A$306,Employees!$A$17,'Leave log'!$B$7:$B$306,"&lt;="&amp;DATE($B$3,1,26),'Leave log'!$C$7:$C$306,"&gt;="&amp;DATE($B$3,1,26),'Leave log'!$F$7:$F$306,"Approved")&gt;0,"A",""))="A","A",IF(OR(DATE($B$3,1,26)&gt;EOMONTH(DATE($B$3,1,1),0),NETWORKDAYS.INTL(DATE($B$3,1,26),DATE($B$3,1,26),1,'Non-working days'!$A$6:$A$45)=0),"",IF(COUNTIFS('Leave log'!$A$7:$A$306,Employees!$A$17,'Leave log'!$B$7:$B$306,"&lt;="&amp;DATE($B$3,1,26),'Leave log'!$C$7:$C$306,"&gt;="&amp;DATE($B$3,1,26),'Leave log'!$F$7:$F$306,"Pending")&gt;0,"P",""))))</f>
        <v/>
      </c>
      <c r="AB18" s="23" t="str">
        <f>IF(A18="","",IF(IF(OR(DATE($B$3,1,27)&gt;EOMONTH(DATE($B$3,1,1),0),NETWORKDAYS.INTL(DATE($B$3,1,27),DATE($B$3,1,27),1,'Non-working days'!$A$6:$A$45)=0),"",IF(COUNTIFS('Leave log'!$A$7:$A$306,Employees!$A$17,'Leave log'!$B$7:$B$306,"&lt;="&amp;DATE($B$3,1,27),'Leave log'!$C$7:$C$306,"&gt;="&amp;DATE($B$3,1,27),'Leave log'!$F$7:$F$306,"Approved")&gt;0,"A",""))="A","A",IF(OR(DATE($B$3,1,27)&gt;EOMONTH(DATE($B$3,1,1),0),NETWORKDAYS.INTL(DATE($B$3,1,27),DATE($B$3,1,27),1,'Non-working days'!$A$6:$A$45)=0),"",IF(COUNTIFS('Leave log'!$A$7:$A$306,Employees!$A$17,'Leave log'!$B$7:$B$306,"&lt;="&amp;DATE($B$3,1,27),'Leave log'!$C$7:$C$306,"&gt;="&amp;DATE($B$3,1,27),'Leave log'!$F$7:$F$306,"Pending")&gt;0,"P",""))))</f>
        <v/>
      </c>
      <c r="AC18" s="23" t="str">
        <f>IF(A18="","",IF(IF(OR(DATE($B$3,1,28)&gt;EOMONTH(DATE($B$3,1,1),0),NETWORKDAYS.INTL(DATE($B$3,1,28),DATE($B$3,1,28),1,'Non-working days'!$A$6:$A$45)=0),"",IF(COUNTIFS('Leave log'!$A$7:$A$306,Employees!$A$17,'Leave log'!$B$7:$B$306,"&lt;="&amp;DATE($B$3,1,28),'Leave log'!$C$7:$C$306,"&gt;="&amp;DATE($B$3,1,28),'Leave log'!$F$7:$F$306,"Approved")&gt;0,"A",""))="A","A",IF(OR(DATE($B$3,1,28)&gt;EOMONTH(DATE($B$3,1,1),0),NETWORKDAYS.INTL(DATE($B$3,1,28),DATE($B$3,1,28),1,'Non-working days'!$A$6:$A$45)=0),"",IF(COUNTIFS('Leave log'!$A$7:$A$306,Employees!$A$17,'Leave log'!$B$7:$B$306,"&lt;="&amp;DATE($B$3,1,28),'Leave log'!$C$7:$C$306,"&gt;="&amp;DATE($B$3,1,28),'Leave log'!$F$7:$F$306,"Pending")&gt;0,"P",""))))</f>
        <v/>
      </c>
      <c r="AD18" s="23" t="str">
        <f>IF(A18="","",IF(IF(OR(DATE($B$3,1,29)&gt;EOMONTH(DATE($B$3,1,1),0),NETWORKDAYS.INTL(DATE($B$3,1,29),DATE($B$3,1,29),1,'Non-working days'!$A$6:$A$45)=0),"",IF(COUNTIFS('Leave log'!$A$7:$A$306,Employees!$A$17,'Leave log'!$B$7:$B$306,"&lt;="&amp;DATE($B$3,1,29),'Leave log'!$C$7:$C$306,"&gt;="&amp;DATE($B$3,1,29),'Leave log'!$F$7:$F$306,"Approved")&gt;0,"A",""))="A","A",IF(OR(DATE($B$3,1,29)&gt;EOMONTH(DATE($B$3,1,1),0),NETWORKDAYS.INTL(DATE($B$3,1,29),DATE($B$3,1,29),1,'Non-working days'!$A$6:$A$45)=0),"",IF(COUNTIFS('Leave log'!$A$7:$A$306,Employees!$A$17,'Leave log'!$B$7:$B$306,"&lt;="&amp;DATE($B$3,1,29),'Leave log'!$C$7:$C$306,"&gt;="&amp;DATE($B$3,1,29),'Leave log'!$F$7:$F$306,"Pending")&gt;0,"P",""))))</f>
        <v/>
      </c>
      <c r="AE18" s="23" t="str">
        <f>IF(A18="","",IF(IF(OR(DATE($B$3,1,30)&gt;EOMONTH(DATE($B$3,1,1),0),NETWORKDAYS.INTL(DATE($B$3,1,30),DATE($B$3,1,30),1,'Non-working days'!$A$6:$A$45)=0),"",IF(COUNTIFS('Leave log'!$A$7:$A$306,Employees!$A$17,'Leave log'!$B$7:$B$306,"&lt;="&amp;DATE($B$3,1,30),'Leave log'!$C$7:$C$306,"&gt;="&amp;DATE($B$3,1,30),'Leave log'!$F$7:$F$306,"Approved")&gt;0,"A",""))="A","A",IF(OR(DATE($B$3,1,30)&gt;EOMONTH(DATE($B$3,1,1),0),NETWORKDAYS.INTL(DATE($B$3,1,30),DATE($B$3,1,30),1,'Non-working days'!$A$6:$A$45)=0),"",IF(COUNTIFS('Leave log'!$A$7:$A$306,Employees!$A$17,'Leave log'!$B$7:$B$306,"&lt;="&amp;DATE($B$3,1,30),'Leave log'!$C$7:$C$306,"&gt;="&amp;DATE($B$3,1,30),'Leave log'!$F$7:$F$306,"Pending")&gt;0,"P",""))))</f>
        <v/>
      </c>
      <c r="AF18" s="23" t="str">
        <f>IF(A18="","",IF(IF(OR(DATE($B$3,1,31)&gt;EOMONTH(DATE($B$3,1,1),0),NETWORKDAYS.INTL(DATE($B$3,1,31),DATE($B$3,1,31),1,'Non-working days'!$A$6:$A$45)=0),"",IF(COUNTIFS('Leave log'!$A$7:$A$306,Employees!$A$17,'Leave log'!$B$7:$B$306,"&lt;="&amp;DATE($B$3,1,31),'Leave log'!$C$7:$C$306,"&gt;="&amp;DATE($B$3,1,31),'Leave log'!$F$7:$F$306,"Approved")&gt;0,"A",""))="A","A",IF(OR(DATE($B$3,1,31)&gt;EOMONTH(DATE($B$3,1,1),0),NETWORKDAYS.INTL(DATE($B$3,1,31),DATE($B$3,1,31),1,'Non-working days'!$A$6:$A$45)=0),"",IF(COUNTIFS('Leave log'!$A$7:$A$306,Employees!$A$17,'Leave log'!$B$7:$B$306,"&lt;="&amp;DATE($B$3,1,31),'Leave log'!$C$7:$C$306,"&gt;="&amp;DATE($B$3,1,31),'Leave log'!$F$7:$F$306,"Pending")&gt;0,"P",""))))</f>
        <v/>
      </c>
    </row>
    <row r="19" spans="1:32" ht="18" customHeight="1" x14ac:dyDescent="0.3">
      <c r="A19" s="22" t="str">
        <f>IF(Employees!F18="Yes",Employees!B18,"")</f>
        <v/>
      </c>
      <c r="B19" s="23" t="str">
        <f>IF(A19="","",IF(IF(OR(DATE($B$3,1,1)&gt;EOMONTH(DATE($B$3,1,1),0),NETWORKDAYS.INTL(DATE($B$3,1,1),DATE($B$3,1,1),1,'Non-working days'!$A$6:$A$45)=0),"",IF(COUNTIFS('Leave log'!$A$7:$A$306,Employees!$A$18,'Leave log'!$B$7:$B$306,"&lt;="&amp;DATE($B$3,1,1),'Leave log'!$C$7:$C$306,"&gt;="&amp;DATE($B$3,1,1),'Leave log'!$F$7:$F$306,"Approved")&gt;0,"A",""))="A","A",IF(OR(DATE($B$3,1,1)&gt;EOMONTH(DATE($B$3,1,1),0),NETWORKDAYS.INTL(DATE($B$3,1,1),DATE($B$3,1,1),1,'Non-working days'!$A$6:$A$45)=0),"",IF(COUNTIFS('Leave log'!$A$7:$A$306,Employees!$A$18,'Leave log'!$B$7:$B$306,"&lt;="&amp;DATE($B$3,1,1),'Leave log'!$C$7:$C$306,"&gt;="&amp;DATE($B$3,1,1),'Leave log'!$F$7:$F$306,"Pending")&gt;0,"P",""))))</f>
        <v/>
      </c>
      <c r="C19" s="23" t="str">
        <f>IF(A19="","",IF(IF(OR(DATE($B$3,1,2)&gt;EOMONTH(DATE($B$3,1,1),0),NETWORKDAYS.INTL(DATE($B$3,1,2),DATE($B$3,1,2),1,'Non-working days'!$A$6:$A$45)=0),"",IF(COUNTIFS('Leave log'!$A$7:$A$306,Employees!$A$18,'Leave log'!$B$7:$B$306,"&lt;="&amp;DATE($B$3,1,2),'Leave log'!$C$7:$C$306,"&gt;="&amp;DATE($B$3,1,2),'Leave log'!$F$7:$F$306,"Approved")&gt;0,"A",""))="A","A",IF(OR(DATE($B$3,1,2)&gt;EOMONTH(DATE($B$3,1,1),0),NETWORKDAYS.INTL(DATE($B$3,1,2),DATE($B$3,1,2),1,'Non-working days'!$A$6:$A$45)=0),"",IF(COUNTIFS('Leave log'!$A$7:$A$306,Employees!$A$18,'Leave log'!$B$7:$B$306,"&lt;="&amp;DATE($B$3,1,2),'Leave log'!$C$7:$C$306,"&gt;="&amp;DATE($B$3,1,2),'Leave log'!$F$7:$F$306,"Pending")&gt;0,"P",""))))</f>
        <v/>
      </c>
      <c r="D19" s="23" t="str">
        <f>IF(A19="","",IF(IF(OR(DATE($B$3,1,3)&gt;EOMONTH(DATE($B$3,1,1),0),NETWORKDAYS.INTL(DATE($B$3,1,3),DATE($B$3,1,3),1,'Non-working days'!$A$6:$A$45)=0),"",IF(COUNTIFS('Leave log'!$A$7:$A$306,Employees!$A$18,'Leave log'!$B$7:$B$306,"&lt;="&amp;DATE($B$3,1,3),'Leave log'!$C$7:$C$306,"&gt;="&amp;DATE($B$3,1,3),'Leave log'!$F$7:$F$306,"Approved")&gt;0,"A",""))="A","A",IF(OR(DATE($B$3,1,3)&gt;EOMONTH(DATE($B$3,1,1),0),NETWORKDAYS.INTL(DATE($B$3,1,3),DATE($B$3,1,3),1,'Non-working days'!$A$6:$A$45)=0),"",IF(COUNTIFS('Leave log'!$A$7:$A$306,Employees!$A$18,'Leave log'!$B$7:$B$306,"&lt;="&amp;DATE($B$3,1,3),'Leave log'!$C$7:$C$306,"&gt;="&amp;DATE($B$3,1,3),'Leave log'!$F$7:$F$306,"Pending")&gt;0,"P",""))))</f>
        <v/>
      </c>
      <c r="E19" s="23" t="str">
        <f>IF(A19="","",IF(IF(OR(DATE($B$3,1,4)&gt;EOMONTH(DATE($B$3,1,1),0),NETWORKDAYS.INTL(DATE($B$3,1,4),DATE($B$3,1,4),1,'Non-working days'!$A$6:$A$45)=0),"",IF(COUNTIFS('Leave log'!$A$7:$A$306,Employees!$A$18,'Leave log'!$B$7:$B$306,"&lt;="&amp;DATE($B$3,1,4),'Leave log'!$C$7:$C$306,"&gt;="&amp;DATE($B$3,1,4),'Leave log'!$F$7:$F$306,"Approved")&gt;0,"A",""))="A","A",IF(OR(DATE($B$3,1,4)&gt;EOMONTH(DATE($B$3,1,1),0),NETWORKDAYS.INTL(DATE($B$3,1,4),DATE($B$3,1,4),1,'Non-working days'!$A$6:$A$45)=0),"",IF(COUNTIFS('Leave log'!$A$7:$A$306,Employees!$A$18,'Leave log'!$B$7:$B$306,"&lt;="&amp;DATE($B$3,1,4),'Leave log'!$C$7:$C$306,"&gt;="&amp;DATE($B$3,1,4),'Leave log'!$F$7:$F$306,"Pending")&gt;0,"P",""))))</f>
        <v/>
      </c>
      <c r="F19" s="23" t="str">
        <f>IF(A19="","",IF(IF(OR(DATE($B$3,1,5)&gt;EOMONTH(DATE($B$3,1,1),0),NETWORKDAYS.INTL(DATE($B$3,1,5),DATE($B$3,1,5),1,'Non-working days'!$A$6:$A$45)=0),"",IF(COUNTIFS('Leave log'!$A$7:$A$306,Employees!$A$18,'Leave log'!$B$7:$B$306,"&lt;="&amp;DATE($B$3,1,5),'Leave log'!$C$7:$C$306,"&gt;="&amp;DATE($B$3,1,5),'Leave log'!$F$7:$F$306,"Approved")&gt;0,"A",""))="A","A",IF(OR(DATE($B$3,1,5)&gt;EOMONTH(DATE($B$3,1,1),0),NETWORKDAYS.INTL(DATE($B$3,1,5),DATE($B$3,1,5),1,'Non-working days'!$A$6:$A$45)=0),"",IF(COUNTIFS('Leave log'!$A$7:$A$306,Employees!$A$18,'Leave log'!$B$7:$B$306,"&lt;="&amp;DATE($B$3,1,5),'Leave log'!$C$7:$C$306,"&gt;="&amp;DATE($B$3,1,5),'Leave log'!$F$7:$F$306,"Pending")&gt;0,"P",""))))</f>
        <v/>
      </c>
      <c r="G19" s="23" t="str">
        <f>IF(A19="","",IF(IF(OR(DATE($B$3,1,6)&gt;EOMONTH(DATE($B$3,1,1),0),NETWORKDAYS.INTL(DATE($B$3,1,6),DATE($B$3,1,6),1,'Non-working days'!$A$6:$A$45)=0),"",IF(COUNTIFS('Leave log'!$A$7:$A$306,Employees!$A$18,'Leave log'!$B$7:$B$306,"&lt;="&amp;DATE($B$3,1,6),'Leave log'!$C$7:$C$306,"&gt;="&amp;DATE($B$3,1,6),'Leave log'!$F$7:$F$306,"Approved")&gt;0,"A",""))="A","A",IF(OR(DATE($B$3,1,6)&gt;EOMONTH(DATE($B$3,1,1),0),NETWORKDAYS.INTL(DATE($B$3,1,6),DATE($B$3,1,6),1,'Non-working days'!$A$6:$A$45)=0),"",IF(COUNTIFS('Leave log'!$A$7:$A$306,Employees!$A$18,'Leave log'!$B$7:$B$306,"&lt;="&amp;DATE($B$3,1,6),'Leave log'!$C$7:$C$306,"&gt;="&amp;DATE($B$3,1,6),'Leave log'!$F$7:$F$306,"Pending")&gt;0,"P",""))))</f>
        <v/>
      </c>
      <c r="H19" s="23" t="str">
        <f>IF(A19="","",IF(IF(OR(DATE($B$3,1,7)&gt;EOMONTH(DATE($B$3,1,1),0),NETWORKDAYS.INTL(DATE($B$3,1,7),DATE($B$3,1,7),1,'Non-working days'!$A$6:$A$45)=0),"",IF(COUNTIFS('Leave log'!$A$7:$A$306,Employees!$A$18,'Leave log'!$B$7:$B$306,"&lt;="&amp;DATE($B$3,1,7),'Leave log'!$C$7:$C$306,"&gt;="&amp;DATE($B$3,1,7),'Leave log'!$F$7:$F$306,"Approved")&gt;0,"A",""))="A","A",IF(OR(DATE($B$3,1,7)&gt;EOMONTH(DATE($B$3,1,1),0),NETWORKDAYS.INTL(DATE($B$3,1,7),DATE($B$3,1,7),1,'Non-working days'!$A$6:$A$45)=0),"",IF(COUNTIFS('Leave log'!$A$7:$A$306,Employees!$A$18,'Leave log'!$B$7:$B$306,"&lt;="&amp;DATE($B$3,1,7),'Leave log'!$C$7:$C$306,"&gt;="&amp;DATE($B$3,1,7),'Leave log'!$F$7:$F$306,"Pending")&gt;0,"P",""))))</f>
        <v/>
      </c>
      <c r="I19" s="23" t="str">
        <f>IF(A19="","",IF(IF(OR(DATE($B$3,1,8)&gt;EOMONTH(DATE($B$3,1,1),0),NETWORKDAYS.INTL(DATE($B$3,1,8),DATE($B$3,1,8),1,'Non-working days'!$A$6:$A$45)=0),"",IF(COUNTIFS('Leave log'!$A$7:$A$306,Employees!$A$18,'Leave log'!$B$7:$B$306,"&lt;="&amp;DATE($B$3,1,8),'Leave log'!$C$7:$C$306,"&gt;="&amp;DATE($B$3,1,8),'Leave log'!$F$7:$F$306,"Approved")&gt;0,"A",""))="A","A",IF(OR(DATE($B$3,1,8)&gt;EOMONTH(DATE($B$3,1,1),0),NETWORKDAYS.INTL(DATE($B$3,1,8),DATE($B$3,1,8),1,'Non-working days'!$A$6:$A$45)=0),"",IF(COUNTIFS('Leave log'!$A$7:$A$306,Employees!$A$18,'Leave log'!$B$7:$B$306,"&lt;="&amp;DATE($B$3,1,8),'Leave log'!$C$7:$C$306,"&gt;="&amp;DATE($B$3,1,8),'Leave log'!$F$7:$F$306,"Pending")&gt;0,"P",""))))</f>
        <v/>
      </c>
      <c r="J19" s="23" t="str">
        <f>IF(A19="","",IF(IF(OR(DATE($B$3,1,9)&gt;EOMONTH(DATE($B$3,1,1),0),NETWORKDAYS.INTL(DATE($B$3,1,9),DATE($B$3,1,9),1,'Non-working days'!$A$6:$A$45)=0),"",IF(COUNTIFS('Leave log'!$A$7:$A$306,Employees!$A$18,'Leave log'!$B$7:$B$306,"&lt;="&amp;DATE($B$3,1,9),'Leave log'!$C$7:$C$306,"&gt;="&amp;DATE($B$3,1,9),'Leave log'!$F$7:$F$306,"Approved")&gt;0,"A",""))="A","A",IF(OR(DATE($B$3,1,9)&gt;EOMONTH(DATE($B$3,1,1),0),NETWORKDAYS.INTL(DATE($B$3,1,9),DATE($B$3,1,9),1,'Non-working days'!$A$6:$A$45)=0),"",IF(COUNTIFS('Leave log'!$A$7:$A$306,Employees!$A$18,'Leave log'!$B$7:$B$306,"&lt;="&amp;DATE($B$3,1,9),'Leave log'!$C$7:$C$306,"&gt;="&amp;DATE($B$3,1,9),'Leave log'!$F$7:$F$306,"Pending")&gt;0,"P",""))))</f>
        <v/>
      </c>
      <c r="K19" s="23" t="str">
        <f>IF(A19="","",IF(IF(OR(DATE($B$3,1,10)&gt;EOMONTH(DATE($B$3,1,1),0),NETWORKDAYS.INTL(DATE($B$3,1,10),DATE($B$3,1,10),1,'Non-working days'!$A$6:$A$45)=0),"",IF(COUNTIFS('Leave log'!$A$7:$A$306,Employees!$A$18,'Leave log'!$B$7:$B$306,"&lt;="&amp;DATE($B$3,1,10),'Leave log'!$C$7:$C$306,"&gt;="&amp;DATE($B$3,1,10),'Leave log'!$F$7:$F$306,"Approved")&gt;0,"A",""))="A","A",IF(OR(DATE($B$3,1,10)&gt;EOMONTH(DATE($B$3,1,1),0),NETWORKDAYS.INTL(DATE($B$3,1,10),DATE($B$3,1,10),1,'Non-working days'!$A$6:$A$45)=0),"",IF(COUNTIFS('Leave log'!$A$7:$A$306,Employees!$A$18,'Leave log'!$B$7:$B$306,"&lt;="&amp;DATE($B$3,1,10),'Leave log'!$C$7:$C$306,"&gt;="&amp;DATE($B$3,1,10),'Leave log'!$F$7:$F$306,"Pending")&gt;0,"P",""))))</f>
        <v/>
      </c>
      <c r="L19" s="23" t="str">
        <f>IF(A19="","",IF(IF(OR(DATE($B$3,1,11)&gt;EOMONTH(DATE($B$3,1,1),0),NETWORKDAYS.INTL(DATE($B$3,1,11),DATE($B$3,1,11),1,'Non-working days'!$A$6:$A$45)=0),"",IF(COUNTIFS('Leave log'!$A$7:$A$306,Employees!$A$18,'Leave log'!$B$7:$B$306,"&lt;="&amp;DATE($B$3,1,11),'Leave log'!$C$7:$C$306,"&gt;="&amp;DATE($B$3,1,11),'Leave log'!$F$7:$F$306,"Approved")&gt;0,"A",""))="A","A",IF(OR(DATE($B$3,1,11)&gt;EOMONTH(DATE($B$3,1,1),0),NETWORKDAYS.INTL(DATE($B$3,1,11),DATE($B$3,1,11),1,'Non-working days'!$A$6:$A$45)=0),"",IF(COUNTIFS('Leave log'!$A$7:$A$306,Employees!$A$18,'Leave log'!$B$7:$B$306,"&lt;="&amp;DATE($B$3,1,11),'Leave log'!$C$7:$C$306,"&gt;="&amp;DATE($B$3,1,11),'Leave log'!$F$7:$F$306,"Pending")&gt;0,"P",""))))</f>
        <v/>
      </c>
      <c r="M19" s="23" t="str">
        <f>IF(A19="","",IF(IF(OR(DATE($B$3,1,12)&gt;EOMONTH(DATE($B$3,1,1),0),NETWORKDAYS.INTL(DATE($B$3,1,12),DATE($B$3,1,12),1,'Non-working days'!$A$6:$A$45)=0),"",IF(COUNTIFS('Leave log'!$A$7:$A$306,Employees!$A$18,'Leave log'!$B$7:$B$306,"&lt;="&amp;DATE($B$3,1,12),'Leave log'!$C$7:$C$306,"&gt;="&amp;DATE($B$3,1,12),'Leave log'!$F$7:$F$306,"Approved")&gt;0,"A",""))="A","A",IF(OR(DATE($B$3,1,12)&gt;EOMONTH(DATE($B$3,1,1),0),NETWORKDAYS.INTL(DATE($B$3,1,12),DATE($B$3,1,12),1,'Non-working days'!$A$6:$A$45)=0),"",IF(COUNTIFS('Leave log'!$A$7:$A$306,Employees!$A$18,'Leave log'!$B$7:$B$306,"&lt;="&amp;DATE($B$3,1,12),'Leave log'!$C$7:$C$306,"&gt;="&amp;DATE($B$3,1,12),'Leave log'!$F$7:$F$306,"Pending")&gt;0,"P",""))))</f>
        <v/>
      </c>
      <c r="N19" s="23" t="str">
        <f>IF(A19="","",IF(IF(OR(DATE($B$3,1,13)&gt;EOMONTH(DATE($B$3,1,1),0),NETWORKDAYS.INTL(DATE($B$3,1,13),DATE($B$3,1,13),1,'Non-working days'!$A$6:$A$45)=0),"",IF(COUNTIFS('Leave log'!$A$7:$A$306,Employees!$A$18,'Leave log'!$B$7:$B$306,"&lt;="&amp;DATE($B$3,1,13),'Leave log'!$C$7:$C$306,"&gt;="&amp;DATE($B$3,1,13),'Leave log'!$F$7:$F$306,"Approved")&gt;0,"A",""))="A","A",IF(OR(DATE($B$3,1,13)&gt;EOMONTH(DATE($B$3,1,1),0),NETWORKDAYS.INTL(DATE($B$3,1,13),DATE($B$3,1,13),1,'Non-working days'!$A$6:$A$45)=0),"",IF(COUNTIFS('Leave log'!$A$7:$A$306,Employees!$A$18,'Leave log'!$B$7:$B$306,"&lt;="&amp;DATE($B$3,1,13),'Leave log'!$C$7:$C$306,"&gt;="&amp;DATE($B$3,1,13),'Leave log'!$F$7:$F$306,"Pending")&gt;0,"P",""))))</f>
        <v/>
      </c>
      <c r="O19" s="23" t="str">
        <f>IF(A19="","",IF(IF(OR(DATE($B$3,1,14)&gt;EOMONTH(DATE($B$3,1,1),0),NETWORKDAYS.INTL(DATE($B$3,1,14),DATE($B$3,1,14),1,'Non-working days'!$A$6:$A$45)=0),"",IF(COUNTIFS('Leave log'!$A$7:$A$306,Employees!$A$18,'Leave log'!$B$7:$B$306,"&lt;="&amp;DATE($B$3,1,14),'Leave log'!$C$7:$C$306,"&gt;="&amp;DATE($B$3,1,14),'Leave log'!$F$7:$F$306,"Approved")&gt;0,"A",""))="A","A",IF(OR(DATE($B$3,1,14)&gt;EOMONTH(DATE($B$3,1,1),0),NETWORKDAYS.INTL(DATE($B$3,1,14),DATE($B$3,1,14),1,'Non-working days'!$A$6:$A$45)=0),"",IF(COUNTIFS('Leave log'!$A$7:$A$306,Employees!$A$18,'Leave log'!$B$7:$B$306,"&lt;="&amp;DATE($B$3,1,14),'Leave log'!$C$7:$C$306,"&gt;="&amp;DATE($B$3,1,14),'Leave log'!$F$7:$F$306,"Pending")&gt;0,"P",""))))</f>
        <v/>
      </c>
      <c r="P19" s="23" t="str">
        <f>IF(A19="","",IF(IF(OR(DATE($B$3,1,15)&gt;EOMONTH(DATE($B$3,1,1),0),NETWORKDAYS.INTL(DATE($B$3,1,15),DATE($B$3,1,15),1,'Non-working days'!$A$6:$A$45)=0),"",IF(COUNTIFS('Leave log'!$A$7:$A$306,Employees!$A$18,'Leave log'!$B$7:$B$306,"&lt;="&amp;DATE($B$3,1,15),'Leave log'!$C$7:$C$306,"&gt;="&amp;DATE($B$3,1,15),'Leave log'!$F$7:$F$306,"Approved")&gt;0,"A",""))="A","A",IF(OR(DATE($B$3,1,15)&gt;EOMONTH(DATE($B$3,1,1),0),NETWORKDAYS.INTL(DATE($B$3,1,15),DATE($B$3,1,15),1,'Non-working days'!$A$6:$A$45)=0),"",IF(COUNTIFS('Leave log'!$A$7:$A$306,Employees!$A$18,'Leave log'!$B$7:$B$306,"&lt;="&amp;DATE($B$3,1,15),'Leave log'!$C$7:$C$306,"&gt;="&amp;DATE($B$3,1,15),'Leave log'!$F$7:$F$306,"Pending")&gt;0,"P",""))))</f>
        <v/>
      </c>
      <c r="Q19" s="23" t="str">
        <f>IF(A19="","",IF(IF(OR(DATE($B$3,1,16)&gt;EOMONTH(DATE($B$3,1,1),0),NETWORKDAYS.INTL(DATE($B$3,1,16),DATE($B$3,1,16),1,'Non-working days'!$A$6:$A$45)=0),"",IF(COUNTIFS('Leave log'!$A$7:$A$306,Employees!$A$18,'Leave log'!$B$7:$B$306,"&lt;="&amp;DATE($B$3,1,16),'Leave log'!$C$7:$C$306,"&gt;="&amp;DATE($B$3,1,16),'Leave log'!$F$7:$F$306,"Approved")&gt;0,"A",""))="A","A",IF(OR(DATE($B$3,1,16)&gt;EOMONTH(DATE($B$3,1,1),0),NETWORKDAYS.INTL(DATE($B$3,1,16),DATE($B$3,1,16),1,'Non-working days'!$A$6:$A$45)=0),"",IF(COUNTIFS('Leave log'!$A$7:$A$306,Employees!$A$18,'Leave log'!$B$7:$B$306,"&lt;="&amp;DATE($B$3,1,16),'Leave log'!$C$7:$C$306,"&gt;="&amp;DATE($B$3,1,16),'Leave log'!$F$7:$F$306,"Pending")&gt;0,"P",""))))</f>
        <v/>
      </c>
      <c r="R19" s="23" t="str">
        <f>IF(A19="","",IF(IF(OR(DATE($B$3,1,17)&gt;EOMONTH(DATE($B$3,1,1),0),NETWORKDAYS.INTL(DATE($B$3,1,17),DATE($B$3,1,17),1,'Non-working days'!$A$6:$A$45)=0),"",IF(COUNTIFS('Leave log'!$A$7:$A$306,Employees!$A$18,'Leave log'!$B$7:$B$306,"&lt;="&amp;DATE($B$3,1,17),'Leave log'!$C$7:$C$306,"&gt;="&amp;DATE($B$3,1,17),'Leave log'!$F$7:$F$306,"Approved")&gt;0,"A",""))="A","A",IF(OR(DATE($B$3,1,17)&gt;EOMONTH(DATE($B$3,1,1),0),NETWORKDAYS.INTL(DATE($B$3,1,17),DATE($B$3,1,17),1,'Non-working days'!$A$6:$A$45)=0),"",IF(COUNTIFS('Leave log'!$A$7:$A$306,Employees!$A$18,'Leave log'!$B$7:$B$306,"&lt;="&amp;DATE($B$3,1,17),'Leave log'!$C$7:$C$306,"&gt;="&amp;DATE($B$3,1,17),'Leave log'!$F$7:$F$306,"Pending")&gt;0,"P",""))))</f>
        <v/>
      </c>
      <c r="S19" s="23" t="str">
        <f>IF(A19="","",IF(IF(OR(DATE($B$3,1,18)&gt;EOMONTH(DATE($B$3,1,1),0),NETWORKDAYS.INTL(DATE($B$3,1,18),DATE($B$3,1,18),1,'Non-working days'!$A$6:$A$45)=0),"",IF(COUNTIFS('Leave log'!$A$7:$A$306,Employees!$A$18,'Leave log'!$B$7:$B$306,"&lt;="&amp;DATE($B$3,1,18),'Leave log'!$C$7:$C$306,"&gt;="&amp;DATE($B$3,1,18),'Leave log'!$F$7:$F$306,"Approved")&gt;0,"A",""))="A","A",IF(OR(DATE($B$3,1,18)&gt;EOMONTH(DATE($B$3,1,1),0),NETWORKDAYS.INTL(DATE($B$3,1,18),DATE($B$3,1,18),1,'Non-working days'!$A$6:$A$45)=0),"",IF(COUNTIFS('Leave log'!$A$7:$A$306,Employees!$A$18,'Leave log'!$B$7:$B$306,"&lt;="&amp;DATE($B$3,1,18),'Leave log'!$C$7:$C$306,"&gt;="&amp;DATE($B$3,1,18),'Leave log'!$F$7:$F$306,"Pending")&gt;0,"P",""))))</f>
        <v/>
      </c>
      <c r="T19" s="23" t="str">
        <f>IF(A19="","",IF(IF(OR(DATE($B$3,1,19)&gt;EOMONTH(DATE($B$3,1,1),0),NETWORKDAYS.INTL(DATE($B$3,1,19),DATE($B$3,1,19),1,'Non-working days'!$A$6:$A$45)=0),"",IF(COUNTIFS('Leave log'!$A$7:$A$306,Employees!$A$18,'Leave log'!$B$7:$B$306,"&lt;="&amp;DATE($B$3,1,19),'Leave log'!$C$7:$C$306,"&gt;="&amp;DATE($B$3,1,19),'Leave log'!$F$7:$F$306,"Approved")&gt;0,"A",""))="A","A",IF(OR(DATE($B$3,1,19)&gt;EOMONTH(DATE($B$3,1,1),0),NETWORKDAYS.INTL(DATE($B$3,1,19),DATE($B$3,1,19),1,'Non-working days'!$A$6:$A$45)=0),"",IF(COUNTIFS('Leave log'!$A$7:$A$306,Employees!$A$18,'Leave log'!$B$7:$B$306,"&lt;="&amp;DATE($B$3,1,19),'Leave log'!$C$7:$C$306,"&gt;="&amp;DATE($B$3,1,19),'Leave log'!$F$7:$F$306,"Pending")&gt;0,"P",""))))</f>
        <v/>
      </c>
      <c r="U19" s="23" t="str">
        <f>IF(A19="","",IF(IF(OR(DATE($B$3,1,20)&gt;EOMONTH(DATE($B$3,1,1),0),NETWORKDAYS.INTL(DATE($B$3,1,20),DATE($B$3,1,20),1,'Non-working days'!$A$6:$A$45)=0),"",IF(COUNTIFS('Leave log'!$A$7:$A$306,Employees!$A$18,'Leave log'!$B$7:$B$306,"&lt;="&amp;DATE($B$3,1,20),'Leave log'!$C$7:$C$306,"&gt;="&amp;DATE($B$3,1,20),'Leave log'!$F$7:$F$306,"Approved")&gt;0,"A",""))="A","A",IF(OR(DATE($B$3,1,20)&gt;EOMONTH(DATE($B$3,1,1),0),NETWORKDAYS.INTL(DATE($B$3,1,20),DATE($B$3,1,20),1,'Non-working days'!$A$6:$A$45)=0),"",IF(COUNTIFS('Leave log'!$A$7:$A$306,Employees!$A$18,'Leave log'!$B$7:$B$306,"&lt;="&amp;DATE($B$3,1,20),'Leave log'!$C$7:$C$306,"&gt;="&amp;DATE($B$3,1,20),'Leave log'!$F$7:$F$306,"Pending")&gt;0,"P",""))))</f>
        <v/>
      </c>
      <c r="V19" s="23" t="str">
        <f>IF(A19="","",IF(IF(OR(DATE($B$3,1,21)&gt;EOMONTH(DATE($B$3,1,1),0),NETWORKDAYS.INTL(DATE($B$3,1,21),DATE($B$3,1,21),1,'Non-working days'!$A$6:$A$45)=0),"",IF(COUNTIFS('Leave log'!$A$7:$A$306,Employees!$A$18,'Leave log'!$B$7:$B$306,"&lt;="&amp;DATE($B$3,1,21),'Leave log'!$C$7:$C$306,"&gt;="&amp;DATE($B$3,1,21),'Leave log'!$F$7:$F$306,"Approved")&gt;0,"A",""))="A","A",IF(OR(DATE($B$3,1,21)&gt;EOMONTH(DATE($B$3,1,1),0),NETWORKDAYS.INTL(DATE($B$3,1,21),DATE($B$3,1,21),1,'Non-working days'!$A$6:$A$45)=0),"",IF(COUNTIFS('Leave log'!$A$7:$A$306,Employees!$A$18,'Leave log'!$B$7:$B$306,"&lt;="&amp;DATE($B$3,1,21),'Leave log'!$C$7:$C$306,"&gt;="&amp;DATE($B$3,1,21),'Leave log'!$F$7:$F$306,"Pending")&gt;0,"P",""))))</f>
        <v/>
      </c>
      <c r="W19" s="23" t="str">
        <f>IF(A19="","",IF(IF(OR(DATE($B$3,1,22)&gt;EOMONTH(DATE($B$3,1,1),0),NETWORKDAYS.INTL(DATE($B$3,1,22),DATE($B$3,1,22),1,'Non-working days'!$A$6:$A$45)=0),"",IF(COUNTIFS('Leave log'!$A$7:$A$306,Employees!$A$18,'Leave log'!$B$7:$B$306,"&lt;="&amp;DATE($B$3,1,22),'Leave log'!$C$7:$C$306,"&gt;="&amp;DATE($B$3,1,22),'Leave log'!$F$7:$F$306,"Approved")&gt;0,"A",""))="A","A",IF(OR(DATE($B$3,1,22)&gt;EOMONTH(DATE($B$3,1,1),0),NETWORKDAYS.INTL(DATE($B$3,1,22),DATE($B$3,1,22),1,'Non-working days'!$A$6:$A$45)=0),"",IF(COUNTIFS('Leave log'!$A$7:$A$306,Employees!$A$18,'Leave log'!$B$7:$B$306,"&lt;="&amp;DATE($B$3,1,22),'Leave log'!$C$7:$C$306,"&gt;="&amp;DATE($B$3,1,22),'Leave log'!$F$7:$F$306,"Pending")&gt;0,"P",""))))</f>
        <v/>
      </c>
      <c r="X19" s="23" t="str">
        <f>IF(A19="","",IF(IF(OR(DATE($B$3,1,23)&gt;EOMONTH(DATE($B$3,1,1),0),NETWORKDAYS.INTL(DATE($B$3,1,23),DATE($B$3,1,23),1,'Non-working days'!$A$6:$A$45)=0),"",IF(COUNTIFS('Leave log'!$A$7:$A$306,Employees!$A$18,'Leave log'!$B$7:$B$306,"&lt;="&amp;DATE($B$3,1,23),'Leave log'!$C$7:$C$306,"&gt;="&amp;DATE($B$3,1,23),'Leave log'!$F$7:$F$306,"Approved")&gt;0,"A",""))="A","A",IF(OR(DATE($B$3,1,23)&gt;EOMONTH(DATE($B$3,1,1),0),NETWORKDAYS.INTL(DATE($B$3,1,23),DATE($B$3,1,23),1,'Non-working days'!$A$6:$A$45)=0),"",IF(COUNTIFS('Leave log'!$A$7:$A$306,Employees!$A$18,'Leave log'!$B$7:$B$306,"&lt;="&amp;DATE($B$3,1,23),'Leave log'!$C$7:$C$306,"&gt;="&amp;DATE($B$3,1,23),'Leave log'!$F$7:$F$306,"Pending")&gt;0,"P",""))))</f>
        <v/>
      </c>
      <c r="Y19" s="23" t="str">
        <f>IF(A19="","",IF(IF(OR(DATE($B$3,1,24)&gt;EOMONTH(DATE($B$3,1,1),0),NETWORKDAYS.INTL(DATE($B$3,1,24),DATE($B$3,1,24),1,'Non-working days'!$A$6:$A$45)=0),"",IF(COUNTIFS('Leave log'!$A$7:$A$306,Employees!$A$18,'Leave log'!$B$7:$B$306,"&lt;="&amp;DATE($B$3,1,24),'Leave log'!$C$7:$C$306,"&gt;="&amp;DATE($B$3,1,24),'Leave log'!$F$7:$F$306,"Approved")&gt;0,"A",""))="A","A",IF(OR(DATE($B$3,1,24)&gt;EOMONTH(DATE($B$3,1,1),0),NETWORKDAYS.INTL(DATE($B$3,1,24),DATE($B$3,1,24),1,'Non-working days'!$A$6:$A$45)=0),"",IF(COUNTIFS('Leave log'!$A$7:$A$306,Employees!$A$18,'Leave log'!$B$7:$B$306,"&lt;="&amp;DATE($B$3,1,24),'Leave log'!$C$7:$C$306,"&gt;="&amp;DATE($B$3,1,24),'Leave log'!$F$7:$F$306,"Pending")&gt;0,"P",""))))</f>
        <v/>
      </c>
      <c r="Z19" s="23" t="str">
        <f>IF(A19="","",IF(IF(OR(DATE($B$3,1,25)&gt;EOMONTH(DATE($B$3,1,1),0),NETWORKDAYS.INTL(DATE($B$3,1,25),DATE($B$3,1,25),1,'Non-working days'!$A$6:$A$45)=0),"",IF(COUNTIFS('Leave log'!$A$7:$A$306,Employees!$A$18,'Leave log'!$B$7:$B$306,"&lt;="&amp;DATE($B$3,1,25),'Leave log'!$C$7:$C$306,"&gt;="&amp;DATE($B$3,1,25),'Leave log'!$F$7:$F$306,"Approved")&gt;0,"A",""))="A","A",IF(OR(DATE($B$3,1,25)&gt;EOMONTH(DATE($B$3,1,1),0),NETWORKDAYS.INTL(DATE($B$3,1,25),DATE($B$3,1,25),1,'Non-working days'!$A$6:$A$45)=0),"",IF(COUNTIFS('Leave log'!$A$7:$A$306,Employees!$A$18,'Leave log'!$B$7:$B$306,"&lt;="&amp;DATE($B$3,1,25),'Leave log'!$C$7:$C$306,"&gt;="&amp;DATE($B$3,1,25),'Leave log'!$F$7:$F$306,"Pending")&gt;0,"P",""))))</f>
        <v/>
      </c>
      <c r="AA19" s="23" t="str">
        <f>IF(A19="","",IF(IF(OR(DATE($B$3,1,26)&gt;EOMONTH(DATE($B$3,1,1),0),NETWORKDAYS.INTL(DATE($B$3,1,26),DATE($B$3,1,26),1,'Non-working days'!$A$6:$A$45)=0),"",IF(COUNTIFS('Leave log'!$A$7:$A$306,Employees!$A$18,'Leave log'!$B$7:$B$306,"&lt;="&amp;DATE($B$3,1,26),'Leave log'!$C$7:$C$306,"&gt;="&amp;DATE($B$3,1,26),'Leave log'!$F$7:$F$306,"Approved")&gt;0,"A",""))="A","A",IF(OR(DATE($B$3,1,26)&gt;EOMONTH(DATE($B$3,1,1),0),NETWORKDAYS.INTL(DATE($B$3,1,26),DATE($B$3,1,26),1,'Non-working days'!$A$6:$A$45)=0),"",IF(COUNTIFS('Leave log'!$A$7:$A$306,Employees!$A$18,'Leave log'!$B$7:$B$306,"&lt;="&amp;DATE($B$3,1,26),'Leave log'!$C$7:$C$306,"&gt;="&amp;DATE($B$3,1,26),'Leave log'!$F$7:$F$306,"Pending")&gt;0,"P",""))))</f>
        <v/>
      </c>
      <c r="AB19" s="23" t="str">
        <f>IF(A19="","",IF(IF(OR(DATE($B$3,1,27)&gt;EOMONTH(DATE($B$3,1,1),0),NETWORKDAYS.INTL(DATE($B$3,1,27),DATE($B$3,1,27),1,'Non-working days'!$A$6:$A$45)=0),"",IF(COUNTIFS('Leave log'!$A$7:$A$306,Employees!$A$18,'Leave log'!$B$7:$B$306,"&lt;="&amp;DATE($B$3,1,27),'Leave log'!$C$7:$C$306,"&gt;="&amp;DATE($B$3,1,27),'Leave log'!$F$7:$F$306,"Approved")&gt;0,"A",""))="A","A",IF(OR(DATE($B$3,1,27)&gt;EOMONTH(DATE($B$3,1,1),0),NETWORKDAYS.INTL(DATE($B$3,1,27),DATE($B$3,1,27),1,'Non-working days'!$A$6:$A$45)=0),"",IF(COUNTIFS('Leave log'!$A$7:$A$306,Employees!$A$18,'Leave log'!$B$7:$B$306,"&lt;="&amp;DATE($B$3,1,27),'Leave log'!$C$7:$C$306,"&gt;="&amp;DATE($B$3,1,27),'Leave log'!$F$7:$F$306,"Pending")&gt;0,"P",""))))</f>
        <v/>
      </c>
      <c r="AC19" s="23" t="str">
        <f>IF(A19="","",IF(IF(OR(DATE($B$3,1,28)&gt;EOMONTH(DATE($B$3,1,1),0),NETWORKDAYS.INTL(DATE($B$3,1,28),DATE($B$3,1,28),1,'Non-working days'!$A$6:$A$45)=0),"",IF(COUNTIFS('Leave log'!$A$7:$A$306,Employees!$A$18,'Leave log'!$B$7:$B$306,"&lt;="&amp;DATE($B$3,1,28),'Leave log'!$C$7:$C$306,"&gt;="&amp;DATE($B$3,1,28),'Leave log'!$F$7:$F$306,"Approved")&gt;0,"A",""))="A","A",IF(OR(DATE($B$3,1,28)&gt;EOMONTH(DATE($B$3,1,1),0),NETWORKDAYS.INTL(DATE($B$3,1,28),DATE($B$3,1,28),1,'Non-working days'!$A$6:$A$45)=0),"",IF(COUNTIFS('Leave log'!$A$7:$A$306,Employees!$A$18,'Leave log'!$B$7:$B$306,"&lt;="&amp;DATE($B$3,1,28),'Leave log'!$C$7:$C$306,"&gt;="&amp;DATE($B$3,1,28),'Leave log'!$F$7:$F$306,"Pending")&gt;0,"P",""))))</f>
        <v/>
      </c>
      <c r="AD19" s="23" t="str">
        <f>IF(A19="","",IF(IF(OR(DATE($B$3,1,29)&gt;EOMONTH(DATE($B$3,1,1),0),NETWORKDAYS.INTL(DATE($B$3,1,29),DATE($B$3,1,29),1,'Non-working days'!$A$6:$A$45)=0),"",IF(COUNTIFS('Leave log'!$A$7:$A$306,Employees!$A$18,'Leave log'!$B$7:$B$306,"&lt;="&amp;DATE($B$3,1,29),'Leave log'!$C$7:$C$306,"&gt;="&amp;DATE($B$3,1,29),'Leave log'!$F$7:$F$306,"Approved")&gt;0,"A",""))="A","A",IF(OR(DATE($B$3,1,29)&gt;EOMONTH(DATE($B$3,1,1),0),NETWORKDAYS.INTL(DATE($B$3,1,29),DATE($B$3,1,29),1,'Non-working days'!$A$6:$A$45)=0),"",IF(COUNTIFS('Leave log'!$A$7:$A$306,Employees!$A$18,'Leave log'!$B$7:$B$306,"&lt;="&amp;DATE($B$3,1,29),'Leave log'!$C$7:$C$306,"&gt;="&amp;DATE($B$3,1,29),'Leave log'!$F$7:$F$306,"Pending")&gt;0,"P",""))))</f>
        <v/>
      </c>
      <c r="AE19" s="23" t="str">
        <f>IF(A19="","",IF(IF(OR(DATE($B$3,1,30)&gt;EOMONTH(DATE($B$3,1,1),0),NETWORKDAYS.INTL(DATE($B$3,1,30),DATE($B$3,1,30),1,'Non-working days'!$A$6:$A$45)=0),"",IF(COUNTIFS('Leave log'!$A$7:$A$306,Employees!$A$18,'Leave log'!$B$7:$B$306,"&lt;="&amp;DATE($B$3,1,30),'Leave log'!$C$7:$C$306,"&gt;="&amp;DATE($B$3,1,30),'Leave log'!$F$7:$F$306,"Approved")&gt;0,"A",""))="A","A",IF(OR(DATE($B$3,1,30)&gt;EOMONTH(DATE($B$3,1,1),0),NETWORKDAYS.INTL(DATE($B$3,1,30),DATE($B$3,1,30),1,'Non-working days'!$A$6:$A$45)=0),"",IF(COUNTIFS('Leave log'!$A$7:$A$306,Employees!$A$18,'Leave log'!$B$7:$B$306,"&lt;="&amp;DATE($B$3,1,30),'Leave log'!$C$7:$C$306,"&gt;="&amp;DATE($B$3,1,30),'Leave log'!$F$7:$F$306,"Pending")&gt;0,"P",""))))</f>
        <v/>
      </c>
      <c r="AF19" s="23" t="str">
        <f>IF(A19="","",IF(IF(OR(DATE($B$3,1,31)&gt;EOMONTH(DATE($B$3,1,1),0),NETWORKDAYS.INTL(DATE($B$3,1,31),DATE($B$3,1,31),1,'Non-working days'!$A$6:$A$45)=0),"",IF(COUNTIFS('Leave log'!$A$7:$A$306,Employees!$A$18,'Leave log'!$B$7:$B$306,"&lt;="&amp;DATE($B$3,1,31),'Leave log'!$C$7:$C$306,"&gt;="&amp;DATE($B$3,1,31),'Leave log'!$F$7:$F$306,"Approved")&gt;0,"A",""))="A","A",IF(OR(DATE($B$3,1,31)&gt;EOMONTH(DATE($B$3,1,1),0),NETWORKDAYS.INTL(DATE($B$3,1,31),DATE($B$3,1,31),1,'Non-working days'!$A$6:$A$45)=0),"",IF(COUNTIFS('Leave log'!$A$7:$A$306,Employees!$A$18,'Leave log'!$B$7:$B$306,"&lt;="&amp;DATE($B$3,1,31),'Leave log'!$C$7:$C$306,"&gt;="&amp;DATE($B$3,1,31),'Leave log'!$F$7:$F$306,"Pending")&gt;0,"P",""))))</f>
        <v/>
      </c>
    </row>
    <row r="20" spans="1:32" ht="18" customHeight="1" x14ac:dyDescent="0.3">
      <c r="A20" s="22" t="str">
        <f>IF(Employees!F19="Yes",Employees!B19,"")</f>
        <v/>
      </c>
      <c r="B20" s="23" t="str">
        <f>IF(A20="","",IF(IF(OR(DATE($B$3,1,1)&gt;EOMONTH(DATE($B$3,1,1),0),NETWORKDAYS.INTL(DATE($B$3,1,1),DATE($B$3,1,1),1,'Non-working days'!$A$6:$A$45)=0),"",IF(COUNTIFS('Leave log'!$A$7:$A$306,Employees!$A$19,'Leave log'!$B$7:$B$306,"&lt;="&amp;DATE($B$3,1,1),'Leave log'!$C$7:$C$306,"&gt;="&amp;DATE($B$3,1,1),'Leave log'!$F$7:$F$306,"Approved")&gt;0,"A",""))="A","A",IF(OR(DATE($B$3,1,1)&gt;EOMONTH(DATE($B$3,1,1),0),NETWORKDAYS.INTL(DATE($B$3,1,1),DATE($B$3,1,1),1,'Non-working days'!$A$6:$A$45)=0),"",IF(COUNTIFS('Leave log'!$A$7:$A$306,Employees!$A$19,'Leave log'!$B$7:$B$306,"&lt;="&amp;DATE($B$3,1,1),'Leave log'!$C$7:$C$306,"&gt;="&amp;DATE($B$3,1,1),'Leave log'!$F$7:$F$306,"Pending")&gt;0,"P",""))))</f>
        <v/>
      </c>
      <c r="C20" s="23" t="str">
        <f>IF(A20="","",IF(IF(OR(DATE($B$3,1,2)&gt;EOMONTH(DATE($B$3,1,1),0),NETWORKDAYS.INTL(DATE($B$3,1,2),DATE($B$3,1,2),1,'Non-working days'!$A$6:$A$45)=0),"",IF(COUNTIFS('Leave log'!$A$7:$A$306,Employees!$A$19,'Leave log'!$B$7:$B$306,"&lt;="&amp;DATE($B$3,1,2),'Leave log'!$C$7:$C$306,"&gt;="&amp;DATE($B$3,1,2),'Leave log'!$F$7:$F$306,"Approved")&gt;0,"A",""))="A","A",IF(OR(DATE($B$3,1,2)&gt;EOMONTH(DATE($B$3,1,1),0),NETWORKDAYS.INTL(DATE($B$3,1,2),DATE($B$3,1,2),1,'Non-working days'!$A$6:$A$45)=0),"",IF(COUNTIFS('Leave log'!$A$7:$A$306,Employees!$A$19,'Leave log'!$B$7:$B$306,"&lt;="&amp;DATE($B$3,1,2),'Leave log'!$C$7:$C$306,"&gt;="&amp;DATE($B$3,1,2),'Leave log'!$F$7:$F$306,"Pending")&gt;0,"P",""))))</f>
        <v/>
      </c>
      <c r="D20" s="23" t="str">
        <f>IF(A20="","",IF(IF(OR(DATE($B$3,1,3)&gt;EOMONTH(DATE($B$3,1,1),0),NETWORKDAYS.INTL(DATE($B$3,1,3),DATE($B$3,1,3),1,'Non-working days'!$A$6:$A$45)=0),"",IF(COUNTIFS('Leave log'!$A$7:$A$306,Employees!$A$19,'Leave log'!$B$7:$B$306,"&lt;="&amp;DATE($B$3,1,3),'Leave log'!$C$7:$C$306,"&gt;="&amp;DATE($B$3,1,3),'Leave log'!$F$7:$F$306,"Approved")&gt;0,"A",""))="A","A",IF(OR(DATE($B$3,1,3)&gt;EOMONTH(DATE($B$3,1,1),0),NETWORKDAYS.INTL(DATE($B$3,1,3),DATE($B$3,1,3),1,'Non-working days'!$A$6:$A$45)=0),"",IF(COUNTIFS('Leave log'!$A$7:$A$306,Employees!$A$19,'Leave log'!$B$7:$B$306,"&lt;="&amp;DATE($B$3,1,3),'Leave log'!$C$7:$C$306,"&gt;="&amp;DATE($B$3,1,3),'Leave log'!$F$7:$F$306,"Pending")&gt;0,"P",""))))</f>
        <v/>
      </c>
      <c r="E20" s="23" t="str">
        <f>IF(A20="","",IF(IF(OR(DATE($B$3,1,4)&gt;EOMONTH(DATE($B$3,1,1),0),NETWORKDAYS.INTL(DATE($B$3,1,4),DATE($B$3,1,4),1,'Non-working days'!$A$6:$A$45)=0),"",IF(COUNTIFS('Leave log'!$A$7:$A$306,Employees!$A$19,'Leave log'!$B$7:$B$306,"&lt;="&amp;DATE($B$3,1,4),'Leave log'!$C$7:$C$306,"&gt;="&amp;DATE($B$3,1,4),'Leave log'!$F$7:$F$306,"Approved")&gt;0,"A",""))="A","A",IF(OR(DATE($B$3,1,4)&gt;EOMONTH(DATE($B$3,1,1),0),NETWORKDAYS.INTL(DATE($B$3,1,4),DATE($B$3,1,4),1,'Non-working days'!$A$6:$A$45)=0),"",IF(COUNTIFS('Leave log'!$A$7:$A$306,Employees!$A$19,'Leave log'!$B$7:$B$306,"&lt;="&amp;DATE($B$3,1,4),'Leave log'!$C$7:$C$306,"&gt;="&amp;DATE($B$3,1,4),'Leave log'!$F$7:$F$306,"Pending")&gt;0,"P",""))))</f>
        <v/>
      </c>
      <c r="F20" s="23" t="str">
        <f>IF(A20="","",IF(IF(OR(DATE($B$3,1,5)&gt;EOMONTH(DATE($B$3,1,1),0),NETWORKDAYS.INTL(DATE($B$3,1,5),DATE($B$3,1,5),1,'Non-working days'!$A$6:$A$45)=0),"",IF(COUNTIFS('Leave log'!$A$7:$A$306,Employees!$A$19,'Leave log'!$B$7:$B$306,"&lt;="&amp;DATE($B$3,1,5),'Leave log'!$C$7:$C$306,"&gt;="&amp;DATE($B$3,1,5),'Leave log'!$F$7:$F$306,"Approved")&gt;0,"A",""))="A","A",IF(OR(DATE($B$3,1,5)&gt;EOMONTH(DATE($B$3,1,1),0),NETWORKDAYS.INTL(DATE($B$3,1,5),DATE($B$3,1,5),1,'Non-working days'!$A$6:$A$45)=0),"",IF(COUNTIFS('Leave log'!$A$7:$A$306,Employees!$A$19,'Leave log'!$B$7:$B$306,"&lt;="&amp;DATE($B$3,1,5),'Leave log'!$C$7:$C$306,"&gt;="&amp;DATE($B$3,1,5),'Leave log'!$F$7:$F$306,"Pending")&gt;0,"P",""))))</f>
        <v/>
      </c>
      <c r="G20" s="23" t="str">
        <f>IF(A20="","",IF(IF(OR(DATE($B$3,1,6)&gt;EOMONTH(DATE($B$3,1,1),0),NETWORKDAYS.INTL(DATE($B$3,1,6),DATE($B$3,1,6),1,'Non-working days'!$A$6:$A$45)=0),"",IF(COUNTIFS('Leave log'!$A$7:$A$306,Employees!$A$19,'Leave log'!$B$7:$B$306,"&lt;="&amp;DATE($B$3,1,6),'Leave log'!$C$7:$C$306,"&gt;="&amp;DATE($B$3,1,6),'Leave log'!$F$7:$F$306,"Approved")&gt;0,"A",""))="A","A",IF(OR(DATE($B$3,1,6)&gt;EOMONTH(DATE($B$3,1,1),0),NETWORKDAYS.INTL(DATE($B$3,1,6),DATE($B$3,1,6),1,'Non-working days'!$A$6:$A$45)=0),"",IF(COUNTIFS('Leave log'!$A$7:$A$306,Employees!$A$19,'Leave log'!$B$7:$B$306,"&lt;="&amp;DATE($B$3,1,6),'Leave log'!$C$7:$C$306,"&gt;="&amp;DATE($B$3,1,6),'Leave log'!$F$7:$F$306,"Pending")&gt;0,"P",""))))</f>
        <v/>
      </c>
      <c r="H20" s="23" t="str">
        <f>IF(A20="","",IF(IF(OR(DATE($B$3,1,7)&gt;EOMONTH(DATE($B$3,1,1),0),NETWORKDAYS.INTL(DATE($B$3,1,7),DATE($B$3,1,7),1,'Non-working days'!$A$6:$A$45)=0),"",IF(COUNTIFS('Leave log'!$A$7:$A$306,Employees!$A$19,'Leave log'!$B$7:$B$306,"&lt;="&amp;DATE($B$3,1,7),'Leave log'!$C$7:$C$306,"&gt;="&amp;DATE($B$3,1,7),'Leave log'!$F$7:$F$306,"Approved")&gt;0,"A",""))="A","A",IF(OR(DATE($B$3,1,7)&gt;EOMONTH(DATE($B$3,1,1),0),NETWORKDAYS.INTL(DATE($B$3,1,7),DATE($B$3,1,7),1,'Non-working days'!$A$6:$A$45)=0),"",IF(COUNTIFS('Leave log'!$A$7:$A$306,Employees!$A$19,'Leave log'!$B$7:$B$306,"&lt;="&amp;DATE($B$3,1,7),'Leave log'!$C$7:$C$306,"&gt;="&amp;DATE($B$3,1,7),'Leave log'!$F$7:$F$306,"Pending")&gt;0,"P",""))))</f>
        <v/>
      </c>
      <c r="I20" s="23" t="str">
        <f>IF(A20="","",IF(IF(OR(DATE($B$3,1,8)&gt;EOMONTH(DATE($B$3,1,1),0),NETWORKDAYS.INTL(DATE($B$3,1,8),DATE($B$3,1,8),1,'Non-working days'!$A$6:$A$45)=0),"",IF(COUNTIFS('Leave log'!$A$7:$A$306,Employees!$A$19,'Leave log'!$B$7:$B$306,"&lt;="&amp;DATE($B$3,1,8),'Leave log'!$C$7:$C$306,"&gt;="&amp;DATE($B$3,1,8),'Leave log'!$F$7:$F$306,"Approved")&gt;0,"A",""))="A","A",IF(OR(DATE($B$3,1,8)&gt;EOMONTH(DATE($B$3,1,1),0),NETWORKDAYS.INTL(DATE($B$3,1,8),DATE($B$3,1,8),1,'Non-working days'!$A$6:$A$45)=0),"",IF(COUNTIFS('Leave log'!$A$7:$A$306,Employees!$A$19,'Leave log'!$B$7:$B$306,"&lt;="&amp;DATE($B$3,1,8),'Leave log'!$C$7:$C$306,"&gt;="&amp;DATE($B$3,1,8),'Leave log'!$F$7:$F$306,"Pending")&gt;0,"P",""))))</f>
        <v/>
      </c>
      <c r="J20" s="23" t="str">
        <f>IF(A20="","",IF(IF(OR(DATE($B$3,1,9)&gt;EOMONTH(DATE($B$3,1,1),0),NETWORKDAYS.INTL(DATE($B$3,1,9),DATE($B$3,1,9),1,'Non-working days'!$A$6:$A$45)=0),"",IF(COUNTIFS('Leave log'!$A$7:$A$306,Employees!$A$19,'Leave log'!$B$7:$B$306,"&lt;="&amp;DATE($B$3,1,9),'Leave log'!$C$7:$C$306,"&gt;="&amp;DATE($B$3,1,9),'Leave log'!$F$7:$F$306,"Approved")&gt;0,"A",""))="A","A",IF(OR(DATE($B$3,1,9)&gt;EOMONTH(DATE($B$3,1,1),0),NETWORKDAYS.INTL(DATE($B$3,1,9),DATE($B$3,1,9),1,'Non-working days'!$A$6:$A$45)=0),"",IF(COUNTIFS('Leave log'!$A$7:$A$306,Employees!$A$19,'Leave log'!$B$7:$B$306,"&lt;="&amp;DATE($B$3,1,9),'Leave log'!$C$7:$C$306,"&gt;="&amp;DATE($B$3,1,9),'Leave log'!$F$7:$F$306,"Pending")&gt;0,"P",""))))</f>
        <v/>
      </c>
      <c r="K20" s="23" t="str">
        <f>IF(A20="","",IF(IF(OR(DATE($B$3,1,10)&gt;EOMONTH(DATE($B$3,1,1),0),NETWORKDAYS.INTL(DATE($B$3,1,10),DATE($B$3,1,10),1,'Non-working days'!$A$6:$A$45)=0),"",IF(COUNTIFS('Leave log'!$A$7:$A$306,Employees!$A$19,'Leave log'!$B$7:$B$306,"&lt;="&amp;DATE($B$3,1,10),'Leave log'!$C$7:$C$306,"&gt;="&amp;DATE($B$3,1,10),'Leave log'!$F$7:$F$306,"Approved")&gt;0,"A",""))="A","A",IF(OR(DATE($B$3,1,10)&gt;EOMONTH(DATE($B$3,1,1),0),NETWORKDAYS.INTL(DATE($B$3,1,10),DATE($B$3,1,10),1,'Non-working days'!$A$6:$A$45)=0),"",IF(COUNTIFS('Leave log'!$A$7:$A$306,Employees!$A$19,'Leave log'!$B$7:$B$306,"&lt;="&amp;DATE($B$3,1,10),'Leave log'!$C$7:$C$306,"&gt;="&amp;DATE($B$3,1,10),'Leave log'!$F$7:$F$306,"Pending")&gt;0,"P",""))))</f>
        <v/>
      </c>
      <c r="L20" s="23" t="str">
        <f>IF(A20="","",IF(IF(OR(DATE($B$3,1,11)&gt;EOMONTH(DATE($B$3,1,1),0),NETWORKDAYS.INTL(DATE($B$3,1,11),DATE($B$3,1,11),1,'Non-working days'!$A$6:$A$45)=0),"",IF(COUNTIFS('Leave log'!$A$7:$A$306,Employees!$A$19,'Leave log'!$B$7:$B$306,"&lt;="&amp;DATE($B$3,1,11),'Leave log'!$C$7:$C$306,"&gt;="&amp;DATE($B$3,1,11),'Leave log'!$F$7:$F$306,"Approved")&gt;0,"A",""))="A","A",IF(OR(DATE($B$3,1,11)&gt;EOMONTH(DATE($B$3,1,1),0),NETWORKDAYS.INTL(DATE($B$3,1,11),DATE($B$3,1,11),1,'Non-working days'!$A$6:$A$45)=0),"",IF(COUNTIFS('Leave log'!$A$7:$A$306,Employees!$A$19,'Leave log'!$B$7:$B$306,"&lt;="&amp;DATE($B$3,1,11),'Leave log'!$C$7:$C$306,"&gt;="&amp;DATE($B$3,1,11),'Leave log'!$F$7:$F$306,"Pending")&gt;0,"P",""))))</f>
        <v/>
      </c>
      <c r="M20" s="23" t="str">
        <f>IF(A20="","",IF(IF(OR(DATE($B$3,1,12)&gt;EOMONTH(DATE($B$3,1,1),0),NETWORKDAYS.INTL(DATE($B$3,1,12),DATE($B$3,1,12),1,'Non-working days'!$A$6:$A$45)=0),"",IF(COUNTIFS('Leave log'!$A$7:$A$306,Employees!$A$19,'Leave log'!$B$7:$B$306,"&lt;="&amp;DATE($B$3,1,12),'Leave log'!$C$7:$C$306,"&gt;="&amp;DATE($B$3,1,12),'Leave log'!$F$7:$F$306,"Approved")&gt;0,"A",""))="A","A",IF(OR(DATE($B$3,1,12)&gt;EOMONTH(DATE($B$3,1,1),0),NETWORKDAYS.INTL(DATE($B$3,1,12),DATE($B$3,1,12),1,'Non-working days'!$A$6:$A$45)=0),"",IF(COUNTIFS('Leave log'!$A$7:$A$306,Employees!$A$19,'Leave log'!$B$7:$B$306,"&lt;="&amp;DATE($B$3,1,12),'Leave log'!$C$7:$C$306,"&gt;="&amp;DATE($B$3,1,12),'Leave log'!$F$7:$F$306,"Pending")&gt;0,"P",""))))</f>
        <v/>
      </c>
      <c r="N20" s="23" t="str">
        <f>IF(A20="","",IF(IF(OR(DATE($B$3,1,13)&gt;EOMONTH(DATE($B$3,1,1),0),NETWORKDAYS.INTL(DATE($B$3,1,13),DATE($B$3,1,13),1,'Non-working days'!$A$6:$A$45)=0),"",IF(COUNTIFS('Leave log'!$A$7:$A$306,Employees!$A$19,'Leave log'!$B$7:$B$306,"&lt;="&amp;DATE($B$3,1,13),'Leave log'!$C$7:$C$306,"&gt;="&amp;DATE($B$3,1,13),'Leave log'!$F$7:$F$306,"Approved")&gt;0,"A",""))="A","A",IF(OR(DATE($B$3,1,13)&gt;EOMONTH(DATE($B$3,1,1),0),NETWORKDAYS.INTL(DATE($B$3,1,13),DATE($B$3,1,13),1,'Non-working days'!$A$6:$A$45)=0),"",IF(COUNTIFS('Leave log'!$A$7:$A$306,Employees!$A$19,'Leave log'!$B$7:$B$306,"&lt;="&amp;DATE($B$3,1,13),'Leave log'!$C$7:$C$306,"&gt;="&amp;DATE($B$3,1,13),'Leave log'!$F$7:$F$306,"Pending")&gt;0,"P",""))))</f>
        <v/>
      </c>
      <c r="O20" s="23" t="str">
        <f>IF(A20="","",IF(IF(OR(DATE($B$3,1,14)&gt;EOMONTH(DATE($B$3,1,1),0),NETWORKDAYS.INTL(DATE($B$3,1,14),DATE($B$3,1,14),1,'Non-working days'!$A$6:$A$45)=0),"",IF(COUNTIFS('Leave log'!$A$7:$A$306,Employees!$A$19,'Leave log'!$B$7:$B$306,"&lt;="&amp;DATE($B$3,1,14),'Leave log'!$C$7:$C$306,"&gt;="&amp;DATE($B$3,1,14),'Leave log'!$F$7:$F$306,"Approved")&gt;0,"A",""))="A","A",IF(OR(DATE($B$3,1,14)&gt;EOMONTH(DATE($B$3,1,1),0),NETWORKDAYS.INTL(DATE($B$3,1,14),DATE($B$3,1,14),1,'Non-working days'!$A$6:$A$45)=0),"",IF(COUNTIFS('Leave log'!$A$7:$A$306,Employees!$A$19,'Leave log'!$B$7:$B$306,"&lt;="&amp;DATE($B$3,1,14),'Leave log'!$C$7:$C$306,"&gt;="&amp;DATE($B$3,1,14),'Leave log'!$F$7:$F$306,"Pending")&gt;0,"P",""))))</f>
        <v/>
      </c>
      <c r="P20" s="23" t="str">
        <f>IF(A20="","",IF(IF(OR(DATE($B$3,1,15)&gt;EOMONTH(DATE($B$3,1,1),0),NETWORKDAYS.INTL(DATE($B$3,1,15),DATE($B$3,1,15),1,'Non-working days'!$A$6:$A$45)=0),"",IF(COUNTIFS('Leave log'!$A$7:$A$306,Employees!$A$19,'Leave log'!$B$7:$B$306,"&lt;="&amp;DATE($B$3,1,15),'Leave log'!$C$7:$C$306,"&gt;="&amp;DATE($B$3,1,15),'Leave log'!$F$7:$F$306,"Approved")&gt;0,"A",""))="A","A",IF(OR(DATE($B$3,1,15)&gt;EOMONTH(DATE($B$3,1,1),0),NETWORKDAYS.INTL(DATE($B$3,1,15),DATE($B$3,1,15),1,'Non-working days'!$A$6:$A$45)=0),"",IF(COUNTIFS('Leave log'!$A$7:$A$306,Employees!$A$19,'Leave log'!$B$7:$B$306,"&lt;="&amp;DATE($B$3,1,15),'Leave log'!$C$7:$C$306,"&gt;="&amp;DATE($B$3,1,15),'Leave log'!$F$7:$F$306,"Pending")&gt;0,"P",""))))</f>
        <v/>
      </c>
      <c r="Q20" s="23" t="str">
        <f>IF(A20="","",IF(IF(OR(DATE($B$3,1,16)&gt;EOMONTH(DATE($B$3,1,1),0),NETWORKDAYS.INTL(DATE($B$3,1,16),DATE($B$3,1,16),1,'Non-working days'!$A$6:$A$45)=0),"",IF(COUNTIFS('Leave log'!$A$7:$A$306,Employees!$A$19,'Leave log'!$B$7:$B$306,"&lt;="&amp;DATE($B$3,1,16),'Leave log'!$C$7:$C$306,"&gt;="&amp;DATE($B$3,1,16),'Leave log'!$F$7:$F$306,"Approved")&gt;0,"A",""))="A","A",IF(OR(DATE($B$3,1,16)&gt;EOMONTH(DATE($B$3,1,1),0),NETWORKDAYS.INTL(DATE($B$3,1,16),DATE($B$3,1,16),1,'Non-working days'!$A$6:$A$45)=0),"",IF(COUNTIFS('Leave log'!$A$7:$A$306,Employees!$A$19,'Leave log'!$B$7:$B$306,"&lt;="&amp;DATE($B$3,1,16),'Leave log'!$C$7:$C$306,"&gt;="&amp;DATE($B$3,1,16),'Leave log'!$F$7:$F$306,"Pending")&gt;0,"P",""))))</f>
        <v/>
      </c>
      <c r="R20" s="23" t="str">
        <f>IF(A20="","",IF(IF(OR(DATE($B$3,1,17)&gt;EOMONTH(DATE($B$3,1,1),0),NETWORKDAYS.INTL(DATE($B$3,1,17),DATE($B$3,1,17),1,'Non-working days'!$A$6:$A$45)=0),"",IF(COUNTIFS('Leave log'!$A$7:$A$306,Employees!$A$19,'Leave log'!$B$7:$B$306,"&lt;="&amp;DATE($B$3,1,17),'Leave log'!$C$7:$C$306,"&gt;="&amp;DATE($B$3,1,17),'Leave log'!$F$7:$F$306,"Approved")&gt;0,"A",""))="A","A",IF(OR(DATE($B$3,1,17)&gt;EOMONTH(DATE($B$3,1,1),0),NETWORKDAYS.INTL(DATE($B$3,1,17),DATE($B$3,1,17),1,'Non-working days'!$A$6:$A$45)=0),"",IF(COUNTIFS('Leave log'!$A$7:$A$306,Employees!$A$19,'Leave log'!$B$7:$B$306,"&lt;="&amp;DATE($B$3,1,17),'Leave log'!$C$7:$C$306,"&gt;="&amp;DATE($B$3,1,17),'Leave log'!$F$7:$F$306,"Pending")&gt;0,"P",""))))</f>
        <v/>
      </c>
      <c r="S20" s="23" t="str">
        <f>IF(A20="","",IF(IF(OR(DATE($B$3,1,18)&gt;EOMONTH(DATE($B$3,1,1),0),NETWORKDAYS.INTL(DATE($B$3,1,18),DATE($B$3,1,18),1,'Non-working days'!$A$6:$A$45)=0),"",IF(COUNTIFS('Leave log'!$A$7:$A$306,Employees!$A$19,'Leave log'!$B$7:$B$306,"&lt;="&amp;DATE($B$3,1,18),'Leave log'!$C$7:$C$306,"&gt;="&amp;DATE($B$3,1,18),'Leave log'!$F$7:$F$306,"Approved")&gt;0,"A",""))="A","A",IF(OR(DATE($B$3,1,18)&gt;EOMONTH(DATE($B$3,1,1),0),NETWORKDAYS.INTL(DATE($B$3,1,18),DATE($B$3,1,18),1,'Non-working days'!$A$6:$A$45)=0),"",IF(COUNTIFS('Leave log'!$A$7:$A$306,Employees!$A$19,'Leave log'!$B$7:$B$306,"&lt;="&amp;DATE($B$3,1,18),'Leave log'!$C$7:$C$306,"&gt;="&amp;DATE($B$3,1,18),'Leave log'!$F$7:$F$306,"Pending")&gt;0,"P",""))))</f>
        <v/>
      </c>
      <c r="T20" s="23" t="str">
        <f>IF(A20="","",IF(IF(OR(DATE($B$3,1,19)&gt;EOMONTH(DATE($B$3,1,1),0),NETWORKDAYS.INTL(DATE($B$3,1,19),DATE($B$3,1,19),1,'Non-working days'!$A$6:$A$45)=0),"",IF(COUNTIFS('Leave log'!$A$7:$A$306,Employees!$A$19,'Leave log'!$B$7:$B$306,"&lt;="&amp;DATE($B$3,1,19),'Leave log'!$C$7:$C$306,"&gt;="&amp;DATE($B$3,1,19),'Leave log'!$F$7:$F$306,"Approved")&gt;0,"A",""))="A","A",IF(OR(DATE($B$3,1,19)&gt;EOMONTH(DATE($B$3,1,1),0),NETWORKDAYS.INTL(DATE($B$3,1,19),DATE($B$3,1,19),1,'Non-working days'!$A$6:$A$45)=0),"",IF(COUNTIFS('Leave log'!$A$7:$A$306,Employees!$A$19,'Leave log'!$B$7:$B$306,"&lt;="&amp;DATE($B$3,1,19),'Leave log'!$C$7:$C$306,"&gt;="&amp;DATE($B$3,1,19),'Leave log'!$F$7:$F$306,"Pending")&gt;0,"P",""))))</f>
        <v/>
      </c>
      <c r="U20" s="23" t="str">
        <f>IF(A20="","",IF(IF(OR(DATE($B$3,1,20)&gt;EOMONTH(DATE($B$3,1,1),0),NETWORKDAYS.INTL(DATE($B$3,1,20),DATE($B$3,1,20),1,'Non-working days'!$A$6:$A$45)=0),"",IF(COUNTIFS('Leave log'!$A$7:$A$306,Employees!$A$19,'Leave log'!$B$7:$B$306,"&lt;="&amp;DATE($B$3,1,20),'Leave log'!$C$7:$C$306,"&gt;="&amp;DATE($B$3,1,20),'Leave log'!$F$7:$F$306,"Approved")&gt;0,"A",""))="A","A",IF(OR(DATE($B$3,1,20)&gt;EOMONTH(DATE($B$3,1,1),0),NETWORKDAYS.INTL(DATE($B$3,1,20),DATE($B$3,1,20),1,'Non-working days'!$A$6:$A$45)=0),"",IF(COUNTIFS('Leave log'!$A$7:$A$306,Employees!$A$19,'Leave log'!$B$7:$B$306,"&lt;="&amp;DATE($B$3,1,20),'Leave log'!$C$7:$C$306,"&gt;="&amp;DATE($B$3,1,20),'Leave log'!$F$7:$F$306,"Pending")&gt;0,"P",""))))</f>
        <v/>
      </c>
      <c r="V20" s="23" t="str">
        <f>IF(A20="","",IF(IF(OR(DATE($B$3,1,21)&gt;EOMONTH(DATE($B$3,1,1),0),NETWORKDAYS.INTL(DATE($B$3,1,21),DATE($B$3,1,21),1,'Non-working days'!$A$6:$A$45)=0),"",IF(COUNTIFS('Leave log'!$A$7:$A$306,Employees!$A$19,'Leave log'!$B$7:$B$306,"&lt;="&amp;DATE($B$3,1,21),'Leave log'!$C$7:$C$306,"&gt;="&amp;DATE($B$3,1,21),'Leave log'!$F$7:$F$306,"Approved")&gt;0,"A",""))="A","A",IF(OR(DATE($B$3,1,21)&gt;EOMONTH(DATE($B$3,1,1),0),NETWORKDAYS.INTL(DATE($B$3,1,21),DATE($B$3,1,21),1,'Non-working days'!$A$6:$A$45)=0),"",IF(COUNTIFS('Leave log'!$A$7:$A$306,Employees!$A$19,'Leave log'!$B$7:$B$306,"&lt;="&amp;DATE($B$3,1,21),'Leave log'!$C$7:$C$306,"&gt;="&amp;DATE($B$3,1,21),'Leave log'!$F$7:$F$306,"Pending")&gt;0,"P",""))))</f>
        <v/>
      </c>
      <c r="W20" s="23" t="str">
        <f>IF(A20="","",IF(IF(OR(DATE($B$3,1,22)&gt;EOMONTH(DATE($B$3,1,1),0),NETWORKDAYS.INTL(DATE($B$3,1,22),DATE($B$3,1,22),1,'Non-working days'!$A$6:$A$45)=0),"",IF(COUNTIFS('Leave log'!$A$7:$A$306,Employees!$A$19,'Leave log'!$B$7:$B$306,"&lt;="&amp;DATE($B$3,1,22),'Leave log'!$C$7:$C$306,"&gt;="&amp;DATE($B$3,1,22),'Leave log'!$F$7:$F$306,"Approved")&gt;0,"A",""))="A","A",IF(OR(DATE($B$3,1,22)&gt;EOMONTH(DATE($B$3,1,1),0),NETWORKDAYS.INTL(DATE($B$3,1,22),DATE($B$3,1,22),1,'Non-working days'!$A$6:$A$45)=0),"",IF(COUNTIFS('Leave log'!$A$7:$A$306,Employees!$A$19,'Leave log'!$B$7:$B$306,"&lt;="&amp;DATE($B$3,1,22),'Leave log'!$C$7:$C$306,"&gt;="&amp;DATE($B$3,1,22),'Leave log'!$F$7:$F$306,"Pending")&gt;0,"P",""))))</f>
        <v/>
      </c>
      <c r="X20" s="23" t="str">
        <f>IF(A20="","",IF(IF(OR(DATE($B$3,1,23)&gt;EOMONTH(DATE($B$3,1,1),0),NETWORKDAYS.INTL(DATE($B$3,1,23),DATE($B$3,1,23),1,'Non-working days'!$A$6:$A$45)=0),"",IF(COUNTIFS('Leave log'!$A$7:$A$306,Employees!$A$19,'Leave log'!$B$7:$B$306,"&lt;="&amp;DATE($B$3,1,23),'Leave log'!$C$7:$C$306,"&gt;="&amp;DATE($B$3,1,23),'Leave log'!$F$7:$F$306,"Approved")&gt;0,"A",""))="A","A",IF(OR(DATE($B$3,1,23)&gt;EOMONTH(DATE($B$3,1,1),0),NETWORKDAYS.INTL(DATE($B$3,1,23),DATE($B$3,1,23),1,'Non-working days'!$A$6:$A$45)=0),"",IF(COUNTIFS('Leave log'!$A$7:$A$306,Employees!$A$19,'Leave log'!$B$7:$B$306,"&lt;="&amp;DATE($B$3,1,23),'Leave log'!$C$7:$C$306,"&gt;="&amp;DATE($B$3,1,23),'Leave log'!$F$7:$F$306,"Pending")&gt;0,"P",""))))</f>
        <v/>
      </c>
      <c r="Y20" s="23" t="str">
        <f>IF(A20="","",IF(IF(OR(DATE($B$3,1,24)&gt;EOMONTH(DATE($B$3,1,1),0),NETWORKDAYS.INTL(DATE($B$3,1,24),DATE($B$3,1,24),1,'Non-working days'!$A$6:$A$45)=0),"",IF(COUNTIFS('Leave log'!$A$7:$A$306,Employees!$A$19,'Leave log'!$B$7:$B$306,"&lt;="&amp;DATE($B$3,1,24),'Leave log'!$C$7:$C$306,"&gt;="&amp;DATE($B$3,1,24),'Leave log'!$F$7:$F$306,"Approved")&gt;0,"A",""))="A","A",IF(OR(DATE($B$3,1,24)&gt;EOMONTH(DATE($B$3,1,1),0),NETWORKDAYS.INTL(DATE($B$3,1,24),DATE($B$3,1,24),1,'Non-working days'!$A$6:$A$45)=0),"",IF(COUNTIFS('Leave log'!$A$7:$A$306,Employees!$A$19,'Leave log'!$B$7:$B$306,"&lt;="&amp;DATE($B$3,1,24),'Leave log'!$C$7:$C$306,"&gt;="&amp;DATE($B$3,1,24),'Leave log'!$F$7:$F$306,"Pending")&gt;0,"P",""))))</f>
        <v/>
      </c>
      <c r="Z20" s="23" t="str">
        <f>IF(A20="","",IF(IF(OR(DATE($B$3,1,25)&gt;EOMONTH(DATE($B$3,1,1),0),NETWORKDAYS.INTL(DATE($B$3,1,25),DATE($B$3,1,25),1,'Non-working days'!$A$6:$A$45)=0),"",IF(COUNTIFS('Leave log'!$A$7:$A$306,Employees!$A$19,'Leave log'!$B$7:$B$306,"&lt;="&amp;DATE($B$3,1,25),'Leave log'!$C$7:$C$306,"&gt;="&amp;DATE($B$3,1,25),'Leave log'!$F$7:$F$306,"Approved")&gt;0,"A",""))="A","A",IF(OR(DATE($B$3,1,25)&gt;EOMONTH(DATE($B$3,1,1),0),NETWORKDAYS.INTL(DATE($B$3,1,25),DATE($B$3,1,25),1,'Non-working days'!$A$6:$A$45)=0),"",IF(COUNTIFS('Leave log'!$A$7:$A$306,Employees!$A$19,'Leave log'!$B$7:$B$306,"&lt;="&amp;DATE($B$3,1,25),'Leave log'!$C$7:$C$306,"&gt;="&amp;DATE($B$3,1,25),'Leave log'!$F$7:$F$306,"Pending")&gt;0,"P",""))))</f>
        <v/>
      </c>
      <c r="AA20" s="23" t="str">
        <f>IF(A20="","",IF(IF(OR(DATE($B$3,1,26)&gt;EOMONTH(DATE($B$3,1,1),0),NETWORKDAYS.INTL(DATE($B$3,1,26),DATE($B$3,1,26),1,'Non-working days'!$A$6:$A$45)=0),"",IF(COUNTIFS('Leave log'!$A$7:$A$306,Employees!$A$19,'Leave log'!$B$7:$B$306,"&lt;="&amp;DATE($B$3,1,26),'Leave log'!$C$7:$C$306,"&gt;="&amp;DATE($B$3,1,26),'Leave log'!$F$7:$F$306,"Approved")&gt;0,"A",""))="A","A",IF(OR(DATE($B$3,1,26)&gt;EOMONTH(DATE($B$3,1,1),0),NETWORKDAYS.INTL(DATE($B$3,1,26),DATE($B$3,1,26),1,'Non-working days'!$A$6:$A$45)=0),"",IF(COUNTIFS('Leave log'!$A$7:$A$306,Employees!$A$19,'Leave log'!$B$7:$B$306,"&lt;="&amp;DATE($B$3,1,26),'Leave log'!$C$7:$C$306,"&gt;="&amp;DATE($B$3,1,26),'Leave log'!$F$7:$F$306,"Pending")&gt;0,"P",""))))</f>
        <v/>
      </c>
      <c r="AB20" s="23" t="str">
        <f>IF(A20="","",IF(IF(OR(DATE($B$3,1,27)&gt;EOMONTH(DATE($B$3,1,1),0),NETWORKDAYS.INTL(DATE($B$3,1,27),DATE($B$3,1,27),1,'Non-working days'!$A$6:$A$45)=0),"",IF(COUNTIFS('Leave log'!$A$7:$A$306,Employees!$A$19,'Leave log'!$B$7:$B$306,"&lt;="&amp;DATE($B$3,1,27),'Leave log'!$C$7:$C$306,"&gt;="&amp;DATE($B$3,1,27),'Leave log'!$F$7:$F$306,"Approved")&gt;0,"A",""))="A","A",IF(OR(DATE($B$3,1,27)&gt;EOMONTH(DATE($B$3,1,1),0),NETWORKDAYS.INTL(DATE($B$3,1,27),DATE($B$3,1,27),1,'Non-working days'!$A$6:$A$45)=0),"",IF(COUNTIFS('Leave log'!$A$7:$A$306,Employees!$A$19,'Leave log'!$B$7:$B$306,"&lt;="&amp;DATE($B$3,1,27),'Leave log'!$C$7:$C$306,"&gt;="&amp;DATE($B$3,1,27),'Leave log'!$F$7:$F$306,"Pending")&gt;0,"P",""))))</f>
        <v/>
      </c>
      <c r="AC20" s="23" t="str">
        <f>IF(A20="","",IF(IF(OR(DATE($B$3,1,28)&gt;EOMONTH(DATE($B$3,1,1),0),NETWORKDAYS.INTL(DATE($B$3,1,28),DATE($B$3,1,28),1,'Non-working days'!$A$6:$A$45)=0),"",IF(COUNTIFS('Leave log'!$A$7:$A$306,Employees!$A$19,'Leave log'!$B$7:$B$306,"&lt;="&amp;DATE($B$3,1,28),'Leave log'!$C$7:$C$306,"&gt;="&amp;DATE($B$3,1,28),'Leave log'!$F$7:$F$306,"Approved")&gt;0,"A",""))="A","A",IF(OR(DATE($B$3,1,28)&gt;EOMONTH(DATE($B$3,1,1),0),NETWORKDAYS.INTL(DATE($B$3,1,28),DATE($B$3,1,28),1,'Non-working days'!$A$6:$A$45)=0),"",IF(COUNTIFS('Leave log'!$A$7:$A$306,Employees!$A$19,'Leave log'!$B$7:$B$306,"&lt;="&amp;DATE($B$3,1,28),'Leave log'!$C$7:$C$306,"&gt;="&amp;DATE($B$3,1,28),'Leave log'!$F$7:$F$306,"Pending")&gt;0,"P",""))))</f>
        <v/>
      </c>
      <c r="AD20" s="23" t="str">
        <f>IF(A20="","",IF(IF(OR(DATE($B$3,1,29)&gt;EOMONTH(DATE($B$3,1,1),0),NETWORKDAYS.INTL(DATE($B$3,1,29),DATE($B$3,1,29),1,'Non-working days'!$A$6:$A$45)=0),"",IF(COUNTIFS('Leave log'!$A$7:$A$306,Employees!$A$19,'Leave log'!$B$7:$B$306,"&lt;="&amp;DATE($B$3,1,29),'Leave log'!$C$7:$C$306,"&gt;="&amp;DATE($B$3,1,29),'Leave log'!$F$7:$F$306,"Approved")&gt;0,"A",""))="A","A",IF(OR(DATE($B$3,1,29)&gt;EOMONTH(DATE($B$3,1,1),0),NETWORKDAYS.INTL(DATE($B$3,1,29),DATE($B$3,1,29),1,'Non-working days'!$A$6:$A$45)=0),"",IF(COUNTIFS('Leave log'!$A$7:$A$306,Employees!$A$19,'Leave log'!$B$7:$B$306,"&lt;="&amp;DATE($B$3,1,29),'Leave log'!$C$7:$C$306,"&gt;="&amp;DATE($B$3,1,29),'Leave log'!$F$7:$F$306,"Pending")&gt;0,"P",""))))</f>
        <v/>
      </c>
      <c r="AE20" s="23" t="str">
        <f>IF(A20="","",IF(IF(OR(DATE($B$3,1,30)&gt;EOMONTH(DATE($B$3,1,1),0),NETWORKDAYS.INTL(DATE($B$3,1,30),DATE($B$3,1,30),1,'Non-working days'!$A$6:$A$45)=0),"",IF(COUNTIFS('Leave log'!$A$7:$A$306,Employees!$A$19,'Leave log'!$B$7:$B$306,"&lt;="&amp;DATE($B$3,1,30),'Leave log'!$C$7:$C$306,"&gt;="&amp;DATE($B$3,1,30),'Leave log'!$F$7:$F$306,"Approved")&gt;0,"A",""))="A","A",IF(OR(DATE($B$3,1,30)&gt;EOMONTH(DATE($B$3,1,1),0),NETWORKDAYS.INTL(DATE($B$3,1,30),DATE($B$3,1,30),1,'Non-working days'!$A$6:$A$45)=0),"",IF(COUNTIFS('Leave log'!$A$7:$A$306,Employees!$A$19,'Leave log'!$B$7:$B$306,"&lt;="&amp;DATE($B$3,1,30),'Leave log'!$C$7:$C$306,"&gt;="&amp;DATE($B$3,1,30),'Leave log'!$F$7:$F$306,"Pending")&gt;0,"P",""))))</f>
        <v/>
      </c>
      <c r="AF20" s="23" t="str">
        <f>IF(A20="","",IF(IF(OR(DATE($B$3,1,31)&gt;EOMONTH(DATE($B$3,1,1),0),NETWORKDAYS.INTL(DATE($B$3,1,31),DATE($B$3,1,31),1,'Non-working days'!$A$6:$A$45)=0),"",IF(COUNTIFS('Leave log'!$A$7:$A$306,Employees!$A$19,'Leave log'!$B$7:$B$306,"&lt;="&amp;DATE($B$3,1,31),'Leave log'!$C$7:$C$306,"&gt;="&amp;DATE($B$3,1,31),'Leave log'!$F$7:$F$306,"Approved")&gt;0,"A",""))="A","A",IF(OR(DATE($B$3,1,31)&gt;EOMONTH(DATE($B$3,1,1),0),NETWORKDAYS.INTL(DATE($B$3,1,31),DATE($B$3,1,31),1,'Non-working days'!$A$6:$A$45)=0),"",IF(COUNTIFS('Leave log'!$A$7:$A$306,Employees!$A$19,'Leave log'!$B$7:$B$306,"&lt;="&amp;DATE($B$3,1,31),'Leave log'!$C$7:$C$306,"&gt;="&amp;DATE($B$3,1,31),'Leave log'!$F$7:$F$306,"Pending")&gt;0,"P",""))))</f>
        <v/>
      </c>
    </row>
    <row r="21" spans="1:32" ht="18" customHeight="1" x14ac:dyDescent="0.3">
      <c r="A21" s="22" t="str">
        <f>IF(Employees!F20="Yes",Employees!B20,"")</f>
        <v/>
      </c>
      <c r="B21" s="23" t="str">
        <f>IF(A21="","",IF(IF(OR(DATE($B$3,1,1)&gt;EOMONTH(DATE($B$3,1,1),0),NETWORKDAYS.INTL(DATE($B$3,1,1),DATE($B$3,1,1),1,'Non-working days'!$A$6:$A$45)=0),"",IF(COUNTIFS('Leave log'!$A$7:$A$306,Employees!$A$20,'Leave log'!$B$7:$B$306,"&lt;="&amp;DATE($B$3,1,1),'Leave log'!$C$7:$C$306,"&gt;="&amp;DATE($B$3,1,1),'Leave log'!$F$7:$F$306,"Approved")&gt;0,"A",""))="A","A",IF(OR(DATE($B$3,1,1)&gt;EOMONTH(DATE($B$3,1,1),0),NETWORKDAYS.INTL(DATE($B$3,1,1),DATE($B$3,1,1),1,'Non-working days'!$A$6:$A$45)=0),"",IF(COUNTIFS('Leave log'!$A$7:$A$306,Employees!$A$20,'Leave log'!$B$7:$B$306,"&lt;="&amp;DATE($B$3,1,1),'Leave log'!$C$7:$C$306,"&gt;="&amp;DATE($B$3,1,1),'Leave log'!$F$7:$F$306,"Pending")&gt;0,"P",""))))</f>
        <v/>
      </c>
      <c r="C21" s="23" t="str">
        <f>IF(A21="","",IF(IF(OR(DATE($B$3,1,2)&gt;EOMONTH(DATE($B$3,1,1),0),NETWORKDAYS.INTL(DATE($B$3,1,2),DATE($B$3,1,2),1,'Non-working days'!$A$6:$A$45)=0),"",IF(COUNTIFS('Leave log'!$A$7:$A$306,Employees!$A$20,'Leave log'!$B$7:$B$306,"&lt;="&amp;DATE($B$3,1,2),'Leave log'!$C$7:$C$306,"&gt;="&amp;DATE($B$3,1,2),'Leave log'!$F$7:$F$306,"Approved")&gt;0,"A",""))="A","A",IF(OR(DATE($B$3,1,2)&gt;EOMONTH(DATE($B$3,1,1),0),NETWORKDAYS.INTL(DATE($B$3,1,2),DATE($B$3,1,2),1,'Non-working days'!$A$6:$A$45)=0),"",IF(COUNTIFS('Leave log'!$A$7:$A$306,Employees!$A$20,'Leave log'!$B$7:$B$306,"&lt;="&amp;DATE($B$3,1,2),'Leave log'!$C$7:$C$306,"&gt;="&amp;DATE($B$3,1,2),'Leave log'!$F$7:$F$306,"Pending")&gt;0,"P",""))))</f>
        <v/>
      </c>
      <c r="D21" s="23" t="str">
        <f>IF(A21="","",IF(IF(OR(DATE($B$3,1,3)&gt;EOMONTH(DATE($B$3,1,1),0),NETWORKDAYS.INTL(DATE($B$3,1,3),DATE($B$3,1,3),1,'Non-working days'!$A$6:$A$45)=0),"",IF(COUNTIFS('Leave log'!$A$7:$A$306,Employees!$A$20,'Leave log'!$B$7:$B$306,"&lt;="&amp;DATE($B$3,1,3),'Leave log'!$C$7:$C$306,"&gt;="&amp;DATE($B$3,1,3),'Leave log'!$F$7:$F$306,"Approved")&gt;0,"A",""))="A","A",IF(OR(DATE($B$3,1,3)&gt;EOMONTH(DATE($B$3,1,1),0),NETWORKDAYS.INTL(DATE($B$3,1,3),DATE($B$3,1,3),1,'Non-working days'!$A$6:$A$45)=0),"",IF(COUNTIFS('Leave log'!$A$7:$A$306,Employees!$A$20,'Leave log'!$B$7:$B$306,"&lt;="&amp;DATE($B$3,1,3),'Leave log'!$C$7:$C$306,"&gt;="&amp;DATE($B$3,1,3),'Leave log'!$F$7:$F$306,"Pending")&gt;0,"P",""))))</f>
        <v/>
      </c>
      <c r="E21" s="23" t="str">
        <f>IF(A21="","",IF(IF(OR(DATE($B$3,1,4)&gt;EOMONTH(DATE($B$3,1,1),0),NETWORKDAYS.INTL(DATE($B$3,1,4),DATE($B$3,1,4),1,'Non-working days'!$A$6:$A$45)=0),"",IF(COUNTIFS('Leave log'!$A$7:$A$306,Employees!$A$20,'Leave log'!$B$7:$B$306,"&lt;="&amp;DATE($B$3,1,4),'Leave log'!$C$7:$C$306,"&gt;="&amp;DATE($B$3,1,4),'Leave log'!$F$7:$F$306,"Approved")&gt;0,"A",""))="A","A",IF(OR(DATE($B$3,1,4)&gt;EOMONTH(DATE($B$3,1,1),0),NETWORKDAYS.INTL(DATE($B$3,1,4),DATE($B$3,1,4),1,'Non-working days'!$A$6:$A$45)=0),"",IF(COUNTIFS('Leave log'!$A$7:$A$306,Employees!$A$20,'Leave log'!$B$7:$B$306,"&lt;="&amp;DATE($B$3,1,4),'Leave log'!$C$7:$C$306,"&gt;="&amp;DATE($B$3,1,4),'Leave log'!$F$7:$F$306,"Pending")&gt;0,"P",""))))</f>
        <v/>
      </c>
      <c r="F21" s="23" t="str">
        <f>IF(A21="","",IF(IF(OR(DATE($B$3,1,5)&gt;EOMONTH(DATE($B$3,1,1),0),NETWORKDAYS.INTL(DATE($B$3,1,5),DATE($B$3,1,5),1,'Non-working days'!$A$6:$A$45)=0),"",IF(COUNTIFS('Leave log'!$A$7:$A$306,Employees!$A$20,'Leave log'!$B$7:$B$306,"&lt;="&amp;DATE($B$3,1,5),'Leave log'!$C$7:$C$306,"&gt;="&amp;DATE($B$3,1,5),'Leave log'!$F$7:$F$306,"Approved")&gt;0,"A",""))="A","A",IF(OR(DATE($B$3,1,5)&gt;EOMONTH(DATE($B$3,1,1),0),NETWORKDAYS.INTL(DATE($B$3,1,5),DATE($B$3,1,5),1,'Non-working days'!$A$6:$A$45)=0),"",IF(COUNTIFS('Leave log'!$A$7:$A$306,Employees!$A$20,'Leave log'!$B$7:$B$306,"&lt;="&amp;DATE($B$3,1,5),'Leave log'!$C$7:$C$306,"&gt;="&amp;DATE($B$3,1,5),'Leave log'!$F$7:$F$306,"Pending")&gt;0,"P",""))))</f>
        <v/>
      </c>
      <c r="G21" s="23" t="str">
        <f>IF(A21="","",IF(IF(OR(DATE($B$3,1,6)&gt;EOMONTH(DATE($B$3,1,1),0),NETWORKDAYS.INTL(DATE($B$3,1,6),DATE($B$3,1,6),1,'Non-working days'!$A$6:$A$45)=0),"",IF(COUNTIFS('Leave log'!$A$7:$A$306,Employees!$A$20,'Leave log'!$B$7:$B$306,"&lt;="&amp;DATE($B$3,1,6),'Leave log'!$C$7:$C$306,"&gt;="&amp;DATE($B$3,1,6),'Leave log'!$F$7:$F$306,"Approved")&gt;0,"A",""))="A","A",IF(OR(DATE($B$3,1,6)&gt;EOMONTH(DATE($B$3,1,1),0),NETWORKDAYS.INTL(DATE($B$3,1,6),DATE($B$3,1,6),1,'Non-working days'!$A$6:$A$45)=0),"",IF(COUNTIFS('Leave log'!$A$7:$A$306,Employees!$A$20,'Leave log'!$B$7:$B$306,"&lt;="&amp;DATE($B$3,1,6),'Leave log'!$C$7:$C$306,"&gt;="&amp;DATE($B$3,1,6),'Leave log'!$F$7:$F$306,"Pending")&gt;0,"P",""))))</f>
        <v/>
      </c>
      <c r="H21" s="23" t="str">
        <f>IF(A21="","",IF(IF(OR(DATE($B$3,1,7)&gt;EOMONTH(DATE($B$3,1,1),0),NETWORKDAYS.INTL(DATE($B$3,1,7),DATE($B$3,1,7),1,'Non-working days'!$A$6:$A$45)=0),"",IF(COUNTIFS('Leave log'!$A$7:$A$306,Employees!$A$20,'Leave log'!$B$7:$B$306,"&lt;="&amp;DATE($B$3,1,7),'Leave log'!$C$7:$C$306,"&gt;="&amp;DATE($B$3,1,7),'Leave log'!$F$7:$F$306,"Approved")&gt;0,"A",""))="A","A",IF(OR(DATE($B$3,1,7)&gt;EOMONTH(DATE($B$3,1,1),0),NETWORKDAYS.INTL(DATE($B$3,1,7),DATE($B$3,1,7),1,'Non-working days'!$A$6:$A$45)=0),"",IF(COUNTIFS('Leave log'!$A$7:$A$306,Employees!$A$20,'Leave log'!$B$7:$B$306,"&lt;="&amp;DATE($B$3,1,7),'Leave log'!$C$7:$C$306,"&gt;="&amp;DATE($B$3,1,7),'Leave log'!$F$7:$F$306,"Pending")&gt;0,"P",""))))</f>
        <v/>
      </c>
      <c r="I21" s="23" t="str">
        <f>IF(A21="","",IF(IF(OR(DATE($B$3,1,8)&gt;EOMONTH(DATE($B$3,1,1),0),NETWORKDAYS.INTL(DATE($B$3,1,8),DATE($B$3,1,8),1,'Non-working days'!$A$6:$A$45)=0),"",IF(COUNTIFS('Leave log'!$A$7:$A$306,Employees!$A$20,'Leave log'!$B$7:$B$306,"&lt;="&amp;DATE($B$3,1,8),'Leave log'!$C$7:$C$306,"&gt;="&amp;DATE($B$3,1,8),'Leave log'!$F$7:$F$306,"Approved")&gt;0,"A",""))="A","A",IF(OR(DATE($B$3,1,8)&gt;EOMONTH(DATE($B$3,1,1),0),NETWORKDAYS.INTL(DATE($B$3,1,8),DATE($B$3,1,8),1,'Non-working days'!$A$6:$A$45)=0),"",IF(COUNTIFS('Leave log'!$A$7:$A$306,Employees!$A$20,'Leave log'!$B$7:$B$306,"&lt;="&amp;DATE($B$3,1,8),'Leave log'!$C$7:$C$306,"&gt;="&amp;DATE($B$3,1,8),'Leave log'!$F$7:$F$306,"Pending")&gt;0,"P",""))))</f>
        <v/>
      </c>
      <c r="J21" s="23" t="str">
        <f>IF(A21="","",IF(IF(OR(DATE($B$3,1,9)&gt;EOMONTH(DATE($B$3,1,1),0),NETWORKDAYS.INTL(DATE($B$3,1,9),DATE($B$3,1,9),1,'Non-working days'!$A$6:$A$45)=0),"",IF(COUNTIFS('Leave log'!$A$7:$A$306,Employees!$A$20,'Leave log'!$B$7:$B$306,"&lt;="&amp;DATE($B$3,1,9),'Leave log'!$C$7:$C$306,"&gt;="&amp;DATE($B$3,1,9),'Leave log'!$F$7:$F$306,"Approved")&gt;0,"A",""))="A","A",IF(OR(DATE($B$3,1,9)&gt;EOMONTH(DATE($B$3,1,1),0),NETWORKDAYS.INTL(DATE($B$3,1,9),DATE($B$3,1,9),1,'Non-working days'!$A$6:$A$45)=0),"",IF(COUNTIFS('Leave log'!$A$7:$A$306,Employees!$A$20,'Leave log'!$B$7:$B$306,"&lt;="&amp;DATE($B$3,1,9),'Leave log'!$C$7:$C$306,"&gt;="&amp;DATE($B$3,1,9),'Leave log'!$F$7:$F$306,"Pending")&gt;0,"P",""))))</f>
        <v/>
      </c>
      <c r="K21" s="23" t="str">
        <f>IF(A21="","",IF(IF(OR(DATE($B$3,1,10)&gt;EOMONTH(DATE($B$3,1,1),0),NETWORKDAYS.INTL(DATE($B$3,1,10),DATE($B$3,1,10),1,'Non-working days'!$A$6:$A$45)=0),"",IF(COUNTIFS('Leave log'!$A$7:$A$306,Employees!$A$20,'Leave log'!$B$7:$B$306,"&lt;="&amp;DATE($B$3,1,10),'Leave log'!$C$7:$C$306,"&gt;="&amp;DATE($B$3,1,10),'Leave log'!$F$7:$F$306,"Approved")&gt;0,"A",""))="A","A",IF(OR(DATE($B$3,1,10)&gt;EOMONTH(DATE($B$3,1,1),0),NETWORKDAYS.INTL(DATE($B$3,1,10),DATE($B$3,1,10),1,'Non-working days'!$A$6:$A$45)=0),"",IF(COUNTIFS('Leave log'!$A$7:$A$306,Employees!$A$20,'Leave log'!$B$7:$B$306,"&lt;="&amp;DATE($B$3,1,10),'Leave log'!$C$7:$C$306,"&gt;="&amp;DATE($B$3,1,10),'Leave log'!$F$7:$F$306,"Pending")&gt;0,"P",""))))</f>
        <v/>
      </c>
      <c r="L21" s="23" t="str">
        <f>IF(A21="","",IF(IF(OR(DATE($B$3,1,11)&gt;EOMONTH(DATE($B$3,1,1),0),NETWORKDAYS.INTL(DATE($B$3,1,11),DATE($B$3,1,11),1,'Non-working days'!$A$6:$A$45)=0),"",IF(COUNTIFS('Leave log'!$A$7:$A$306,Employees!$A$20,'Leave log'!$B$7:$B$306,"&lt;="&amp;DATE($B$3,1,11),'Leave log'!$C$7:$C$306,"&gt;="&amp;DATE($B$3,1,11),'Leave log'!$F$7:$F$306,"Approved")&gt;0,"A",""))="A","A",IF(OR(DATE($B$3,1,11)&gt;EOMONTH(DATE($B$3,1,1),0),NETWORKDAYS.INTL(DATE($B$3,1,11),DATE($B$3,1,11),1,'Non-working days'!$A$6:$A$45)=0),"",IF(COUNTIFS('Leave log'!$A$7:$A$306,Employees!$A$20,'Leave log'!$B$7:$B$306,"&lt;="&amp;DATE($B$3,1,11),'Leave log'!$C$7:$C$306,"&gt;="&amp;DATE($B$3,1,11),'Leave log'!$F$7:$F$306,"Pending")&gt;0,"P",""))))</f>
        <v/>
      </c>
      <c r="M21" s="23" t="str">
        <f>IF(A21="","",IF(IF(OR(DATE($B$3,1,12)&gt;EOMONTH(DATE($B$3,1,1),0),NETWORKDAYS.INTL(DATE($B$3,1,12),DATE($B$3,1,12),1,'Non-working days'!$A$6:$A$45)=0),"",IF(COUNTIFS('Leave log'!$A$7:$A$306,Employees!$A$20,'Leave log'!$B$7:$B$306,"&lt;="&amp;DATE($B$3,1,12),'Leave log'!$C$7:$C$306,"&gt;="&amp;DATE($B$3,1,12),'Leave log'!$F$7:$F$306,"Approved")&gt;0,"A",""))="A","A",IF(OR(DATE($B$3,1,12)&gt;EOMONTH(DATE($B$3,1,1),0),NETWORKDAYS.INTL(DATE($B$3,1,12),DATE($B$3,1,12),1,'Non-working days'!$A$6:$A$45)=0),"",IF(COUNTIFS('Leave log'!$A$7:$A$306,Employees!$A$20,'Leave log'!$B$7:$B$306,"&lt;="&amp;DATE($B$3,1,12),'Leave log'!$C$7:$C$306,"&gt;="&amp;DATE($B$3,1,12),'Leave log'!$F$7:$F$306,"Pending")&gt;0,"P",""))))</f>
        <v/>
      </c>
      <c r="N21" s="23" t="str">
        <f>IF(A21="","",IF(IF(OR(DATE($B$3,1,13)&gt;EOMONTH(DATE($B$3,1,1),0),NETWORKDAYS.INTL(DATE($B$3,1,13),DATE($B$3,1,13),1,'Non-working days'!$A$6:$A$45)=0),"",IF(COUNTIFS('Leave log'!$A$7:$A$306,Employees!$A$20,'Leave log'!$B$7:$B$306,"&lt;="&amp;DATE($B$3,1,13),'Leave log'!$C$7:$C$306,"&gt;="&amp;DATE($B$3,1,13),'Leave log'!$F$7:$F$306,"Approved")&gt;0,"A",""))="A","A",IF(OR(DATE($B$3,1,13)&gt;EOMONTH(DATE($B$3,1,1),0),NETWORKDAYS.INTL(DATE($B$3,1,13),DATE($B$3,1,13),1,'Non-working days'!$A$6:$A$45)=0),"",IF(COUNTIFS('Leave log'!$A$7:$A$306,Employees!$A$20,'Leave log'!$B$7:$B$306,"&lt;="&amp;DATE($B$3,1,13),'Leave log'!$C$7:$C$306,"&gt;="&amp;DATE($B$3,1,13),'Leave log'!$F$7:$F$306,"Pending")&gt;0,"P",""))))</f>
        <v/>
      </c>
      <c r="O21" s="23" t="str">
        <f>IF(A21="","",IF(IF(OR(DATE($B$3,1,14)&gt;EOMONTH(DATE($B$3,1,1),0),NETWORKDAYS.INTL(DATE($B$3,1,14),DATE($B$3,1,14),1,'Non-working days'!$A$6:$A$45)=0),"",IF(COUNTIFS('Leave log'!$A$7:$A$306,Employees!$A$20,'Leave log'!$B$7:$B$306,"&lt;="&amp;DATE($B$3,1,14),'Leave log'!$C$7:$C$306,"&gt;="&amp;DATE($B$3,1,14),'Leave log'!$F$7:$F$306,"Approved")&gt;0,"A",""))="A","A",IF(OR(DATE($B$3,1,14)&gt;EOMONTH(DATE($B$3,1,1),0),NETWORKDAYS.INTL(DATE($B$3,1,14),DATE($B$3,1,14),1,'Non-working days'!$A$6:$A$45)=0),"",IF(COUNTIFS('Leave log'!$A$7:$A$306,Employees!$A$20,'Leave log'!$B$7:$B$306,"&lt;="&amp;DATE($B$3,1,14),'Leave log'!$C$7:$C$306,"&gt;="&amp;DATE($B$3,1,14),'Leave log'!$F$7:$F$306,"Pending")&gt;0,"P",""))))</f>
        <v/>
      </c>
      <c r="P21" s="23" t="str">
        <f>IF(A21="","",IF(IF(OR(DATE($B$3,1,15)&gt;EOMONTH(DATE($B$3,1,1),0),NETWORKDAYS.INTL(DATE($B$3,1,15),DATE($B$3,1,15),1,'Non-working days'!$A$6:$A$45)=0),"",IF(COUNTIFS('Leave log'!$A$7:$A$306,Employees!$A$20,'Leave log'!$B$7:$B$306,"&lt;="&amp;DATE($B$3,1,15),'Leave log'!$C$7:$C$306,"&gt;="&amp;DATE($B$3,1,15),'Leave log'!$F$7:$F$306,"Approved")&gt;0,"A",""))="A","A",IF(OR(DATE($B$3,1,15)&gt;EOMONTH(DATE($B$3,1,1),0),NETWORKDAYS.INTL(DATE($B$3,1,15),DATE($B$3,1,15),1,'Non-working days'!$A$6:$A$45)=0),"",IF(COUNTIFS('Leave log'!$A$7:$A$306,Employees!$A$20,'Leave log'!$B$7:$B$306,"&lt;="&amp;DATE($B$3,1,15),'Leave log'!$C$7:$C$306,"&gt;="&amp;DATE($B$3,1,15),'Leave log'!$F$7:$F$306,"Pending")&gt;0,"P",""))))</f>
        <v/>
      </c>
      <c r="Q21" s="23" t="str">
        <f>IF(A21="","",IF(IF(OR(DATE($B$3,1,16)&gt;EOMONTH(DATE($B$3,1,1),0),NETWORKDAYS.INTL(DATE($B$3,1,16),DATE($B$3,1,16),1,'Non-working days'!$A$6:$A$45)=0),"",IF(COUNTIFS('Leave log'!$A$7:$A$306,Employees!$A$20,'Leave log'!$B$7:$B$306,"&lt;="&amp;DATE($B$3,1,16),'Leave log'!$C$7:$C$306,"&gt;="&amp;DATE($B$3,1,16),'Leave log'!$F$7:$F$306,"Approved")&gt;0,"A",""))="A","A",IF(OR(DATE($B$3,1,16)&gt;EOMONTH(DATE($B$3,1,1),0),NETWORKDAYS.INTL(DATE($B$3,1,16),DATE($B$3,1,16),1,'Non-working days'!$A$6:$A$45)=0),"",IF(COUNTIFS('Leave log'!$A$7:$A$306,Employees!$A$20,'Leave log'!$B$7:$B$306,"&lt;="&amp;DATE($B$3,1,16),'Leave log'!$C$7:$C$306,"&gt;="&amp;DATE($B$3,1,16),'Leave log'!$F$7:$F$306,"Pending")&gt;0,"P",""))))</f>
        <v/>
      </c>
      <c r="R21" s="23" t="str">
        <f>IF(A21="","",IF(IF(OR(DATE($B$3,1,17)&gt;EOMONTH(DATE($B$3,1,1),0),NETWORKDAYS.INTL(DATE($B$3,1,17),DATE($B$3,1,17),1,'Non-working days'!$A$6:$A$45)=0),"",IF(COUNTIFS('Leave log'!$A$7:$A$306,Employees!$A$20,'Leave log'!$B$7:$B$306,"&lt;="&amp;DATE($B$3,1,17),'Leave log'!$C$7:$C$306,"&gt;="&amp;DATE($B$3,1,17),'Leave log'!$F$7:$F$306,"Approved")&gt;0,"A",""))="A","A",IF(OR(DATE($B$3,1,17)&gt;EOMONTH(DATE($B$3,1,1),0),NETWORKDAYS.INTL(DATE($B$3,1,17),DATE($B$3,1,17),1,'Non-working days'!$A$6:$A$45)=0),"",IF(COUNTIFS('Leave log'!$A$7:$A$306,Employees!$A$20,'Leave log'!$B$7:$B$306,"&lt;="&amp;DATE($B$3,1,17),'Leave log'!$C$7:$C$306,"&gt;="&amp;DATE($B$3,1,17),'Leave log'!$F$7:$F$306,"Pending")&gt;0,"P",""))))</f>
        <v/>
      </c>
      <c r="S21" s="23" t="str">
        <f>IF(A21="","",IF(IF(OR(DATE($B$3,1,18)&gt;EOMONTH(DATE($B$3,1,1),0),NETWORKDAYS.INTL(DATE($B$3,1,18),DATE($B$3,1,18),1,'Non-working days'!$A$6:$A$45)=0),"",IF(COUNTIFS('Leave log'!$A$7:$A$306,Employees!$A$20,'Leave log'!$B$7:$B$306,"&lt;="&amp;DATE($B$3,1,18),'Leave log'!$C$7:$C$306,"&gt;="&amp;DATE($B$3,1,18),'Leave log'!$F$7:$F$306,"Approved")&gt;0,"A",""))="A","A",IF(OR(DATE($B$3,1,18)&gt;EOMONTH(DATE($B$3,1,1),0),NETWORKDAYS.INTL(DATE($B$3,1,18),DATE($B$3,1,18),1,'Non-working days'!$A$6:$A$45)=0),"",IF(COUNTIFS('Leave log'!$A$7:$A$306,Employees!$A$20,'Leave log'!$B$7:$B$306,"&lt;="&amp;DATE($B$3,1,18),'Leave log'!$C$7:$C$306,"&gt;="&amp;DATE($B$3,1,18),'Leave log'!$F$7:$F$306,"Pending")&gt;0,"P",""))))</f>
        <v/>
      </c>
      <c r="T21" s="23" t="str">
        <f>IF(A21="","",IF(IF(OR(DATE($B$3,1,19)&gt;EOMONTH(DATE($B$3,1,1),0),NETWORKDAYS.INTL(DATE($B$3,1,19),DATE($B$3,1,19),1,'Non-working days'!$A$6:$A$45)=0),"",IF(COUNTIFS('Leave log'!$A$7:$A$306,Employees!$A$20,'Leave log'!$B$7:$B$306,"&lt;="&amp;DATE($B$3,1,19),'Leave log'!$C$7:$C$306,"&gt;="&amp;DATE($B$3,1,19),'Leave log'!$F$7:$F$306,"Approved")&gt;0,"A",""))="A","A",IF(OR(DATE($B$3,1,19)&gt;EOMONTH(DATE($B$3,1,1),0),NETWORKDAYS.INTL(DATE($B$3,1,19),DATE($B$3,1,19),1,'Non-working days'!$A$6:$A$45)=0),"",IF(COUNTIFS('Leave log'!$A$7:$A$306,Employees!$A$20,'Leave log'!$B$7:$B$306,"&lt;="&amp;DATE($B$3,1,19),'Leave log'!$C$7:$C$306,"&gt;="&amp;DATE($B$3,1,19),'Leave log'!$F$7:$F$306,"Pending")&gt;0,"P",""))))</f>
        <v/>
      </c>
      <c r="U21" s="23" t="str">
        <f>IF(A21="","",IF(IF(OR(DATE($B$3,1,20)&gt;EOMONTH(DATE($B$3,1,1),0),NETWORKDAYS.INTL(DATE($B$3,1,20),DATE($B$3,1,20),1,'Non-working days'!$A$6:$A$45)=0),"",IF(COUNTIFS('Leave log'!$A$7:$A$306,Employees!$A$20,'Leave log'!$B$7:$B$306,"&lt;="&amp;DATE($B$3,1,20),'Leave log'!$C$7:$C$306,"&gt;="&amp;DATE($B$3,1,20),'Leave log'!$F$7:$F$306,"Approved")&gt;0,"A",""))="A","A",IF(OR(DATE($B$3,1,20)&gt;EOMONTH(DATE($B$3,1,1),0),NETWORKDAYS.INTL(DATE($B$3,1,20),DATE($B$3,1,20),1,'Non-working days'!$A$6:$A$45)=0),"",IF(COUNTIFS('Leave log'!$A$7:$A$306,Employees!$A$20,'Leave log'!$B$7:$B$306,"&lt;="&amp;DATE($B$3,1,20),'Leave log'!$C$7:$C$306,"&gt;="&amp;DATE($B$3,1,20),'Leave log'!$F$7:$F$306,"Pending")&gt;0,"P",""))))</f>
        <v/>
      </c>
      <c r="V21" s="23" t="str">
        <f>IF(A21="","",IF(IF(OR(DATE($B$3,1,21)&gt;EOMONTH(DATE($B$3,1,1),0),NETWORKDAYS.INTL(DATE($B$3,1,21),DATE($B$3,1,21),1,'Non-working days'!$A$6:$A$45)=0),"",IF(COUNTIFS('Leave log'!$A$7:$A$306,Employees!$A$20,'Leave log'!$B$7:$B$306,"&lt;="&amp;DATE($B$3,1,21),'Leave log'!$C$7:$C$306,"&gt;="&amp;DATE($B$3,1,21),'Leave log'!$F$7:$F$306,"Approved")&gt;0,"A",""))="A","A",IF(OR(DATE($B$3,1,21)&gt;EOMONTH(DATE($B$3,1,1),0),NETWORKDAYS.INTL(DATE($B$3,1,21),DATE($B$3,1,21),1,'Non-working days'!$A$6:$A$45)=0),"",IF(COUNTIFS('Leave log'!$A$7:$A$306,Employees!$A$20,'Leave log'!$B$7:$B$306,"&lt;="&amp;DATE($B$3,1,21),'Leave log'!$C$7:$C$306,"&gt;="&amp;DATE($B$3,1,21),'Leave log'!$F$7:$F$306,"Pending")&gt;0,"P",""))))</f>
        <v/>
      </c>
      <c r="W21" s="23" t="str">
        <f>IF(A21="","",IF(IF(OR(DATE($B$3,1,22)&gt;EOMONTH(DATE($B$3,1,1),0),NETWORKDAYS.INTL(DATE($B$3,1,22),DATE($B$3,1,22),1,'Non-working days'!$A$6:$A$45)=0),"",IF(COUNTIFS('Leave log'!$A$7:$A$306,Employees!$A$20,'Leave log'!$B$7:$B$306,"&lt;="&amp;DATE($B$3,1,22),'Leave log'!$C$7:$C$306,"&gt;="&amp;DATE($B$3,1,22),'Leave log'!$F$7:$F$306,"Approved")&gt;0,"A",""))="A","A",IF(OR(DATE($B$3,1,22)&gt;EOMONTH(DATE($B$3,1,1),0),NETWORKDAYS.INTL(DATE($B$3,1,22),DATE($B$3,1,22),1,'Non-working days'!$A$6:$A$45)=0),"",IF(COUNTIFS('Leave log'!$A$7:$A$306,Employees!$A$20,'Leave log'!$B$7:$B$306,"&lt;="&amp;DATE($B$3,1,22),'Leave log'!$C$7:$C$306,"&gt;="&amp;DATE($B$3,1,22),'Leave log'!$F$7:$F$306,"Pending")&gt;0,"P",""))))</f>
        <v/>
      </c>
      <c r="X21" s="23" t="str">
        <f>IF(A21="","",IF(IF(OR(DATE($B$3,1,23)&gt;EOMONTH(DATE($B$3,1,1),0),NETWORKDAYS.INTL(DATE($B$3,1,23),DATE($B$3,1,23),1,'Non-working days'!$A$6:$A$45)=0),"",IF(COUNTIFS('Leave log'!$A$7:$A$306,Employees!$A$20,'Leave log'!$B$7:$B$306,"&lt;="&amp;DATE($B$3,1,23),'Leave log'!$C$7:$C$306,"&gt;="&amp;DATE($B$3,1,23),'Leave log'!$F$7:$F$306,"Approved")&gt;0,"A",""))="A","A",IF(OR(DATE($B$3,1,23)&gt;EOMONTH(DATE($B$3,1,1),0),NETWORKDAYS.INTL(DATE($B$3,1,23),DATE($B$3,1,23),1,'Non-working days'!$A$6:$A$45)=0),"",IF(COUNTIFS('Leave log'!$A$7:$A$306,Employees!$A$20,'Leave log'!$B$7:$B$306,"&lt;="&amp;DATE($B$3,1,23),'Leave log'!$C$7:$C$306,"&gt;="&amp;DATE($B$3,1,23),'Leave log'!$F$7:$F$306,"Pending")&gt;0,"P",""))))</f>
        <v/>
      </c>
      <c r="Y21" s="23" t="str">
        <f>IF(A21="","",IF(IF(OR(DATE($B$3,1,24)&gt;EOMONTH(DATE($B$3,1,1),0),NETWORKDAYS.INTL(DATE($B$3,1,24),DATE($B$3,1,24),1,'Non-working days'!$A$6:$A$45)=0),"",IF(COUNTIFS('Leave log'!$A$7:$A$306,Employees!$A$20,'Leave log'!$B$7:$B$306,"&lt;="&amp;DATE($B$3,1,24),'Leave log'!$C$7:$C$306,"&gt;="&amp;DATE($B$3,1,24),'Leave log'!$F$7:$F$306,"Approved")&gt;0,"A",""))="A","A",IF(OR(DATE($B$3,1,24)&gt;EOMONTH(DATE($B$3,1,1),0),NETWORKDAYS.INTL(DATE($B$3,1,24),DATE($B$3,1,24),1,'Non-working days'!$A$6:$A$45)=0),"",IF(COUNTIFS('Leave log'!$A$7:$A$306,Employees!$A$20,'Leave log'!$B$7:$B$306,"&lt;="&amp;DATE($B$3,1,24),'Leave log'!$C$7:$C$306,"&gt;="&amp;DATE($B$3,1,24),'Leave log'!$F$7:$F$306,"Pending")&gt;0,"P",""))))</f>
        <v/>
      </c>
      <c r="Z21" s="23" t="str">
        <f>IF(A21="","",IF(IF(OR(DATE($B$3,1,25)&gt;EOMONTH(DATE($B$3,1,1),0),NETWORKDAYS.INTL(DATE($B$3,1,25),DATE($B$3,1,25),1,'Non-working days'!$A$6:$A$45)=0),"",IF(COUNTIFS('Leave log'!$A$7:$A$306,Employees!$A$20,'Leave log'!$B$7:$B$306,"&lt;="&amp;DATE($B$3,1,25),'Leave log'!$C$7:$C$306,"&gt;="&amp;DATE($B$3,1,25),'Leave log'!$F$7:$F$306,"Approved")&gt;0,"A",""))="A","A",IF(OR(DATE($B$3,1,25)&gt;EOMONTH(DATE($B$3,1,1),0),NETWORKDAYS.INTL(DATE($B$3,1,25),DATE($B$3,1,25),1,'Non-working days'!$A$6:$A$45)=0),"",IF(COUNTIFS('Leave log'!$A$7:$A$306,Employees!$A$20,'Leave log'!$B$7:$B$306,"&lt;="&amp;DATE($B$3,1,25),'Leave log'!$C$7:$C$306,"&gt;="&amp;DATE($B$3,1,25),'Leave log'!$F$7:$F$306,"Pending")&gt;0,"P",""))))</f>
        <v/>
      </c>
      <c r="AA21" s="23" t="str">
        <f>IF(A21="","",IF(IF(OR(DATE($B$3,1,26)&gt;EOMONTH(DATE($B$3,1,1),0),NETWORKDAYS.INTL(DATE($B$3,1,26),DATE($B$3,1,26),1,'Non-working days'!$A$6:$A$45)=0),"",IF(COUNTIFS('Leave log'!$A$7:$A$306,Employees!$A$20,'Leave log'!$B$7:$B$306,"&lt;="&amp;DATE($B$3,1,26),'Leave log'!$C$7:$C$306,"&gt;="&amp;DATE($B$3,1,26),'Leave log'!$F$7:$F$306,"Approved")&gt;0,"A",""))="A","A",IF(OR(DATE($B$3,1,26)&gt;EOMONTH(DATE($B$3,1,1),0),NETWORKDAYS.INTL(DATE($B$3,1,26),DATE($B$3,1,26),1,'Non-working days'!$A$6:$A$45)=0),"",IF(COUNTIFS('Leave log'!$A$7:$A$306,Employees!$A$20,'Leave log'!$B$7:$B$306,"&lt;="&amp;DATE($B$3,1,26),'Leave log'!$C$7:$C$306,"&gt;="&amp;DATE($B$3,1,26),'Leave log'!$F$7:$F$306,"Pending")&gt;0,"P",""))))</f>
        <v/>
      </c>
      <c r="AB21" s="23" t="str">
        <f>IF(A21="","",IF(IF(OR(DATE($B$3,1,27)&gt;EOMONTH(DATE($B$3,1,1),0),NETWORKDAYS.INTL(DATE($B$3,1,27),DATE($B$3,1,27),1,'Non-working days'!$A$6:$A$45)=0),"",IF(COUNTIFS('Leave log'!$A$7:$A$306,Employees!$A$20,'Leave log'!$B$7:$B$306,"&lt;="&amp;DATE($B$3,1,27),'Leave log'!$C$7:$C$306,"&gt;="&amp;DATE($B$3,1,27),'Leave log'!$F$7:$F$306,"Approved")&gt;0,"A",""))="A","A",IF(OR(DATE($B$3,1,27)&gt;EOMONTH(DATE($B$3,1,1),0),NETWORKDAYS.INTL(DATE($B$3,1,27),DATE($B$3,1,27),1,'Non-working days'!$A$6:$A$45)=0),"",IF(COUNTIFS('Leave log'!$A$7:$A$306,Employees!$A$20,'Leave log'!$B$7:$B$306,"&lt;="&amp;DATE($B$3,1,27),'Leave log'!$C$7:$C$306,"&gt;="&amp;DATE($B$3,1,27),'Leave log'!$F$7:$F$306,"Pending")&gt;0,"P",""))))</f>
        <v/>
      </c>
      <c r="AC21" s="23" t="str">
        <f>IF(A21="","",IF(IF(OR(DATE($B$3,1,28)&gt;EOMONTH(DATE($B$3,1,1),0),NETWORKDAYS.INTL(DATE($B$3,1,28),DATE($B$3,1,28),1,'Non-working days'!$A$6:$A$45)=0),"",IF(COUNTIFS('Leave log'!$A$7:$A$306,Employees!$A$20,'Leave log'!$B$7:$B$306,"&lt;="&amp;DATE($B$3,1,28),'Leave log'!$C$7:$C$306,"&gt;="&amp;DATE($B$3,1,28),'Leave log'!$F$7:$F$306,"Approved")&gt;0,"A",""))="A","A",IF(OR(DATE($B$3,1,28)&gt;EOMONTH(DATE($B$3,1,1),0),NETWORKDAYS.INTL(DATE($B$3,1,28),DATE($B$3,1,28),1,'Non-working days'!$A$6:$A$45)=0),"",IF(COUNTIFS('Leave log'!$A$7:$A$306,Employees!$A$20,'Leave log'!$B$7:$B$306,"&lt;="&amp;DATE($B$3,1,28),'Leave log'!$C$7:$C$306,"&gt;="&amp;DATE($B$3,1,28),'Leave log'!$F$7:$F$306,"Pending")&gt;0,"P",""))))</f>
        <v/>
      </c>
      <c r="AD21" s="23" t="str">
        <f>IF(A21="","",IF(IF(OR(DATE($B$3,1,29)&gt;EOMONTH(DATE($B$3,1,1),0),NETWORKDAYS.INTL(DATE($B$3,1,29),DATE($B$3,1,29),1,'Non-working days'!$A$6:$A$45)=0),"",IF(COUNTIFS('Leave log'!$A$7:$A$306,Employees!$A$20,'Leave log'!$B$7:$B$306,"&lt;="&amp;DATE($B$3,1,29),'Leave log'!$C$7:$C$306,"&gt;="&amp;DATE($B$3,1,29),'Leave log'!$F$7:$F$306,"Approved")&gt;0,"A",""))="A","A",IF(OR(DATE($B$3,1,29)&gt;EOMONTH(DATE($B$3,1,1),0),NETWORKDAYS.INTL(DATE($B$3,1,29),DATE($B$3,1,29),1,'Non-working days'!$A$6:$A$45)=0),"",IF(COUNTIFS('Leave log'!$A$7:$A$306,Employees!$A$20,'Leave log'!$B$7:$B$306,"&lt;="&amp;DATE($B$3,1,29),'Leave log'!$C$7:$C$306,"&gt;="&amp;DATE($B$3,1,29),'Leave log'!$F$7:$F$306,"Pending")&gt;0,"P",""))))</f>
        <v/>
      </c>
      <c r="AE21" s="23" t="str">
        <f>IF(A21="","",IF(IF(OR(DATE($B$3,1,30)&gt;EOMONTH(DATE($B$3,1,1),0),NETWORKDAYS.INTL(DATE($B$3,1,30),DATE($B$3,1,30),1,'Non-working days'!$A$6:$A$45)=0),"",IF(COUNTIFS('Leave log'!$A$7:$A$306,Employees!$A$20,'Leave log'!$B$7:$B$306,"&lt;="&amp;DATE($B$3,1,30),'Leave log'!$C$7:$C$306,"&gt;="&amp;DATE($B$3,1,30),'Leave log'!$F$7:$F$306,"Approved")&gt;0,"A",""))="A","A",IF(OR(DATE($B$3,1,30)&gt;EOMONTH(DATE($B$3,1,1),0),NETWORKDAYS.INTL(DATE($B$3,1,30),DATE($B$3,1,30),1,'Non-working days'!$A$6:$A$45)=0),"",IF(COUNTIFS('Leave log'!$A$7:$A$306,Employees!$A$20,'Leave log'!$B$7:$B$306,"&lt;="&amp;DATE($B$3,1,30),'Leave log'!$C$7:$C$306,"&gt;="&amp;DATE($B$3,1,30),'Leave log'!$F$7:$F$306,"Pending")&gt;0,"P",""))))</f>
        <v/>
      </c>
      <c r="AF21" s="23" t="str">
        <f>IF(A21="","",IF(IF(OR(DATE($B$3,1,31)&gt;EOMONTH(DATE($B$3,1,1),0),NETWORKDAYS.INTL(DATE($B$3,1,31),DATE($B$3,1,31),1,'Non-working days'!$A$6:$A$45)=0),"",IF(COUNTIFS('Leave log'!$A$7:$A$306,Employees!$A$20,'Leave log'!$B$7:$B$306,"&lt;="&amp;DATE($B$3,1,31),'Leave log'!$C$7:$C$306,"&gt;="&amp;DATE($B$3,1,31),'Leave log'!$F$7:$F$306,"Approved")&gt;0,"A",""))="A","A",IF(OR(DATE($B$3,1,31)&gt;EOMONTH(DATE($B$3,1,1),0),NETWORKDAYS.INTL(DATE($B$3,1,31),DATE($B$3,1,31),1,'Non-working days'!$A$6:$A$45)=0),"",IF(COUNTIFS('Leave log'!$A$7:$A$306,Employees!$A$20,'Leave log'!$B$7:$B$306,"&lt;="&amp;DATE($B$3,1,31),'Leave log'!$C$7:$C$306,"&gt;="&amp;DATE($B$3,1,31),'Leave log'!$F$7:$F$306,"Pending")&gt;0,"P",""))))</f>
        <v/>
      </c>
    </row>
    <row r="22" spans="1:32" ht="18" customHeight="1" x14ac:dyDescent="0.3">
      <c r="A22" s="22" t="str">
        <f>IF(Employees!F21="Yes",Employees!B21,"")</f>
        <v/>
      </c>
      <c r="B22" s="23" t="str">
        <f>IF(A22="","",IF(IF(OR(DATE($B$3,1,1)&gt;EOMONTH(DATE($B$3,1,1),0),NETWORKDAYS.INTL(DATE($B$3,1,1),DATE($B$3,1,1),1,'Non-working days'!$A$6:$A$45)=0),"",IF(COUNTIFS('Leave log'!$A$7:$A$306,Employees!$A$21,'Leave log'!$B$7:$B$306,"&lt;="&amp;DATE($B$3,1,1),'Leave log'!$C$7:$C$306,"&gt;="&amp;DATE($B$3,1,1),'Leave log'!$F$7:$F$306,"Approved")&gt;0,"A",""))="A","A",IF(OR(DATE($B$3,1,1)&gt;EOMONTH(DATE($B$3,1,1),0),NETWORKDAYS.INTL(DATE($B$3,1,1),DATE($B$3,1,1),1,'Non-working days'!$A$6:$A$45)=0),"",IF(COUNTIFS('Leave log'!$A$7:$A$306,Employees!$A$21,'Leave log'!$B$7:$B$306,"&lt;="&amp;DATE($B$3,1,1),'Leave log'!$C$7:$C$306,"&gt;="&amp;DATE($B$3,1,1),'Leave log'!$F$7:$F$306,"Pending")&gt;0,"P",""))))</f>
        <v/>
      </c>
      <c r="C22" s="23" t="str">
        <f>IF(A22="","",IF(IF(OR(DATE($B$3,1,2)&gt;EOMONTH(DATE($B$3,1,1),0),NETWORKDAYS.INTL(DATE($B$3,1,2),DATE($B$3,1,2),1,'Non-working days'!$A$6:$A$45)=0),"",IF(COUNTIFS('Leave log'!$A$7:$A$306,Employees!$A$21,'Leave log'!$B$7:$B$306,"&lt;="&amp;DATE($B$3,1,2),'Leave log'!$C$7:$C$306,"&gt;="&amp;DATE($B$3,1,2),'Leave log'!$F$7:$F$306,"Approved")&gt;0,"A",""))="A","A",IF(OR(DATE($B$3,1,2)&gt;EOMONTH(DATE($B$3,1,1),0),NETWORKDAYS.INTL(DATE($B$3,1,2),DATE($B$3,1,2),1,'Non-working days'!$A$6:$A$45)=0),"",IF(COUNTIFS('Leave log'!$A$7:$A$306,Employees!$A$21,'Leave log'!$B$7:$B$306,"&lt;="&amp;DATE($B$3,1,2),'Leave log'!$C$7:$C$306,"&gt;="&amp;DATE($B$3,1,2),'Leave log'!$F$7:$F$306,"Pending")&gt;0,"P",""))))</f>
        <v/>
      </c>
      <c r="D22" s="23" t="str">
        <f>IF(A22="","",IF(IF(OR(DATE($B$3,1,3)&gt;EOMONTH(DATE($B$3,1,1),0),NETWORKDAYS.INTL(DATE($B$3,1,3),DATE($B$3,1,3),1,'Non-working days'!$A$6:$A$45)=0),"",IF(COUNTIFS('Leave log'!$A$7:$A$306,Employees!$A$21,'Leave log'!$B$7:$B$306,"&lt;="&amp;DATE($B$3,1,3),'Leave log'!$C$7:$C$306,"&gt;="&amp;DATE($B$3,1,3),'Leave log'!$F$7:$F$306,"Approved")&gt;0,"A",""))="A","A",IF(OR(DATE($B$3,1,3)&gt;EOMONTH(DATE($B$3,1,1),0),NETWORKDAYS.INTL(DATE($B$3,1,3),DATE($B$3,1,3),1,'Non-working days'!$A$6:$A$45)=0),"",IF(COUNTIFS('Leave log'!$A$7:$A$306,Employees!$A$21,'Leave log'!$B$7:$B$306,"&lt;="&amp;DATE($B$3,1,3),'Leave log'!$C$7:$C$306,"&gt;="&amp;DATE($B$3,1,3),'Leave log'!$F$7:$F$306,"Pending")&gt;0,"P",""))))</f>
        <v/>
      </c>
      <c r="E22" s="23" t="str">
        <f>IF(A22="","",IF(IF(OR(DATE($B$3,1,4)&gt;EOMONTH(DATE($B$3,1,1),0),NETWORKDAYS.INTL(DATE($B$3,1,4),DATE($B$3,1,4),1,'Non-working days'!$A$6:$A$45)=0),"",IF(COUNTIFS('Leave log'!$A$7:$A$306,Employees!$A$21,'Leave log'!$B$7:$B$306,"&lt;="&amp;DATE($B$3,1,4),'Leave log'!$C$7:$C$306,"&gt;="&amp;DATE($B$3,1,4),'Leave log'!$F$7:$F$306,"Approved")&gt;0,"A",""))="A","A",IF(OR(DATE($B$3,1,4)&gt;EOMONTH(DATE($B$3,1,1),0),NETWORKDAYS.INTL(DATE($B$3,1,4),DATE($B$3,1,4),1,'Non-working days'!$A$6:$A$45)=0),"",IF(COUNTIFS('Leave log'!$A$7:$A$306,Employees!$A$21,'Leave log'!$B$7:$B$306,"&lt;="&amp;DATE($B$3,1,4),'Leave log'!$C$7:$C$306,"&gt;="&amp;DATE($B$3,1,4),'Leave log'!$F$7:$F$306,"Pending")&gt;0,"P",""))))</f>
        <v/>
      </c>
      <c r="F22" s="23" t="str">
        <f>IF(A22="","",IF(IF(OR(DATE($B$3,1,5)&gt;EOMONTH(DATE($B$3,1,1),0),NETWORKDAYS.INTL(DATE($B$3,1,5),DATE($B$3,1,5),1,'Non-working days'!$A$6:$A$45)=0),"",IF(COUNTIFS('Leave log'!$A$7:$A$306,Employees!$A$21,'Leave log'!$B$7:$B$306,"&lt;="&amp;DATE($B$3,1,5),'Leave log'!$C$7:$C$306,"&gt;="&amp;DATE($B$3,1,5),'Leave log'!$F$7:$F$306,"Approved")&gt;0,"A",""))="A","A",IF(OR(DATE($B$3,1,5)&gt;EOMONTH(DATE($B$3,1,1),0),NETWORKDAYS.INTL(DATE($B$3,1,5),DATE($B$3,1,5),1,'Non-working days'!$A$6:$A$45)=0),"",IF(COUNTIFS('Leave log'!$A$7:$A$306,Employees!$A$21,'Leave log'!$B$7:$B$306,"&lt;="&amp;DATE($B$3,1,5),'Leave log'!$C$7:$C$306,"&gt;="&amp;DATE($B$3,1,5),'Leave log'!$F$7:$F$306,"Pending")&gt;0,"P",""))))</f>
        <v/>
      </c>
      <c r="G22" s="23" t="str">
        <f>IF(A22="","",IF(IF(OR(DATE($B$3,1,6)&gt;EOMONTH(DATE($B$3,1,1),0),NETWORKDAYS.INTL(DATE($B$3,1,6),DATE($B$3,1,6),1,'Non-working days'!$A$6:$A$45)=0),"",IF(COUNTIFS('Leave log'!$A$7:$A$306,Employees!$A$21,'Leave log'!$B$7:$B$306,"&lt;="&amp;DATE($B$3,1,6),'Leave log'!$C$7:$C$306,"&gt;="&amp;DATE($B$3,1,6),'Leave log'!$F$7:$F$306,"Approved")&gt;0,"A",""))="A","A",IF(OR(DATE($B$3,1,6)&gt;EOMONTH(DATE($B$3,1,1),0),NETWORKDAYS.INTL(DATE($B$3,1,6),DATE($B$3,1,6),1,'Non-working days'!$A$6:$A$45)=0),"",IF(COUNTIFS('Leave log'!$A$7:$A$306,Employees!$A$21,'Leave log'!$B$7:$B$306,"&lt;="&amp;DATE($B$3,1,6),'Leave log'!$C$7:$C$306,"&gt;="&amp;DATE($B$3,1,6),'Leave log'!$F$7:$F$306,"Pending")&gt;0,"P",""))))</f>
        <v/>
      </c>
      <c r="H22" s="23" t="str">
        <f>IF(A22="","",IF(IF(OR(DATE($B$3,1,7)&gt;EOMONTH(DATE($B$3,1,1),0),NETWORKDAYS.INTL(DATE($B$3,1,7),DATE($B$3,1,7),1,'Non-working days'!$A$6:$A$45)=0),"",IF(COUNTIFS('Leave log'!$A$7:$A$306,Employees!$A$21,'Leave log'!$B$7:$B$306,"&lt;="&amp;DATE($B$3,1,7),'Leave log'!$C$7:$C$306,"&gt;="&amp;DATE($B$3,1,7),'Leave log'!$F$7:$F$306,"Approved")&gt;0,"A",""))="A","A",IF(OR(DATE($B$3,1,7)&gt;EOMONTH(DATE($B$3,1,1),0),NETWORKDAYS.INTL(DATE($B$3,1,7),DATE($B$3,1,7),1,'Non-working days'!$A$6:$A$45)=0),"",IF(COUNTIFS('Leave log'!$A$7:$A$306,Employees!$A$21,'Leave log'!$B$7:$B$306,"&lt;="&amp;DATE($B$3,1,7),'Leave log'!$C$7:$C$306,"&gt;="&amp;DATE($B$3,1,7),'Leave log'!$F$7:$F$306,"Pending")&gt;0,"P",""))))</f>
        <v/>
      </c>
      <c r="I22" s="23" t="str">
        <f>IF(A22="","",IF(IF(OR(DATE($B$3,1,8)&gt;EOMONTH(DATE($B$3,1,1),0),NETWORKDAYS.INTL(DATE($B$3,1,8),DATE($B$3,1,8),1,'Non-working days'!$A$6:$A$45)=0),"",IF(COUNTIFS('Leave log'!$A$7:$A$306,Employees!$A$21,'Leave log'!$B$7:$B$306,"&lt;="&amp;DATE($B$3,1,8),'Leave log'!$C$7:$C$306,"&gt;="&amp;DATE($B$3,1,8),'Leave log'!$F$7:$F$306,"Approved")&gt;0,"A",""))="A","A",IF(OR(DATE($B$3,1,8)&gt;EOMONTH(DATE($B$3,1,1),0),NETWORKDAYS.INTL(DATE($B$3,1,8),DATE($B$3,1,8),1,'Non-working days'!$A$6:$A$45)=0),"",IF(COUNTIFS('Leave log'!$A$7:$A$306,Employees!$A$21,'Leave log'!$B$7:$B$306,"&lt;="&amp;DATE($B$3,1,8),'Leave log'!$C$7:$C$306,"&gt;="&amp;DATE($B$3,1,8),'Leave log'!$F$7:$F$306,"Pending")&gt;0,"P",""))))</f>
        <v/>
      </c>
      <c r="J22" s="23" t="str">
        <f>IF(A22="","",IF(IF(OR(DATE($B$3,1,9)&gt;EOMONTH(DATE($B$3,1,1),0),NETWORKDAYS.INTL(DATE($B$3,1,9),DATE($B$3,1,9),1,'Non-working days'!$A$6:$A$45)=0),"",IF(COUNTIFS('Leave log'!$A$7:$A$306,Employees!$A$21,'Leave log'!$B$7:$B$306,"&lt;="&amp;DATE($B$3,1,9),'Leave log'!$C$7:$C$306,"&gt;="&amp;DATE($B$3,1,9),'Leave log'!$F$7:$F$306,"Approved")&gt;0,"A",""))="A","A",IF(OR(DATE($B$3,1,9)&gt;EOMONTH(DATE($B$3,1,1),0),NETWORKDAYS.INTL(DATE($B$3,1,9),DATE($B$3,1,9),1,'Non-working days'!$A$6:$A$45)=0),"",IF(COUNTIFS('Leave log'!$A$7:$A$306,Employees!$A$21,'Leave log'!$B$7:$B$306,"&lt;="&amp;DATE($B$3,1,9),'Leave log'!$C$7:$C$306,"&gt;="&amp;DATE($B$3,1,9),'Leave log'!$F$7:$F$306,"Pending")&gt;0,"P",""))))</f>
        <v/>
      </c>
      <c r="K22" s="23" t="str">
        <f>IF(A22="","",IF(IF(OR(DATE($B$3,1,10)&gt;EOMONTH(DATE($B$3,1,1),0),NETWORKDAYS.INTL(DATE($B$3,1,10),DATE($B$3,1,10),1,'Non-working days'!$A$6:$A$45)=0),"",IF(COUNTIFS('Leave log'!$A$7:$A$306,Employees!$A$21,'Leave log'!$B$7:$B$306,"&lt;="&amp;DATE($B$3,1,10),'Leave log'!$C$7:$C$306,"&gt;="&amp;DATE($B$3,1,10),'Leave log'!$F$7:$F$306,"Approved")&gt;0,"A",""))="A","A",IF(OR(DATE($B$3,1,10)&gt;EOMONTH(DATE($B$3,1,1),0),NETWORKDAYS.INTL(DATE($B$3,1,10),DATE($B$3,1,10),1,'Non-working days'!$A$6:$A$45)=0),"",IF(COUNTIFS('Leave log'!$A$7:$A$306,Employees!$A$21,'Leave log'!$B$7:$B$306,"&lt;="&amp;DATE($B$3,1,10),'Leave log'!$C$7:$C$306,"&gt;="&amp;DATE($B$3,1,10),'Leave log'!$F$7:$F$306,"Pending")&gt;0,"P",""))))</f>
        <v/>
      </c>
      <c r="L22" s="23" t="str">
        <f>IF(A22="","",IF(IF(OR(DATE($B$3,1,11)&gt;EOMONTH(DATE($B$3,1,1),0),NETWORKDAYS.INTL(DATE($B$3,1,11),DATE($B$3,1,11),1,'Non-working days'!$A$6:$A$45)=0),"",IF(COUNTIFS('Leave log'!$A$7:$A$306,Employees!$A$21,'Leave log'!$B$7:$B$306,"&lt;="&amp;DATE($B$3,1,11),'Leave log'!$C$7:$C$306,"&gt;="&amp;DATE($B$3,1,11),'Leave log'!$F$7:$F$306,"Approved")&gt;0,"A",""))="A","A",IF(OR(DATE($B$3,1,11)&gt;EOMONTH(DATE($B$3,1,1),0),NETWORKDAYS.INTL(DATE($B$3,1,11),DATE($B$3,1,11),1,'Non-working days'!$A$6:$A$45)=0),"",IF(COUNTIFS('Leave log'!$A$7:$A$306,Employees!$A$21,'Leave log'!$B$7:$B$306,"&lt;="&amp;DATE($B$3,1,11),'Leave log'!$C$7:$C$306,"&gt;="&amp;DATE($B$3,1,11),'Leave log'!$F$7:$F$306,"Pending")&gt;0,"P",""))))</f>
        <v/>
      </c>
      <c r="M22" s="23" t="str">
        <f>IF(A22="","",IF(IF(OR(DATE($B$3,1,12)&gt;EOMONTH(DATE($B$3,1,1),0),NETWORKDAYS.INTL(DATE($B$3,1,12),DATE($B$3,1,12),1,'Non-working days'!$A$6:$A$45)=0),"",IF(COUNTIFS('Leave log'!$A$7:$A$306,Employees!$A$21,'Leave log'!$B$7:$B$306,"&lt;="&amp;DATE($B$3,1,12),'Leave log'!$C$7:$C$306,"&gt;="&amp;DATE($B$3,1,12),'Leave log'!$F$7:$F$306,"Approved")&gt;0,"A",""))="A","A",IF(OR(DATE($B$3,1,12)&gt;EOMONTH(DATE($B$3,1,1),0),NETWORKDAYS.INTL(DATE($B$3,1,12),DATE($B$3,1,12),1,'Non-working days'!$A$6:$A$45)=0),"",IF(COUNTIFS('Leave log'!$A$7:$A$306,Employees!$A$21,'Leave log'!$B$7:$B$306,"&lt;="&amp;DATE($B$3,1,12),'Leave log'!$C$7:$C$306,"&gt;="&amp;DATE($B$3,1,12),'Leave log'!$F$7:$F$306,"Pending")&gt;0,"P",""))))</f>
        <v/>
      </c>
      <c r="N22" s="23" t="str">
        <f>IF(A22="","",IF(IF(OR(DATE($B$3,1,13)&gt;EOMONTH(DATE($B$3,1,1),0),NETWORKDAYS.INTL(DATE($B$3,1,13),DATE($B$3,1,13),1,'Non-working days'!$A$6:$A$45)=0),"",IF(COUNTIFS('Leave log'!$A$7:$A$306,Employees!$A$21,'Leave log'!$B$7:$B$306,"&lt;="&amp;DATE($B$3,1,13),'Leave log'!$C$7:$C$306,"&gt;="&amp;DATE($B$3,1,13),'Leave log'!$F$7:$F$306,"Approved")&gt;0,"A",""))="A","A",IF(OR(DATE($B$3,1,13)&gt;EOMONTH(DATE($B$3,1,1),0),NETWORKDAYS.INTL(DATE($B$3,1,13),DATE($B$3,1,13),1,'Non-working days'!$A$6:$A$45)=0),"",IF(COUNTIFS('Leave log'!$A$7:$A$306,Employees!$A$21,'Leave log'!$B$7:$B$306,"&lt;="&amp;DATE($B$3,1,13),'Leave log'!$C$7:$C$306,"&gt;="&amp;DATE($B$3,1,13),'Leave log'!$F$7:$F$306,"Pending")&gt;0,"P",""))))</f>
        <v/>
      </c>
      <c r="O22" s="23" t="str">
        <f>IF(A22="","",IF(IF(OR(DATE($B$3,1,14)&gt;EOMONTH(DATE($B$3,1,1),0),NETWORKDAYS.INTL(DATE($B$3,1,14),DATE($B$3,1,14),1,'Non-working days'!$A$6:$A$45)=0),"",IF(COUNTIFS('Leave log'!$A$7:$A$306,Employees!$A$21,'Leave log'!$B$7:$B$306,"&lt;="&amp;DATE($B$3,1,14),'Leave log'!$C$7:$C$306,"&gt;="&amp;DATE($B$3,1,14),'Leave log'!$F$7:$F$306,"Approved")&gt;0,"A",""))="A","A",IF(OR(DATE($B$3,1,14)&gt;EOMONTH(DATE($B$3,1,1),0),NETWORKDAYS.INTL(DATE($B$3,1,14),DATE($B$3,1,14),1,'Non-working days'!$A$6:$A$45)=0),"",IF(COUNTIFS('Leave log'!$A$7:$A$306,Employees!$A$21,'Leave log'!$B$7:$B$306,"&lt;="&amp;DATE($B$3,1,14),'Leave log'!$C$7:$C$306,"&gt;="&amp;DATE($B$3,1,14),'Leave log'!$F$7:$F$306,"Pending")&gt;0,"P",""))))</f>
        <v/>
      </c>
      <c r="P22" s="23" t="str">
        <f>IF(A22="","",IF(IF(OR(DATE($B$3,1,15)&gt;EOMONTH(DATE($B$3,1,1),0),NETWORKDAYS.INTL(DATE($B$3,1,15),DATE($B$3,1,15),1,'Non-working days'!$A$6:$A$45)=0),"",IF(COUNTIFS('Leave log'!$A$7:$A$306,Employees!$A$21,'Leave log'!$B$7:$B$306,"&lt;="&amp;DATE($B$3,1,15),'Leave log'!$C$7:$C$306,"&gt;="&amp;DATE($B$3,1,15),'Leave log'!$F$7:$F$306,"Approved")&gt;0,"A",""))="A","A",IF(OR(DATE($B$3,1,15)&gt;EOMONTH(DATE($B$3,1,1),0),NETWORKDAYS.INTL(DATE($B$3,1,15),DATE($B$3,1,15),1,'Non-working days'!$A$6:$A$45)=0),"",IF(COUNTIFS('Leave log'!$A$7:$A$306,Employees!$A$21,'Leave log'!$B$7:$B$306,"&lt;="&amp;DATE($B$3,1,15),'Leave log'!$C$7:$C$306,"&gt;="&amp;DATE($B$3,1,15),'Leave log'!$F$7:$F$306,"Pending")&gt;0,"P",""))))</f>
        <v/>
      </c>
      <c r="Q22" s="23" t="str">
        <f>IF(A22="","",IF(IF(OR(DATE($B$3,1,16)&gt;EOMONTH(DATE($B$3,1,1),0),NETWORKDAYS.INTL(DATE($B$3,1,16),DATE($B$3,1,16),1,'Non-working days'!$A$6:$A$45)=0),"",IF(COUNTIFS('Leave log'!$A$7:$A$306,Employees!$A$21,'Leave log'!$B$7:$B$306,"&lt;="&amp;DATE($B$3,1,16),'Leave log'!$C$7:$C$306,"&gt;="&amp;DATE($B$3,1,16),'Leave log'!$F$7:$F$306,"Approved")&gt;0,"A",""))="A","A",IF(OR(DATE($B$3,1,16)&gt;EOMONTH(DATE($B$3,1,1),0),NETWORKDAYS.INTL(DATE($B$3,1,16),DATE($B$3,1,16),1,'Non-working days'!$A$6:$A$45)=0),"",IF(COUNTIFS('Leave log'!$A$7:$A$306,Employees!$A$21,'Leave log'!$B$7:$B$306,"&lt;="&amp;DATE($B$3,1,16),'Leave log'!$C$7:$C$306,"&gt;="&amp;DATE($B$3,1,16),'Leave log'!$F$7:$F$306,"Pending")&gt;0,"P",""))))</f>
        <v/>
      </c>
      <c r="R22" s="23" t="str">
        <f>IF(A22="","",IF(IF(OR(DATE($B$3,1,17)&gt;EOMONTH(DATE($B$3,1,1),0),NETWORKDAYS.INTL(DATE($B$3,1,17),DATE($B$3,1,17),1,'Non-working days'!$A$6:$A$45)=0),"",IF(COUNTIFS('Leave log'!$A$7:$A$306,Employees!$A$21,'Leave log'!$B$7:$B$306,"&lt;="&amp;DATE($B$3,1,17),'Leave log'!$C$7:$C$306,"&gt;="&amp;DATE($B$3,1,17),'Leave log'!$F$7:$F$306,"Approved")&gt;0,"A",""))="A","A",IF(OR(DATE($B$3,1,17)&gt;EOMONTH(DATE($B$3,1,1),0),NETWORKDAYS.INTL(DATE($B$3,1,17),DATE($B$3,1,17),1,'Non-working days'!$A$6:$A$45)=0),"",IF(COUNTIFS('Leave log'!$A$7:$A$306,Employees!$A$21,'Leave log'!$B$7:$B$306,"&lt;="&amp;DATE($B$3,1,17),'Leave log'!$C$7:$C$306,"&gt;="&amp;DATE($B$3,1,17),'Leave log'!$F$7:$F$306,"Pending")&gt;0,"P",""))))</f>
        <v/>
      </c>
      <c r="S22" s="23" t="str">
        <f>IF(A22="","",IF(IF(OR(DATE($B$3,1,18)&gt;EOMONTH(DATE($B$3,1,1),0),NETWORKDAYS.INTL(DATE($B$3,1,18),DATE($B$3,1,18),1,'Non-working days'!$A$6:$A$45)=0),"",IF(COUNTIFS('Leave log'!$A$7:$A$306,Employees!$A$21,'Leave log'!$B$7:$B$306,"&lt;="&amp;DATE($B$3,1,18),'Leave log'!$C$7:$C$306,"&gt;="&amp;DATE($B$3,1,18),'Leave log'!$F$7:$F$306,"Approved")&gt;0,"A",""))="A","A",IF(OR(DATE($B$3,1,18)&gt;EOMONTH(DATE($B$3,1,1),0),NETWORKDAYS.INTL(DATE($B$3,1,18),DATE($B$3,1,18),1,'Non-working days'!$A$6:$A$45)=0),"",IF(COUNTIFS('Leave log'!$A$7:$A$306,Employees!$A$21,'Leave log'!$B$7:$B$306,"&lt;="&amp;DATE($B$3,1,18),'Leave log'!$C$7:$C$306,"&gt;="&amp;DATE($B$3,1,18),'Leave log'!$F$7:$F$306,"Pending")&gt;0,"P",""))))</f>
        <v/>
      </c>
      <c r="T22" s="23" t="str">
        <f>IF(A22="","",IF(IF(OR(DATE($B$3,1,19)&gt;EOMONTH(DATE($B$3,1,1),0),NETWORKDAYS.INTL(DATE($B$3,1,19),DATE($B$3,1,19),1,'Non-working days'!$A$6:$A$45)=0),"",IF(COUNTIFS('Leave log'!$A$7:$A$306,Employees!$A$21,'Leave log'!$B$7:$B$306,"&lt;="&amp;DATE($B$3,1,19),'Leave log'!$C$7:$C$306,"&gt;="&amp;DATE($B$3,1,19),'Leave log'!$F$7:$F$306,"Approved")&gt;0,"A",""))="A","A",IF(OR(DATE($B$3,1,19)&gt;EOMONTH(DATE($B$3,1,1),0),NETWORKDAYS.INTL(DATE($B$3,1,19),DATE($B$3,1,19),1,'Non-working days'!$A$6:$A$45)=0),"",IF(COUNTIFS('Leave log'!$A$7:$A$306,Employees!$A$21,'Leave log'!$B$7:$B$306,"&lt;="&amp;DATE($B$3,1,19),'Leave log'!$C$7:$C$306,"&gt;="&amp;DATE($B$3,1,19),'Leave log'!$F$7:$F$306,"Pending")&gt;0,"P",""))))</f>
        <v/>
      </c>
      <c r="U22" s="23" t="str">
        <f>IF(A22="","",IF(IF(OR(DATE($B$3,1,20)&gt;EOMONTH(DATE($B$3,1,1),0),NETWORKDAYS.INTL(DATE($B$3,1,20),DATE($B$3,1,20),1,'Non-working days'!$A$6:$A$45)=0),"",IF(COUNTIFS('Leave log'!$A$7:$A$306,Employees!$A$21,'Leave log'!$B$7:$B$306,"&lt;="&amp;DATE($B$3,1,20),'Leave log'!$C$7:$C$306,"&gt;="&amp;DATE($B$3,1,20),'Leave log'!$F$7:$F$306,"Approved")&gt;0,"A",""))="A","A",IF(OR(DATE($B$3,1,20)&gt;EOMONTH(DATE($B$3,1,1),0),NETWORKDAYS.INTL(DATE($B$3,1,20),DATE($B$3,1,20),1,'Non-working days'!$A$6:$A$45)=0),"",IF(COUNTIFS('Leave log'!$A$7:$A$306,Employees!$A$21,'Leave log'!$B$7:$B$306,"&lt;="&amp;DATE($B$3,1,20),'Leave log'!$C$7:$C$306,"&gt;="&amp;DATE($B$3,1,20),'Leave log'!$F$7:$F$306,"Pending")&gt;0,"P",""))))</f>
        <v/>
      </c>
      <c r="V22" s="23" t="str">
        <f>IF(A22="","",IF(IF(OR(DATE($B$3,1,21)&gt;EOMONTH(DATE($B$3,1,1),0),NETWORKDAYS.INTL(DATE($B$3,1,21),DATE($B$3,1,21),1,'Non-working days'!$A$6:$A$45)=0),"",IF(COUNTIFS('Leave log'!$A$7:$A$306,Employees!$A$21,'Leave log'!$B$7:$B$306,"&lt;="&amp;DATE($B$3,1,21),'Leave log'!$C$7:$C$306,"&gt;="&amp;DATE($B$3,1,21),'Leave log'!$F$7:$F$306,"Approved")&gt;0,"A",""))="A","A",IF(OR(DATE($B$3,1,21)&gt;EOMONTH(DATE($B$3,1,1),0),NETWORKDAYS.INTL(DATE($B$3,1,21),DATE($B$3,1,21),1,'Non-working days'!$A$6:$A$45)=0),"",IF(COUNTIFS('Leave log'!$A$7:$A$306,Employees!$A$21,'Leave log'!$B$7:$B$306,"&lt;="&amp;DATE($B$3,1,21),'Leave log'!$C$7:$C$306,"&gt;="&amp;DATE($B$3,1,21),'Leave log'!$F$7:$F$306,"Pending")&gt;0,"P",""))))</f>
        <v/>
      </c>
      <c r="W22" s="23" t="str">
        <f>IF(A22="","",IF(IF(OR(DATE($B$3,1,22)&gt;EOMONTH(DATE($B$3,1,1),0),NETWORKDAYS.INTL(DATE($B$3,1,22),DATE($B$3,1,22),1,'Non-working days'!$A$6:$A$45)=0),"",IF(COUNTIFS('Leave log'!$A$7:$A$306,Employees!$A$21,'Leave log'!$B$7:$B$306,"&lt;="&amp;DATE($B$3,1,22),'Leave log'!$C$7:$C$306,"&gt;="&amp;DATE($B$3,1,22),'Leave log'!$F$7:$F$306,"Approved")&gt;0,"A",""))="A","A",IF(OR(DATE($B$3,1,22)&gt;EOMONTH(DATE($B$3,1,1),0),NETWORKDAYS.INTL(DATE($B$3,1,22),DATE($B$3,1,22),1,'Non-working days'!$A$6:$A$45)=0),"",IF(COUNTIFS('Leave log'!$A$7:$A$306,Employees!$A$21,'Leave log'!$B$7:$B$306,"&lt;="&amp;DATE($B$3,1,22),'Leave log'!$C$7:$C$306,"&gt;="&amp;DATE($B$3,1,22),'Leave log'!$F$7:$F$306,"Pending")&gt;0,"P",""))))</f>
        <v/>
      </c>
      <c r="X22" s="23" t="str">
        <f>IF(A22="","",IF(IF(OR(DATE($B$3,1,23)&gt;EOMONTH(DATE($B$3,1,1),0),NETWORKDAYS.INTL(DATE($B$3,1,23),DATE($B$3,1,23),1,'Non-working days'!$A$6:$A$45)=0),"",IF(COUNTIFS('Leave log'!$A$7:$A$306,Employees!$A$21,'Leave log'!$B$7:$B$306,"&lt;="&amp;DATE($B$3,1,23),'Leave log'!$C$7:$C$306,"&gt;="&amp;DATE($B$3,1,23),'Leave log'!$F$7:$F$306,"Approved")&gt;0,"A",""))="A","A",IF(OR(DATE($B$3,1,23)&gt;EOMONTH(DATE($B$3,1,1),0),NETWORKDAYS.INTL(DATE($B$3,1,23),DATE($B$3,1,23),1,'Non-working days'!$A$6:$A$45)=0),"",IF(COUNTIFS('Leave log'!$A$7:$A$306,Employees!$A$21,'Leave log'!$B$7:$B$306,"&lt;="&amp;DATE($B$3,1,23),'Leave log'!$C$7:$C$306,"&gt;="&amp;DATE($B$3,1,23),'Leave log'!$F$7:$F$306,"Pending")&gt;0,"P",""))))</f>
        <v/>
      </c>
      <c r="Y22" s="23" t="str">
        <f>IF(A22="","",IF(IF(OR(DATE($B$3,1,24)&gt;EOMONTH(DATE($B$3,1,1),0),NETWORKDAYS.INTL(DATE($B$3,1,24),DATE($B$3,1,24),1,'Non-working days'!$A$6:$A$45)=0),"",IF(COUNTIFS('Leave log'!$A$7:$A$306,Employees!$A$21,'Leave log'!$B$7:$B$306,"&lt;="&amp;DATE($B$3,1,24),'Leave log'!$C$7:$C$306,"&gt;="&amp;DATE($B$3,1,24),'Leave log'!$F$7:$F$306,"Approved")&gt;0,"A",""))="A","A",IF(OR(DATE($B$3,1,24)&gt;EOMONTH(DATE($B$3,1,1),0),NETWORKDAYS.INTL(DATE($B$3,1,24),DATE($B$3,1,24),1,'Non-working days'!$A$6:$A$45)=0),"",IF(COUNTIFS('Leave log'!$A$7:$A$306,Employees!$A$21,'Leave log'!$B$7:$B$306,"&lt;="&amp;DATE($B$3,1,24),'Leave log'!$C$7:$C$306,"&gt;="&amp;DATE($B$3,1,24),'Leave log'!$F$7:$F$306,"Pending")&gt;0,"P",""))))</f>
        <v/>
      </c>
      <c r="Z22" s="23" t="str">
        <f>IF(A22="","",IF(IF(OR(DATE($B$3,1,25)&gt;EOMONTH(DATE($B$3,1,1),0),NETWORKDAYS.INTL(DATE($B$3,1,25),DATE($B$3,1,25),1,'Non-working days'!$A$6:$A$45)=0),"",IF(COUNTIFS('Leave log'!$A$7:$A$306,Employees!$A$21,'Leave log'!$B$7:$B$306,"&lt;="&amp;DATE($B$3,1,25),'Leave log'!$C$7:$C$306,"&gt;="&amp;DATE($B$3,1,25),'Leave log'!$F$7:$F$306,"Approved")&gt;0,"A",""))="A","A",IF(OR(DATE($B$3,1,25)&gt;EOMONTH(DATE($B$3,1,1),0),NETWORKDAYS.INTL(DATE($B$3,1,25),DATE($B$3,1,25),1,'Non-working days'!$A$6:$A$45)=0),"",IF(COUNTIFS('Leave log'!$A$7:$A$306,Employees!$A$21,'Leave log'!$B$7:$B$306,"&lt;="&amp;DATE($B$3,1,25),'Leave log'!$C$7:$C$306,"&gt;="&amp;DATE($B$3,1,25),'Leave log'!$F$7:$F$306,"Pending")&gt;0,"P",""))))</f>
        <v/>
      </c>
      <c r="AA22" s="23" t="str">
        <f>IF(A22="","",IF(IF(OR(DATE($B$3,1,26)&gt;EOMONTH(DATE($B$3,1,1),0),NETWORKDAYS.INTL(DATE($B$3,1,26),DATE($B$3,1,26),1,'Non-working days'!$A$6:$A$45)=0),"",IF(COUNTIFS('Leave log'!$A$7:$A$306,Employees!$A$21,'Leave log'!$B$7:$B$306,"&lt;="&amp;DATE($B$3,1,26),'Leave log'!$C$7:$C$306,"&gt;="&amp;DATE($B$3,1,26),'Leave log'!$F$7:$F$306,"Approved")&gt;0,"A",""))="A","A",IF(OR(DATE($B$3,1,26)&gt;EOMONTH(DATE($B$3,1,1),0),NETWORKDAYS.INTL(DATE($B$3,1,26),DATE($B$3,1,26),1,'Non-working days'!$A$6:$A$45)=0),"",IF(COUNTIFS('Leave log'!$A$7:$A$306,Employees!$A$21,'Leave log'!$B$7:$B$306,"&lt;="&amp;DATE($B$3,1,26),'Leave log'!$C$7:$C$306,"&gt;="&amp;DATE($B$3,1,26),'Leave log'!$F$7:$F$306,"Pending")&gt;0,"P",""))))</f>
        <v/>
      </c>
      <c r="AB22" s="23" t="str">
        <f>IF(A22="","",IF(IF(OR(DATE($B$3,1,27)&gt;EOMONTH(DATE($B$3,1,1),0),NETWORKDAYS.INTL(DATE($B$3,1,27),DATE($B$3,1,27),1,'Non-working days'!$A$6:$A$45)=0),"",IF(COUNTIFS('Leave log'!$A$7:$A$306,Employees!$A$21,'Leave log'!$B$7:$B$306,"&lt;="&amp;DATE($B$3,1,27),'Leave log'!$C$7:$C$306,"&gt;="&amp;DATE($B$3,1,27),'Leave log'!$F$7:$F$306,"Approved")&gt;0,"A",""))="A","A",IF(OR(DATE($B$3,1,27)&gt;EOMONTH(DATE($B$3,1,1),0),NETWORKDAYS.INTL(DATE($B$3,1,27),DATE($B$3,1,27),1,'Non-working days'!$A$6:$A$45)=0),"",IF(COUNTIFS('Leave log'!$A$7:$A$306,Employees!$A$21,'Leave log'!$B$7:$B$306,"&lt;="&amp;DATE($B$3,1,27),'Leave log'!$C$7:$C$306,"&gt;="&amp;DATE($B$3,1,27),'Leave log'!$F$7:$F$306,"Pending")&gt;0,"P",""))))</f>
        <v/>
      </c>
      <c r="AC22" s="23" t="str">
        <f>IF(A22="","",IF(IF(OR(DATE($B$3,1,28)&gt;EOMONTH(DATE($B$3,1,1),0),NETWORKDAYS.INTL(DATE($B$3,1,28),DATE($B$3,1,28),1,'Non-working days'!$A$6:$A$45)=0),"",IF(COUNTIFS('Leave log'!$A$7:$A$306,Employees!$A$21,'Leave log'!$B$7:$B$306,"&lt;="&amp;DATE($B$3,1,28),'Leave log'!$C$7:$C$306,"&gt;="&amp;DATE($B$3,1,28),'Leave log'!$F$7:$F$306,"Approved")&gt;0,"A",""))="A","A",IF(OR(DATE($B$3,1,28)&gt;EOMONTH(DATE($B$3,1,1),0),NETWORKDAYS.INTL(DATE($B$3,1,28),DATE($B$3,1,28),1,'Non-working days'!$A$6:$A$45)=0),"",IF(COUNTIFS('Leave log'!$A$7:$A$306,Employees!$A$21,'Leave log'!$B$7:$B$306,"&lt;="&amp;DATE($B$3,1,28),'Leave log'!$C$7:$C$306,"&gt;="&amp;DATE($B$3,1,28),'Leave log'!$F$7:$F$306,"Pending")&gt;0,"P",""))))</f>
        <v/>
      </c>
      <c r="AD22" s="23" t="str">
        <f>IF(A22="","",IF(IF(OR(DATE($B$3,1,29)&gt;EOMONTH(DATE($B$3,1,1),0),NETWORKDAYS.INTL(DATE($B$3,1,29),DATE($B$3,1,29),1,'Non-working days'!$A$6:$A$45)=0),"",IF(COUNTIFS('Leave log'!$A$7:$A$306,Employees!$A$21,'Leave log'!$B$7:$B$306,"&lt;="&amp;DATE($B$3,1,29),'Leave log'!$C$7:$C$306,"&gt;="&amp;DATE($B$3,1,29),'Leave log'!$F$7:$F$306,"Approved")&gt;0,"A",""))="A","A",IF(OR(DATE($B$3,1,29)&gt;EOMONTH(DATE($B$3,1,1),0),NETWORKDAYS.INTL(DATE($B$3,1,29),DATE($B$3,1,29),1,'Non-working days'!$A$6:$A$45)=0),"",IF(COUNTIFS('Leave log'!$A$7:$A$306,Employees!$A$21,'Leave log'!$B$7:$B$306,"&lt;="&amp;DATE($B$3,1,29),'Leave log'!$C$7:$C$306,"&gt;="&amp;DATE($B$3,1,29),'Leave log'!$F$7:$F$306,"Pending")&gt;0,"P",""))))</f>
        <v/>
      </c>
      <c r="AE22" s="23" t="str">
        <f>IF(A22="","",IF(IF(OR(DATE($B$3,1,30)&gt;EOMONTH(DATE($B$3,1,1),0),NETWORKDAYS.INTL(DATE($B$3,1,30),DATE($B$3,1,30),1,'Non-working days'!$A$6:$A$45)=0),"",IF(COUNTIFS('Leave log'!$A$7:$A$306,Employees!$A$21,'Leave log'!$B$7:$B$306,"&lt;="&amp;DATE($B$3,1,30),'Leave log'!$C$7:$C$306,"&gt;="&amp;DATE($B$3,1,30),'Leave log'!$F$7:$F$306,"Approved")&gt;0,"A",""))="A","A",IF(OR(DATE($B$3,1,30)&gt;EOMONTH(DATE($B$3,1,1),0),NETWORKDAYS.INTL(DATE($B$3,1,30),DATE($B$3,1,30),1,'Non-working days'!$A$6:$A$45)=0),"",IF(COUNTIFS('Leave log'!$A$7:$A$306,Employees!$A$21,'Leave log'!$B$7:$B$306,"&lt;="&amp;DATE($B$3,1,30),'Leave log'!$C$7:$C$306,"&gt;="&amp;DATE($B$3,1,30),'Leave log'!$F$7:$F$306,"Pending")&gt;0,"P",""))))</f>
        <v/>
      </c>
      <c r="AF22" s="23" t="str">
        <f>IF(A22="","",IF(IF(OR(DATE($B$3,1,31)&gt;EOMONTH(DATE($B$3,1,1),0),NETWORKDAYS.INTL(DATE($B$3,1,31),DATE($B$3,1,31),1,'Non-working days'!$A$6:$A$45)=0),"",IF(COUNTIFS('Leave log'!$A$7:$A$306,Employees!$A$21,'Leave log'!$B$7:$B$306,"&lt;="&amp;DATE($B$3,1,31),'Leave log'!$C$7:$C$306,"&gt;="&amp;DATE($B$3,1,31),'Leave log'!$F$7:$F$306,"Approved")&gt;0,"A",""))="A","A",IF(OR(DATE($B$3,1,31)&gt;EOMONTH(DATE($B$3,1,1),0),NETWORKDAYS.INTL(DATE($B$3,1,31),DATE($B$3,1,31),1,'Non-working days'!$A$6:$A$45)=0),"",IF(COUNTIFS('Leave log'!$A$7:$A$306,Employees!$A$21,'Leave log'!$B$7:$B$306,"&lt;="&amp;DATE($B$3,1,31),'Leave log'!$C$7:$C$306,"&gt;="&amp;DATE($B$3,1,31),'Leave log'!$F$7:$F$306,"Pending")&gt;0,"P",""))))</f>
        <v/>
      </c>
    </row>
    <row r="23" spans="1:32" ht="18" customHeight="1" x14ac:dyDescent="0.3">
      <c r="A23" s="22" t="str">
        <f>IF(Employees!F22="Yes",Employees!B22,"")</f>
        <v/>
      </c>
      <c r="B23" s="23" t="str">
        <f>IF(A23="","",IF(IF(OR(DATE($B$3,1,1)&gt;EOMONTH(DATE($B$3,1,1),0),NETWORKDAYS.INTL(DATE($B$3,1,1),DATE($B$3,1,1),1,'Non-working days'!$A$6:$A$45)=0),"",IF(COUNTIFS('Leave log'!$A$7:$A$306,Employees!$A$22,'Leave log'!$B$7:$B$306,"&lt;="&amp;DATE($B$3,1,1),'Leave log'!$C$7:$C$306,"&gt;="&amp;DATE($B$3,1,1),'Leave log'!$F$7:$F$306,"Approved")&gt;0,"A",""))="A","A",IF(OR(DATE($B$3,1,1)&gt;EOMONTH(DATE($B$3,1,1),0),NETWORKDAYS.INTL(DATE($B$3,1,1),DATE($B$3,1,1),1,'Non-working days'!$A$6:$A$45)=0),"",IF(COUNTIFS('Leave log'!$A$7:$A$306,Employees!$A$22,'Leave log'!$B$7:$B$306,"&lt;="&amp;DATE($B$3,1,1),'Leave log'!$C$7:$C$306,"&gt;="&amp;DATE($B$3,1,1),'Leave log'!$F$7:$F$306,"Pending")&gt;0,"P",""))))</f>
        <v/>
      </c>
      <c r="C23" s="23" t="str">
        <f>IF(A23="","",IF(IF(OR(DATE($B$3,1,2)&gt;EOMONTH(DATE($B$3,1,1),0),NETWORKDAYS.INTL(DATE($B$3,1,2),DATE($B$3,1,2),1,'Non-working days'!$A$6:$A$45)=0),"",IF(COUNTIFS('Leave log'!$A$7:$A$306,Employees!$A$22,'Leave log'!$B$7:$B$306,"&lt;="&amp;DATE($B$3,1,2),'Leave log'!$C$7:$C$306,"&gt;="&amp;DATE($B$3,1,2),'Leave log'!$F$7:$F$306,"Approved")&gt;0,"A",""))="A","A",IF(OR(DATE($B$3,1,2)&gt;EOMONTH(DATE($B$3,1,1),0),NETWORKDAYS.INTL(DATE($B$3,1,2),DATE($B$3,1,2),1,'Non-working days'!$A$6:$A$45)=0),"",IF(COUNTIFS('Leave log'!$A$7:$A$306,Employees!$A$22,'Leave log'!$B$7:$B$306,"&lt;="&amp;DATE($B$3,1,2),'Leave log'!$C$7:$C$306,"&gt;="&amp;DATE($B$3,1,2),'Leave log'!$F$7:$F$306,"Pending")&gt;0,"P",""))))</f>
        <v/>
      </c>
      <c r="D23" s="23" t="str">
        <f>IF(A23="","",IF(IF(OR(DATE($B$3,1,3)&gt;EOMONTH(DATE($B$3,1,1),0),NETWORKDAYS.INTL(DATE($B$3,1,3),DATE($B$3,1,3),1,'Non-working days'!$A$6:$A$45)=0),"",IF(COUNTIFS('Leave log'!$A$7:$A$306,Employees!$A$22,'Leave log'!$B$7:$B$306,"&lt;="&amp;DATE($B$3,1,3),'Leave log'!$C$7:$C$306,"&gt;="&amp;DATE($B$3,1,3),'Leave log'!$F$7:$F$306,"Approved")&gt;0,"A",""))="A","A",IF(OR(DATE($B$3,1,3)&gt;EOMONTH(DATE($B$3,1,1),0),NETWORKDAYS.INTL(DATE($B$3,1,3),DATE($B$3,1,3),1,'Non-working days'!$A$6:$A$45)=0),"",IF(COUNTIFS('Leave log'!$A$7:$A$306,Employees!$A$22,'Leave log'!$B$7:$B$306,"&lt;="&amp;DATE($B$3,1,3),'Leave log'!$C$7:$C$306,"&gt;="&amp;DATE($B$3,1,3),'Leave log'!$F$7:$F$306,"Pending")&gt;0,"P",""))))</f>
        <v/>
      </c>
      <c r="E23" s="23" t="str">
        <f>IF(A23="","",IF(IF(OR(DATE($B$3,1,4)&gt;EOMONTH(DATE($B$3,1,1),0),NETWORKDAYS.INTL(DATE($B$3,1,4),DATE($B$3,1,4),1,'Non-working days'!$A$6:$A$45)=0),"",IF(COUNTIFS('Leave log'!$A$7:$A$306,Employees!$A$22,'Leave log'!$B$7:$B$306,"&lt;="&amp;DATE($B$3,1,4),'Leave log'!$C$7:$C$306,"&gt;="&amp;DATE($B$3,1,4),'Leave log'!$F$7:$F$306,"Approved")&gt;0,"A",""))="A","A",IF(OR(DATE($B$3,1,4)&gt;EOMONTH(DATE($B$3,1,1),0),NETWORKDAYS.INTL(DATE($B$3,1,4),DATE($B$3,1,4),1,'Non-working days'!$A$6:$A$45)=0),"",IF(COUNTIFS('Leave log'!$A$7:$A$306,Employees!$A$22,'Leave log'!$B$7:$B$306,"&lt;="&amp;DATE($B$3,1,4),'Leave log'!$C$7:$C$306,"&gt;="&amp;DATE($B$3,1,4),'Leave log'!$F$7:$F$306,"Pending")&gt;0,"P",""))))</f>
        <v/>
      </c>
      <c r="F23" s="23" t="str">
        <f>IF(A23="","",IF(IF(OR(DATE($B$3,1,5)&gt;EOMONTH(DATE($B$3,1,1),0),NETWORKDAYS.INTL(DATE($B$3,1,5),DATE($B$3,1,5),1,'Non-working days'!$A$6:$A$45)=0),"",IF(COUNTIFS('Leave log'!$A$7:$A$306,Employees!$A$22,'Leave log'!$B$7:$B$306,"&lt;="&amp;DATE($B$3,1,5),'Leave log'!$C$7:$C$306,"&gt;="&amp;DATE($B$3,1,5),'Leave log'!$F$7:$F$306,"Approved")&gt;0,"A",""))="A","A",IF(OR(DATE($B$3,1,5)&gt;EOMONTH(DATE($B$3,1,1),0),NETWORKDAYS.INTL(DATE($B$3,1,5),DATE($B$3,1,5),1,'Non-working days'!$A$6:$A$45)=0),"",IF(COUNTIFS('Leave log'!$A$7:$A$306,Employees!$A$22,'Leave log'!$B$7:$B$306,"&lt;="&amp;DATE($B$3,1,5),'Leave log'!$C$7:$C$306,"&gt;="&amp;DATE($B$3,1,5),'Leave log'!$F$7:$F$306,"Pending")&gt;0,"P",""))))</f>
        <v/>
      </c>
      <c r="G23" s="23" t="str">
        <f>IF(A23="","",IF(IF(OR(DATE($B$3,1,6)&gt;EOMONTH(DATE($B$3,1,1),0),NETWORKDAYS.INTL(DATE($B$3,1,6),DATE($B$3,1,6),1,'Non-working days'!$A$6:$A$45)=0),"",IF(COUNTIFS('Leave log'!$A$7:$A$306,Employees!$A$22,'Leave log'!$B$7:$B$306,"&lt;="&amp;DATE($B$3,1,6),'Leave log'!$C$7:$C$306,"&gt;="&amp;DATE($B$3,1,6),'Leave log'!$F$7:$F$306,"Approved")&gt;0,"A",""))="A","A",IF(OR(DATE($B$3,1,6)&gt;EOMONTH(DATE($B$3,1,1),0),NETWORKDAYS.INTL(DATE($B$3,1,6),DATE($B$3,1,6),1,'Non-working days'!$A$6:$A$45)=0),"",IF(COUNTIFS('Leave log'!$A$7:$A$306,Employees!$A$22,'Leave log'!$B$7:$B$306,"&lt;="&amp;DATE($B$3,1,6),'Leave log'!$C$7:$C$306,"&gt;="&amp;DATE($B$3,1,6),'Leave log'!$F$7:$F$306,"Pending")&gt;0,"P",""))))</f>
        <v/>
      </c>
      <c r="H23" s="23" t="str">
        <f>IF(A23="","",IF(IF(OR(DATE($B$3,1,7)&gt;EOMONTH(DATE($B$3,1,1),0),NETWORKDAYS.INTL(DATE($B$3,1,7),DATE($B$3,1,7),1,'Non-working days'!$A$6:$A$45)=0),"",IF(COUNTIFS('Leave log'!$A$7:$A$306,Employees!$A$22,'Leave log'!$B$7:$B$306,"&lt;="&amp;DATE($B$3,1,7),'Leave log'!$C$7:$C$306,"&gt;="&amp;DATE($B$3,1,7),'Leave log'!$F$7:$F$306,"Approved")&gt;0,"A",""))="A","A",IF(OR(DATE($B$3,1,7)&gt;EOMONTH(DATE($B$3,1,1),0),NETWORKDAYS.INTL(DATE($B$3,1,7),DATE($B$3,1,7),1,'Non-working days'!$A$6:$A$45)=0),"",IF(COUNTIFS('Leave log'!$A$7:$A$306,Employees!$A$22,'Leave log'!$B$7:$B$306,"&lt;="&amp;DATE($B$3,1,7),'Leave log'!$C$7:$C$306,"&gt;="&amp;DATE($B$3,1,7),'Leave log'!$F$7:$F$306,"Pending")&gt;0,"P",""))))</f>
        <v/>
      </c>
      <c r="I23" s="23" t="str">
        <f>IF(A23="","",IF(IF(OR(DATE($B$3,1,8)&gt;EOMONTH(DATE($B$3,1,1),0),NETWORKDAYS.INTL(DATE($B$3,1,8),DATE($B$3,1,8),1,'Non-working days'!$A$6:$A$45)=0),"",IF(COUNTIFS('Leave log'!$A$7:$A$306,Employees!$A$22,'Leave log'!$B$7:$B$306,"&lt;="&amp;DATE($B$3,1,8),'Leave log'!$C$7:$C$306,"&gt;="&amp;DATE($B$3,1,8),'Leave log'!$F$7:$F$306,"Approved")&gt;0,"A",""))="A","A",IF(OR(DATE($B$3,1,8)&gt;EOMONTH(DATE($B$3,1,1),0),NETWORKDAYS.INTL(DATE($B$3,1,8),DATE($B$3,1,8),1,'Non-working days'!$A$6:$A$45)=0),"",IF(COUNTIFS('Leave log'!$A$7:$A$306,Employees!$A$22,'Leave log'!$B$7:$B$306,"&lt;="&amp;DATE($B$3,1,8),'Leave log'!$C$7:$C$306,"&gt;="&amp;DATE($B$3,1,8),'Leave log'!$F$7:$F$306,"Pending")&gt;0,"P",""))))</f>
        <v/>
      </c>
      <c r="J23" s="23" t="str">
        <f>IF(A23="","",IF(IF(OR(DATE($B$3,1,9)&gt;EOMONTH(DATE($B$3,1,1),0),NETWORKDAYS.INTL(DATE($B$3,1,9),DATE($B$3,1,9),1,'Non-working days'!$A$6:$A$45)=0),"",IF(COUNTIFS('Leave log'!$A$7:$A$306,Employees!$A$22,'Leave log'!$B$7:$B$306,"&lt;="&amp;DATE($B$3,1,9),'Leave log'!$C$7:$C$306,"&gt;="&amp;DATE($B$3,1,9),'Leave log'!$F$7:$F$306,"Approved")&gt;0,"A",""))="A","A",IF(OR(DATE($B$3,1,9)&gt;EOMONTH(DATE($B$3,1,1),0),NETWORKDAYS.INTL(DATE($B$3,1,9),DATE($B$3,1,9),1,'Non-working days'!$A$6:$A$45)=0),"",IF(COUNTIFS('Leave log'!$A$7:$A$306,Employees!$A$22,'Leave log'!$B$7:$B$306,"&lt;="&amp;DATE($B$3,1,9),'Leave log'!$C$7:$C$306,"&gt;="&amp;DATE($B$3,1,9),'Leave log'!$F$7:$F$306,"Pending")&gt;0,"P",""))))</f>
        <v/>
      </c>
      <c r="K23" s="23" t="str">
        <f>IF(A23="","",IF(IF(OR(DATE($B$3,1,10)&gt;EOMONTH(DATE($B$3,1,1),0),NETWORKDAYS.INTL(DATE($B$3,1,10),DATE($B$3,1,10),1,'Non-working days'!$A$6:$A$45)=0),"",IF(COUNTIFS('Leave log'!$A$7:$A$306,Employees!$A$22,'Leave log'!$B$7:$B$306,"&lt;="&amp;DATE($B$3,1,10),'Leave log'!$C$7:$C$306,"&gt;="&amp;DATE($B$3,1,10),'Leave log'!$F$7:$F$306,"Approved")&gt;0,"A",""))="A","A",IF(OR(DATE($B$3,1,10)&gt;EOMONTH(DATE($B$3,1,1),0),NETWORKDAYS.INTL(DATE($B$3,1,10),DATE($B$3,1,10),1,'Non-working days'!$A$6:$A$45)=0),"",IF(COUNTIFS('Leave log'!$A$7:$A$306,Employees!$A$22,'Leave log'!$B$7:$B$306,"&lt;="&amp;DATE($B$3,1,10),'Leave log'!$C$7:$C$306,"&gt;="&amp;DATE($B$3,1,10),'Leave log'!$F$7:$F$306,"Pending")&gt;0,"P",""))))</f>
        <v/>
      </c>
      <c r="L23" s="23" t="str">
        <f>IF(A23="","",IF(IF(OR(DATE($B$3,1,11)&gt;EOMONTH(DATE($B$3,1,1),0),NETWORKDAYS.INTL(DATE($B$3,1,11),DATE($B$3,1,11),1,'Non-working days'!$A$6:$A$45)=0),"",IF(COUNTIFS('Leave log'!$A$7:$A$306,Employees!$A$22,'Leave log'!$B$7:$B$306,"&lt;="&amp;DATE($B$3,1,11),'Leave log'!$C$7:$C$306,"&gt;="&amp;DATE($B$3,1,11),'Leave log'!$F$7:$F$306,"Approved")&gt;0,"A",""))="A","A",IF(OR(DATE($B$3,1,11)&gt;EOMONTH(DATE($B$3,1,1),0),NETWORKDAYS.INTL(DATE($B$3,1,11),DATE($B$3,1,11),1,'Non-working days'!$A$6:$A$45)=0),"",IF(COUNTIFS('Leave log'!$A$7:$A$306,Employees!$A$22,'Leave log'!$B$7:$B$306,"&lt;="&amp;DATE($B$3,1,11),'Leave log'!$C$7:$C$306,"&gt;="&amp;DATE($B$3,1,11),'Leave log'!$F$7:$F$306,"Pending")&gt;0,"P",""))))</f>
        <v/>
      </c>
      <c r="M23" s="23" t="str">
        <f>IF(A23="","",IF(IF(OR(DATE($B$3,1,12)&gt;EOMONTH(DATE($B$3,1,1),0),NETWORKDAYS.INTL(DATE($B$3,1,12),DATE($B$3,1,12),1,'Non-working days'!$A$6:$A$45)=0),"",IF(COUNTIFS('Leave log'!$A$7:$A$306,Employees!$A$22,'Leave log'!$B$7:$B$306,"&lt;="&amp;DATE($B$3,1,12),'Leave log'!$C$7:$C$306,"&gt;="&amp;DATE($B$3,1,12),'Leave log'!$F$7:$F$306,"Approved")&gt;0,"A",""))="A","A",IF(OR(DATE($B$3,1,12)&gt;EOMONTH(DATE($B$3,1,1),0),NETWORKDAYS.INTL(DATE($B$3,1,12),DATE($B$3,1,12),1,'Non-working days'!$A$6:$A$45)=0),"",IF(COUNTIFS('Leave log'!$A$7:$A$306,Employees!$A$22,'Leave log'!$B$7:$B$306,"&lt;="&amp;DATE($B$3,1,12),'Leave log'!$C$7:$C$306,"&gt;="&amp;DATE($B$3,1,12),'Leave log'!$F$7:$F$306,"Pending")&gt;0,"P",""))))</f>
        <v/>
      </c>
      <c r="N23" s="23" t="str">
        <f>IF(A23="","",IF(IF(OR(DATE($B$3,1,13)&gt;EOMONTH(DATE($B$3,1,1),0),NETWORKDAYS.INTL(DATE($B$3,1,13),DATE($B$3,1,13),1,'Non-working days'!$A$6:$A$45)=0),"",IF(COUNTIFS('Leave log'!$A$7:$A$306,Employees!$A$22,'Leave log'!$B$7:$B$306,"&lt;="&amp;DATE($B$3,1,13),'Leave log'!$C$7:$C$306,"&gt;="&amp;DATE($B$3,1,13),'Leave log'!$F$7:$F$306,"Approved")&gt;0,"A",""))="A","A",IF(OR(DATE($B$3,1,13)&gt;EOMONTH(DATE($B$3,1,1),0),NETWORKDAYS.INTL(DATE($B$3,1,13),DATE($B$3,1,13),1,'Non-working days'!$A$6:$A$45)=0),"",IF(COUNTIFS('Leave log'!$A$7:$A$306,Employees!$A$22,'Leave log'!$B$7:$B$306,"&lt;="&amp;DATE($B$3,1,13),'Leave log'!$C$7:$C$306,"&gt;="&amp;DATE($B$3,1,13),'Leave log'!$F$7:$F$306,"Pending")&gt;0,"P",""))))</f>
        <v/>
      </c>
      <c r="O23" s="23" t="str">
        <f>IF(A23="","",IF(IF(OR(DATE($B$3,1,14)&gt;EOMONTH(DATE($B$3,1,1),0),NETWORKDAYS.INTL(DATE($B$3,1,14),DATE($B$3,1,14),1,'Non-working days'!$A$6:$A$45)=0),"",IF(COUNTIFS('Leave log'!$A$7:$A$306,Employees!$A$22,'Leave log'!$B$7:$B$306,"&lt;="&amp;DATE($B$3,1,14),'Leave log'!$C$7:$C$306,"&gt;="&amp;DATE($B$3,1,14),'Leave log'!$F$7:$F$306,"Approved")&gt;0,"A",""))="A","A",IF(OR(DATE($B$3,1,14)&gt;EOMONTH(DATE($B$3,1,1),0),NETWORKDAYS.INTL(DATE($B$3,1,14),DATE($B$3,1,14),1,'Non-working days'!$A$6:$A$45)=0),"",IF(COUNTIFS('Leave log'!$A$7:$A$306,Employees!$A$22,'Leave log'!$B$7:$B$306,"&lt;="&amp;DATE($B$3,1,14),'Leave log'!$C$7:$C$306,"&gt;="&amp;DATE($B$3,1,14),'Leave log'!$F$7:$F$306,"Pending")&gt;0,"P",""))))</f>
        <v/>
      </c>
      <c r="P23" s="23" t="str">
        <f>IF(A23="","",IF(IF(OR(DATE($B$3,1,15)&gt;EOMONTH(DATE($B$3,1,1),0),NETWORKDAYS.INTL(DATE($B$3,1,15),DATE($B$3,1,15),1,'Non-working days'!$A$6:$A$45)=0),"",IF(COUNTIFS('Leave log'!$A$7:$A$306,Employees!$A$22,'Leave log'!$B$7:$B$306,"&lt;="&amp;DATE($B$3,1,15),'Leave log'!$C$7:$C$306,"&gt;="&amp;DATE($B$3,1,15),'Leave log'!$F$7:$F$306,"Approved")&gt;0,"A",""))="A","A",IF(OR(DATE($B$3,1,15)&gt;EOMONTH(DATE($B$3,1,1),0),NETWORKDAYS.INTL(DATE($B$3,1,15),DATE($B$3,1,15),1,'Non-working days'!$A$6:$A$45)=0),"",IF(COUNTIFS('Leave log'!$A$7:$A$306,Employees!$A$22,'Leave log'!$B$7:$B$306,"&lt;="&amp;DATE($B$3,1,15),'Leave log'!$C$7:$C$306,"&gt;="&amp;DATE($B$3,1,15),'Leave log'!$F$7:$F$306,"Pending")&gt;0,"P",""))))</f>
        <v/>
      </c>
      <c r="Q23" s="23" t="str">
        <f>IF(A23="","",IF(IF(OR(DATE($B$3,1,16)&gt;EOMONTH(DATE($B$3,1,1),0),NETWORKDAYS.INTL(DATE($B$3,1,16),DATE($B$3,1,16),1,'Non-working days'!$A$6:$A$45)=0),"",IF(COUNTIFS('Leave log'!$A$7:$A$306,Employees!$A$22,'Leave log'!$B$7:$B$306,"&lt;="&amp;DATE($B$3,1,16),'Leave log'!$C$7:$C$306,"&gt;="&amp;DATE($B$3,1,16),'Leave log'!$F$7:$F$306,"Approved")&gt;0,"A",""))="A","A",IF(OR(DATE($B$3,1,16)&gt;EOMONTH(DATE($B$3,1,1),0),NETWORKDAYS.INTL(DATE($B$3,1,16),DATE($B$3,1,16),1,'Non-working days'!$A$6:$A$45)=0),"",IF(COUNTIFS('Leave log'!$A$7:$A$306,Employees!$A$22,'Leave log'!$B$7:$B$306,"&lt;="&amp;DATE($B$3,1,16),'Leave log'!$C$7:$C$306,"&gt;="&amp;DATE($B$3,1,16),'Leave log'!$F$7:$F$306,"Pending")&gt;0,"P",""))))</f>
        <v/>
      </c>
      <c r="R23" s="23" t="str">
        <f>IF(A23="","",IF(IF(OR(DATE($B$3,1,17)&gt;EOMONTH(DATE($B$3,1,1),0),NETWORKDAYS.INTL(DATE($B$3,1,17),DATE($B$3,1,17),1,'Non-working days'!$A$6:$A$45)=0),"",IF(COUNTIFS('Leave log'!$A$7:$A$306,Employees!$A$22,'Leave log'!$B$7:$B$306,"&lt;="&amp;DATE($B$3,1,17),'Leave log'!$C$7:$C$306,"&gt;="&amp;DATE($B$3,1,17),'Leave log'!$F$7:$F$306,"Approved")&gt;0,"A",""))="A","A",IF(OR(DATE($B$3,1,17)&gt;EOMONTH(DATE($B$3,1,1),0),NETWORKDAYS.INTL(DATE($B$3,1,17),DATE($B$3,1,17),1,'Non-working days'!$A$6:$A$45)=0),"",IF(COUNTIFS('Leave log'!$A$7:$A$306,Employees!$A$22,'Leave log'!$B$7:$B$306,"&lt;="&amp;DATE($B$3,1,17),'Leave log'!$C$7:$C$306,"&gt;="&amp;DATE($B$3,1,17),'Leave log'!$F$7:$F$306,"Pending")&gt;0,"P",""))))</f>
        <v/>
      </c>
      <c r="S23" s="23" t="str">
        <f>IF(A23="","",IF(IF(OR(DATE($B$3,1,18)&gt;EOMONTH(DATE($B$3,1,1),0),NETWORKDAYS.INTL(DATE($B$3,1,18),DATE($B$3,1,18),1,'Non-working days'!$A$6:$A$45)=0),"",IF(COUNTIFS('Leave log'!$A$7:$A$306,Employees!$A$22,'Leave log'!$B$7:$B$306,"&lt;="&amp;DATE($B$3,1,18),'Leave log'!$C$7:$C$306,"&gt;="&amp;DATE($B$3,1,18),'Leave log'!$F$7:$F$306,"Approved")&gt;0,"A",""))="A","A",IF(OR(DATE($B$3,1,18)&gt;EOMONTH(DATE($B$3,1,1),0),NETWORKDAYS.INTL(DATE($B$3,1,18),DATE($B$3,1,18),1,'Non-working days'!$A$6:$A$45)=0),"",IF(COUNTIFS('Leave log'!$A$7:$A$306,Employees!$A$22,'Leave log'!$B$7:$B$306,"&lt;="&amp;DATE($B$3,1,18),'Leave log'!$C$7:$C$306,"&gt;="&amp;DATE($B$3,1,18),'Leave log'!$F$7:$F$306,"Pending")&gt;0,"P",""))))</f>
        <v/>
      </c>
      <c r="T23" s="23" t="str">
        <f>IF(A23="","",IF(IF(OR(DATE($B$3,1,19)&gt;EOMONTH(DATE($B$3,1,1),0),NETWORKDAYS.INTL(DATE($B$3,1,19),DATE($B$3,1,19),1,'Non-working days'!$A$6:$A$45)=0),"",IF(COUNTIFS('Leave log'!$A$7:$A$306,Employees!$A$22,'Leave log'!$B$7:$B$306,"&lt;="&amp;DATE($B$3,1,19),'Leave log'!$C$7:$C$306,"&gt;="&amp;DATE($B$3,1,19),'Leave log'!$F$7:$F$306,"Approved")&gt;0,"A",""))="A","A",IF(OR(DATE($B$3,1,19)&gt;EOMONTH(DATE($B$3,1,1),0),NETWORKDAYS.INTL(DATE($B$3,1,19),DATE($B$3,1,19),1,'Non-working days'!$A$6:$A$45)=0),"",IF(COUNTIFS('Leave log'!$A$7:$A$306,Employees!$A$22,'Leave log'!$B$7:$B$306,"&lt;="&amp;DATE($B$3,1,19),'Leave log'!$C$7:$C$306,"&gt;="&amp;DATE($B$3,1,19),'Leave log'!$F$7:$F$306,"Pending")&gt;0,"P",""))))</f>
        <v/>
      </c>
      <c r="U23" s="23" t="str">
        <f>IF(A23="","",IF(IF(OR(DATE($B$3,1,20)&gt;EOMONTH(DATE($B$3,1,1),0),NETWORKDAYS.INTL(DATE($B$3,1,20),DATE($B$3,1,20),1,'Non-working days'!$A$6:$A$45)=0),"",IF(COUNTIFS('Leave log'!$A$7:$A$306,Employees!$A$22,'Leave log'!$B$7:$B$306,"&lt;="&amp;DATE($B$3,1,20),'Leave log'!$C$7:$C$306,"&gt;="&amp;DATE($B$3,1,20),'Leave log'!$F$7:$F$306,"Approved")&gt;0,"A",""))="A","A",IF(OR(DATE($B$3,1,20)&gt;EOMONTH(DATE($B$3,1,1),0),NETWORKDAYS.INTL(DATE($B$3,1,20),DATE($B$3,1,20),1,'Non-working days'!$A$6:$A$45)=0),"",IF(COUNTIFS('Leave log'!$A$7:$A$306,Employees!$A$22,'Leave log'!$B$7:$B$306,"&lt;="&amp;DATE($B$3,1,20),'Leave log'!$C$7:$C$306,"&gt;="&amp;DATE($B$3,1,20),'Leave log'!$F$7:$F$306,"Pending")&gt;0,"P",""))))</f>
        <v/>
      </c>
      <c r="V23" s="23" t="str">
        <f>IF(A23="","",IF(IF(OR(DATE($B$3,1,21)&gt;EOMONTH(DATE($B$3,1,1),0),NETWORKDAYS.INTL(DATE($B$3,1,21),DATE($B$3,1,21),1,'Non-working days'!$A$6:$A$45)=0),"",IF(COUNTIFS('Leave log'!$A$7:$A$306,Employees!$A$22,'Leave log'!$B$7:$B$306,"&lt;="&amp;DATE($B$3,1,21),'Leave log'!$C$7:$C$306,"&gt;="&amp;DATE($B$3,1,21),'Leave log'!$F$7:$F$306,"Approved")&gt;0,"A",""))="A","A",IF(OR(DATE($B$3,1,21)&gt;EOMONTH(DATE($B$3,1,1),0),NETWORKDAYS.INTL(DATE($B$3,1,21),DATE($B$3,1,21),1,'Non-working days'!$A$6:$A$45)=0),"",IF(COUNTIFS('Leave log'!$A$7:$A$306,Employees!$A$22,'Leave log'!$B$7:$B$306,"&lt;="&amp;DATE($B$3,1,21),'Leave log'!$C$7:$C$306,"&gt;="&amp;DATE($B$3,1,21),'Leave log'!$F$7:$F$306,"Pending")&gt;0,"P",""))))</f>
        <v/>
      </c>
      <c r="W23" s="23" t="str">
        <f>IF(A23="","",IF(IF(OR(DATE($B$3,1,22)&gt;EOMONTH(DATE($B$3,1,1),0),NETWORKDAYS.INTL(DATE($B$3,1,22),DATE($B$3,1,22),1,'Non-working days'!$A$6:$A$45)=0),"",IF(COUNTIFS('Leave log'!$A$7:$A$306,Employees!$A$22,'Leave log'!$B$7:$B$306,"&lt;="&amp;DATE($B$3,1,22),'Leave log'!$C$7:$C$306,"&gt;="&amp;DATE($B$3,1,22),'Leave log'!$F$7:$F$306,"Approved")&gt;0,"A",""))="A","A",IF(OR(DATE($B$3,1,22)&gt;EOMONTH(DATE($B$3,1,1),0),NETWORKDAYS.INTL(DATE($B$3,1,22),DATE($B$3,1,22),1,'Non-working days'!$A$6:$A$45)=0),"",IF(COUNTIFS('Leave log'!$A$7:$A$306,Employees!$A$22,'Leave log'!$B$7:$B$306,"&lt;="&amp;DATE($B$3,1,22),'Leave log'!$C$7:$C$306,"&gt;="&amp;DATE($B$3,1,22),'Leave log'!$F$7:$F$306,"Pending")&gt;0,"P",""))))</f>
        <v/>
      </c>
      <c r="X23" s="23" t="str">
        <f>IF(A23="","",IF(IF(OR(DATE($B$3,1,23)&gt;EOMONTH(DATE($B$3,1,1),0),NETWORKDAYS.INTL(DATE($B$3,1,23),DATE($B$3,1,23),1,'Non-working days'!$A$6:$A$45)=0),"",IF(COUNTIFS('Leave log'!$A$7:$A$306,Employees!$A$22,'Leave log'!$B$7:$B$306,"&lt;="&amp;DATE($B$3,1,23),'Leave log'!$C$7:$C$306,"&gt;="&amp;DATE($B$3,1,23),'Leave log'!$F$7:$F$306,"Approved")&gt;0,"A",""))="A","A",IF(OR(DATE($B$3,1,23)&gt;EOMONTH(DATE($B$3,1,1),0),NETWORKDAYS.INTL(DATE($B$3,1,23),DATE($B$3,1,23),1,'Non-working days'!$A$6:$A$45)=0),"",IF(COUNTIFS('Leave log'!$A$7:$A$306,Employees!$A$22,'Leave log'!$B$7:$B$306,"&lt;="&amp;DATE($B$3,1,23),'Leave log'!$C$7:$C$306,"&gt;="&amp;DATE($B$3,1,23),'Leave log'!$F$7:$F$306,"Pending")&gt;0,"P",""))))</f>
        <v/>
      </c>
      <c r="Y23" s="23" t="str">
        <f>IF(A23="","",IF(IF(OR(DATE($B$3,1,24)&gt;EOMONTH(DATE($B$3,1,1),0),NETWORKDAYS.INTL(DATE($B$3,1,24),DATE($B$3,1,24),1,'Non-working days'!$A$6:$A$45)=0),"",IF(COUNTIFS('Leave log'!$A$7:$A$306,Employees!$A$22,'Leave log'!$B$7:$B$306,"&lt;="&amp;DATE($B$3,1,24),'Leave log'!$C$7:$C$306,"&gt;="&amp;DATE($B$3,1,24),'Leave log'!$F$7:$F$306,"Approved")&gt;0,"A",""))="A","A",IF(OR(DATE($B$3,1,24)&gt;EOMONTH(DATE($B$3,1,1),0),NETWORKDAYS.INTL(DATE($B$3,1,24),DATE($B$3,1,24),1,'Non-working days'!$A$6:$A$45)=0),"",IF(COUNTIFS('Leave log'!$A$7:$A$306,Employees!$A$22,'Leave log'!$B$7:$B$306,"&lt;="&amp;DATE($B$3,1,24),'Leave log'!$C$7:$C$306,"&gt;="&amp;DATE($B$3,1,24),'Leave log'!$F$7:$F$306,"Pending")&gt;0,"P",""))))</f>
        <v/>
      </c>
      <c r="Z23" s="23" t="str">
        <f>IF(A23="","",IF(IF(OR(DATE($B$3,1,25)&gt;EOMONTH(DATE($B$3,1,1),0),NETWORKDAYS.INTL(DATE($B$3,1,25),DATE($B$3,1,25),1,'Non-working days'!$A$6:$A$45)=0),"",IF(COUNTIFS('Leave log'!$A$7:$A$306,Employees!$A$22,'Leave log'!$B$7:$B$306,"&lt;="&amp;DATE($B$3,1,25),'Leave log'!$C$7:$C$306,"&gt;="&amp;DATE($B$3,1,25),'Leave log'!$F$7:$F$306,"Approved")&gt;0,"A",""))="A","A",IF(OR(DATE($B$3,1,25)&gt;EOMONTH(DATE($B$3,1,1),0),NETWORKDAYS.INTL(DATE($B$3,1,25),DATE($B$3,1,25),1,'Non-working days'!$A$6:$A$45)=0),"",IF(COUNTIFS('Leave log'!$A$7:$A$306,Employees!$A$22,'Leave log'!$B$7:$B$306,"&lt;="&amp;DATE($B$3,1,25),'Leave log'!$C$7:$C$306,"&gt;="&amp;DATE($B$3,1,25),'Leave log'!$F$7:$F$306,"Pending")&gt;0,"P",""))))</f>
        <v/>
      </c>
      <c r="AA23" s="23" t="str">
        <f>IF(A23="","",IF(IF(OR(DATE($B$3,1,26)&gt;EOMONTH(DATE($B$3,1,1),0),NETWORKDAYS.INTL(DATE($B$3,1,26),DATE($B$3,1,26),1,'Non-working days'!$A$6:$A$45)=0),"",IF(COUNTIFS('Leave log'!$A$7:$A$306,Employees!$A$22,'Leave log'!$B$7:$B$306,"&lt;="&amp;DATE($B$3,1,26),'Leave log'!$C$7:$C$306,"&gt;="&amp;DATE($B$3,1,26),'Leave log'!$F$7:$F$306,"Approved")&gt;0,"A",""))="A","A",IF(OR(DATE($B$3,1,26)&gt;EOMONTH(DATE($B$3,1,1),0),NETWORKDAYS.INTL(DATE($B$3,1,26),DATE($B$3,1,26),1,'Non-working days'!$A$6:$A$45)=0),"",IF(COUNTIFS('Leave log'!$A$7:$A$306,Employees!$A$22,'Leave log'!$B$7:$B$306,"&lt;="&amp;DATE($B$3,1,26),'Leave log'!$C$7:$C$306,"&gt;="&amp;DATE($B$3,1,26),'Leave log'!$F$7:$F$306,"Pending")&gt;0,"P",""))))</f>
        <v/>
      </c>
      <c r="AB23" s="23" t="str">
        <f>IF(A23="","",IF(IF(OR(DATE($B$3,1,27)&gt;EOMONTH(DATE($B$3,1,1),0),NETWORKDAYS.INTL(DATE($B$3,1,27),DATE($B$3,1,27),1,'Non-working days'!$A$6:$A$45)=0),"",IF(COUNTIFS('Leave log'!$A$7:$A$306,Employees!$A$22,'Leave log'!$B$7:$B$306,"&lt;="&amp;DATE($B$3,1,27),'Leave log'!$C$7:$C$306,"&gt;="&amp;DATE($B$3,1,27),'Leave log'!$F$7:$F$306,"Approved")&gt;0,"A",""))="A","A",IF(OR(DATE($B$3,1,27)&gt;EOMONTH(DATE($B$3,1,1),0),NETWORKDAYS.INTL(DATE($B$3,1,27),DATE($B$3,1,27),1,'Non-working days'!$A$6:$A$45)=0),"",IF(COUNTIFS('Leave log'!$A$7:$A$306,Employees!$A$22,'Leave log'!$B$7:$B$306,"&lt;="&amp;DATE($B$3,1,27),'Leave log'!$C$7:$C$306,"&gt;="&amp;DATE($B$3,1,27),'Leave log'!$F$7:$F$306,"Pending")&gt;0,"P",""))))</f>
        <v/>
      </c>
      <c r="AC23" s="23" t="str">
        <f>IF(A23="","",IF(IF(OR(DATE($B$3,1,28)&gt;EOMONTH(DATE($B$3,1,1),0),NETWORKDAYS.INTL(DATE($B$3,1,28),DATE($B$3,1,28),1,'Non-working days'!$A$6:$A$45)=0),"",IF(COUNTIFS('Leave log'!$A$7:$A$306,Employees!$A$22,'Leave log'!$B$7:$B$306,"&lt;="&amp;DATE($B$3,1,28),'Leave log'!$C$7:$C$306,"&gt;="&amp;DATE($B$3,1,28),'Leave log'!$F$7:$F$306,"Approved")&gt;0,"A",""))="A","A",IF(OR(DATE($B$3,1,28)&gt;EOMONTH(DATE($B$3,1,1),0),NETWORKDAYS.INTL(DATE($B$3,1,28),DATE($B$3,1,28),1,'Non-working days'!$A$6:$A$45)=0),"",IF(COUNTIFS('Leave log'!$A$7:$A$306,Employees!$A$22,'Leave log'!$B$7:$B$306,"&lt;="&amp;DATE($B$3,1,28),'Leave log'!$C$7:$C$306,"&gt;="&amp;DATE($B$3,1,28),'Leave log'!$F$7:$F$306,"Pending")&gt;0,"P",""))))</f>
        <v/>
      </c>
      <c r="AD23" s="23" t="str">
        <f>IF(A23="","",IF(IF(OR(DATE($B$3,1,29)&gt;EOMONTH(DATE($B$3,1,1),0),NETWORKDAYS.INTL(DATE($B$3,1,29),DATE($B$3,1,29),1,'Non-working days'!$A$6:$A$45)=0),"",IF(COUNTIFS('Leave log'!$A$7:$A$306,Employees!$A$22,'Leave log'!$B$7:$B$306,"&lt;="&amp;DATE($B$3,1,29),'Leave log'!$C$7:$C$306,"&gt;="&amp;DATE($B$3,1,29),'Leave log'!$F$7:$F$306,"Approved")&gt;0,"A",""))="A","A",IF(OR(DATE($B$3,1,29)&gt;EOMONTH(DATE($B$3,1,1),0),NETWORKDAYS.INTL(DATE($B$3,1,29),DATE($B$3,1,29),1,'Non-working days'!$A$6:$A$45)=0),"",IF(COUNTIFS('Leave log'!$A$7:$A$306,Employees!$A$22,'Leave log'!$B$7:$B$306,"&lt;="&amp;DATE($B$3,1,29),'Leave log'!$C$7:$C$306,"&gt;="&amp;DATE($B$3,1,29),'Leave log'!$F$7:$F$306,"Pending")&gt;0,"P",""))))</f>
        <v/>
      </c>
      <c r="AE23" s="23" t="str">
        <f>IF(A23="","",IF(IF(OR(DATE($B$3,1,30)&gt;EOMONTH(DATE($B$3,1,1),0),NETWORKDAYS.INTL(DATE($B$3,1,30),DATE($B$3,1,30),1,'Non-working days'!$A$6:$A$45)=0),"",IF(COUNTIFS('Leave log'!$A$7:$A$306,Employees!$A$22,'Leave log'!$B$7:$B$306,"&lt;="&amp;DATE($B$3,1,30),'Leave log'!$C$7:$C$306,"&gt;="&amp;DATE($B$3,1,30),'Leave log'!$F$7:$F$306,"Approved")&gt;0,"A",""))="A","A",IF(OR(DATE($B$3,1,30)&gt;EOMONTH(DATE($B$3,1,1),0),NETWORKDAYS.INTL(DATE($B$3,1,30),DATE($B$3,1,30),1,'Non-working days'!$A$6:$A$45)=0),"",IF(COUNTIFS('Leave log'!$A$7:$A$306,Employees!$A$22,'Leave log'!$B$7:$B$306,"&lt;="&amp;DATE($B$3,1,30),'Leave log'!$C$7:$C$306,"&gt;="&amp;DATE($B$3,1,30),'Leave log'!$F$7:$F$306,"Pending")&gt;0,"P",""))))</f>
        <v/>
      </c>
      <c r="AF23" s="23" t="str">
        <f>IF(A23="","",IF(IF(OR(DATE($B$3,1,31)&gt;EOMONTH(DATE($B$3,1,1),0),NETWORKDAYS.INTL(DATE($B$3,1,31),DATE($B$3,1,31),1,'Non-working days'!$A$6:$A$45)=0),"",IF(COUNTIFS('Leave log'!$A$7:$A$306,Employees!$A$22,'Leave log'!$B$7:$B$306,"&lt;="&amp;DATE($B$3,1,31),'Leave log'!$C$7:$C$306,"&gt;="&amp;DATE($B$3,1,31),'Leave log'!$F$7:$F$306,"Approved")&gt;0,"A",""))="A","A",IF(OR(DATE($B$3,1,31)&gt;EOMONTH(DATE($B$3,1,1),0),NETWORKDAYS.INTL(DATE($B$3,1,31),DATE($B$3,1,31),1,'Non-working days'!$A$6:$A$45)=0),"",IF(COUNTIFS('Leave log'!$A$7:$A$306,Employees!$A$22,'Leave log'!$B$7:$B$306,"&lt;="&amp;DATE($B$3,1,31),'Leave log'!$C$7:$C$306,"&gt;="&amp;DATE($B$3,1,31),'Leave log'!$F$7:$F$306,"Pending")&gt;0,"P",""))))</f>
        <v/>
      </c>
    </row>
    <row r="24" spans="1:32" ht="18" customHeight="1" x14ac:dyDescent="0.3">
      <c r="A24" s="22" t="str">
        <f>IF(Employees!F23="Yes",Employees!B23,"")</f>
        <v/>
      </c>
      <c r="B24" s="23" t="str">
        <f>IF(A24="","",IF(IF(OR(DATE($B$3,1,1)&gt;EOMONTH(DATE($B$3,1,1),0),NETWORKDAYS.INTL(DATE($B$3,1,1),DATE($B$3,1,1),1,'Non-working days'!$A$6:$A$45)=0),"",IF(COUNTIFS('Leave log'!$A$7:$A$306,Employees!$A$23,'Leave log'!$B$7:$B$306,"&lt;="&amp;DATE($B$3,1,1),'Leave log'!$C$7:$C$306,"&gt;="&amp;DATE($B$3,1,1),'Leave log'!$F$7:$F$306,"Approved")&gt;0,"A",""))="A","A",IF(OR(DATE($B$3,1,1)&gt;EOMONTH(DATE($B$3,1,1),0),NETWORKDAYS.INTL(DATE($B$3,1,1),DATE($B$3,1,1),1,'Non-working days'!$A$6:$A$45)=0),"",IF(COUNTIFS('Leave log'!$A$7:$A$306,Employees!$A$23,'Leave log'!$B$7:$B$306,"&lt;="&amp;DATE($B$3,1,1),'Leave log'!$C$7:$C$306,"&gt;="&amp;DATE($B$3,1,1),'Leave log'!$F$7:$F$306,"Pending")&gt;0,"P",""))))</f>
        <v/>
      </c>
      <c r="C24" s="23" t="str">
        <f>IF(A24="","",IF(IF(OR(DATE($B$3,1,2)&gt;EOMONTH(DATE($B$3,1,1),0),NETWORKDAYS.INTL(DATE($B$3,1,2),DATE($B$3,1,2),1,'Non-working days'!$A$6:$A$45)=0),"",IF(COUNTIFS('Leave log'!$A$7:$A$306,Employees!$A$23,'Leave log'!$B$7:$B$306,"&lt;="&amp;DATE($B$3,1,2),'Leave log'!$C$7:$C$306,"&gt;="&amp;DATE($B$3,1,2),'Leave log'!$F$7:$F$306,"Approved")&gt;0,"A",""))="A","A",IF(OR(DATE($B$3,1,2)&gt;EOMONTH(DATE($B$3,1,1),0),NETWORKDAYS.INTL(DATE($B$3,1,2),DATE($B$3,1,2),1,'Non-working days'!$A$6:$A$45)=0),"",IF(COUNTIFS('Leave log'!$A$7:$A$306,Employees!$A$23,'Leave log'!$B$7:$B$306,"&lt;="&amp;DATE($B$3,1,2),'Leave log'!$C$7:$C$306,"&gt;="&amp;DATE($B$3,1,2),'Leave log'!$F$7:$F$306,"Pending")&gt;0,"P",""))))</f>
        <v/>
      </c>
      <c r="D24" s="23" t="str">
        <f>IF(A24="","",IF(IF(OR(DATE($B$3,1,3)&gt;EOMONTH(DATE($B$3,1,1),0),NETWORKDAYS.INTL(DATE($B$3,1,3),DATE($B$3,1,3),1,'Non-working days'!$A$6:$A$45)=0),"",IF(COUNTIFS('Leave log'!$A$7:$A$306,Employees!$A$23,'Leave log'!$B$7:$B$306,"&lt;="&amp;DATE($B$3,1,3),'Leave log'!$C$7:$C$306,"&gt;="&amp;DATE($B$3,1,3),'Leave log'!$F$7:$F$306,"Approved")&gt;0,"A",""))="A","A",IF(OR(DATE($B$3,1,3)&gt;EOMONTH(DATE($B$3,1,1),0),NETWORKDAYS.INTL(DATE($B$3,1,3),DATE($B$3,1,3),1,'Non-working days'!$A$6:$A$45)=0),"",IF(COUNTIFS('Leave log'!$A$7:$A$306,Employees!$A$23,'Leave log'!$B$7:$B$306,"&lt;="&amp;DATE($B$3,1,3),'Leave log'!$C$7:$C$306,"&gt;="&amp;DATE($B$3,1,3),'Leave log'!$F$7:$F$306,"Pending")&gt;0,"P",""))))</f>
        <v/>
      </c>
      <c r="E24" s="23" t="str">
        <f>IF(A24="","",IF(IF(OR(DATE($B$3,1,4)&gt;EOMONTH(DATE($B$3,1,1),0),NETWORKDAYS.INTL(DATE($B$3,1,4),DATE($B$3,1,4),1,'Non-working days'!$A$6:$A$45)=0),"",IF(COUNTIFS('Leave log'!$A$7:$A$306,Employees!$A$23,'Leave log'!$B$7:$B$306,"&lt;="&amp;DATE($B$3,1,4),'Leave log'!$C$7:$C$306,"&gt;="&amp;DATE($B$3,1,4),'Leave log'!$F$7:$F$306,"Approved")&gt;0,"A",""))="A","A",IF(OR(DATE($B$3,1,4)&gt;EOMONTH(DATE($B$3,1,1),0),NETWORKDAYS.INTL(DATE($B$3,1,4),DATE($B$3,1,4),1,'Non-working days'!$A$6:$A$45)=0),"",IF(COUNTIFS('Leave log'!$A$7:$A$306,Employees!$A$23,'Leave log'!$B$7:$B$306,"&lt;="&amp;DATE($B$3,1,4),'Leave log'!$C$7:$C$306,"&gt;="&amp;DATE($B$3,1,4),'Leave log'!$F$7:$F$306,"Pending")&gt;0,"P",""))))</f>
        <v/>
      </c>
      <c r="F24" s="23" t="str">
        <f>IF(A24="","",IF(IF(OR(DATE($B$3,1,5)&gt;EOMONTH(DATE($B$3,1,1),0),NETWORKDAYS.INTL(DATE($B$3,1,5),DATE($B$3,1,5),1,'Non-working days'!$A$6:$A$45)=0),"",IF(COUNTIFS('Leave log'!$A$7:$A$306,Employees!$A$23,'Leave log'!$B$7:$B$306,"&lt;="&amp;DATE($B$3,1,5),'Leave log'!$C$7:$C$306,"&gt;="&amp;DATE($B$3,1,5),'Leave log'!$F$7:$F$306,"Approved")&gt;0,"A",""))="A","A",IF(OR(DATE($B$3,1,5)&gt;EOMONTH(DATE($B$3,1,1),0),NETWORKDAYS.INTL(DATE($B$3,1,5),DATE($B$3,1,5),1,'Non-working days'!$A$6:$A$45)=0),"",IF(COUNTIFS('Leave log'!$A$7:$A$306,Employees!$A$23,'Leave log'!$B$7:$B$306,"&lt;="&amp;DATE($B$3,1,5),'Leave log'!$C$7:$C$306,"&gt;="&amp;DATE($B$3,1,5),'Leave log'!$F$7:$F$306,"Pending")&gt;0,"P",""))))</f>
        <v/>
      </c>
      <c r="G24" s="23" t="str">
        <f>IF(A24="","",IF(IF(OR(DATE($B$3,1,6)&gt;EOMONTH(DATE($B$3,1,1),0),NETWORKDAYS.INTL(DATE($B$3,1,6),DATE($B$3,1,6),1,'Non-working days'!$A$6:$A$45)=0),"",IF(COUNTIFS('Leave log'!$A$7:$A$306,Employees!$A$23,'Leave log'!$B$7:$B$306,"&lt;="&amp;DATE($B$3,1,6),'Leave log'!$C$7:$C$306,"&gt;="&amp;DATE($B$3,1,6),'Leave log'!$F$7:$F$306,"Approved")&gt;0,"A",""))="A","A",IF(OR(DATE($B$3,1,6)&gt;EOMONTH(DATE($B$3,1,1),0),NETWORKDAYS.INTL(DATE($B$3,1,6),DATE($B$3,1,6),1,'Non-working days'!$A$6:$A$45)=0),"",IF(COUNTIFS('Leave log'!$A$7:$A$306,Employees!$A$23,'Leave log'!$B$7:$B$306,"&lt;="&amp;DATE($B$3,1,6),'Leave log'!$C$7:$C$306,"&gt;="&amp;DATE($B$3,1,6),'Leave log'!$F$7:$F$306,"Pending")&gt;0,"P",""))))</f>
        <v/>
      </c>
      <c r="H24" s="23" t="str">
        <f>IF(A24="","",IF(IF(OR(DATE($B$3,1,7)&gt;EOMONTH(DATE($B$3,1,1),0),NETWORKDAYS.INTL(DATE($B$3,1,7),DATE($B$3,1,7),1,'Non-working days'!$A$6:$A$45)=0),"",IF(COUNTIFS('Leave log'!$A$7:$A$306,Employees!$A$23,'Leave log'!$B$7:$B$306,"&lt;="&amp;DATE($B$3,1,7),'Leave log'!$C$7:$C$306,"&gt;="&amp;DATE($B$3,1,7),'Leave log'!$F$7:$F$306,"Approved")&gt;0,"A",""))="A","A",IF(OR(DATE($B$3,1,7)&gt;EOMONTH(DATE($B$3,1,1),0),NETWORKDAYS.INTL(DATE($B$3,1,7),DATE($B$3,1,7),1,'Non-working days'!$A$6:$A$45)=0),"",IF(COUNTIFS('Leave log'!$A$7:$A$306,Employees!$A$23,'Leave log'!$B$7:$B$306,"&lt;="&amp;DATE($B$3,1,7),'Leave log'!$C$7:$C$306,"&gt;="&amp;DATE($B$3,1,7),'Leave log'!$F$7:$F$306,"Pending")&gt;0,"P",""))))</f>
        <v/>
      </c>
      <c r="I24" s="23" t="str">
        <f>IF(A24="","",IF(IF(OR(DATE($B$3,1,8)&gt;EOMONTH(DATE($B$3,1,1),0),NETWORKDAYS.INTL(DATE($B$3,1,8),DATE($B$3,1,8),1,'Non-working days'!$A$6:$A$45)=0),"",IF(COUNTIFS('Leave log'!$A$7:$A$306,Employees!$A$23,'Leave log'!$B$7:$B$306,"&lt;="&amp;DATE($B$3,1,8),'Leave log'!$C$7:$C$306,"&gt;="&amp;DATE($B$3,1,8),'Leave log'!$F$7:$F$306,"Approved")&gt;0,"A",""))="A","A",IF(OR(DATE($B$3,1,8)&gt;EOMONTH(DATE($B$3,1,1),0),NETWORKDAYS.INTL(DATE($B$3,1,8),DATE($B$3,1,8),1,'Non-working days'!$A$6:$A$45)=0),"",IF(COUNTIFS('Leave log'!$A$7:$A$306,Employees!$A$23,'Leave log'!$B$7:$B$306,"&lt;="&amp;DATE($B$3,1,8),'Leave log'!$C$7:$C$306,"&gt;="&amp;DATE($B$3,1,8),'Leave log'!$F$7:$F$306,"Pending")&gt;0,"P",""))))</f>
        <v/>
      </c>
      <c r="J24" s="23" t="str">
        <f>IF(A24="","",IF(IF(OR(DATE($B$3,1,9)&gt;EOMONTH(DATE($B$3,1,1),0),NETWORKDAYS.INTL(DATE($B$3,1,9),DATE($B$3,1,9),1,'Non-working days'!$A$6:$A$45)=0),"",IF(COUNTIFS('Leave log'!$A$7:$A$306,Employees!$A$23,'Leave log'!$B$7:$B$306,"&lt;="&amp;DATE($B$3,1,9),'Leave log'!$C$7:$C$306,"&gt;="&amp;DATE($B$3,1,9),'Leave log'!$F$7:$F$306,"Approved")&gt;0,"A",""))="A","A",IF(OR(DATE($B$3,1,9)&gt;EOMONTH(DATE($B$3,1,1),0),NETWORKDAYS.INTL(DATE($B$3,1,9),DATE($B$3,1,9),1,'Non-working days'!$A$6:$A$45)=0),"",IF(COUNTIFS('Leave log'!$A$7:$A$306,Employees!$A$23,'Leave log'!$B$7:$B$306,"&lt;="&amp;DATE($B$3,1,9),'Leave log'!$C$7:$C$306,"&gt;="&amp;DATE($B$3,1,9),'Leave log'!$F$7:$F$306,"Pending")&gt;0,"P",""))))</f>
        <v/>
      </c>
      <c r="K24" s="23" t="str">
        <f>IF(A24="","",IF(IF(OR(DATE($B$3,1,10)&gt;EOMONTH(DATE($B$3,1,1),0),NETWORKDAYS.INTL(DATE($B$3,1,10),DATE($B$3,1,10),1,'Non-working days'!$A$6:$A$45)=0),"",IF(COUNTIFS('Leave log'!$A$7:$A$306,Employees!$A$23,'Leave log'!$B$7:$B$306,"&lt;="&amp;DATE($B$3,1,10),'Leave log'!$C$7:$C$306,"&gt;="&amp;DATE($B$3,1,10),'Leave log'!$F$7:$F$306,"Approved")&gt;0,"A",""))="A","A",IF(OR(DATE($B$3,1,10)&gt;EOMONTH(DATE($B$3,1,1),0),NETWORKDAYS.INTL(DATE($B$3,1,10),DATE($B$3,1,10),1,'Non-working days'!$A$6:$A$45)=0),"",IF(COUNTIFS('Leave log'!$A$7:$A$306,Employees!$A$23,'Leave log'!$B$7:$B$306,"&lt;="&amp;DATE($B$3,1,10),'Leave log'!$C$7:$C$306,"&gt;="&amp;DATE($B$3,1,10),'Leave log'!$F$7:$F$306,"Pending")&gt;0,"P",""))))</f>
        <v/>
      </c>
      <c r="L24" s="23" t="str">
        <f>IF(A24="","",IF(IF(OR(DATE($B$3,1,11)&gt;EOMONTH(DATE($B$3,1,1),0),NETWORKDAYS.INTL(DATE($B$3,1,11),DATE($B$3,1,11),1,'Non-working days'!$A$6:$A$45)=0),"",IF(COUNTIFS('Leave log'!$A$7:$A$306,Employees!$A$23,'Leave log'!$B$7:$B$306,"&lt;="&amp;DATE($B$3,1,11),'Leave log'!$C$7:$C$306,"&gt;="&amp;DATE($B$3,1,11),'Leave log'!$F$7:$F$306,"Approved")&gt;0,"A",""))="A","A",IF(OR(DATE($B$3,1,11)&gt;EOMONTH(DATE($B$3,1,1),0),NETWORKDAYS.INTL(DATE($B$3,1,11),DATE($B$3,1,11),1,'Non-working days'!$A$6:$A$45)=0),"",IF(COUNTIFS('Leave log'!$A$7:$A$306,Employees!$A$23,'Leave log'!$B$7:$B$306,"&lt;="&amp;DATE($B$3,1,11),'Leave log'!$C$7:$C$306,"&gt;="&amp;DATE($B$3,1,11),'Leave log'!$F$7:$F$306,"Pending")&gt;0,"P",""))))</f>
        <v/>
      </c>
      <c r="M24" s="23" t="str">
        <f>IF(A24="","",IF(IF(OR(DATE($B$3,1,12)&gt;EOMONTH(DATE($B$3,1,1),0),NETWORKDAYS.INTL(DATE($B$3,1,12),DATE($B$3,1,12),1,'Non-working days'!$A$6:$A$45)=0),"",IF(COUNTIFS('Leave log'!$A$7:$A$306,Employees!$A$23,'Leave log'!$B$7:$B$306,"&lt;="&amp;DATE($B$3,1,12),'Leave log'!$C$7:$C$306,"&gt;="&amp;DATE($B$3,1,12),'Leave log'!$F$7:$F$306,"Approved")&gt;0,"A",""))="A","A",IF(OR(DATE($B$3,1,12)&gt;EOMONTH(DATE($B$3,1,1),0),NETWORKDAYS.INTL(DATE($B$3,1,12),DATE($B$3,1,12),1,'Non-working days'!$A$6:$A$45)=0),"",IF(COUNTIFS('Leave log'!$A$7:$A$306,Employees!$A$23,'Leave log'!$B$7:$B$306,"&lt;="&amp;DATE($B$3,1,12),'Leave log'!$C$7:$C$306,"&gt;="&amp;DATE($B$3,1,12),'Leave log'!$F$7:$F$306,"Pending")&gt;0,"P",""))))</f>
        <v/>
      </c>
      <c r="N24" s="23" t="str">
        <f>IF(A24="","",IF(IF(OR(DATE($B$3,1,13)&gt;EOMONTH(DATE($B$3,1,1),0),NETWORKDAYS.INTL(DATE($B$3,1,13),DATE($B$3,1,13),1,'Non-working days'!$A$6:$A$45)=0),"",IF(COUNTIFS('Leave log'!$A$7:$A$306,Employees!$A$23,'Leave log'!$B$7:$B$306,"&lt;="&amp;DATE($B$3,1,13),'Leave log'!$C$7:$C$306,"&gt;="&amp;DATE($B$3,1,13),'Leave log'!$F$7:$F$306,"Approved")&gt;0,"A",""))="A","A",IF(OR(DATE($B$3,1,13)&gt;EOMONTH(DATE($B$3,1,1),0),NETWORKDAYS.INTL(DATE($B$3,1,13),DATE($B$3,1,13),1,'Non-working days'!$A$6:$A$45)=0),"",IF(COUNTIFS('Leave log'!$A$7:$A$306,Employees!$A$23,'Leave log'!$B$7:$B$306,"&lt;="&amp;DATE($B$3,1,13),'Leave log'!$C$7:$C$306,"&gt;="&amp;DATE($B$3,1,13),'Leave log'!$F$7:$F$306,"Pending")&gt;0,"P",""))))</f>
        <v/>
      </c>
      <c r="O24" s="23" t="str">
        <f>IF(A24="","",IF(IF(OR(DATE($B$3,1,14)&gt;EOMONTH(DATE($B$3,1,1),0),NETWORKDAYS.INTL(DATE($B$3,1,14),DATE($B$3,1,14),1,'Non-working days'!$A$6:$A$45)=0),"",IF(COUNTIFS('Leave log'!$A$7:$A$306,Employees!$A$23,'Leave log'!$B$7:$B$306,"&lt;="&amp;DATE($B$3,1,14),'Leave log'!$C$7:$C$306,"&gt;="&amp;DATE($B$3,1,14),'Leave log'!$F$7:$F$306,"Approved")&gt;0,"A",""))="A","A",IF(OR(DATE($B$3,1,14)&gt;EOMONTH(DATE($B$3,1,1),0),NETWORKDAYS.INTL(DATE($B$3,1,14),DATE($B$3,1,14),1,'Non-working days'!$A$6:$A$45)=0),"",IF(COUNTIFS('Leave log'!$A$7:$A$306,Employees!$A$23,'Leave log'!$B$7:$B$306,"&lt;="&amp;DATE($B$3,1,14),'Leave log'!$C$7:$C$306,"&gt;="&amp;DATE($B$3,1,14),'Leave log'!$F$7:$F$306,"Pending")&gt;0,"P",""))))</f>
        <v/>
      </c>
      <c r="P24" s="23" t="str">
        <f>IF(A24="","",IF(IF(OR(DATE($B$3,1,15)&gt;EOMONTH(DATE($B$3,1,1),0),NETWORKDAYS.INTL(DATE($B$3,1,15),DATE($B$3,1,15),1,'Non-working days'!$A$6:$A$45)=0),"",IF(COUNTIFS('Leave log'!$A$7:$A$306,Employees!$A$23,'Leave log'!$B$7:$B$306,"&lt;="&amp;DATE($B$3,1,15),'Leave log'!$C$7:$C$306,"&gt;="&amp;DATE($B$3,1,15),'Leave log'!$F$7:$F$306,"Approved")&gt;0,"A",""))="A","A",IF(OR(DATE($B$3,1,15)&gt;EOMONTH(DATE($B$3,1,1),0),NETWORKDAYS.INTL(DATE($B$3,1,15),DATE($B$3,1,15),1,'Non-working days'!$A$6:$A$45)=0),"",IF(COUNTIFS('Leave log'!$A$7:$A$306,Employees!$A$23,'Leave log'!$B$7:$B$306,"&lt;="&amp;DATE($B$3,1,15),'Leave log'!$C$7:$C$306,"&gt;="&amp;DATE($B$3,1,15),'Leave log'!$F$7:$F$306,"Pending")&gt;0,"P",""))))</f>
        <v/>
      </c>
      <c r="Q24" s="23" t="str">
        <f>IF(A24="","",IF(IF(OR(DATE($B$3,1,16)&gt;EOMONTH(DATE($B$3,1,1),0),NETWORKDAYS.INTL(DATE($B$3,1,16),DATE($B$3,1,16),1,'Non-working days'!$A$6:$A$45)=0),"",IF(COUNTIFS('Leave log'!$A$7:$A$306,Employees!$A$23,'Leave log'!$B$7:$B$306,"&lt;="&amp;DATE($B$3,1,16),'Leave log'!$C$7:$C$306,"&gt;="&amp;DATE($B$3,1,16),'Leave log'!$F$7:$F$306,"Approved")&gt;0,"A",""))="A","A",IF(OR(DATE($B$3,1,16)&gt;EOMONTH(DATE($B$3,1,1),0),NETWORKDAYS.INTL(DATE($B$3,1,16),DATE($B$3,1,16),1,'Non-working days'!$A$6:$A$45)=0),"",IF(COUNTIFS('Leave log'!$A$7:$A$306,Employees!$A$23,'Leave log'!$B$7:$B$306,"&lt;="&amp;DATE($B$3,1,16),'Leave log'!$C$7:$C$306,"&gt;="&amp;DATE($B$3,1,16),'Leave log'!$F$7:$F$306,"Pending")&gt;0,"P",""))))</f>
        <v/>
      </c>
      <c r="R24" s="23" t="str">
        <f>IF(A24="","",IF(IF(OR(DATE($B$3,1,17)&gt;EOMONTH(DATE($B$3,1,1),0),NETWORKDAYS.INTL(DATE($B$3,1,17),DATE($B$3,1,17),1,'Non-working days'!$A$6:$A$45)=0),"",IF(COUNTIFS('Leave log'!$A$7:$A$306,Employees!$A$23,'Leave log'!$B$7:$B$306,"&lt;="&amp;DATE($B$3,1,17),'Leave log'!$C$7:$C$306,"&gt;="&amp;DATE($B$3,1,17),'Leave log'!$F$7:$F$306,"Approved")&gt;0,"A",""))="A","A",IF(OR(DATE($B$3,1,17)&gt;EOMONTH(DATE($B$3,1,1),0),NETWORKDAYS.INTL(DATE($B$3,1,17),DATE($B$3,1,17),1,'Non-working days'!$A$6:$A$45)=0),"",IF(COUNTIFS('Leave log'!$A$7:$A$306,Employees!$A$23,'Leave log'!$B$7:$B$306,"&lt;="&amp;DATE($B$3,1,17),'Leave log'!$C$7:$C$306,"&gt;="&amp;DATE($B$3,1,17),'Leave log'!$F$7:$F$306,"Pending")&gt;0,"P",""))))</f>
        <v/>
      </c>
      <c r="S24" s="23" t="str">
        <f>IF(A24="","",IF(IF(OR(DATE($B$3,1,18)&gt;EOMONTH(DATE($B$3,1,1),0),NETWORKDAYS.INTL(DATE($B$3,1,18),DATE($B$3,1,18),1,'Non-working days'!$A$6:$A$45)=0),"",IF(COUNTIFS('Leave log'!$A$7:$A$306,Employees!$A$23,'Leave log'!$B$7:$B$306,"&lt;="&amp;DATE($B$3,1,18),'Leave log'!$C$7:$C$306,"&gt;="&amp;DATE($B$3,1,18),'Leave log'!$F$7:$F$306,"Approved")&gt;0,"A",""))="A","A",IF(OR(DATE($B$3,1,18)&gt;EOMONTH(DATE($B$3,1,1),0),NETWORKDAYS.INTL(DATE($B$3,1,18),DATE($B$3,1,18),1,'Non-working days'!$A$6:$A$45)=0),"",IF(COUNTIFS('Leave log'!$A$7:$A$306,Employees!$A$23,'Leave log'!$B$7:$B$306,"&lt;="&amp;DATE($B$3,1,18),'Leave log'!$C$7:$C$306,"&gt;="&amp;DATE($B$3,1,18),'Leave log'!$F$7:$F$306,"Pending")&gt;0,"P",""))))</f>
        <v/>
      </c>
      <c r="T24" s="23" t="str">
        <f>IF(A24="","",IF(IF(OR(DATE($B$3,1,19)&gt;EOMONTH(DATE($B$3,1,1),0),NETWORKDAYS.INTL(DATE($B$3,1,19),DATE($B$3,1,19),1,'Non-working days'!$A$6:$A$45)=0),"",IF(COUNTIFS('Leave log'!$A$7:$A$306,Employees!$A$23,'Leave log'!$B$7:$B$306,"&lt;="&amp;DATE($B$3,1,19),'Leave log'!$C$7:$C$306,"&gt;="&amp;DATE($B$3,1,19),'Leave log'!$F$7:$F$306,"Approved")&gt;0,"A",""))="A","A",IF(OR(DATE($B$3,1,19)&gt;EOMONTH(DATE($B$3,1,1),0),NETWORKDAYS.INTL(DATE($B$3,1,19),DATE($B$3,1,19),1,'Non-working days'!$A$6:$A$45)=0),"",IF(COUNTIFS('Leave log'!$A$7:$A$306,Employees!$A$23,'Leave log'!$B$7:$B$306,"&lt;="&amp;DATE($B$3,1,19),'Leave log'!$C$7:$C$306,"&gt;="&amp;DATE($B$3,1,19),'Leave log'!$F$7:$F$306,"Pending")&gt;0,"P",""))))</f>
        <v/>
      </c>
      <c r="U24" s="23" t="str">
        <f>IF(A24="","",IF(IF(OR(DATE($B$3,1,20)&gt;EOMONTH(DATE($B$3,1,1),0),NETWORKDAYS.INTL(DATE($B$3,1,20),DATE($B$3,1,20),1,'Non-working days'!$A$6:$A$45)=0),"",IF(COUNTIFS('Leave log'!$A$7:$A$306,Employees!$A$23,'Leave log'!$B$7:$B$306,"&lt;="&amp;DATE($B$3,1,20),'Leave log'!$C$7:$C$306,"&gt;="&amp;DATE($B$3,1,20),'Leave log'!$F$7:$F$306,"Approved")&gt;0,"A",""))="A","A",IF(OR(DATE($B$3,1,20)&gt;EOMONTH(DATE($B$3,1,1),0),NETWORKDAYS.INTL(DATE($B$3,1,20),DATE($B$3,1,20),1,'Non-working days'!$A$6:$A$45)=0),"",IF(COUNTIFS('Leave log'!$A$7:$A$306,Employees!$A$23,'Leave log'!$B$7:$B$306,"&lt;="&amp;DATE($B$3,1,20),'Leave log'!$C$7:$C$306,"&gt;="&amp;DATE($B$3,1,20),'Leave log'!$F$7:$F$306,"Pending")&gt;0,"P",""))))</f>
        <v/>
      </c>
      <c r="V24" s="23" t="str">
        <f>IF(A24="","",IF(IF(OR(DATE($B$3,1,21)&gt;EOMONTH(DATE($B$3,1,1),0),NETWORKDAYS.INTL(DATE($B$3,1,21),DATE($B$3,1,21),1,'Non-working days'!$A$6:$A$45)=0),"",IF(COUNTIFS('Leave log'!$A$7:$A$306,Employees!$A$23,'Leave log'!$B$7:$B$306,"&lt;="&amp;DATE($B$3,1,21),'Leave log'!$C$7:$C$306,"&gt;="&amp;DATE($B$3,1,21),'Leave log'!$F$7:$F$306,"Approved")&gt;0,"A",""))="A","A",IF(OR(DATE($B$3,1,21)&gt;EOMONTH(DATE($B$3,1,1),0),NETWORKDAYS.INTL(DATE($B$3,1,21),DATE($B$3,1,21),1,'Non-working days'!$A$6:$A$45)=0),"",IF(COUNTIFS('Leave log'!$A$7:$A$306,Employees!$A$23,'Leave log'!$B$7:$B$306,"&lt;="&amp;DATE($B$3,1,21),'Leave log'!$C$7:$C$306,"&gt;="&amp;DATE($B$3,1,21),'Leave log'!$F$7:$F$306,"Pending")&gt;0,"P",""))))</f>
        <v/>
      </c>
      <c r="W24" s="23" t="str">
        <f>IF(A24="","",IF(IF(OR(DATE($B$3,1,22)&gt;EOMONTH(DATE($B$3,1,1),0),NETWORKDAYS.INTL(DATE($B$3,1,22),DATE($B$3,1,22),1,'Non-working days'!$A$6:$A$45)=0),"",IF(COUNTIFS('Leave log'!$A$7:$A$306,Employees!$A$23,'Leave log'!$B$7:$B$306,"&lt;="&amp;DATE($B$3,1,22),'Leave log'!$C$7:$C$306,"&gt;="&amp;DATE($B$3,1,22),'Leave log'!$F$7:$F$306,"Approved")&gt;0,"A",""))="A","A",IF(OR(DATE($B$3,1,22)&gt;EOMONTH(DATE($B$3,1,1),0),NETWORKDAYS.INTL(DATE($B$3,1,22),DATE($B$3,1,22),1,'Non-working days'!$A$6:$A$45)=0),"",IF(COUNTIFS('Leave log'!$A$7:$A$306,Employees!$A$23,'Leave log'!$B$7:$B$306,"&lt;="&amp;DATE($B$3,1,22),'Leave log'!$C$7:$C$306,"&gt;="&amp;DATE($B$3,1,22),'Leave log'!$F$7:$F$306,"Pending")&gt;0,"P",""))))</f>
        <v/>
      </c>
      <c r="X24" s="23" t="str">
        <f>IF(A24="","",IF(IF(OR(DATE($B$3,1,23)&gt;EOMONTH(DATE($B$3,1,1),0),NETWORKDAYS.INTL(DATE($B$3,1,23),DATE($B$3,1,23),1,'Non-working days'!$A$6:$A$45)=0),"",IF(COUNTIFS('Leave log'!$A$7:$A$306,Employees!$A$23,'Leave log'!$B$7:$B$306,"&lt;="&amp;DATE($B$3,1,23),'Leave log'!$C$7:$C$306,"&gt;="&amp;DATE($B$3,1,23),'Leave log'!$F$7:$F$306,"Approved")&gt;0,"A",""))="A","A",IF(OR(DATE($B$3,1,23)&gt;EOMONTH(DATE($B$3,1,1),0),NETWORKDAYS.INTL(DATE($B$3,1,23),DATE($B$3,1,23),1,'Non-working days'!$A$6:$A$45)=0),"",IF(COUNTIFS('Leave log'!$A$7:$A$306,Employees!$A$23,'Leave log'!$B$7:$B$306,"&lt;="&amp;DATE($B$3,1,23),'Leave log'!$C$7:$C$306,"&gt;="&amp;DATE($B$3,1,23),'Leave log'!$F$7:$F$306,"Pending")&gt;0,"P",""))))</f>
        <v/>
      </c>
      <c r="Y24" s="23" t="str">
        <f>IF(A24="","",IF(IF(OR(DATE($B$3,1,24)&gt;EOMONTH(DATE($B$3,1,1),0),NETWORKDAYS.INTL(DATE($B$3,1,24),DATE($B$3,1,24),1,'Non-working days'!$A$6:$A$45)=0),"",IF(COUNTIFS('Leave log'!$A$7:$A$306,Employees!$A$23,'Leave log'!$B$7:$B$306,"&lt;="&amp;DATE($B$3,1,24),'Leave log'!$C$7:$C$306,"&gt;="&amp;DATE($B$3,1,24),'Leave log'!$F$7:$F$306,"Approved")&gt;0,"A",""))="A","A",IF(OR(DATE($B$3,1,24)&gt;EOMONTH(DATE($B$3,1,1),0),NETWORKDAYS.INTL(DATE($B$3,1,24),DATE($B$3,1,24),1,'Non-working days'!$A$6:$A$45)=0),"",IF(COUNTIFS('Leave log'!$A$7:$A$306,Employees!$A$23,'Leave log'!$B$7:$B$306,"&lt;="&amp;DATE($B$3,1,24),'Leave log'!$C$7:$C$306,"&gt;="&amp;DATE($B$3,1,24),'Leave log'!$F$7:$F$306,"Pending")&gt;0,"P",""))))</f>
        <v/>
      </c>
      <c r="Z24" s="23" t="str">
        <f>IF(A24="","",IF(IF(OR(DATE($B$3,1,25)&gt;EOMONTH(DATE($B$3,1,1),0),NETWORKDAYS.INTL(DATE($B$3,1,25),DATE($B$3,1,25),1,'Non-working days'!$A$6:$A$45)=0),"",IF(COUNTIFS('Leave log'!$A$7:$A$306,Employees!$A$23,'Leave log'!$B$7:$B$306,"&lt;="&amp;DATE($B$3,1,25),'Leave log'!$C$7:$C$306,"&gt;="&amp;DATE($B$3,1,25),'Leave log'!$F$7:$F$306,"Approved")&gt;0,"A",""))="A","A",IF(OR(DATE($B$3,1,25)&gt;EOMONTH(DATE($B$3,1,1),0),NETWORKDAYS.INTL(DATE($B$3,1,25),DATE($B$3,1,25),1,'Non-working days'!$A$6:$A$45)=0),"",IF(COUNTIFS('Leave log'!$A$7:$A$306,Employees!$A$23,'Leave log'!$B$7:$B$306,"&lt;="&amp;DATE($B$3,1,25),'Leave log'!$C$7:$C$306,"&gt;="&amp;DATE($B$3,1,25),'Leave log'!$F$7:$F$306,"Pending")&gt;0,"P",""))))</f>
        <v/>
      </c>
      <c r="AA24" s="23" t="str">
        <f>IF(A24="","",IF(IF(OR(DATE($B$3,1,26)&gt;EOMONTH(DATE($B$3,1,1),0),NETWORKDAYS.INTL(DATE($B$3,1,26),DATE($B$3,1,26),1,'Non-working days'!$A$6:$A$45)=0),"",IF(COUNTIFS('Leave log'!$A$7:$A$306,Employees!$A$23,'Leave log'!$B$7:$B$306,"&lt;="&amp;DATE($B$3,1,26),'Leave log'!$C$7:$C$306,"&gt;="&amp;DATE($B$3,1,26),'Leave log'!$F$7:$F$306,"Approved")&gt;0,"A",""))="A","A",IF(OR(DATE($B$3,1,26)&gt;EOMONTH(DATE($B$3,1,1),0),NETWORKDAYS.INTL(DATE($B$3,1,26),DATE($B$3,1,26),1,'Non-working days'!$A$6:$A$45)=0),"",IF(COUNTIFS('Leave log'!$A$7:$A$306,Employees!$A$23,'Leave log'!$B$7:$B$306,"&lt;="&amp;DATE($B$3,1,26),'Leave log'!$C$7:$C$306,"&gt;="&amp;DATE($B$3,1,26),'Leave log'!$F$7:$F$306,"Pending")&gt;0,"P",""))))</f>
        <v/>
      </c>
      <c r="AB24" s="23" t="str">
        <f>IF(A24="","",IF(IF(OR(DATE($B$3,1,27)&gt;EOMONTH(DATE($B$3,1,1),0),NETWORKDAYS.INTL(DATE($B$3,1,27),DATE($B$3,1,27),1,'Non-working days'!$A$6:$A$45)=0),"",IF(COUNTIFS('Leave log'!$A$7:$A$306,Employees!$A$23,'Leave log'!$B$7:$B$306,"&lt;="&amp;DATE($B$3,1,27),'Leave log'!$C$7:$C$306,"&gt;="&amp;DATE($B$3,1,27),'Leave log'!$F$7:$F$306,"Approved")&gt;0,"A",""))="A","A",IF(OR(DATE($B$3,1,27)&gt;EOMONTH(DATE($B$3,1,1),0),NETWORKDAYS.INTL(DATE($B$3,1,27),DATE($B$3,1,27),1,'Non-working days'!$A$6:$A$45)=0),"",IF(COUNTIFS('Leave log'!$A$7:$A$306,Employees!$A$23,'Leave log'!$B$7:$B$306,"&lt;="&amp;DATE($B$3,1,27),'Leave log'!$C$7:$C$306,"&gt;="&amp;DATE($B$3,1,27),'Leave log'!$F$7:$F$306,"Pending")&gt;0,"P",""))))</f>
        <v/>
      </c>
      <c r="AC24" s="23" t="str">
        <f>IF(A24="","",IF(IF(OR(DATE($B$3,1,28)&gt;EOMONTH(DATE($B$3,1,1),0),NETWORKDAYS.INTL(DATE($B$3,1,28),DATE($B$3,1,28),1,'Non-working days'!$A$6:$A$45)=0),"",IF(COUNTIFS('Leave log'!$A$7:$A$306,Employees!$A$23,'Leave log'!$B$7:$B$306,"&lt;="&amp;DATE($B$3,1,28),'Leave log'!$C$7:$C$306,"&gt;="&amp;DATE($B$3,1,28),'Leave log'!$F$7:$F$306,"Approved")&gt;0,"A",""))="A","A",IF(OR(DATE($B$3,1,28)&gt;EOMONTH(DATE($B$3,1,1),0),NETWORKDAYS.INTL(DATE($B$3,1,28),DATE($B$3,1,28),1,'Non-working days'!$A$6:$A$45)=0),"",IF(COUNTIFS('Leave log'!$A$7:$A$306,Employees!$A$23,'Leave log'!$B$7:$B$306,"&lt;="&amp;DATE($B$3,1,28),'Leave log'!$C$7:$C$306,"&gt;="&amp;DATE($B$3,1,28),'Leave log'!$F$7:$F$306,"Pending")&gt;0,"P",""))))</f>
        <v/>
      </c>
      <c r="AD24" s="23" t="str">
        <f>IF(A24="","",IF(IF(OR(DATE($B$3,1,29)&gt;EOMONTH(DATE($B$3,1,1),0),NETWORKDAYS.INTL(DATE($B$3,1,29),DATE($B$3,1,29),1,'Non-working days'!$A$6:$A$45)=0),"",IF(COUNTIFS('Leave log'!$A$7:$A$306,Employees!$A$23,'Leave log'!$B$7:$B$306,"&lt;="&amp;DATE($B$3,1,29),'Leave log'!$C$7:$C$306,"&gt;="&amp;DATE($B$3,1,29),'Leave log'!$F$7:$F$306,"Approved")&gt;0,"A",""))="A","A",IF(OR(DATE($B$3,1,29)&gt;EOMONTH(DATE($B$3,1,1),0),NETWORKDAYS.INTL(DATE($B$3,1,29),DATE($B$3,1,29),1,'Non-working days'!$A$6:$A$45)=0),"",IF(COUNTIFS('Leave log'!$A$7:$A$306,Employees!$A$23,'Leave log'!$B$7:$B$306,"&lt;="&amp;DATE($B$3,1,29),'Leave log'!$C$7:$C$306,"&gt;="&amp;DATE($B$3,1,29),'Leave log'!$F$7:$F$306,"Pending")&gt;0,"P",""))))</f>
        <v/>
      </c>
      <c r="AE24" s="23" t="str">
        <f>IF(A24="","",IF(IF(OR(DATE($B$3,1,30)&gt;EOMONTH(DATE($B$3,1,1),0),NETWORKDAYS.INTL(DATE($B$3,1,30),DATE($B$3,1,30),1,'Non-working days'!$A$6:$A$45)=0),"",IF(COUNTIFS('Leave log'!$A$7:$A$306,Employees!$A$23,'Leave log'!$B$7:$B$306,"&lt;="&amp;DATE($B$3,1,30),'Leave log'!$C$7:$C$306,"&gt;="&amp;DATE($B$3,1,30),'Leave log'!$F$7:$F$306,"Approved")&gt;0,"A",""))="A","A",IF(OR(DATE($B$3,1,30)&gt;EOMONTH(DATE($B$3,1,1),0),NETWORKDAYS.INTL(DATE($B$3,1,30),DATE($B$3,1,30),1,'Non-working days'!$A$6:$A$45)=0),"",IF(COUNTIFS('Leave log'!$A$7:$A$306,Employees!$A$23,'Leave log'!$B$7:$B$306,"&lt;="&amp;DATE($B$3,1,30),'Leave log'!$C$7:$C$306,"&gt;="&amp;DATE($B$3,1,30),'Leave log'!$F$7:$F$306,"Pending")&gt;0,"P",""))))</f>
        <v/>
      </c>
      <c r="AF24" s="23" t="str">
        <f>IF(A24="","",IF(IF(OR(DATE($B$3,1,31)&gt;EOMONTH(DATE($B$3,1,1),0),NETWORKDAYS.INTL(DATE($B$3,1,31),DATE($B$3,1,31),1,'Non-working days'!$A$6:$A$45)=0),"",IF(COUNTIFS('Leave log'!$A$7:$A$306,Employees!$A$23,'Leave log'!$B$7:$B$306,"&lt;="&amp;DATE($B$3,1,31),'Leave log'!$C$7:$C$306,"&gt;="&amp;DATE($B$3,1,31),'Leave log'!$F$7:$F$306,"Approved")&gt;0,"A",""))="A","A",IF(OR(DATE($B$3,1,31)&gt;EOMONTH(DATE($B$3,1,1),0),NETWORKDAYS.INTL(DATE($B$3,1,31),DATE($B$3,1,31),1,'Non-working days'!$A$6:$A$45)=0),"",IF(COUNTIFS('Leave log'!$A$7:$A$306,Employees!$A$23,'Leave log'!$B$7:$B$306,"&lt;="&amp;DATE($B$3,1,31),'Leave log'!$C$7:$C$306,"&gt;="&amp;DATE($B$3,1,31),'Leave log'!$F$7:$F$306,"Pending")&gt;0,"P",""))))</f>
        <v/>
      </c>
    </row>
    <row r="25" spans="1:32" ht="18" customHeight="1" x14ac:dyDescent="0.3">
      <c r="A25" s="22" t="str">
        <f>IF(Employees!F24="Yes",Employees!B24,"")</f>
        <v/>
      </c>
      <c r="B25" s="23" t="str">
        <f>IF(A25="","",IF(IF(OR(DATE($B$3,1,1)&gt;EOMONTH(DATE($B$3,1,1),0),NETWORKDAYS.INTL(DATE($B$3,1,1),DATE($B$3,1,1),1,'Non-working days'!$A$6:$A$45)=0),"",IF(COUNTIFS('Leave log'!$A$7:$A$306,Employees!$A$24,'Leave log'!$B$7:$B$306,"&lt;="&amp;DATE($B$3,1,1),'Leave log'!$C$7:$C$306,"&gt;="&amp;DATE($B$3,1,1),'Leave log'!$F$7:$F$306,"Approved")&gt;0,"A",""))="A","A",IF(OR(DATE($B$3,1,1)&gt;EOMONTH(DATE($B$3,1,1),0),NETWORKDAYS.INTL(DATE($B$3,1,1),DATE($B$3,1,1),1,'Non-working days'!$A$6:$A$45)=0),"",IF(COUNTIFS('Leave log'!$A$7:$A$306,Employees!$A$24,'Leave log'!$B$7:$B$306,"&lt;="&amp;DATE($B$3,1,1),'Leave log'!$C$7:$C$306,"&gt;="&amp;DATE($B$3,1,1),'Leave log'!$F$7:$F$306,"Pending")&gt;0,"P",""))))</f>
        <v/>
      </c>
      <c r="C25" s="23" t="str">
        <f>IF(A25="","",IF(IF(OR(DATE($B$3,1,2)&gt;EOMONTH(DATE($B$3,1,1),0),NETWORKDAYS.INTL(DATE($B$3,1,2),DATE($B$3,1,2),1,'Non-working days'!$A$6:$A$45)=0),"",IF(COUNTIFS('Leave log'!$A$7:$A$306,Employees!$A$24,'Leave log'!$B$7:$B$306,"&lt;="&amp;DATE($B$3,1,2),'Leave log'!$C$7:$C$306,"&gt;="&amp;DATE($B$3,1,2),'Leave log'!$F$7:$F$306,"Approved")&gt;0,"A",""))="A","A",IF(OR(DATE($B$3,1,2)&gt;EOMONTH(DATE($B$3,1,1),0),NETWORKDAYS.INTL(DATE($B$3,1,2),DATE($B$3,1,2),1,'Non-working days'!$A$6:$A$45)=0),"",IF(COUNTIFS('Leave log'!$A$7:$A$306,Employees!$A$24,'Leave log'!$B$7:$B$306,"&lt;="&amp;DATE($B$3,1,2),'Leave log'!$C$7:$C$306,"&gt;="&amp;DATE($B$3,1,2),'Leave log'!$F$7:$F$306,"Pending")&gt;0,"P",""))))</f>
        <v/>
      </c>
      <c r="D25" s="23" t="str">
        <f>IF(A25="","",IF(IF(OR(DATE($B$3,1,3)&gt;EOMONTH(DATE($B$3,1,1),0),NETWORKDAYS.INTL(DATE($B$3,1,3),DATE($B$3,1,3),1,'Non-working days'!$A$6:$A$45)=0),"",IF(COUNTIFS('Leave log'!$A$7:$A$306,Employees!$A$24,'Leave log'!$B$7:$B$306,"&lt;="&amp;DATE($B$3,1,3),'Leave log'!$C$7:$C$306,"&gt;="&amp;DATE($B$3,1,3),'Leave log'!$F$7:$F$306,"Approved")&gt;0,"A",""))="A","A",IF(OR(DATE($B$3,1,3)&gt;EOMONTH(DATE($B$3,1,1),0),NETWORKDAYS.INTL(DATE($B$3,1,3),DATE($B$3,1,3),1,'Non-working days'!$A$6:$A$45)=0),"",IF(COUNTIFS('Leave log'!$A$7:$A$306,Employees!$A$24,'Leave log'!$B$7:$B$306,"&lt;="&amp;DATE($B$3,1,3),'Leave log'!$C$7:$C$306,"&gt;="&amp;DATE($B$3,1,3),'Leave log'!$F$7:$F$306,"Pending")&gt;0,"P",""))))</f>
        <v/>
      </c>
      <c r="E25" s="23" t="str">
        <f>IF(A25="","",IF(IF(OR(DATE($B$3,1,4)&gt;EOMONTH(DATE($B$3,1,1),0),NETWORKDAYS.INTL(DATE($B$3,1,4),DATE($B$3,1,4),1,'Non-working days'!$A$6:$A$45)=0),"",IF(COUNTIFS('Leave log'!$A$7:$A$306,Employees!$A$24,'Leave log'!$B$7:$B$306,"&lt;="&amp;DATE($B$3,1,4),'Leave log'!$C$7:$C$306,"&gt;="&amp;DATE($B$3,1,4),'Leave log'!$F$7:$F$306,"Approved")&gt;0,"A",""))="A","A",IF(OR(DATE($B$3,1,4)&gt;EOMONTH(DATE($B$3,1,1),0),NETWORKDAYS.INTL(DATE($B$3,1,4),DATE($B$3,1,4),1,'Non-working days'!$A$6:$A$45)=0),"",IF(COUNTIFS('Leave log'!$A$7:$A$306,Employees!$A$24,'Leave log'!$B$7:$B$306,"&lt;="&amp;DATE($B$3,1,4),'Leave log'!$C$7:$C$306,"&gt;="&amp;DATE($B$3,1,4),'Leave log'!$F$7:$F$306,"Pending")&gt;0,"P",""))))</f>
        <v/>
      </c>
      <c r="F25" s="23" t="str">
        <f>IF(A25="","",IF(IF(OR(DATE($B$3,1,5)&gt;EOMONTH(DATE($B$3,1,1),0),NETWORKDAYS.INTL(DATE($B$3,1,5),DATE($B$3,1,5),1,'Non-working days'!$A$6:$A$45)=0),"",IF(COUNTIFS('Leave log'!$A$7:$A$306,Employees!$A$24,'Leave log'!$B$7:$B$306,"&lt;="&amp;DATE($B$3,1,5),'Leave log'!$C$7:$C$306,"&gt;="&amp;DATE($B$3,1,5),'Leave log'!$F$7:$F$306,"Approved")&gt;0,"A",""))="A","A",IF(OR(DATE($B$3,1,5)&gt;EOMONTH(DATE($B$3,1,1),0),NETWORKDAYS.INTL(DATE($B$3,1,5),DATE($B$3,1,5),1,'Non-working days'!$A$6:$A$45)=0),"",IF(COUNTIFS('Leave log'!$A$7:$A$306,Employees!$A$24,'Leave log'!$B$7:$B$306,"&lt;="&amp;DATE($B$3,1,5),'Leave log'!$C$7:$C$306,"&gt;="&amp;DATE($B$3,1,5),'Leave log'!$F$7:$F$306,"Pending")&gt;0,"P",""))))</f>
        <v/>
      </c>
      <c r="G25" s="23" t="str">
        <f>IF(A25="","",IF(IF(OR(DATE($B$3,1,6)&gt;EOMONTH(DATE($B$3,1,1),0),NETWORKDAYS.INTL(DATE($B$3,1,6),DATE($B$3,1,6),1,'Non-working days'!$A$6:$A$45)=0),"",IF(COUNTIFS('Leave log'!$A$7:$A$306,Employees!$A$24,'Leave log'!$B$7:$B$306,"&lt;="&amp;DATE($B$3,1,6),'Leave log'!$C$7:$C$306,"&gt;="&amp;DATE($B$3,1,6),'Leave log'!$F$7:$F$306,"Approved")&gt;0,"A",""))="A","A",IF(OR(DATE($B$3,1,6)&gt;EOMONTH(DATE($B$3,1,1),0),NETWORKDAYS.INTL(DATE($B$3,1,6),DATE($B$3,1,6),1,'Non-working days'!$A$6:$A$45)=0),"",IF(COUNTIFS('Leave log'!$A$7:$A$306,Employees!$A$24,'Leave log'!$B$7:$B$306,"&lt;="&amp;DATE($B$3,1,6),'Leave log'!$C$7:$C$306,"&gt;="&amp;DATE($B$3,1,6),'Leave log'!$F$7:$F$306,"Pending")&gt;0,"P",""))))</f>
        <v/>
      </c>
      <c r="H25" s="23" t="str">
        <f>IF(A25="","",IF(IF(OR(DATE($B$3,1,7)&gt;EOMONTH(DATE($B$3,1,1),0),NETWORKDAYS.INTL(DATE($B$3,1,7),DATE($B$3,1,7),1,'Non-working days'!$A$6:$A$45)=0),"",IF(COUNTIFS('Leave log'!$A$7:$A$306,Employees!$A$24,'Leave log'!$B$7:$B$306,"&lt;="&amp;DATE($B$3,1,7),'Leave log'!$C$7:$C$306,"&gt;="&amp;DATE($B$3,1,7),'Leave log'!$F$7:$F$306,"Approved")&gt;0,"A",""))="A","A",IF(OR(DATE($B$3,1,7)&gt;EOMONTH(DATE($B$3,1,1),0),NETWORKDAYS.INTL(DATE($B$3,1,7),DATE($B$3,1,7),1,'Non-working days'!$A$6:$A$45)=0),"",IF(COUNTIFS('Leave log'!$A$7:$A$306,Employees!$A$24,'Leave log'!$B$7:$B$306,"&lt;="&amp;DATE($B$3,1,7),'Leave log'!$C$7:$C$306,"&gt;="&amp;DATE($B$3,1,7),'Leave log'!$F$7:$F$306,"Pending")&gt;0,"P",""))))</f>
        <v/>
      </c>
      <c r="I25" s="23" t="str">
        <f>IF(A25="","",IF(IF(OR(DATE($B$3,1,8)&gt;EOMONTH(DATE($B$3,1,1),0),NETWORKDAYS.INTL(DATE($B$3,1,8),DATE($B$3,1,8),1,'Non-working days'!$A$6:$A$45)=0),"",IF(COUNTIFS('Leave log'!$A$7:$A$306,Employees!$A$24,'Leave log'!$B$7:$B$306,"&lt;="&amp;DATE($B$3,1,8),'Leave log'!$C$7:$C$306,"&gt;="&amp;DATE($B$3,1,8),'Leave log'!$F$7:$F$306,"Approved")&gt;0,"A",""))="A","A",IF(OR(DATE($B$3,1,8)&gt;EOMONTH(DATE($B$3,1,1),0),NETWORKDAYS.INTL(DATE($B$3,1,8),DATE($B$3,1,8),1,'Non-working days'!$A$6:$A$45)=0),"",IF(COUNTIFS('Leave log'!$A$7:$A$306,Employees!$A$24,'Leave log'!$B$7:$B$306,"&lt;="&amp;DATE($B$3,1,8),'Leave log'!$C$7:$C$306,"&gt;="&amp;DATE($B$3,1,8),'Leave log'!$F$7:$F$306,"Pending")&gt;0,"P",""))))</f>
        <v/>
      </c>
      <c r="J25" s="23" t="str">
        <f>IF(A25="","",IF(IF(OR(DATE($B$3,1,9)&gt;EOMONTH(DATE($B$3,1,1),0),NETWORKDAYS.INTL(DATE($B$3,1,9),DATE($B$3,1,9),1,'Non-working days'!$A$6:$A$45)=0),"",IF(COUNTIFS('Leave log'!$A$7:$A$306,Employees!$A$24,'Leave log'!$B$7:$B$306,"&lt;="&amp;DATE($B$3,1,9),'Leave log'!$C$7:$C$306,"&gt;="&amp;DATE($B$3,1,9),'Leave log'!$F$7:$F$306,"Approved")&gt;0,"A",""))="A","A",IF(OR(DATE($B$3,1,9)&gt;EOMONTH(DATE($B$3,1,1),0),NETWORKDAYS.INTL(DATE($B$3,1,9),DATE($B$3,1,9),1,'Non-working days'!$A$6:$A$45)=0),"",IF(COUNTIFS('Leave log'!$A$7:$A$306,Employees!$A$24,'Leave log'!$B$7:$B$306,"&lt;="&amp;DATE($B$3,1,9),'Leave log'!$C$7:$C$306,"&gt;="&amp;DATE($B$3,1,9),'Leave log'!$F$7:$F$306,"Pending")&gt;0,"P",""))))</f>
        <v/>
      </c>
      <c r="K25" s="23" t="str">
        <f>IF(A25="","",IF(IF(OR(DATE($B$3,1,10)&gt;EOMONTH(DATE($B$3,1,1),0),NETWORKDAYS.INTL(DATE($B$3,1,10),DATE($B$3,1,10),1,'Non-working days'!$A$6:$A$45)=0),"",IF(COUNTIFS('Leave log'!$A$7:$A$306,Employees!$A$24,'Leave log'!$B$7:$B$306,"&lt;="&amp;DATE($B$3,1,10),'Leave log'!$C$7:$C$306,"&gt;="&amp;DATE($B$3,1,10),'Leave log'!$F$7:$F$306,"Approved")&gt;0,"A",""))="A","A",IF(OR(DATE($B$3,1,10)&gt;EOMONTH(DATE($B$3,1,1),0),NETWORKDAYS.INTL(DATE($B$3,1,10),DATE($B$3,1,10),1,'Non-working days'!$A$6:$A$45)=0),"",IF(COUNTIFS('Leave log'!$A$7:$A$306,Employees!$A$24,'Leave log'!$B$7:$B$306,"&lt;="&amp;DATE($B$3,1,10),'Leave log'!$C$7:$C$306,"&gt;="&amp;DATE($B$3,1,10),'Leave log'!$F$7:$F$306,"Pending")&gt;0,"P",""))))</f>
        <v/>
      </c>
      <c r="L25" s="23" t="str">
        <f>IF(A25="","",IF(IF(OR(DATE($B$3,1,11)&gt;EOMONTH(DATE($B$3,1,1),0),NETWORKDAYS.INTL(DATE($B$3,1,11),DATE($B$3,1,11),1,'Non-working days'!$A$6:$A$45)=0),"",IF(COUNTIFS('Leave log'!$A$7:$A$306,Employees!$A$24,'Leave log'!$B$7:$B$306,"&lt;="&amp;DATE($B$3,1,11),'Leave log'!$C$7:$C$306,"&gt;="&amp;DATE($B$3,1,11),'Leave log'!$F$7:$F$306,"Approved")&gt;0,"A",""))="A","A",IF(OR(DATE($B$3,1,11)&gt;EOMONTH(DATE($B$3,1,1),0),NETWORKDAYS.INTL(DATE($B$3,1,11),DATE($B$3,1,11),1,'Non-working days'!$A$6:$A$45)=0),"",IF(COUNTIFS('Leave log'!$A$7:$A$306,Employees!$A$24,'Leave log'!$B$7:$B$306,"&lt;="&amp;DATE($B$3,1,11),'Leave log'!$C$7:$C$306,"&gt;="&amp;DATE($B$3,1,11),'Leave log'!$F$7:$F$306,"Pending")&gt;0,"P",""))))</f>
        <v/>
      </c>
      <c r="M25" s="23" t="str">
        <f>IF(A25="","",IF(IF(OR(DATE($B$3,1,12)&gt;EOMONTH(DATE($B$3,1,1),0),NETWORKDAYS.INTL(DATE($B$3,1,12),DATE($B$3,1,12),1,'Non-working days'!$A$6:$A$45)=0),"",IF(COUNTIFS('Leave log'!$A$7:$A$306,Employees!$A$24,'Leave log'!$B$7:$B$306,"&lt;="&amp;DATE($B$3,1,12),'Leave log'!$C$7:$C$306,"&gt;="&amp;DATE($B$3,1,12),'Leave log'!$F$7:$F$306,"Approved")&gt;0,"A",""))="A","A",IF(OR(DATE($B$3,1,12)&gt;EOMONTH(DATE($B$3,1,1),0),NETWORKDAYS.INTL(DATE($B$3,1,12),DATE($B$3,1,12),1,'Non-working days'!$A$6:$A$45)=0),"",IF(COUNTIFS('Leave log'!$A$7:$A$306,Employees!$A$24,'Leave log'!$B$7:$B$306,"&lt;="&amp;DATE($B$3,1,12),'Leave log'!$C$7:$C$306,"&gt;="&amp;DATE($B$3,1,12),'Leave log'!$F$7:$F$306,"Pending")&gt;0,"P",""))))</f>
        <v/>
      </c>
      <c r="N25" s="23" t="str">
        <f>IF(A25="","",IF(IF(OR(DATE($B$3,1,13)&gt;EOMONTH(DATE($B$3,1,1),0),NETWORKDAYS.INTL(DATE($B$3,1,13),DATE($B$3,1,13),1,'Non-working days'!$A$6:$A$45)=0),"",IF(COUNTIFS('Leave log'!$A$7:$A$306,Employees!$A$24,'Leave log'!$B$7:$B$306,"&lt;="&amp;DATE($B$3,1,13),'Leave log'!$C$7:$C$306,"&gt;="&amp;DATE($B$3,1,13),'Leave log'!$F$7:$F$306,"Approved")&gt;0,"A",""))="A","A",IF(OR(DATE($B$3,1,13)&gt;EOMONTH(DATE($B$3,1,1),0),NETWORKDAYS.INTL(DATE($B$3,1,13),DATE($B$3,1,13),1,'Non-working days'!$A$6:$A$45)=0),"",IF(COUNTIFS('Leave log'!$A$7:$A$306,Employees!$A$24,'Leave log'!$B$7:$B$306,"&lt;="&amp;DATE($B$3,1,13),'Leave log'!$C$7:$C$306,"&gt;="&amp;DATE($B$3,1,13),'Leave log'!$F$7:$F$306,"Pending")&gt;0,"P",""))))</f>
        <v/>
      </c>
      <c r="O25" s="23" t="str">
        <f>IF(A25="","",IF(IF(OR(DATE($B$3,1,14)&gt;EOMONTH(DATE($B$3,1,1),0),NETWORKDAYS.INTL(DATE($B$3,1,14),DATE($B$3,1,14),1,'Non-working days'!$A$6:$A$45)=0),"",IF(COUNTIFS('Leave log'!$A$7:$A$306,Employees!$A$24,'Leave log'!$B$7:$B$306,"&lt;="&amp;DATE($B$3,1,14),'Leave log'!$C$7:$C$306,"&gt;="&amp;DATE($B$3,1,14),'Leave log'!$F$7:$F$306,"Approved")&gt;0,"A",""))="A","A",IF(OR(DATE($B$3,1,14)&gt;EOMONTH(DATE($B$3,1,1),0),NETWORKDAYS.INTL(DATE($B$3,1,14),DATE($B$3,1,14),1,'Non-working days'!$A$6:$A$45)=0),"",IF(COUNTIFS('Leave log'!$A$7:$A$306,Employees!$A$24,'Leave log'!$B$7:$B$306,"&lt;="&amp;DATE($B$3,1,14),'Leave log'!$C$7:$C$306,"&gt;="&amp;DATE($B$3,1,14),'Leave log'!$F$7:$F$306,"Pending")&gt;0,"P",""))))</f>
        <v/>
      </c>
      <c r="P25" s="23" t="str">
        <f>IF(A25="","",IF(IF(OR(DATE($B$3,1,15)&gt;EOMONTH(DATE($B$3,1,1),0),NETWORKDAYS.INTL(DATE($B$3,1,15),DATE($B$3,1,15),1,'Non-working days'!$A$6:$A$45)=0),"",IF(COUNTIFS('Leave log'!$A$7:$A$306,Employees!$A$24,'Leave log'!$B$7:$B$306,"&lt;="&amp;DATE($B$3,1,15),'Leave log'!$C$7:$C$306,"&gt;="&amp;DATE($B$3,1,15),'Leave log'!$F$7:$F$306,"Approved")&gt;0,"A",""))="A","A",IF(OR(DATE($B$3,1,15)&gt;EOMONTH(DATE($B$3,1,1),0),NETWORKDAYS.INTL(DATE($B$3,1,15),DATE($B$3,1,15),1,'Non-working days'!$A$6:$A$45)=0),"",IF(COUNTIFS('Leave log'!$A$7:$A$306,Employees!$A$24,'Leave log'!$B$7:$B$306,"&lt;="&amp;DATE($B$3,1,15),'Leave log'!$C$7:$C$306,"&gt;="&amp;DATE($B$3,1,15),'Leave log'!$F$7:$F$306,"Pending")&gt;0,"P",""))))</f>
        <v/>
      </c>
      <c r="Q25" s="23" t="str">
        <f>IF(A25="","",IF(IF(OR(DATE($B$3,1,16)&gt;EOMONTH(DATE($B$3,1,1),0),NETWORKDAYS.INTL(DATE($B$3,1,16),DATE($B$3,1,16),1,'Non-working days'!$A$6:$A$45)=0),"",IF(COUNTIFS('Leave log'!$A$7:$A$306,Employees!$A$24,'Leave log'!$B$7:$B$306,"&lt;="&amp;DATE($B$3,1,16),'Leave log'!$C$7:$C$306,"&gt;="&amp;DATE($B$3,1,16),'Leave log'!$F$7:$F$306,"Approved")&gt;0,"A",""))="A","A",IF(OR(DATE($B$3,1,16)&gt;EOMONTH(DATE($B$3,1,1),0),NETWORKDAYS.INTL(DATE($B$3,1,16),DATE($B$3,1,16),1,'Non-working days'!$A$6:$A$45)=0),"",IF(COUNTIFS('Leave log'!$A$7:$A$306,Employees!$A$24,'Leave log'!$B$7:$B$306,"&lt;="&amp;DATE($B$3,1,16),'Leave log'!$C$7:$C$306,"&gt;="&amp;DATE($B$3,1,16),'Leave log'!$F$7:$F$306,"Pending")&gt;0,"P",""))))</f>
        <v/>
      </c>
      <c r="R25" s="23" t="str">
        <f>IF(A25="","",IF(IF(OR(DATE($B$3,1,17)&gt;EOMONTH(DATE($B$3,1,1),0),NETWORKDAYS.INTL(DATE($B$3,1,17),DATE($B$3,1,17),1,'Non-working days'!$A$6:$A$45)=0),"",IF(COUNTIFS('Leave log'!$A$7:$A$306,Employees!$A$24,'Leave log'!$B$7:$B$306,"&lt;="&amp;DATE($B$3,1,17),'Leave log'!$C$7:$C$306,"&gt;="&amp;DATE($B$3,1,17),'Leave log'!$F$7:$F$306,"Approved")&gt;0,"A",""))="A","A",IF(OR(DATE($B$3,1,17)&gt;EOMONTH(DATE($B$3,1,1),0),NETWORKDAYS.INTL(DATE($B$3,1,17),DATE($B$3,1,17),1,'Non-working days'!$A$6:$A$45)=0),"",IF(COUNTIFS('Leave log'!$A$7:$A$306,Employees!$A$24,'Leave log'!$B$7:$B$306,"&lt;="&amp;DATE($B$3,1,17),'Leave log'!$C$7:$C$306,"&gt;="&amp;DATE($B$3,1,17),'Leave log'!$F$7:$F$306,"Pending")&gt;0,"P",""))))</f>
        <v/>
      </c>
      <c r="S25" s="23" t="str">
        <f>IF(A25="","",IF(IF(OR(DATE($B$3,1,18)&gt;EOMONTH(DATE($B$3,1,1),0),NETWORKDAYS.INTL(DATE($B$3,1,18),DATE($B$3,1,18),1,'Non-working days'!$A$6:$A$45)=0),"",IF(COUNTIFS('Leave log'!$A$7:$A$306,Employees!$A$24,'Leave log'!$B$7:$B$306,"&lt;="&amp;DATE($B$3,1,18),'Leave log'!$C$7:$C$306,"&gt;="&amp;DATE($B$3,1,18),'Leave log'!$F$7:$F$306,"Approved")&gt;0,"A",""))="A","A",IF(OR(DATE($B$3,1,18)&gt;EOMONTH(DATE($B$3,1,1),0),NETWORKDAYS.INTL(DATE($B$3,1,18),DATE($B$3,1,18),1,'Non-working days'!$A$6:$A$45)=0),"",IF(COUNTIFS('Leave log'!$A$7:$A$306,Employees!$A$24,'Leave log'!$B$7:$B$306,"&lt;="&amp;DATE($B$3,1,18),'Leave log'!$C$7:$C$306,"&gt;="&amp;DATE($B$3,1,18),'Leave log'!$F$7:$F$306,"Pending")&gt;0,"P",""))))</f>
        <v/>
      </c>
      <c r="T25" s="23" t="str">
        <f>IF(A25="","",IF(IF(OR(DATE($B$3,1,19)&gt;EOMONTH(DATE($B$3,1,1),0),NETWORKDAYS.INTL(DATE($B$3,1,19),DATE($B$3,1,19),1,'Non-working days'!$A$6:$A$45)=0),"",IF(COUNTIFS('Leave log'!$A$7:$A$306,Employees!$A$24,'Leave log'!$B$7:$B$306,"&lt;="&amp;DATE($B$3,1,19),'Leave log'!$C$7:$C$306,"&gt;="&amp;DATE($B$3,1,19),'Leave log'!$F$7:$F$306,"Approved")&gt;0,"A",""))="A","A",IF(OR(DATE($B$3,1,19)&gt;EOMONTH(DATE($B$3,1,1),0),NETWORKDAYS.INTL(DATE($B$3,1,19),DATE($B$3,1,19),1,'Non-working days'!$A$6:$A$45)=0),"",IF(COUNTIFS('Leave log'!$A$7:$A$306,Employees!$A$24,'Leave log'!$B$7:$B$306,"&lt;="&amp;DATE($B$3,1,19),'Leave log'!$C$7:$C$306,"&gt;="&amp;DATE($B$3,1,19),'Leave log'!$F$7:$F$306,"Pending")&gt;0,"P",""))))</f>
        <v/>
      </c>
      <c r="U25" s="23" t="str">
        <f>IF(A25="","",IF(IF(OR(DATE($B$3,1,20)&gt;EOMONTH(DATE($B$3,1,1),0),NETWORKDAYS.INTL(DATE($B$3,1,20),DATE($B$3,1,20),1,'Non-working days'!$A$6:$A$45)=0),"",IF(COUNTIFS('Leave log'!$A$7:$A$306,Employees!$A$24,'Leave log'!$B$7:$B$306,"&lt;="&amp;DATE($B$3,1,20),'Leave log'!$C$7:$C$306,"&gt;="&amp;DATE($B$3,1,20),'Leave log'!$F$7:$F$306,"Approved")&gt;0,"A",""))="A","A",IF(OR(DATE($B$3,1,20)&gt;EOMONTH(DATE($B$3,1,1),0),NETWORKDAYS.INTL(DATE($B$3,1,20),DATE($B$3,1,20),1,'Non-working days'!$A$6:$A$45)=0),"",IF(COUNTIFS('Leave log'!$A$7:$A$306,Employees!$A$24,'Leave log'!$B$7:$B$306,"&lt;="&amp;DATE($B$3,1,20),'Leave log'!$C$7:$C$306,"&gt;="&amp;DATE($B$3,1,20),'Leave log'!$F$7:$F$306,"Pending")&gt;0,"P",""))))</f>
        <v/>
      </c>
      <c r="V25" s="23" t="str">
        <f>IF(A25="","",IF(IF(OR(DATE($B$3,1,21)&gt;EOMONTH(DATE($B$3,1,1),0),NETWORKDAYS.INTL(DATE($B$3,1,21),DATE($B$3,1,21),1,'Non-working days'!$A$6:$A$45)=0),"",IF(COUNTIFS('Leave log'!$A$7:$A$306,Employees!$A$24,'Leave log'!$B$7:$B$306,"&lt;="&amp;DATE($B$3,1,21),'Leave log'!$C$7:$C$306,"&gt;="&amp;DATE($B$3,1,21),'Leave log'!$F$7:$F$306,"Approved")&gt;0,"A",""))="A","A",IF(OR(DATE($B$3,1,21)&gt;EOMONTH(DATE($B$3,1,1),0),NETWORKDAYS.INTL(DATE($B$3,1,21),DATE($B$3,1,21),1,'Non-working days'!$A$6:$A$45)=0),"",IF(COUNTIFS('Leave log'!$A$7:$A$306,Employees!$A$24,'Leave log'!$B$7:$B$306,"&lt;="&amp;DATE($B$3,1,21),'Leave log'!$C$7:$C$306,"&gt;="&amp;DATE($B$3,1,21),'Leave log'!$F$7:$F$306,"Pending")&gt;0,"P",""))))</f>
        <v/>
      </c>
      <c r="W25" s="23" t="str">
        <f>IF(A25="","",IF(IF(OR(DATE($B$3,1,22)&gt;EOMONTH(DATE($B$3,1,1),0),NETWORKDAYS.INTL(DATE($B$3,1,22),DATE($B$3,1,22),1,'Non-working days'!$A$6:$A$45)=0),"",IF(COUNTIFS('Leave log'!$A$7:$A$306,Employees!$A$24,'Leave log'!$B$7:$B$306,"&lt;="&amp;DATE($B$3,1,22),'Leave log'!$C$7:$C$306,"&gt;="&amp;DATE($B$3,1,22),'Leave log'!$F$7:$F$306,"Approved")&gt;0,"A",""))="A","A",IF(OR(DATE($B$3,1,22)&gt;EOMONTH(DATE($B$3,1,1),0),NETWORKDAYS.INTL(DATE($B$3,1,22),DATE($B$3,1,22),1,'Non-working days'!$A$6:$A$45)=0),"",IF(COUNTIFS('Leave log'!$A$7:$A$306,Employees!$A$24,'Leave log'!$B$7:$B$306,"&lt;="&amp;DATE($B$3,1,22),'Leave log'!$C$7:$C$306,"&gt;="&amp;DATE($B$3,1,22),'Leave log'!$F$7:$F$306,"Pending")&gt;0,"P",""))))</f>
        <v/>
      </c>
      <c r="X25" s="23" t="str">
        <f>IF(A25="","",IF(IF(OR(DATE($B$3,1,23)&gt;EOMONTH(DATE($B$3,1,1),0),NETWORKDAYS.INTL(DATE($B$3,1,23),DATE($B$3,1,23),1,'Non-working days'!$A$6:$A$45)=0),"",IF(COUNTIFS('Leave log'!$A$7:$A$306,Employees!$A$24,'Leave log'!$B$7:$B$306,"&lt;="&amp;DATE($B$3,1,23),'Leave log'!$C$7:$C$306,"&gt;="&amp;DATE($B$3,1,23),'Leave log'!$F$7:$F$306,"Approved")&gt;0,"A",""))="A","A",IF(OR(DATE($B$3,1,23)&gt;EOMONTH(DATE($B$3,1,1),0),NETWORKDAYS.INTL(DATE($B$3,1,23),DATE($B$3,1,23),1,'Non-working days'!$A$6:$A$45)=0),"",IF(COUNTIFS('Leave log'!$A$7:$A$306,Employees!$A$24,'Leave log'!$B$7:$B$306,"&lt;="&amp;DATE($B$3,1,23),'Leave log'!$C$7:$C$306,"&gt;="&amp;DATE($B$3,1,23),'Leave log'!$F$7:$F$306,"Pending")&gt;0,"P",""))))</f>
        <v/>
      </c>
      <c r="Y25" s="23" t="str">
        <f>IF(A25="","",IF(IF(OR(DATE($B$3,1,24)&gt;EOMONTH(DATE($B$3,1,1),0),NETWORKDAYS.INTL(DATE($B$3,1,24),DATE($B$3,1,24),1,'Non-working days'!$A$6:$A$45)=0),"",IF(COUNTIFS('Leave log'!$A$7:$A$306,Employees!$A$24,'Leave log'!$B$7:$B$306,"&lt;="&amp;DATE($B$3,1,24),'Leave log'!$C$7:$C$306,"&gt;="&amp;DATE($B$3,1,24),'Leave log'!$F$7:$F$306,"Approved")&gt;0,"A",""))="A","A",IF(OR(DATE($B$3,1,24)&gt;EOMONTH(DATE($B$3,1,1),0),NETWORKDAYS.INTL(DATE($B$3,1,24),DATE($B$3,1,24),1,'Non-working days'!$A$6:$A$45)=0),"",IF(COUNTIFS('Leave log'!$A$7:$A$306,Employees!$A$24,'Leave log'!$B$7:$B$306,"&lt;="&amp;DATE($B$3,1,24),'Leave log'!$C$7:$C$306,"&gt;="&amp;DATE($B$3,1,24),'Leave log'!$F$7:$F$306,"Pending")&gt;0,"P",""))))</f>
        <v/>
      </c>
      <c r="Z25" s="23" t="str">
        <f>IF(A25="","",IF(IF(OR(DATE($B$3,1,25)&gt;EOMONTH(DATE($B$3,1,1),0),NETWORKDAYS.INTL(DATE($B$3,1,25),DATE($B$3,1,25),1,'Non-working days'!$A$6:$A$45)=0),"",IF(COUNTIFS('Leave log'!$A$7:$A$306,Employees!$A$24,'Leave log'!$B$7:$B$306,"&lt;="&amp;DATE($B$3,1,25),'Leave log'!$C$7:$C$306,"&gt;="&amp;DATE($B$3,1,25),'Leave log'!$F$7:$F$306,"Approved")&gt;0,"A",""))="A","A",IF(OR(DATE($B$3,1,25)&gt;EOMONTH(DATE($B$3,1,1),0),NETWORKDAYS.INTL(DATE($B$3,1,25),DATE($B$3,1,25),1,'Non-working days'!$A$6:$A$45)=0),"",IF(COUNTIFS('Leave log'!$A$7:$A$306,Employees!$A$24,'Leave log'!$B$7:$B$306,"&lt;="&amp;DATE($B$3,1,25),'Leave log'!$C$7:$C$306,"&gt;="&amp;DATE($B$3,1,25),'Leave log'!$F$7:$F$306,"Pending")&gt;0,"P",""))))</f>
        <v/>
      </c>
      <c r="AA25" s="23" t="str">
        <f>IF(A25="","",IF(IF(OR(DATE($B$3,1,26)&gt;EOMONTH(DATE($B$3,1,1),0),NETWORKDAYS.INTL(DATE($B$3,1,26),DATE($B$3,1,26),1,'Non-working days'!$A$6:$A$45)=0),"",IF(COUNTIFS('Leave log'!$A$7:$A$306,Employees!$A$24,'Leave log'!$B$7:$B$306,"&lt;="&amp;DATE($B$3,1,26),'Leave log'!$C$7:$C$306,"&gt;="&amp;DATE($B$3,1,26),'Leave log'!$F$7:$F$306,"Approved")&gt;0,"A",""))="A","A",IF(OR(DATE($B$3,1,26)&gt;EOMONTH(DATE($B$3,1,1),0),NETWORKDAYS.INTL(DATE($B$3,1,26),DATE($B$3,1,26),1,'Non-working days'!$A$6:$A$45)=0),"",IF(COUNTIFS('Leave log'!$A$7:$A$306,Employees!$A$24,'Leave log'!$B$7:$B$306,"&lt;="&amp;DATE($B$3,1,26),'Leave log'!$C$7:$C$306,"&gt;="&amp;DATE($B$3,1,26),'Leave log'!$F$7:$F$306,"Pending")&gt;0,"P",""))))</f>
        <v/>
      </c>
      <c r="AB25" s="23" t="str">
        <f>IF(A25="","",IF(IF(OR(DATE($B$3,1,27)&gt;EOMONTH(DATE($B$3,1,1),0),NETWORKDAYS.INTL(DATE($B$3,1,27),DATE($B$3,1,27),1,'Non-working days'!$A$6:$A$45)=0),"",IF(COUNTIFS('Leave log'!$A$7:$A$306,Employees!$A$24,'Leave log'!$B$7:$B$306,"&lt;="&amp;DATE($B$3,1,27),'Leave log'!$C$7:$C$306,"&gt;="&amp;DATE($B$3,1,27),'Leave log'!$F$7:$F$306,"Approved")&gt;0,"A",""))="A","A",IF(OR(DATE($B$3,1,27)&gt;EOMONTH(DATE($B$3,1,1),0),NETWORKDAYS.INTL(DATE($B$3,1,27),DATE($B$3,1,27),1,'Non-working days'!$A$6:$A$45)=0),"",IF(COUNTIFS('Leave log'!$A$7:$A$306,Employees!$A$24,'Leave log'!$B$7:$B$306,"&lt;="&amp;DATE($B$3,1,27),'Leave log'!$C$7:$C$306,"&gt;="&amp;DATE($B$3,1,27),'Leave log'!$F$7:$F$306,"Pending")&gt;0,"P",""))))</f>
        <v/>
      </c>
      <c r="AC25" s="23" t="str">
        <f>IF(A25="","",IF(IF(OR(DATE($B$3,1,28)&gt;EOMONTH(DATE($B$3,1,1),0),NETWORKDAYS.INTL(DATE($B$3,1,28),DATE($B$3,1,28),1,'Non-working days'!$A$6:$A$45)=0),"",IF(COUNTIFS('Leave log'!$A$7:$A$306,Employees!$A$24,'Leave log'!$B$7:$B$306,"&lt;="&amp;DATE($B$3,1,28),'Leave log'!$C$7:$C$306,"&gt;="&amp;DATE($B$3,1,28),'Leave log'!$F$7:$F$306,"Approved")&gt;0,"A",""))="A","A",IF(OR(DATE($B$3,1,28)&gt;EOMONTH(DATE($B$3,1,1),0),NETWORKDAYS.INTL(DATE($B$3,1,28),DATE($B$3,1,28),1,'Non-working days'!$A$6:$A$45)=0),"",IF(COUNTIFS('Leave log'!$A$7:$A$306,Employees!$A$24,'Leave log'!$B$7:$B$306,"&lt;="&amp;DATE($B$3,1,28),'Leave log'!$C$7:$C$306,"&gt;="&amp;DATE($B$3,1,28),'Leave log'!$F$7:$F$306,"Pending")&gt;0,"P",""))))</f>
        <v/>
      </c>
      <c r="AD25" s="23" t="str">
        <f>IF(A25="","",IF(IF(OR(DATE($B$3,1,29)&gt;EOMONTH(DATE($B$3,1,1),0),NETWORKDAYS.INTL(DATE($B$3,1,29),DATE($B$3,1,29),1,'Non-working days'!$A$6:$A$45)=0),"",IF(COUNTIFS('Leave log'!$A$7:$A$306,Employees!$A$24,'Leave log'!$B$7:$B$306,"&lt;="&amp;DATE($B$3,1,29),'Leave log'!$C$7:$C$306,"&gt;="&amp;DATE($B$3,1,29),'Leave log'!$F$7:$F$306,"Approved")&gt;0,"A",""))="A","A",IF(OR(DATE($B$3,1,29)&gt;EOMONTH(DATE($B$3,1,1),0),NETWORKDAYS.INTL(DATE($B$3,1,29),DATE($B$3,1,29),1,'Non-working days'!$A$6:$A$45)=0),"",IF(COUNTIFS('Leave log'!$A$7:$A$306,Employees!$A$24,'Leave log'!$B$7:$B$306,"&lt;="&amp;DATE($B$3,1,29),'Leave log'!$C$7:$C$306,"&gt;="&amp;DATE($B$3,1,29),'Leave log'!$F$7:$F$306,"Pending")&gt;0,"P",""))))</f>
        <v/>
      </c>
      <c r="AE25" s="23" t="str">
        <f>IF(A25="","",IF(IF(OR(DATE($B$3,1,30)&gt;EOMONTH(DATE($B$3,1,1),0),NETWORKDAYS.INTL(DATE($B$3,1,30),DATE($B$3,1,30),1,'Non-working days'!$A$6:$A$45)=0),"",IF(COUNTIFS('Leave log'!$A$7:$A$306,Employees!$A$24,'Leave log'!$B$7:$B$306,"&lt;="&amp;DATE($B$3,1,30),'Leave log'!$C$7:$C$306,"&gt;="&amp;DATE($B$3,1,30),'Leave log'!$F$7:$F$306,"Approved")&gt;0,"A",""))="A","A",IF(OR(DATE($B$3,1,30)&gt;EOMONTH(DATE($B$3,1,1),0),NETWORKDAYS.INTL(DATE($B$3,1,30),DATE($B$3,1,30),1,'Non-working days'!$A$6:$A$45)=0),"",IF(COUNTIFS('Leave log'!$A$7:$A$306,Employees!$A$24,'Leave log'!$B$7:$B$306,"&lt;="&amp;DATE($B$3,1,30),'Leave log'!$C$7:$C$306,"&gt;="&amp;DATE($B$3,1,30),'Leave log'!$F$7:$F$306,"Pending")&gt;0,"P",""))))</f>
        <v/>
      </c>
      <c r="AF25" s="23" t="str">
        <f>IF(A25="","",IF(IF(OR(DATE($B$3,1,31)&gt;EOMONTH(DATE($B$3,1,1),0),NETWORKDAYS.INTL(DATE($B$3,1,31),DATE($B$3,1,31),1,'Non-working days'!$A$6:$A$45)=0),"",IF(COUNTIFS('Leave log'!$A$7:$A$306,Employees!$A$24,'Leave log'!$B$7:$B$306,"&lt;="&amp;DATE($B$3,1,31),'Leave log'!$C$7:$C$306,"&gt;="&amp;DATE($B$3,1,31),'Leave log'!$F$7:$F$306,"Approved")&gt;0,"A",""))="A","A",IF(OR(DATE($B$3,1,31)&gt;EOMONTH(DATE($B$3,1,1),0),NETWORKDAYS.INTL(DATE($B$3,1,31),DATE($B$3,1,31),1,'Non-working days'!$A$6:$A$45)=0),"",IF(COUNTIFS('Leave log'!$A$7:$A$306,Employees!$A$24,'Leave log'!$B$7:$B$306,"&lt;="&amp;DATE($B$3,1,31),'Leave log'!$C$7:$C$306,"&gt;="&amp;DATE($B$3,1,31),'Leave log'!$F$7:$F$306,"Pending")&gt;0,"P",""))))</f>
        <v/>
      </c>
    </row>
    <row r="26" spans="1:32" ht="18" customHeight="1" x14ac:dyDescent="0.3">
      <c r="A26" s="22" t="str">
        <f>IF(Employees!F25="Yes",Employees!B25,"")</f>
        <v/>
      </c>
      <c r="B26" s="23" t="str">
        <f>IF(A26="","",IF(IF(OR(DATE($B$3,1,1)&gt;EOMONTH(DATE($B$3,1,1),0),NETWORKDAYS.INTL(DATE($B$3,1,1),DATE($B$3,1,1),1,'Non-working days'!$A$6:$A$45)=0),"",IF(COUNTIFS('Leave log'!$A$7:$A$306,Employees!$A$25,'Leave log'!$B$7:$B$306,"&lt;="&amp;DATE($B$3,1,1),'Leave log'!$C$7:$C$306,"&gt;="&amp;DATE($B$3,1,1),'Leave log'!$F$7:$F$306,"Approved")&gt;0,"A",""))="A","A",IF(OR(DATE($B$3,1,1)&gt;EOMONTH(DATE($B$3,1,1),0),NETWORKDAYS.INTL(DATE($B$3,1,1),DATE($B$3,1,1),1,'Non-working days'!$A$6:$A$45)=0),"",IF(COUNTIFS('Leave log'!$A$7:$A$306,Employees!$A$25,'Leave log'!$B$7:$B$306,"&lt;="&amp;DATE($B$3,1,1),'Leave log'!$C$7:$C$306,"&gt;="&amp;DATE($B$3,1,1),'Leave log'!$F$7:$F$306,"Pending")&gt;0,"P",""))))</f>
        <v/>
      </c>
      <c r="C26" s="23" t="str">
        <f>IF(A26="","",IF(IF(OR(DATE($B$3,1,2)&gt;EOMONTH(DATE($B$3,1,1),0),NETWORKDAYS.INTL(DATE($B$3,1,2),DATE($B$3,1,2),1,'Non-working days'!$A$6:$A$45)=0),"",IF(COUNTIFS('Leave log'!$A$7:$A$306,Employees!$A$25,'Leave log'!$B$7:$B$306,"&lt;="&amp;DATE($B$3,1,2),'Leave log'!$C$7:$C$306,"&gt;="&amp;DATE($B$3,1,2),'Leave log'!$F$7:$F$306,"Approved")&gt;0,"A",""))="A","A",IF(OR(DATE($B$3,1,2)&gt;EOMONTH(DATE($B$3,1,1),0),NETWORKDAYS.INTL(DATE($B$3,1,2),DATE($B$3,1,2),1,'Non-working days'!$A$6:$A$45)=0),"",IF(COUNTIFS('Leave log'!$A$7:$A$306,Employees!$A$25,'Leave log'!$B$7:$B$306,"&lt;="&amp;DATE($B$3,1,2),'Leave log'!$C$7:$C$306,"&gt;="&amp;DATE($B$3,1,2),'Leave log'!$F$7:$F$306,"Pending")&gt;0,"P",""))))</f>
        <v/>
      </c>
      <c r="D26" s="23" t="str">
        <f>IF(A26="","",IF(IF(OR(DATE($B$3,1,3)&gt;EOMONTH(DATE($B$3,1,1),0),NETWORKDAYS.INTL(DATE($B$3,1,3),DATE($B$3,1,3),1,'Non-working days'!$A$6:$A$45)=0),"",IF(COUNTIFS('Leave log'!$A$7:$A$306,Employees!$A$25,'Leave log'!$B$7:$B$306,"&lt;="&amp;DATE($B$3,1,3),'Leave log'!$C$7:$C$306,"&gt;="&amp;DATE($B$3,1,3),'Leave log'!$F$7:$F$306,"Approved")&gt;0,"A",""))="A","A",IF(OR(DATE($B$3,1,3)&gt;EOMONTH(DATE($B$3,1,1),0),NETWORKDAYS.INTL(DATE($B$3,1,3),DATE($B$3,1,3),1,'Non-working days'!$A$6:$A$45)=0),"",IF(COUNTIFS('Leave log'!$A$7:$A$306,Employees!$A$25,'Leave log'!$B$7:$B$306,"&lt;="&amp;DATE($B$3,1,3),'Leave log'!$C$7:$C$306,"&gt;="&amp;DATE($B$3,1,3),'Leave log'!$F$7:$F$306,"Pending")&gt;0,"P",""))))</f>
        <v/>
      </c>
      <c r="E26" s="23" t="str">
        <f>IF(A26="","",IF(IF(OR(DATE($B$3,1,4)&gt;EOMONTH(DATE($B$3,1,1),0),NETWORKDAYS.INTL(DATE($B$3,1,4),DATE($B$3,1,4),1,'Non-working days'!$A$6:$A$45)=0),"",IF(COUNTIFS('Leave log'!$A$7:$A$306,Employees!$A$25,'Leave log'!$B$7:$B$306,"&lt;="&amp;DATE($B$3,1,4),'Leave log'!$C$7:$C$306,"&gt;="&amp;DATE($B$3,1,4),'Leave log'!$F$7:$F$306,"Approved")&gt;0,"A",""))="A","A",IF(OR(DATE($B$3,1,4)&gt;EOMONTH(DATE($B$3,1,1),0),NETWORKDAYS.INTL(DATE($B$3,1,4),DATE($B$3,1,4),1,'Non-working days'!$A$6:$A$45)=0),"",IF(COUNTIFS('Leave log'!$A$7:$A$306,Employees!$A$25,'Leave log'!$B$7:$B$306,"&lt;="&amp;DATE($B$3,1,4),'Leave log'!$C$7:$C$306,"&gt;="&amp;DATE($B$3,1,4),'Leave log'!$F$7:$F$306,"Pending")&gt;0,"P",""))))</f>
        <v/>
      </c>
      <c r="F26" s="23" t="str">
        <f>IF(A26="","",IF(IF(OR(DATE($B$3,1,5)&gt;EOMONTH(DATE($B$3,1,1),0),NETWORKDAYS.INTL(DATE($B$3,1,5),DATE($B$3,1,5),1,'Non-working days'!$A$6:$A$45)=0),"",IF(COUNTIFS('Leave log'!$A$7:$A$306,Employees!$A$25,'Leave log'!$B$7:$B$306,"&lt;="&amp;DATE($B$3,1,5),'Leave log'!$C$7:$C$306,"&gt;="&amp;DATE($B$3,1,5),'Leave log'!$F$7:$F$306,"Approved")&gt;0,"A",""))="A","A",IF(OR(DATE($B$3,1,5)&gt;EOMONTH(DATE($B$3,1,1),0),NETWORKDAYS.INTL(DATE($B$3,1,5),DATE($B$3,1,5),1,'Non-working days'!$A$6:$A$45)=0),"",IF(COUNTIFS('Leave log'!$A$7:$A$306,Employees!$A$25,'Leave log'!$B$7:$B$306,"&lt;="&amp;DATE($B$3,1,5),'Leave log'!$C$7:$C$306,"&gt;="&amp;DATE($B$3,1,5),'Leave log'!$F$7:$F$306,"Pending")&gt;0,"P",""))))</f>
        <v/>
      </c>
      <c r="G26" s="23" t="str">
        <f>IF(A26="","",IF(IF(OR(DATE($B$3,1,6)&gt;EOMONTH(DATE($B$3,1,1),0),NETWORKDAYS.INTL(DATE($B$3,1,6),DATE($B$3,1,6),1,'Non-working days'!$A$6:$A$45)=0),"",IF(COUNTIFS('Leave log'!$A$7:$A$306,Employees!$A$25,'Leave log'!$B$7:$B$306,"&lt;="&amp;DATE($B$3,1,6),'Leave log'!$C$7:$C$306,"&gt;="&amp;DATE($B$3,1,6),'Leave log'!$F$7:$F$306,"Approved")&gt;0,"A",""))="A","A",IF(OR(DATE($B$3,1,6)&gt;EOMONTH(DATE($B$3,1,1),0),NETWORKDAYS.INTL(DATE($B$3,1,6),DATE($B$3,1,6),1,'Non-working days'!$A$6:$A$45)=0),"",IF(COUNTIFS('Leave log'!$A$7:$A$306,Employees!$A$25,'Leave log'!$B$7:$B$306,"&lt;="&amp;DATE($B$3,1,6),'Leave log'!$C$7:$C$306,"&gt;="&amp;DATE($B$3,1,6),'Leave log'!$F$7:$F$306,"Pending")&gt;0,"P",""))))</f>
        <v/>
      </c>
      <c r="H26" s="23" t="str">
        <f>IF(A26="","",IF(IF(OR(DATE($B$3,1,7)&gt;EOMONTH(DATE($B$3,1,1),0),NETWORKDAYS.INTL(DATE($B$3,1,7),DATE($B$3,1,7),1,'Non-working days'!$A$6:$A$45)=0),"",IF(COUNTIFS('Leave log'!$A$7:$A$306,Employees!$A$25,'Leave log'!$B$7:$B$306,"&lt;="&amp;DATE($B$3,1,7),'Leave log'!$C$7:$C$306,"&gt;="&amp;DATE($B$3,1,7),'Leave log'!$F$7:$F$306,"Approved")&gt;0,"A",""))="A","A",IF(OR(DATE($B$3,1,7)&gt;EOMONTH(DATE($B$3,1,1),0),NETWORKDAYS.INTL(DATE($B$3,1,7),DATE($B$3,1,7),1,'Non-working days'!$A$6:$A$45)=0),"",IF(COUNTIFS('Leave log'!$A$7:$A$306,Employees!$A$25,'Leave log'!$B$7:$B$306,"&lt;="&amp;DATE($B$3,1,7),'Leave log'!$C$7:$C$306,"&gt;="&amp;DATE($B$3,1,7),'Leave log'!$F$7:$F$306,"Pending")&gt;0,"P",""))))</f>
        <v/>
      </c>
      <c r="I26" s="23" t="str">
        <f>IF(A26="","",IF(IF(OR(DATE($B$3,1,8)&gt;EOMONTH(DATE($B$3,1,1),0),NETWORKDAYS.INTL(DATE($B$3,1,8),DATE($B$3,1,8),1,'Non-working days'!$A$6:$A$45)=0),"",IF(COUNTIFS('Leave log'!$A$7:$A$306,Employees!$A$25,'Leave log'!$B$7:$B$306,"&lt;="&amp;DATE($B$3,1,8),'Leave log'!$C$7:$C$306,"&gt;="&amp;DATE($B$3,1,8),'Leave log'!$F$7:$F$306,"Approved")&gt;0,"A",""))="A","A",IF(OR(DATE($B$3,1,8)&gt;EOMONTH(DATE($B$3,1,1),0),NETWORKDAYS.INTL(DATE($B$3,1,8),DATE($B$3,1,8),1,'Non-working days'!$A$6:$A$45)=0),"",IF(COUNTIFS('Leave log'!$A$7:$A$306,Employees!$A$25,'Leave log'!$B$7:$B$306,"&lt;="&amp;DATE($B$3,1,8),'Leave log'!$C$7:$C$306,"&gt;="&amp;DATE($B$3,1,8),'Leave log'!$F$7:$F$306,"Pending")&gt;0,"P",""))))</f>
        <v/>
      </c>
      <c r="J26" s="23" t="str">
        <f>IF(A26="","",IF(IF(OR(DATE($B$3,1,9)&gt;EOMONTH(DATE($B$3,1,1),0),NETWORKDAYS.INTL(DATE($B$3,1,9),DATE($B$3,1,9),1,'Non-working days'!$A$6:$A$45)=0),"",IF(COUNTIFS('Leave log'!$A$7:$A$306,Employees!$A$25,'Leave log'!$B$7:$B$306,"&lt;="&amp;DATE($B$3,1,9),'Leave log'!$C$7:$C$306,"&gt;="&amp;DATE($B$3,1,9),'Leave log'!$F$7:$F$306,"Approved")&gt;0,"A",""))="A","A",IF(OR(DATE($B$3,1,9)&gt;EOMONTH(DATE($B$3,1,1),0),NETWORKDAYS.INTL(DATE($B$3,1,9),DATE($B$3,1,9),1,'Non-working days'!$A$6:$A$45)=0),"",IF(COUNTIFS('Leave log'!$A$7:$A$306,Employees!$A$25,'Leave log'!$B$7:$B$306,"&lt;="&amp;DATE($B$3,1,9),'Leave log'!$C$7:$C$306,"&gt;="&amp;DATE($B$3,1,9),'Leave log'!$F$7:$F$306,"Pending")&gt;0,"P",""))))</f>
        <v/>
      </c>
      <c r="K26" s="23" t="str">
        <f>IF(A26="","",IF(IF(OR(DATE($B$3,1,10)&gt;EOMONTH(DATE($B$3,1,1),0),NETWORKDAYS.INTL(DATE($B$3,1,10),DATE($B$3,1,10),1,'Non-working days'!$A$6:$A$45)=0),"",IF(COUNTIFS('Leave log'!$A$7:$A$306,Employees!$A$25,'Leave log'!$B$7:$B$306,"&lt;="&amp;DATE($B$3,1,10),'Leave log'!$C$7:$C$306,"&gt;="&amp;DATE($B$3,1,10),'Leave log'!$F$7:$F$306,"Approved")&gt;0,"A",""))="A","A",IF(OR(DATE($B$3,1,10)&gt;EOMONTH(DATE($B$3,1,1),0),NETWORKDAYS.INTL(DATE($B$3,1,10),DATE($B$3,1,10),1,'Non-working days'!$A$6:$A$45)=0),"",IF(COUNTIFS('Leave log'!$A$7:$A$306,Employees!$A$25,'Leave log'!$B$7:$B$306,"&lt;="&amp;DATE($B$3,1,10),'Leave log'!$C$7:$C$306,"&gt;="&amp;DATE($B$3,1,10),'Leave log'!$F$7:$F$306,"Pending")&gt;0,"P",""))))</f>
        <v/>
      </c>
      <c r="L26" s="23" t="str">
        <f>IF(A26="","",IF(IF(OR(DATE($B$3,1,11)&gt;EOMONTH(DATE($B$3,1,1),0),NETWORKDAYS.INTL(DATE($B$3,1,11),DATE($B$3,1,11),1,'Non-working days'!$A$6:$A$45)=0),"",IF(COUNTIFS('Leave log'!$A$7:$A$306,Employees!$A$25,'Leave log'!$B$7:$B$306,"&lt;="&amp;DATE($B$3,1,11),'Leave log'!$C$7:$C$306,"&gt;="&amp;DATE($B$3,1,11),'Leave log'!$F$7:$F$306,"Approved")&gt;0,"A",""))="A","A",IF(OR(DATE($B$3,1,11)&gt;EOMONTH(DATE($B$3,1,1),0),NETWORKDAYS.INTL(DATE($B$3,1,11),DATE($B$3,1,11),1,'Non-working days'!$A$6:$A$45)=0),"",IF(COUNTIFS('Leave log'!$A$7:$A$306,Employees!$A$25,'Leave log'!$B$7:$B$306,"&lt;="&amp;DATE($B$3,1,11),'Leave log'!$C$7:$C$306,"&gt;="&amp;DATE($B$3,1,11),'Leave log'!$F$7:$F$306,"Pending")&gt;0,"P",""))))</f>
        <v/>
      </c>
      <c r="M26" s="23" t="str">
        <f>IF(A26="","",IF(IF(OR(DATE($B$3,1,12)&gt;EOMONTH(DATE($B$3,1,1),0),NETWORKDAYS.INTL(DATE($B$3,1,12),DATE($B$3,1,12),1,'Non-working days'!$A$6:$A$45)=0),"",IF(COUNTIFS('Leave log'!$A$7:$A$306,Employees!$A$25,'Leave log'!$B$7:$B$306,"&lt;="&amp;DATE($B$3,1,12),'Leave log'!$C$7:$C$306,"&gt;="&amp;DATE($B$3,1,12),'Leave log'!$F$7:$F$306,"Approved")&gt;0,"A",""))="A","A",IF(OR(DATE($B$3,1,12)&gt;EOMONTH(DATE($B$3,1,1),0),NETWORKDAYS.INTL(DATE($B$3,1,12),DATE($B$3,1,12),1,'Non-working days'!$A$6:$A$45)=0),"",IF(COUNTIFS('Leave log'!$A$7:$A$306,Employees!$A$25,'Leave log'!$B$7:$B$306,"&lt;="&amp;DATE($B$3,1,12),'Leave log'!$C$7:$C$306,"&gt;="&amp;DATE($B$3,1,12),'Leave log'!$F$7:$F$306,"Pending")&gt;0,"P",""))))</f>
        <v/>
      </c>
      <c r="N26" s="23" t="str">
        <f>IF(A26="","",IF(IF(OR(DATE($B$3,1,13)&gt;EOMONTH(DATE($B$3,1,1),0),NETWORKDAYS.INTL(DATE($B$3,1,13),DATE($B$3,1,13),1,'Non-working days'!$A$6:$A$45)=0),"",IF(COUNTIFS('Leave log'!$A$7:$A$306,Employees!$A$25,'Leave log'!$B$7:$B$306,"&lt;="&amp;DATE($B$3,1,13),'Leave log'!$C$7:$C$306,"&gt;="&amp;DATE($B$3,1,13),'Leave log'!$F$7:$F$306,"Approved")&gt;0,"A",""))="A","A",IF(OR(DATE($B$3,1,13)&gt;EOMONTH(DATE($B$3,1,1),0),NETWORKDAYS.INTL(DATE($B$3,1,13),DATE($B$3,1,13),1,'Non-working days'!$A$6:$A$45)=0),"",IF(COUNTIFS('Leave log'!$A$7:$A$306,Employees!$A$25,'Leave log'!$B$7:$B$306,"&lt;="&amp;DATE($B$3,1,13),'Leave log'!$C$7:$C$306,"&gt;="&amp;DATE($B$3,1,13),'Leave log'!$F$7:$F$306,"Pending")&gt;0,"P",""))))</f>
        <v/>
      </c>
      <c r="O26" s="23" t="str">
        <f>IF(A26="","",IF(IF(OR(DATE($B$3,1,14)&gt;EOMONTH(DATE($B$3,1,1),0),NETWORKDAYS.INTL(DATE($B$3,1,14),DATE($B$3,1,14),1,'Non-working days'!$A$6:$A$45)=0),"",IF(COUNTIFS('Leave log'!$A$7:$A$306,Employees!$A$25,'Leave log'!$B$7:$B$306,"&lt;="&amp;DATE($B$3,1,14),'Leave log'!$C$7:$C$306,"&gt;="&amp;DATE($B$3,1,14),'Leave log'!$F$7:$F$306,"Approved")&gt;0,"A",""))="A","A",IF(OR(DATE($B$3,1,14)&gt;EOMONTH(DATE($B$3,1,1),0),NETWORKDAYS.INTL(DATE($B$3,1,14),DATE($B$3,1,14),1,'Non-working days'!$A$6:$A$45)=0),"",IF(COUNTIFS('Leave log'!$A$7:$A$306,Employees!$A$25,'Leave log'!$B$7:$B$306,"&lt;="&amp;DATE($B$3,1,14),'Leave log'!$C$7:$C$306,"&gt;="&amp;DATE($B$3,1,14),'Leave log'!$F$7:$F$306,"Pending")&gt;0,"P",""))))</f>
        <v/>
      </c>
      <c r="P26" s="23" t="str">
        <f>IF(A26="","",IF(IF(OR(DATE($B$3,1,15)&gt;EOMONTH(DATE($B$3,1,1),0),NETWORKDAYS.INTL(DATE($B$3,1,15),DATE($B$3,1,15),1,'Non-working days'!$A$6:$A$45)=0),"",IF(COUNTIFS('Leave log'!$A$7:$A$306,Employees!$A$25,'Leave log'!$B$7:$B$306,"&lt;="&amp;DATE($B$3,1,15),'Leave log'!$C$7:$C$306,"&gt;="&amp;DATE($B$3,1,15),'Leave log'!$F$7:$F$306,"Approved")&gt;0,"A",""))="A","A",IF(OR(DATE($B$3,1,15)&gt;EOMONTH(DATE($B$3,1,1),0),NETWORKDAYS.INTL(DATE($B$3,1,15),DATE($B$3,1,15),1,'Non-working days'!$A$6:$A$45)=0),"",IF(COUNTIFS('Leave log'!$A$7:$A$306,Employees!$A$25,'Leave log'!$B$7:$B$306,"&lt;="&amp;DATE($B$3,1,15),'Leave log'!$C$7:$C$306,"&gt;="&amp;DATE($B$3,1,15),'Leave log'!$F$7:$F$306,"Pending")&gt;0,"P",""))))</f>
        <v/>
      </c>
      <c r="Q26" s="23" t="str">
        <f>IF(A26="","",IF(IF(OR(DATE($B$3,1,16)&gt;EOMONTH(DATE($B$3,1,1),0),NETWORKDAYS.INTL(DATE($B$3,1,16),DATE($B$3,1,16),1,'Non-working days'!$A$6:$A$45)=0),"",IF(COUNTIFS('Leave log'!$A$7:$A$306,Employees!$A$25,'Leave log'!$B$7:$B$306,"&lt;="&amp;DATE($B$3,1,16),'Leave log'!$C$7:$C$306,"&gt;="&amp;DATE($B$3,1,16),'Leave log'!$F$7:$F$306,"Approved")&gt;0,"A",""))="A","A",IF(OR(DATE($B$3,1,16)&gt;EOMONTH(DATE($B$3,1,1),0),NETWORKDAYS.INTL(DATE($B$3,1,16),DATE($B$3,1,16),1,'Non-working days'!$A$6:$A$45)=0),"",IF(COUNTIFS('Leave log'!$A$7:$A$306,Employees!$A$25,'Leave log'!$B$7:$B$306,"&lt;="&amp;DATE($B$3,1,16),'Leave log'!$C$7:$C$306,"&gt;="&amp;DATE($B$3,1,16),'Leave log'!$F$7:$F$306,"Pending")&gt;0,"P",""))))</f>
        <v/>
      </c>
      <c r="R26" s="23" t="str">
        <f>IF(A26="","",IF(IF(OR(DATE($B$3,1,17)&gt;EOMONTH(DATE($B$3,1,1),0),NETWORKDAYS.INTL(DATE($B$3,1,17),DATE($B$3,1,17),1,'Non-working days'!$A$6:$A$45)=0),"",IF(COUNTIFS('Leave log'!$A$7:$A$306,Employees!$A$25,'Leave log'!$B$7:$B$306,"&lt;="&amp;DATE($B$3,1,17),'Leave log'!$C$7:$C$306,"&gt;="&amp;DATE($B$3,1,17),'Leave log'!$F$7:$F$306,"Approved")&gt;0,"A",""))="A","A",IF(OR(DATE($B$3,1,17)&gt;EOMONTH(DATE($B$3,1,1),0),NETWORKDAYS.INTL(DATE($B$3,1,17),DATE($B$3,1,17),1,'Non-working days'!$A$6:$A$45)=0),"",IF(COUNTIFS('Leave log'!$A$7:$A$306,Employees!$A$25,'Leave log'!$B$7:$B$306,"&lt;="&amp;DATE($B$3,1,17),'Leave log'!$C$7:$C$306,"&gt;="&amp;DATE($B$3,1,17),'Leave log'!$F$7:$F$306,"Pending")&gt;0,"P",""))))</f>
        <v/>
      </c>
      <c r="S26" s="23" t="str">
        <f>IF(A26="","",IF(IF(OR(DATE($B$3,1,18)&gt;EOMONTH(DATE($B$3,1,1),0),NETWORKDAYS.INTL(DATE($B$3,1,18),DATE($B$3,1,18),1,'Non-working days'!$A$6:$A$45)=0),"",IF(COUNTIFS('Leave log'!$A$7:$A$306,Employees!$A$25,'Leave log'!$B$7:$B$306,"&lt;="&amp;DATE($B$3,1,18),'Leave log'!$C$7:$C$306,"&gt;="&amp;DATE($B$3,1,18),'Leave log'!$F$7:$F$306,"Approved")&gt;0,"A",""))="A","A",IF(OR(DATE($B$3,1,18)&gt;EOMONTH(DATE($B$3,1,1),0),NETWORKDAYS.INTL(DATE($B$3,1,18),DATE($B$3,1,18),1,'Non-working days'!$A$6:$A$45)=0),"",IF(COUNTIFS('Leave log'!$A$7:$A$306,Employees!$A$25,'Leave log'!$B$7:$B$306,"&lt;="&amp;DATE($B$3,1,18),'Leave log'!$C$7:$C$306,"&gt;="&amp;DATE($B$3,1,18),'Leave log'!$F$7:$F$306,"Pending")&gt;0,"P",""))))</f>
        <v/>
      </c>
      <c r="T26" s="23" t="str">
        <f>IF(A26="","",IF(IF(OR(DATE($B$3,1,19)&gt;EOMONTH(DATE($B$3,1,1),0),NETWORKDAYS.INTL(DATE($B$3,1,19),DATE($B$3,1,19),1,'Non-working days'!$A$6:$A$45)=0),"",IF(COUNTIFS('Leave log'!$A$7:$A$306,Employees!$A$25,'Leave log'!$B$7:$B$306,"&lt;="&amp;DATE($B$3,1,19),'Leave log'!$C$7:$C$306,"&gt;="&amp;DATE($B$3,1,19),'Leave log'!$F$7:$F$306,"Approved")&gt;0,"A",""))="A","A",IF(OR(DATE($B$3,1,19)&gt;EOMONTH(DATE($B$3,1,1),0),NETWORKDAYS.INTL(DATE($B$3,1,19),DATE($B$3,1,19),1,'Non-working days'!$A$6:$A$45)=0),"",IF(COUNTIFS('Leave log'!$A$7:$A$306,Employees!$A$25,'Leave log'!$B$7:$B$306,"&lt;="&amp;DATE($B$3,1,19),'Leave log'!$C$7:$C$306,"&gt;="&amp;DATE($B$3,1,19),'Leave log'!$F$7:$F$306,"Pending")&gt;0,"P",""))))</f>
        <v/>
      </c>
      <c r="U26" s="23" t="str">
        <f>IF(A26="","",IF(IF(OR(DATE($B$3,1,20)&gt;EOMONTH(DATE($B$3,1,1),0),NETWORKDAYS.INTL(DATE($B$3,1,20),DATE($B$3,1,20),1,'Non-working days'!$A$6:$A$45)=0),"",IF(COUNTIFS('Leave log'!$A$7:$A$306,Employees!$A$25,'Leave log'!$B$7:$B$306,"&lt;="&amp;DATE($B$3,1,20),'Leave log'!$C$7:$C$306,"&gt;="&amp;DATE($B$3,1,20),'Leave log'!$F$7:$F$306,"Approved")&gt;0,"A",""))="A","A",IF(OR(DATE($B$3,1,20)&gt;EOMONTH(DATE($B$3,1,1),0),NETWORKDAYS.INTL(DATE($B$3,1,20),DATE($B$3,1,20),1,'Non-working days'!$A$6:$A$45)=0),"",IF(COUNTIFS('Leave log'!$A$7:$A$306,Employees!$A$25,'Leave log'!$B$7:$B$306,"&lt;="&amp;DATE($B$3,1,20),'Leave log'!$C$7:$C$306,"&gt;="&amp;DATE($B$3,1,20),'Leave log'!$F$7:$F$306,"Pending")&gt;0,"P",""))))</f>
        <v/>
      </c>
      <c r="V26" s="23" t="str">
        <f>IF(A26="","",IF(IF(OR(DATE($B$3,1,21)&gt;EOMONTH(DATE($B$3,1,1),0),NETWORKDAYS.INTL(DATE($B$3,1,21),DATE($B$3,1,21),1,'Non-working days'!$A$6:$A$45)=0),"",IF(COUNTIFS('Leave log'!$A$7:$A$306,Employees!$A$25,'Leave log'!$B$7:$B$306,"&lt;="&amp;DATE($B$3,1,21),'Leave log'!$C$7:$C$306,"&gt;="&amp;DATE($B$3,1,21),'Leave log'!$F$7:$F$306,"Approved")&gt;0,"A",""))="A","A",IF(OR(DATE($B$3,1,21)&gt;EOMONTH(DATE($B$3,1,1),0),NETWORKDAYS.INTL(DATE($B$3,1,21),DATE($B$3,1,21),1,'Non-working days'!$A$6:$A$45)=0),"",IF(COUNTIFS('Leave log'!$A$7:$A$306,Employees!$A$25,'Leave log'!$B$7:$B$306,"&lt;="&amp;DATE($B$3,1,21),'Leave log'!$C$7:$C$306,"&gt;="&amp;DATE($B$3,1,21),'Leave log'!$F$7:$F$306,"Pending")&gt;0,"P",""))))</f>
        <v/>
      </c>
      <c r="W26" s="23" t="str">
        <f>IF(A26="","",IF(IF(OR(DATE($B$3,1,22)&gt;EOMONTH(DATE($B$3,1,1),0),NETWORKDAYS.INTL(DATE($B$3,1,22),DATE($B$3,1,22),1,'Non-working days'!$A$6:$A$45)=0),"",IF(COUNTIFS('Leave log'!$A$7:$A$306,Employees!$A$25,'Leave log'!$B$7:$B$306,"&lt;="&amp;DATE($B$3,1,22),'Leave log'!$C$7:$C$306,"&gt;="&amp;DATE($B$3,1,22),'Leave log'!$F$7:$F$306,"Approved")&gt;0,"A",""))="A","A",IF(OR(DATE($B$3,1,22)&gt;EOMONTH(DATE($B$3,1,1),0),NETWORKDAYS.INTL(DATE($B$3,1,22),DATE($B$3,1,22),1,'Non-working days'!$A$6:$A$45)=0),"",IF(COUNTIFS('Leave log'!$A$7:$A$306,Employees!$A$25,'Leave log'!$B$7:$B$306,"&lt;="&amp;DATE($B$3,1,22),'Leave log'!$C$7:$C$306,"&gt;="&amp;DATE($B$3,1,22),'Leave log'!$F$7:$F$306,"Pending")&gt;0,"P",""))))</f>
        <v/>
      </c>
      <c r="X26" s="23" t="str">
        <f>IF(A26="","",IF(IF(OR(DATE($B$3,1,23)&gt;EOMONTH(DATE($B$3,1,1),0),NETWORKDAYS.INTL(DATE($B$3,1,23),DATE($B$3,1,23),1,'Non-working days'!$A$6:$A$45)=0),"",IF(COUNTIFS('Leave log'!$A$7:$A$306,Employees!$A$25,'Leave log'!$B$7:$B$306,"&lt;="&amp;DATE($B$3,1,23),'Leave log'!$C$7:$C$306,"&gt;="&amp;DATE($B$3,1,23),'Leave log'!$F$7:$F$306,"Approved")&gt;0,"A",""))="A","A",IF(OR(DATE($B$3,1,23)&gt;EOMONTH(DATE($B$3,1,1),0),NETWORKDAYS.INTL(DATE($B$3,1,23),DATE($B$3,1,23),1,'Non-working days'!$A$6:$A$45)=0),"",IF(COUNTIFS('Leave log'!$A$7:$A$306,Employees!$A$25,'Leave log'!$B$7:$B$306,"&lt;="&amp;DATE($B$3,1,23),'Leave log'!$C$7:$C$306,"&gt;="&amp;DATE($B$3,1,23),'Leave log'!$F$7:$F$306,"Pending")&gt;0,"P",""))))</f>
        <v/>
      </c>
      <c r="Y26" s="23" t="str">
        <f>IF(A26="","",IF(IF(OR(DATE($B$3,1,24)&gt;EOMONTH(DATE($B$3,1,1),0),NETWORKDAYS.INTL(DATE($B$3,1,24),DATE($B$3,1,24),1,'Non-working days'!$A$6:$A$45)=0),"",IF(COUNTIFS('Leave log'!$A$7:$A$306,Employees!$A$25,'Leave log'!$B$7:$B$306,"&lt;="&amp;DATE($B$3,1,24),'Leave log'!$C$7:$C$306,"&gt;="&amp;DATE($B$3,1,24),'Leave log'!$F$7:$F$306,"Approved")&gt;0,"A",""))="A","A",IF(OR(DATE($B$3,1,24)&gt;EOMONTH(DATE($B$3,1,1),0),NETWORKDAYS.INTL(DATE($B$3,1,24),DATE($B$3,1,24),1,'Non-working days'!$A$6:$A$45)=0),"",IF(COUNTIFS('Leave log'!$A$7:$A$306,Employees!$A$25,'Leave log'!$B$7:$B$306,"&lt;="&amp;DATE($B$3,1,24),'Leave log'!$C$7:$C$306,"&gt;="&amp;DATE($B$3,1,24),'Leave log'!$F$7:$F$306,"Pending")&gt;0,"P",""))))</f>
        <v/>
      </c>
      <c r="Z26" s="23" t="str">
        <f>IF(A26="","",IF(IF(OR(DATE($B$3,1,25)&gt;EOMONTH(DATE($B$3,1,1),0),NETWORKDAYS.INTL(DATE($B$3,1,25),DATE($B$3,1,25),1,'Non-working days'!$A$6:$A$45)=0),"",IF(COUNTIFS('Leave log'!$A$7:$A$306,Employees!$A$25,'Leave log'!$B$7:$B$306,"&lt;="&amp;DATE($B$3,1,25),'Leave log'!$C$7:$C$306,"&gt;="&amp;DATE($B$3,1,25),'Leave log'!$F$7:$F$306,"Approved")&gt;0,"A",""))="A","A",IF(OR(DATE($B$3,1,25)&gt;EOMONTH(DATE($B$3,1,1),0),NETWORKDAYS.INTL(DATE($B$3,1,25),DATE($B$3,1,25),1,'Non-working days'!$A$6:$A$45)=0),"",IF(COUNTIFS('Leave log'!$A$7:$A$306,Employees!$A$25,'Leave log'!$B$7:$B$306,"&lt;="&amp;DATE($B$3,1,25),'Leave log'!$C$7:$C$306,"&gt;="&amp;DATE($B$3,1,25),'Leave log'!$F$7:$F$306,"Pending")&gt;0,"P",""))))</f>
        <v/>
      </c>
      <c r="AA26" s="23" t="str">
        <f>IF(A26="","",IF(IF(OR(DATE($B$3,1,26)&gt;EOMONTH(DATE($B$3,1,1),0),NETWORKDAYS.INTL(DATE($B$3,1,26),DATE($B$3,1,26),1,'Non-working days'!$A$6:$A$45)=0),"",IF(COUNTIFS('Leave log'!$A$7:$A$306,Employees!$A$25,'Leave log'!$B$7:$B$306,"&lt;="&amp;DATE($B$3,1,26),'Leave log'!$C$7:$C$306,"&gt;="&amp;DATE($B$3,1,26),'Leave log'!$F$7:$F$306,"Approved")&gt;0,"A",""))="A","A",IF(OR(DATE($B$3,1,26)&gt;EOMONTH(DATE($B$3,1,1),0),NETWORKDAYS.INTL(DATE($B$3,1,26),DATE($B$3,1,26),1,'Non-working days'!$A$6:$A$45)=0),"",IF(COUNTIFS('Leave log'!$A$7:$A$306,Employees!$A$25,'Leave log'!$B$7:$B$306,"&lt;="&amp;DATE($B$3,1,26),'Leave log'!$C$7:$C$306,"&gt;="&amp;DATE($B$3,1,26),'Leave log'!$F$7:$F$306,"Pending")&gt;0,"P",""))))</f>
        <v/>
      </c>
      <c r="AB26" s="23" t="str">
        <f>IF(A26="","",IF(IF(OR(DATE($B$3,1,27)&gt;EOMONTH(DATE($B$3,1,1),0),NETWORKDAYS.INTL(DATE($B$3,1,27),DATE($B$3,1,27),1,'Non-working days'!$A$6:$A$45)=0),"",IF(COUNTIFS('Leave log'!$A$7:$A$306,Employees!$A$25,'Leave log'!$B$7:$B$306,"&lt;="&amp;DATE($B$3,1,27),'Leave log'!$C$7:$C$306,"&gt;="&amp;DATE($B$3,1,27),'Leave log'!$F$7:$F$306,"Approved")&gt;0,"A",""))="A","A",IF(OR(DATE($B$3,1,27)&gt;EOMONTH(DATE($B$3,1,1),0),NETWORKDAYS.INTL(DATE($B$3,1,27),DATE($B$3,1,27),1,'Non-working days'!$A$6:$A$45)=0),"",IF(COUNTIFS('Leave log'!$A$7:$A$306,Employees!$A$25,'Leave log'!$B$7:$B$306,"&lt;="&amp;DATE($B$3,1,27),'Leave log'!$C$7:$C$306,"&gt;="&amp;DATE($B$3,1,27),'Leave log'!$F$7:$F$306,"Pending")&gt;0,"P",""))))</f>
        <v/>
      </c>
      <c r="AC26" s="23" t="str">
        <f>IF(A26="","",IF(IF(OR(DATE($B$3,1,28)&gt;EOMONTH(DATE($B$3,1,1),0),NETWORKDAYS.INTL(DATE($B$3,1,28),DATE($B$3,1,28),1,'Non-working days'!$A$6:$A$45)=0),"",IF(COUNTIFS('Leave log'!$A$7:$A$306,Employees!$A$25,'Leave log'!$B$7:$B$306,"&lt;="&amp;DATE($B$3,1,28),'Leave log'!$C$7:$C$306,"&gt;="&amp;DATE($B$3,1,28),'Leave log'!$F$7:$F$306,"Approved")&gt;0,"A",""))="A","A",IF(OR(DATE($B$3,1,28)&gt;EOMONTH(DATE($B$3,1,1),0),NETWORKDAYS.INTL(DATE($B$3,1,28),DATE($B$3,1,28),1,'Non-working days'!$A$6:$A$45)=0),"",IF(COUNTIFS('Leave log'!$A$7:$A$306,Employees!$A$25,'Leave log'!$B$7:$B$306,"&lt;="&amp;DATE($B$3,1,28),'Leave log'!$C$7:$C$306,"&gt;="&amp;DATE($B$3,1,28),'Leave log'!$F$7:$F$306,"Pending")&gt;0,"P",""))))</f>
        <v/>
      </c>
      <c r="AD26" s="23" t="str">
        <f>IF(A26="","",IF(IF(OR(DATE($B$3,1,29)&gt;EOMONTH(DATE($B$3,1,1),0),NETWORKDAYS.INTL(DATE($B$3,1,29),DATE($B$3,1,29),1,'Non-working days'!$A$6:$A$45)=0),"",IF(COUNTIFS('Leave log'!$A$7:$A$306,Employees!$A$25,'Leave log'!$B$7:$B$306,"&lt;="&amp;DATE($B$3,1,29),'Leave log'!$C$7:$C$306,"&gt;="&amp;DATE($B$3,1,29),'Leave log'!$F$7:$F$306,"Approved")&gt;0,"A",""))="A","A",IF(OR(DATE($B$3,1,29)&gt;EOMONTH(DATE($B$3,1,1),0),NETWORKDAYS.INTL(DATE($B$3,1,29),DATE($B$3,1,29),1,'Non-working days'!$A$6:$A$45)=0),"",IF(COUNTIFS('Leave log'!$A$7:$A$306,Employees!$A$25,'Leave log'!$B$7:$B$306,"&lt;="&amp;DATE($B$3,1,29),'Leave log'!$C$7:$C$306,"&gt;="&amp;DATE($B$3,1,29),'Leave log'!$F$7:$F$306,"Pending")&gt;0,"P",""))))</f>
        <v/>
      </c>
      <c r="AE26" s="23" t="str">
        <f>IF(A26="","",IF(IF(OR(DATE($B$3,1,30)&gt;EOMONTH(DATE($B$3,1,1),0),NETWORKDAYS.INTL(DATE($B$3,1,30),DATE($B$3,1,30),1,'Non-working days'!$A$6:$A$45)=0),"",IF(COUNTIFS('Leave log'!$A$7:$A$306,Employees!$A$25,'Leave log'!$B$7:$B$306,"&lt;="&amp;DATE($B$3,1,30),'Leave log'!$C$7:$C$306,"&gt;="&amp;DATE($B$3,1,30),'Leave log'!$F$7:$F$306,"Approved")&gt;0,"A",""))="A","A",IF(OR(DATE($B$3,1,30)&gt;EOMONTH(DATE($B$3,1,1),0),NETWORKDAYS.INTL(DATE($B$3,1,30),DATE($B$3,1,30),1,'Non-working days'!$A$6:$A$45)=0),"",IF(COUNTIFS('Leave log'!$A$7:$A$306,Employees!$A$25,'Leave log'!$B$7:$B$306,"&lt;="&amp;DATE($B$3,1,30),'Leave log'!$C$7:$C$306,"&gt;="&amp;DATE($B$3,1,30),'Leave log'!$F$7:$F$306,"Pending")&gt;0,"P",""))))</f>
        <v/>
      </c>
      <c r="AF26" s="23" t="str">
        <f>IF(A26="","",IF(IF(OR(DATE($B$3,1,31)&gt;EOMONTH(DATE($B$3,1,1),0),NETWORKDAYS.INTL(DATE($B$3,1,31),DATE($B$3,1,31),1,'Non-working days'!$A$6:$A$45)=0),"",IF(COUNTIFS('Leave log'!$A$7:$A$306,Employees!$A$25,'Leave log'!$B$7:$B$306,"&lt;="&amp;DATE($B$3,1,31),'Leave log'!$C$7:$C$306,"&gt;="&amp;DATE($B$3,1,31),'Leave log'!$F$7:$F$306,"Approved")&gt;0,"A",""))="A","A",IF(OR(DATE($B$3,1,31)&gt;EOMONTH(DATE($B$3,1,1),0),NETWORKDAYS.INTL(DATE($B$3,1,31),DATE($B$3,1,31),1,'Non-working days'!$A$6:$A$45)=0),"",IF(COUNTIFS('Leave log'!$A$7:$A$306,Employees!$A$25,'Leave log'!$B$7:$B$306,"&lt;="&amp;DATE($B$3,1,31),'Leave log'!$C$7:$C$306,"&gt;="&amp;DATE($B$3,1,31),'Leave log'!$F$7:$F$306,"Pending")&gt;0,"P",""))))</f>
        <v/>
      </c>
    </row>
    <row r="27" spans="1:32" ht="18" customHeight="1" x14ac:dyDescent="0.3">
      <c r="A27" s="22" t="str">
        <f>IF(Employees!F26="Yes",Employees!B26,"")</f>
        <v/>
      </c>
      <c r="B27" s="23" t="str">
        <f>IF(A27="","",IF(IF(OR(DATE($B$3,1,1)&gt;EOMONTH(DATE($B$3,1,1),0),NETWORKDAYS.INTL(DATE($B$3,1,1),DATE($B$3,1,1),1,'Non-working days'!$A$6:$A$45)=0),"",IF(COUNTIFS('Leave log'!$A$7:$A$306,Employees!$A$26,'Leave log'!$B$7:$B$306,"&lt;="&amp;DATE($B$3,1,1),'Leave log'!$C$7:$C$306,"&gt;="&amp;DATE($B$3,1,1),'Leave log'!$F$7:$F$306,"Approved")&gt;0,"A",""))="A","A",IF(OR(DATE($B$3,1,1)&gt;EOMONTH(DATE($B$3,1,1),0),NETWORKDAYS.INTL(DATE($B$3,1,1),DATE($B$3,1,1),1,'Non-working days'!$A$6:$A$45)=0),"",IF(COUNTIFS('Leave log'!$A$7:$A$306,Employees!$A$26,'Leave log'!$B$7:$B$306,"&lt;="&amp;DATE($B$3,1,1),'Leave log'!$C$7:$C$306,"&gt;="&amp;DATE($B$3,1,1),'Leave log'!$F$7:$F$306,"Pending")&gt;0,"P",""))))</f>
        <v/>
      </c>
      <c r="C27" s="23" t="str">
        <f>IF(A27="","",IF(IF(OR(DATE($B$3,1,2)&gt;EOMONTH(DATE($B$3,1,1),0),NETWORKDAYS.INTL(DATE($B$3,1,2),DATE($B$3,1,2),1,'Non-working days'!$A$6:$A$45)=0),"",IF(COUNTIFS('Leave log'!$A$7:$A$306,Employees!$A$26,'Leave log'!$B$7:$B$306,"&lt;="&amp;DATE($B$3,1,2),'Leave log'!$C$7:$C$306,"&gt;="&amp;DATE($B$3,1,2),'Leave log'!$F$7:$F$306,"Approved")&gt;0,"A",""))="A","A",IF(OR(DATE($B$3,1,2)&gt;EOMONTH(DATE($B$3,1,1),0),NETWORKDAYS.INTL(DATE($B$3,1,2),DATE($B$3,1,2),1,'Non-working days'!$A$6:$A$45)=0),"",IF(COUNTIFS('Leave log'!$A$7:$A$306,Employees!$A$26,'Leave log'!$B$7:$B$306,"&lt;="&amp;DATE($B$3,1,2),'Leave log'!$C$7:$C$306,"&gt;="&amp;DATE($B$3,1,2),'Leave log'!$F$7:$F$306,"Pending")&gt;0,"P",""))))</f>
        <v/>
      </c>
      <c r="D27" s="23" t="str">
        <f>IF(A27="","",IF(IF(OR(DATE($B$3,1,3)&gt;EOMONTH(DATE($B$3,1,1),0),NETWORKDAYS.INTL(DATE($B$3,1,3),DATE($B$3,1,3),1,'Non-working days'!$A$6:$A$45)=0),"",IF(COUNTIFS('Leave log'!$A$7:$A$306,Employees!$A$26,'Leave log'!$B$7:$B$306,"&lt;="&amp;DATE($B$3,1,3),'Leave log'!$C$7:$C$306,"&gt;="&amp;DATE($B$3,1,3),'Leave log'!$F$7:$F$306,"Approved")&gt;0,"A",""))="A","A",IF(OR(DATE($B$3,1,3)&gt;EOMONTH(DATE($B$3,1,1),0),NETWORKDAYS.INTL(DATE($B$3,1,3),DATE($B$3,1,3),1,'Non-working days'!$A$6:$A$45)=0),"",IF(COUNTIFS('Leave log'!$A$7:$A$306,Employees!$A$26,'Leave log'!$B$7:$B$306,"&lt;="&amp;DATE($B$3,1,3),'Leave log'!$C$7:$C$306,"&gt;="&amp;DATE($B$3,1,3),'Leave log'!$F$7:$F$306,"Pending")&gt;0,"P",""))))</f>
        <v/>
      </c>
      <c r="E27" s="23" t="str">
        <f>IF(A27="","",IF(IF(OR(DATE($B$3,1,4)&gt;EOMONTH(DATE($B$3,1,1),0),NETWORKDAYS.INTL(DATE($B$3,1,4),DATE($B$3,1,4),1,'Non-working days'!$A$6:$A$45)=0),"",IF(COUNTIFS('Leave log'!$A$7:$A$306,Employees!$A$26,'Leave log'!$B$7:$B$306,"&lt;="&amp;DATE($B$3,1,4),'Leave log'!$C$7:$C$306,"&gt;="&amp;DATE($B$3,1,4),'Leave log'!$F$7:$F$306,"Approved")&gt;0,"A",""))="A","A",IF(OR(DATE($B$3,1,4)&gt;EOMONTH(DATE($B$3,1,1),0),NETWORKDAYS.INTL(DATE($B$3,1,4),DATE($B$3,1,4),1,'Non-working days'!$A$6:$A$45)=0),"",IF(COUNTIFS('Leave log'!$A$7:$A$306,Employees!$A$26,'Leave log'!$B$7:$B$306,"&lt;="&amp;DATE($B$3,1,4),'Leave log'!$C$7:$C$306,"&gt;="&amp;DATE($B$3,1,4),'Leave log'!$F$7:$F$306,"Pending")&gt;0,"P",""))))</f>
        <v/>
      </c>
      <c r="F27" s="23" t="str">
        <f>IF(A27="","",IF(IF(OR(DATE($B$3,1,5)&gt;EOMONTH(DATE($B$3,1,1),0),NETWORKDAYS.INTL(DATE($B$3,1,5),DATE($B$3,1,5),1,'Non-working days'!$A$6:$A$45)=0),"",IF(COUNTIFS('Leave log'!$A$7:$A$306,Employees!$A$26,'Leave log'!$B$7:$B$306,"&lt;="&amp;DATE($B$3,1,5),'Leave log'!$C$7:$C$306,"&gt;="&amp;DATE($B$3,1,5),'Leave log'!$F$7:$F$306,"Approved")&gt;0,"A",""))="A","A",IF(OR(DATE($B$3,1,5)&gt;EOMONTH(DATE($B$3,1,1),0),NETWORKDAYS.INTL(DATE($B$3,1,5),DATE($B$3,1,5),1,'Non-working days'!$A$6:$A$45)=0),"",IF(COUNTIFS('Leave log'!$A$7:$A$306,Employees!$A$26,'Leave log'!$B$7:$B$306,"&lt;="&amp;DATE($B$3,1,5),'Leave log'!$C$7:$C$306,"&gt;="&amp;DATE($B$3,1,5),'Leave log'!$F$7:$F$306,"Pending")&gt;0,"P",""))))</f>
        <v/>
      </c>
      <c r="G27" s="23" t="str">
        <f>IF(A27="","",IF(IF(OR(DATE($B$3,1,6)&gt;EOMONTH(DATE($B$3,1,1),0),NETWORKDAYS.INTL(DATE($B$3,1,6),DATE($B$3,1,6),1,'Non-working days'!$A$6:$A$45)=0),"",IF(COUNTIFS('Leave log'!$A$7:$A$306,Employees!$A$26,'Leave log'!$B$7:$B$306,"&lt;="&amp;DATE($B$3,1,6),'Leave log'!$C$7:$C$306,"&gt;="&amp;DATE($B$3,1,6),'Leave log'!$F$7:$F$306,"Approved")&gt;0,"A",""))="A","A",IF(OR(DATE($B$3,1,6)&gt;EOMONTH(DATE($B$3,1,1),0),NETWORKDAYS.INTL(DATE($B$3,1,6),DATE($B$3,1,6),1,'Non-working days'!$A$6:$A$45)=0),"",IF(COUNTIFS('Leave log'!$A$7:$A$306,Employees!$A$26,'Leave log'!$B$7:$B$306,"&lt;="&amp;DATE($B$3,1,6),'Leave log'!$C$7:$C$306,"&gt;="&amp;DATE($B$3,1,6),'Leave log'!$F$7:$F$306,"Pending")&gt;0,"P",""))))</f>
        <v/>
      </c>
      <c r="H27" s="23" t="str">
        <f>IF(A27="","",IF(IF(OR(DATE($B$3,1,7)&gt;EOMONTH(DATE($B$3,1,1),0),NETWORKDAYS.INTL(DATE($B$3,1,7),DATE($B$3,1,7),1,'Non-working days'!$A$6:$A$45)=0),"",IF(COUNTIFS('Leave log'!$A$7:$A$306,Employees!$A$26,'Leave log'!$B$7:$B$306,"&lt;="&amp;DATE($B$3,1,7),'Leave log'!$C$7:$C$306,"&gt;="&amp;DATE($B$3,1,7),'Leave log'!$F$7:$F$306,"Approved")&gt;0,"A",""))="A","A",IF(OR(DATE($B$3,1,7)&gt;EOMONTH(DATE($B$3,1,1),0),NETWORKDAYS.INTL(DATE($B$3,1,7),DATE($B$3,1,7),1,'Non-working days'!$A$6:$A$45)=0),"",IF(COUNTIFS('Leave log'!$A$7:$A$306,Employees!$A$26,'Leave log'!$B$7:$B$306,"&lt;="&amp;DATE($B$3,1,7),'Leave log'!$C$7:$C$306,"&gt;="&amp;DATE($B$3,1,7),'Leave log'!$F$7:$F$306,"Pending")&gt;0,"P",""))))</f>
        <v/>
      </c>
      <c r="I27" s="23" t="str">
        <f>IF(A27="","",IF(IF(OR(DATE($B$3,1,8)&gt;EOMONTH(DATE($B$3,1,1),0),NETWORKDAYS.INTL(DATE($B$3,1,8),DATE($B$3,1,8),1,'Non-working days'!$A$6:$A$45)=0),"",IF(COUNTIFS('Leave log'!$A$7:$A$306,Employees!$A$26,'Leave log'!$B$7:$B$306,"&lt;="&amp;DATE($B$3,1,8),'Leave log'!$C$7:$C$306,"&gt;="&amp;DATE($B$3,1,8),'Leave log'!$F$7:$F$306,"Approved")&gt;0,"A",""))="A","A",IF(OR(DATE($B$3,1,8)&gt;EOMONTH(DATE($B$3,1,1),0),NETWORKDAYS.INTL(DATE($B$3,1,8),DATE($B$3,1,8),1,'Non-working days'!$A$6:$A$45)=0),"",IF(COUNTIFS('Leave log'!$A$7:$A$306,Employees!$A$26,'Leave log'!$B$7:$B$306,"&lt;="&amp;DATE($B$3,1,8),'Leave log'!$C$7:$C$306,"&gt;="&amp;DATE($B$3,1,8),'Leave log'!$F$7:$F$306,"Pending")&gt;0,"P",""))))</f>
        <v/>
      </c>
      <c r="J27" s="23" t="str">
        <f>IF(A27="","",IF(IF(OR(DATE($B$3,1,9)&gt;EOMONTH(DATE($B$3,1,1),0),NETWORKDAYS.INTL(DATE($B$3,1,9),DATE($B$3,1,9),1,'Non-working days'!$A$6:$A$45)=0),"",IF(COUNTIFS('Leave log'!$A$7:$A$306,Employees!$A$26,'Leave log'!$B$7:$B$306,"&lt;="&amp;DATE($B$3,1,9),'Leave log'!$C$7:$C$306,"&gt;="&amp;DATE($B$3,1,9),'Leave log'!$F$7:$F$306,"Approved")&gt;0,"A",""))="A","A",IF(OR(DATE($B$3,1,9)&gt;EOMONTH(DATE($B$3,1,1),0),NETWORKDAYS.INTL(DATE($B$3,1,9),DATE($B$3,1,9),1,'Non-working days'!$A$6:$A$45)=0),"",IF(COUNTIFS('Leave log'!$A$7:$A$306,Employees!$A$26,'Leave log'!$B$7:$B$306,"&lt;="&amp;DATE($B$3,1,9),'Leave log'!$C$7:$C$306,"&gt;="&amp;DATE($B$3,1,9),'Leave log'!$F$7:$F$306,"Pending")&gt;0,"P",""))))</f>
        <v/>
      </c>
      <c r="K27" s="23" t="str">
        <f>IF(A27="","",IF(IF(OR(DATE($B$3,1,10)&gt;EOMONTH(DATE($B$3,1,1),0),NETWORKDAYS.INTL(DATE($B$3,1,10),DATE($B$3,1,10),1,'Non-working days'!$A$6:$A$45)=0),"",IF(COUNTIFS('Leave log'!$A$7:$A$306,Employees!$A$26,'Leave log'!$B$7:$B$306,"&lt;="&amp;DATE($B$3,1,10),'Leave log'!$C$7:$C$306,"&gt;="&amp;DATE($B$3,1,10),'Leave log'!$F$7:$F$306,"Approved")&gt;0,"A",""))="A","A",IF(OR(DATE($B$3,1,10)&gt;EOMONTH(DATE($B$3,1,1),0),NETWORKDAYS.INTL(DATE($B$3,1,10),DATE($B$3,1,10),1,'Non-working days'!$A$6:$A$45)=0),"",IF(COUNTIFS('Leave log'!$A$7:$A$306,Employees!$A$26,'Leave log'!$B$7:$B$306,"&lt;="&amp;DATE($B$3,1,10),'Leave log'!$C$7:$C$306,"&gt;="&amp;DATE($B$3,1,10),'Leave log'!$F$7:$F$306,"Pending")&gt;0,"P",""))))</f>
        <v/>
      </c>
      <c r="L27" s="23" t="str">
        <f>IF(A27="","",IF(IF(OR(DATE($B$3,1,11)&gt;EOMONTH(DATE($B$3,1,1),0),NETWORKDAYS.INTL(DATE($B$3,1,11),DATE($B$3,1,11),1,'Non-working days'!$A$6:$A$45)=0),"",IF(COUNTIFS('Leave log'!$A$7:$A$306,Employees!$A$26,'Leave log'!$B$7:$B$306,"&lt;="&amp;DATE($B$3,1,11),'Leave log'!$C$7:$C$306,"&gt;="&amp;DATE($B$3,1,11),'Leave log'!$F$7:$F$306,"Approved")&gt;0,"A",""))="A","A",IF(OR(DATE($B$3,1,11)&gt;EOMONTH(DATE($B$3,1,1),0),NETWORKDAYS.INTL(DATE($B$3,1,11),DATE($B$3,1,11),1,'Non-working days'!$A$6:$A$45)=0),"",IF(COUNTIFS('Leave log'!$A$7:$A$306,Employees!$A$26,'Leave log'!$B$7:$B$306,"&lt;="&amp;DATE($B$3,1,11),'Leave log'!$C$7:$C$306,"&gt;="&amp;DATE($B$3,1,11),'Leave log'!$F$7:$F$306,"Pending")&gt;0,"P",""))))</f>
        <v/>
      </c>
      <c r="M27" s="23" t="str">
        <f>IF(A27="","",IF(IF(OR(DATE($B$3,1,12)&gt;EOMONTH(DATE($B$3,1,1),0),NETWORKDAYS.INTL(DATE($B$3,1,12),DATE($B$3,1,12),1,'Non-working days'!$A$6:$A$45)=0),"",IF(COUNTIFS('Leave log'!$A$7:$A$306,Employees!$A$26,'Leave log'!$B$7:$B$306,"&lt;="&amp;DATE($B$3,1,12),'Leave log'!$C$7:$C$306,"&gt;="&amp;DATE($B$3,1,12),'Leave log'!$F$7:$F$306,"Approved")&gt;0,"A",""))="A","A",IF(OR(DATE($B$3,1,12)&gt;EOMONTH(DATE($B$3,1,1),0),NETWORKDAYS.INTL(DATE($B$3,1,12),DATE($B$3,1,12),1,'Non-working days'!$A$6:$A$45)=0),"",IF(COUNTIFS('Leave log'!$A$7:$A$306,Employees!$A$26,'Leave log'!$B$7:$B$306,"&lt;="&amp;DATE($B$3,1,12),'Leave log'!$C$7:$C$306,"&gt;="&amp;DATE($B$3,1,12),'Leave log'!$F$7:$F$306,"Pending")&gt;0,"P",""))))</f>
        <v/>
      </c>
      <c r="N27" s="23" t="str">
        <f>IF(A27="","",IF(IF(OR(DATE($B$3,1,13)&gt;EOMONTH(DATE($B$3,1,1),0),NETWORKDAYS.INTL(DATE($B$3,1,13),DATE($B$3,1,13),1,'Non-working days'!$A$6:$A$45)=0),"",IF(COUNTIFS('Leave log'!$A$7:$A$306,Employees!$A$26,'Leave log'!$B$7:$B$306,"&lt;="&amp;DATE($B$3,1,13),'Leave log'!$C$7:$C$306,"&gt;="&amp;DATE($B$3,1,13),'Leave log'!$F$7:$F$306,"Approved")&gt;0,"A",""))="A","A",IF(OR(DATE($B$3,1,13)&gt;EOMONTH(DATE($B$3,1,1),0),NETWORKDAYS.INTL(DATE($B$3,1,13),DATE($B$3,1,13),1,'Non-working days'!$A$6:$A$45)=0),"",IF(COUNTIFS('Leave log'!$A$7:$A$306,Employees!$A$26,'Leave log'!$B$7:$B$306,"&lt;="&amp;DATE($B$3,1,13),'Leave log'!$C$7:$C$306,"&gt;="&amp;DATE($B$3,1,13),'Leave log'!$F$7:$F$306,"Pending")&gt;0,"P",""))))</f>
        <v/>
      </c>
      <c r="O27" s="23" t="str">
        <f>IF(A27="","",IF(IF(OR(DATE($B$3,1,14)&gt;EOMONTH(DATE($B$3,1,1),0),NETWORKDAYS.INTL(DATE($B$3,1,14),DATE($B$3,1,14),1,'Non-working days'!$A$6:$A$45)=0),"",IF(COUNTIFS('Leave log'!$A$7:$A$306,Employees!$A$26,'Leave log'!$B$7:$B$306,"&lt;="&amp;DATE($B$3,1,14),'Leave log'!$C$7:$C$306,"&gt;="&amp;DATE($B$3,1,14),'Leave log'!$F$7:$F$306,"Approved")&gt;0,"A",""))="A","A",IF(OR(DATE($B$3,1,14)&gt;EOMONTH(DATE($B$3,1,1),0),NETWORKDAYS.INTL(DATE($B$3,1,14),DATE($B$3,1,14),1,'Non-working days'!$A$6:$A$45)=0),"",IF(COUNTIFS('Leave log'!$A$7:$A$306,Employees!$A$26,'Leave log'!$B$7:$B$306,"&lt;="&amp;DATE($B$3,1,14),'Leave log'!$C$7:$C$306,"&gt;="&amp;DATE($B$3,1,14),'Leave log'!$F$7:$F$306,"Pending")&gt;0,"P",""))))</f>
        <v/>
      </c>
      <c r="P27" s="23" t="str">
        <f>IF(A27="","",IF(IF(OR(DATE($B$3,1,15)&gt;EOMONTH(DATE($B$3,1,1),0),NETWORKDAYS.INTL(DATE($B$3,1,15),DATE($B$3,1,15),1,'Non-working days'!$A$6:$A$45)=0),"",IF(COUNTIFS('Leave log'!$A$7:$A$306,Employees!$A$26,'Leave log'!$B$7:$B$306,"&lt;="&amp;DATE($B$3,1,15),'Leave log'!$C$7:$C$306,"&gt;="&amp;DATE($B$3,1,15),'Leave log'!$F$7:$F$306,"Approved")&gt;0,"A",""))="A","A",IF(OR(DATE($B$3,1,15)&gt;EOMONTH(DATE($B$3,1,1),0),NETWORKDAYS.INTL(DATE($B$3,1,15),DATE($B$3,1,15),1,'Non-working days'!$A$6:$A$45)=0),"",IF(COUNTIFS('Leave log'!$A$7:$A$306,Employees!$A$26,'Leave log'!$B$7:$B$306,"&lt;="&amp;DATE($B$3,1,15),'Leave log'!$C$7:$C$306,"&gt;="&amp;DATE($B$3,1,15),'Leave log'!$F$7:$F$306,"Pending")&gt;0,"P",""))))</f>
        <v/>
      </c>
      <c r="Q27" s="23" t="str">
        <f>IF(A27="","",IF(IF(OR(DATE($B$3,1,16)&gt;EOMONTH(DATE($B$3,1,1),0),NETWORKDAYS.INTL(DATE($B$3,1,16),DATE($B$3,1,16),1,'Non-working days'!$A$6:$A$45)=0),"",IF(COUNTIFS('Leave log'!$A$7:$A$306,Employees!$A$26,'Leave log'!$B$7:$B$306,"&lt;="&amp;DATE($B$3,1,16),'Leave log'!$C$7:$C$306,"&gt;="&amp;DATE($B$3,1,16),'Leave log'!$F$7:$F$306,"Approved")&gt;0,"A",""))="A","A",IF(OR(DATE($B$3,1,16)&gt;EOMONTH(DATE($B$3,1,1),0),NETWORKDAYS.INTL(DATE($B$3,1,16),DATE($B$3,1,16),1,'Non-working days'!$A$6:$A$45)=0),"",IF(COUNTIFS('Leave log'!$A$7:$A$306,Employees!$A$26,'Leave log'!$B$7:$B$306,"&lt;="&amp;DATE($B$3,1,16),'Leave log'!$C$7:$C$306,"&gt;="&amp;DATE($B$3,1,16),'Leave log'!$F$7:$F$306,"Pending")&gt;0,"P",""))))</f>
        <v/>
      </c>
      <c r="R27" s="23" t="str">
        <f>IF(A27="","",IF(IF(OR(DATE($B$3,1,17)&gt;EOMONTH(DATE($B$3,1,1),0),NETWORKDAYS.INTL(DATE($B$3,1,17),DATE($B$3,1,17),1,'Non-working days'!$A$6:$A$45)=0),"",IF(COUNTIFS('Leave log'!$A$7:$A$306,Employees!$A$26,'Leave log'!$B$7:$B$306,"&lt;="&amp;DATE($B$3,1,17),'Leave log'!$C$7:$C$306,"&gt;="&amp;DATE($B$3,1,17),'Leave log'!$F$7:$F$306,"Approved")&gt;0,"A",""))="A","A",IF(OR(DATE($B$3,1,17)&gt;EOMONTH(DATE($B$3,1,1),0),NETWORKDAYS.INTL(DATE($B$3,1,17),DATE($B$3,1,17),1,'Non-working days'!$A$6:$A$45)=0),"",IF(COUNTIFS('Leave log'!$A$7:$A$306,Employees!$A$26,'Leave log'!$B$7:$B$306,"&lt;="&amp;DATE($B$3,1,17),'Leave log'!$C$7:$C$306,"&gt;="&amp;DATE($B$3,1,17),'Leave log'!$F$7:$F$306,"Pending")&gt;0,"P",""))))</f>
        <v/>
      </c>
      <c r="S27" s="23" t="str">
        <f>IF(A27="","",IF(IF(OR(DATE($B$3,1,18)&gt;EOMONTH(DATE($B$3,1,1),0),NETWORKDAYS.INTL(DATE($B$3,1,18),DATE($B$3,1,18),1,'Non-working days'!$A$6:$A$45)=0),"",IF(COUNTIFS('Leave log'!$A$7:$A$306,Employees!$A$26,'Leave log'!$B$7:$B$306,"&lt;="&amp;DATE($B$3,1,18),'Leave log'!$C$7:$C$306,"&gt;="&amp;DATE($B$3,1,18),'Leave log'!$F$7:$F$306,"Approved")&gt;0,"A",""))="A","A",IF(OR(DATE($B$3,1,18)&gt;EOMONTH(DATE($B$3,1,1),0),NETWORKDAYS.INTL(DATE($B$3,1,18),DATE($B$3,1,18),1,'Non-working days'!$A$6:$A$45)=0),"",IF(COUNTIFS('Leave log'!$A$7:$A$306,Employees!$A$26,'Leave log'!$B$7:$B$306,"&lt;="&amp;DATE($B$3,1,18),'Leave log'!$C$7:$C$306,"&gt;="&amp;DATE($B$3,1,18),'Leave log'!$F$7:$F$306,"Pending")&gt;0,"P",""))))</f>
        <v/>
      </c>
      <c r="T27" s="23" t="str">
        <f>IF(A27="","",IF(IF(OR(DATE($B$3,1,19)&gt;EOMONTH(DATE($B$3,1,1),0),NETWORKDAYS.INTL(DATE($B$3,1,19),DATE($B$3,1,19),1,'Non-working days'!$A$6:$A$45)=0),"",IF(COUNTIFS('Leave log'!$A$7:$A$306,Employees!$A$26,'Leave log'!$B$7:$B$306,"&lt;="&amp;DATE($B$3,1,19),'Leave log'!$C$7:$C$306,"&gt;="&amp;DATE($B$3,1,19),'Leave log'!$F$7:$F$306,"Approved")&gt;0,"A",""))="A","A",IF(OR(DATE($B$3,1,19)&gt;EOMONTH(DATE($B$3,1,1),0),NETWORKDAYS.INTL(DATE($B$3,1,19),DATE($B$3,1,19),1,'Non-working days'!$A$6:$A$45)=0),"",IF(COUNTIFS('Leave log'!$A$7:$A$306,Employees!$A$26,'Leave log'!$B$7:$B$306,"&lt;="&amp;DATE($B$3,1,19),'Leave log'!$C$7:$C$306,"&gt;="&amp;DATE($B$3,1,19),'Leave log'!$F$7:$F$306,"Pending")&gt;0,"P",""))))</f>
        <v/>
      </c>
      <c r="U27" s="23" t="str">
        <f>IF(A27="","",IF(IF(OR(DATE($B$3,1,20)&gt;EOMONTH(DATE($B$3,1,1),0),NETWORKDAYS.INTL(DATE($B$3,1,20),DATE($B$3,1,20),1,'Non-working days'!$A$6:$A$45)=0),"",IF(COUNTIFS('Leave log'!$A$7:$A$306,Employees!$A$26,'Leave log'!$B$7:$B$306,"&lt;="&amp;DATE($B$3,1,20),'Leave log'!$C$7:$C$306,"&gt;="&amp;DATE($B$3,1,20),'Leave log'!$F$7:$F$306,"Approved")&gt;0,"A",""))="A","A",IF(OR(DATE($B$3,1,20)&gt;EOMONTH(DATE($B$3,1,1),0),NETWORKDAYS.INTL(DATE($B$3,1,20),DATE($B$3,1,20),1,'Non-working days'!$A$6:$A$45)=0),"",IF(COUNTIFS('Leave log'!$A$7:$A$306,Employees!$A$26,'Leave log'!$B$7:$B$306,"&lt;="&amp;DATE($B$3,1,20),'Leave log'!$C$7:$C$306,"&gt;="&amp;DATE($B$3,1,20),'Leave log'!$F$7:$F$306,"Pending")&gt;0,"P",""))))</f>
        <v/>
      </c>
      <c r="V27" s="23" t="str">
        <f>IF(A27="","",IF(IF(OR(DATE($B$3,1,21)&gt;EOMONTH(DATE($B$3,1,1),0),NETWORKDAYS.INTL(DATE($B$3,1,21),DATE($B$3,1,21),1,'Non-working days'!$A$6:$A$45)=0),"",IF(COUNTIFS('Leave log'!$A$7:$A$306,Employees!$A$26,'Leave log'!$B$7:$B$306,"&lt;="&amp;DATE($B$3,1,21),'Leave log'!$C$7:$C$306,"&gt;="&amp;DATE($B$3,1,21),'Leave log'!$F$7:$F$306,"Approved")&gt;0,"A",""))="A","A",IF(OR(DATE($B$3,1,21)&gt;EOMONTH(DATE($B$3,1,1),0),NETWORKDAYS.INTL(DATE($B$3,1,21),DATE($B$3,1,21),1,'Non-working days'!$A$6:$A$45)=0),"",IF(COUNTIFS('Leave log'!$A$7:$A$306,Employees!$A$26,'Leave log'!$B$7:$B$306,"&lt;="&amp;DATE($B$3,1,21),'Leave log'!$C$7:$C$306,"&gt;="&amp;DATE($B$3,1,21),'Leave log'!$F$7:$F$306,"Pending")&gt;0,"P",""))))</f>
        <v/>
      </c>
      <c r="W27" s="23" t="str">
        <f>IF(A27="","",IF(IF(OR(DATE($B$3,1,22)&gt;EOMONTH(DATE($B$3,1,1),0),NETWORKDAYS.INTL(DATE($B$3,1,22),DATE($B$3,1,22),1,'Non-working days'!$A$6:$A$45)=0),"",IF(COUNTIFS('Leave log'!$A$7:$A$306,Employees!$A$26,'Leave log'!$B$7:$B$306,"&lt;="&amp;DATE($B$3,1,22),'Leave log'!$C$7:$C$306,"&gt;="&amp;DATE($B$3,1,22),'Leave log'!$F$7:$F$306,"Approved")&gt;0,"A",""))="A","A",IF(OR(DATE($B$3,1,22)&gt;EOMONTH(DATE($B$3,1,1),0),NETWORKDAYS.INTL(DATE($B$3,1,22),DATE($B$3,1,22),1,'Non-working days'!$A$6:$A$45)=0),"",IF(COUNTIFS('Leave log'!$A$7:$A$306,Employees!$A$26,'Leave log'!$B$7:$B$306,"&lt;="&amp;DATE($B$3,1,22),'Leave log'!$C$7:$C$306,"&gt;="&amp;DATE($B$3,1,22),'Leave log'!$F$7:$F$306,"Pending")&gt;0,"P",""))))</f>
        <v/>
      </c>
      <c r="X27" s="23" t="str">
        <f>IF(A27="","",IF(IF(OR(DATE($B$3,1,23)&gt;EOMONTH(DATE($B$3,1,1),0),NETWORKDAYS.INTL(DATE($B$3,1,23),DATE($B$3,1,23),1,'Non-working days'!$A$6:$A$45)=0),"",IF(COUNTIFS('Leave log'!$A$7:$A$306,Employees!$A$26,'Leave log'!$B$7:$B$306,"&lt;="&amp;DATE($B$3,1,23),'Leave log'!$C$7:$C$306,"&gt;="&amp;DATE($B$3,1,23),'Leave log'!$F$7:$F$306,"Approved")&gt;0,"A",""))="A","A",IF(OR(DATE($B$3,1,23)&gt;EOMONTH(DATE($B$3,1,1),0),NETWORKDAYS.INTL(DATE($B$3,1,23),DATE($B$3,1,23),1,'Non-working days'!$A$6:$A$45)=0),"",IF(COUNTIFS('Leave log'!$A$7:$A$306,Employees!$A$26,'Leave log'!$B$7:$B$306,"&lt;="&amp;DATE($B$3,1,23),'Leave log'!$C$7:$C$306,"&gt;="&amp;DATE($B$3,1,23),'Leave log'!$F$7:$F$306,"Pending")&gt;0,"P",""))))</f>
        <v/>
      </c>
      <c r="Y27" s="23" t="str">
        <f>IF(A27="","",IF(IF(OR(DATE($B$3,1,24)&gt;EOMONTH(DATE($B$3,1,1),0),NETWORKDAYS.INTL(DATE($B$3,1,24),DATE($B$3,1,24),1,'Non-working days'!$A$6:$A$45)=0),"",IF(COUNTIFS('Leave log'!$A$7:$A$306,Employees!$A$26,'Leave log'!$B$7:$B$306,"&lt;="&amp;DATE($B$3,1,24),'Leave log'!$C$7:$C$306,"&gt;="&amp;DATE($B$3,1,24),'Leave log'!$F$7:$F$306,"Approved")&gt;0,"A",""))="A","A",IF(OR(DATE($B$3,1,24)&gt;EOMONTH(DATE($B$3,1,1),0),NETWORKDAYS.INTL(DATE($B$3,1,24),DATE($B$3,1,24),1,'Non-working days'!$A$6:$A$45)=0),"",IF(COUNTIFS('Leave log'!$A$7:$A$306,Employees!$A$26,'Leave log'!$B$7:$B$306,"&lt;="&amp;DATE($B$3,1,24),'Leave log'!$C$7:$C$306,"&gt;="&amp;DATE($B$3,1,24),'Leave log'!$F$7:$F$306,"Pending")&gt;0,"P",""))))</f>
        <v/>
      </c>
      <c r="Z27" s="23" t="str">
        <f>IF(A27="","",IF(IF(OR(DATE($B$3,1,25)&gt;EOMONTH(DATE($B$3,1,1),0),NETWORKDAYS.INTL(DATE($B$3,1,25),DATE($B$3,1,25),1,'Non-working days'!$A$6:$A$45)=0),"",IF(COUNTIFS('Leave log'!$A$7:$A$306,Employees!$A$26,'Leave log'!$B$7:$B$306,"&lt;="&amp;DATE($B$3,1,25),'Leave log'!$C$7:$C$306,"&gt;="&amp;DATE($B$3,1,25),'Leave log'!$F$7:$F$306,"Approved")&gt;0,"A",""))="A","A",IF(OR(DATE($B$3,1,25)&gt;EOMONTH(DATE($B$3,1,1),0),NETWORKDAYS.INTL(DATE($B$3,1,25),DATE($B$3,1,25),1,'Non-working days'!$A$6:$A$45)=0),"",IF(COUNTIFS('Leave log'!$A$7:$A$306,Employees!$A$26,'Leave log'!$B$7:$B$306,"&lt;="&amp;DATE($B$3,1,25),'Leave log'!$C$7:$C$306,"&gt;="&amp;DATE($B$3,1,25),'Leave log'!$F$7:$F$306,"Pending")&gt;0,"P",""))))</f>
        <v/>
      </c>
      <c r="AA27" s="23" t="str">
        <f>IF(A27="","",IF(IF(OR(DATE($B$3,1,26)&gt;EOMONTH(DATE($B$3,1,1),0),NETWORKDAYS.INTL(DATE($B$3,1,26),DATE($B$3,1,26),1,'Non-working days'!$A$6:$A$45)=0),"",IF(COUNTIFS('Leave log'!$A$7:$A$306,Employees!$A$26,'Leave log'!$B$7:$B$306,"&lt;="&amp;DATE($B$3,1,26),'Leave log'!$C$7:$C$306,"&gt;="&amp;DATE($B$3,1,26),'Leave log'!$F$7:$F$306,"Approved")&gt;0,"A",""))="A","A",IF(OR(DATE($B$3,1,26)&gt;EOMONTH(DATE($B$3,1,1),0),NETWORKDAYS.INTL(DATE($B$3,1,26),DATE($B$3,1,26),1,'Non-working days'!$A$6:$A$45)=0),"",IF(COUNTIFS('Leave log'!$A$7:$A$306,Employees!$A$26,'Leave log'!$B$7:$B$306,"&lt;="&amp;DATE($B$3,1,26),'Leave log'!$C$7:$C$306,"&gt;="&amp;DATE($B$3,1,26),'Leave log'!$F$7:$F$306,"Pending")&gt;0,"P",""))))</f>
        <v/>
      </c>
      <c r="AB27" s="23" t="str">
        <f>IF(A27="","",IF(IF(OR(DATE($B$3,1,27)&gt;EOMONTH(DATE($B$3,1,1),0),NETWORKDAYS.INTL(DATE($B$3,1,27),DATE($B$3,1,27),1,'Non-working days'!$A$6:$A$45)=0),"",IF(COUNTIFS('Leave log'!$A$7:$A$306,Employees!$A$26,'Leave log'!$B$7:$B$306,"&lt;="&amp;DATE($B$3,1,27),'Leave log'!$C$7:$C$306,"&gt;="&amp;DATE($B$3,1,27),'Leave log'!$F$7:$F$306,"Approved")&gt;0,"A",""))="A","A",IF(OR(DATE($B$3,1,27)&gt;EOMONTH(DATE($B$3,1,1),0),NETWORKDAYS.INTL(DATE($B$3,1,27),DATE($B$3,1,27),1,'Non-working days'!$A$6:$A$45)=0),"",IF(COUNTIFS('Leave log'!$A$7:$A$306,Employees!$A$26,'Leave log'!$B$7:$B$306,"&lt;="&amp;DATE($B$3,1,27),'Leave log'!$C$7:$C$306,"&gt;="&amp;DATE($B$3,1,27),'Leave log'!$F$7:$F$306,"Pending")&gt;0,"P",""))))</f>
        <v/>
      </c>
      <c r="AC27" s="23" t="str">
        <f>IF(A27="","",IF(IF(OR(DATE($B$3,1,28)&gt;EOMONTH(DATE($B$3,1,1),0),NETWORKDAYS.INTL(DATE($B$3,1,28),DATE($B$3,1,28),1,'Non-working days'!$A$6:$A$45)=0),"",IF(COUNTIFS('Leave log'!$A$7:$A$306,Employees!$A$26,'Leave log'!$B$7:$B$306,"&lt;="&amp;DATE($B$3,1,28),'Leave log'!$C$7:$C$306,"&gt;="&amp;DATE($B$3,1,28),'Leave log'!$F$7:$F$306,"Approved")&gt;0,"A",""))="A","A",IF(OR(DATE($B$3,1,28)&gt;EOMONTH(DATE($B$3,1,1),0),NETWORKDAYS.INTL(DATE($B$3,1,28),DATE($B$3,1,28),1,'Non-working days'!$A$6:$A$45)=0),"",IF(COUNTIFS('Leave log'!$A$7:$A$306,Employees!$A$26,'Leave log'!$B$7:$B$306,"&lt;="&amp;DATE($B$3,1,28),'Leave log'!$C$7:$C$306,"&gt;="&amp;DATE($B$3,1,28),'Leave log'!$F$7:$F$306,"Pending")&gt;0,"P",""))))</f>
        <v/>
      </c>
      <c r="AD27" s="23" t="str">
        <f>IF(A27="","",IF(IF(OR(DATE($B$3,1,29)&gt;EOMONTH(DATE($B$3,1,1),0),NETWORKDAYS.INTL(DATE($B$3,1,29),DATE($B$3,1,29),1,'Non-working days'!$A$6:$A$45)=0),"",IF(COUNTIFS('Leave log'!$A$7:$A$306,Employees!$A$26,'Leave log'!$B$7:$B$306,"&lt;="&amp;DATE($B$3,1,29),'Leave log'!$C$7:$C$306,"&gt;="&amp;DATE($B$3,1,29),'Leave log'!$F$7:$F$306,"Approved")&gt;0,"A",""))="A","A",IF(OR(DATE($B$3,1,29)&gt;EOMONTH(DATE($B$3,1,1),0),NETWORKDAYS.INTL(DATE($B$3,1,29),DATE($B$3,1,29),1,'Non-working days'!$A$6:$A$45)=0),"",IF(COUNTIFS('Leave log'!$A$7:$A$306,Employees!$A$26,'Leave log'!$B$7:$B$306,"&lt;="&amp;DATE($B$3,1,29),'Leave log'!$C$7:$C$306,"&gt;="&amp;DATE($B$3,1,29),'Leave log'!$F$7:$F$306,"Pending")&gt;0,"P",""))))</f>
        <v/>
      </c>
      <c r="AE27" s="23" t="str">
        <f>IF(A27="","",IF(IF(OR(DATE($B$3,1,30)&gt;EOMONTH(DATE($B$3,1,1),0),NETWORKDAYS.INTL(DATE($B$3,1,30),DATE($B$3,1,30),1,'Non-working days'!$A$6:$A$45)=0),"",IF(COUNTIFS('Leave log'!$A$7:$A$306,Employees!$A$26,'Leave log'!$B$7:$B$306,"&lt;="&amp;DATE($B$3,1,30),'Leave log'!$C$7:$C$306,"&gt;="&amp;DATE($B$3,1,30),'Leave log'!$F$7:$F$306,"Approved")&gt;0,"A",""))="A","A",IF(OR(DATE($B$3,1,30)&gt;EOMONTH(DATE($B$3,1,1),0),NETWORKDAYS.INTL(DATE($B$3,1,30),DATE($B$3,1,30),1,'Non-working days'!$A$6:$A$45)=0),"",IF(COUNTIFS('Leave log'!$A$7:$A$306,Employees!$A$26,'Leave log'!$B$7:$B$306,"&lt;="&amp;DATE($B$3,1,30),'Leave log'!$C$7:$C$306,"&gt;="&amp;DATE($B$3,1,30),'Leave log'!$F$7:$F$306,"Pending")&gt;0,"P",""))))</f>
        <v/>
      </c>
      <c r="AF27" s="23" t="str">
        <f>IF(A27="","",IF(IF(OR(DATE($B$3,1,31)&gt;EOMONTH(DATE($B$3,1,1),0),NETWORKDAYS.INTL(DATE($B$3,1,31),DATE($B$3,1,31),1,'Non-working days'!$A$6:$A$45)=0),"",IF(COUNTIFS('Leave log'!$A$7:$A$306,Employees!$A$26,'Leave log'!$B$7:$B$306,"&lt;="&amp;DATE($B$3,1,31),'Leave log'!$C$7:$C$306,"&gt;="&amp;DATE($B$3,1,31),'Leave log'!$F$7:$F$306,"Approved")&gt;0,"A",""))="A","A",IF(OR(DATE($B$3,1,31)&gt;EOMONTH(DATE($B$3,1,1),0),NETWORKDAYS.INTL(DATE($B$3,1,31),DATE($B$3,1,31),1,'Non-working days'!$A$6:$A$45)=0),"",IF(COUNTIFS('Leave log'!$A$7:$A$306,Employees!$A$26,'Leave log'!$B$7:$B$306,"&lt;="&amp;DATE($B$3,1,31),'Leave log'!$C$7:$C$306,"&gt;="&amp;DATE($B$3,1,31),'Leave log'!$F$7:$F$306,"Pending")&gt;0,"P",""))))</f>
        <v/>
      </c>
    </row>
    <row r="28" spans="1:32" ht="18" customHeight="1" x14ac:dyDescent="0.3">
      <c r="A28" s="22" t="str">
        <f>IF(Employees!F27="Yes",Employees!B27,"")</f>
        <v/>
      </c>
      <c r="B28" s="23" t="str">
        <f>IF(A28="","",IF(IF(OR(DATE($B$3,1,1)&gt;EOMONTH(DATE($B$3,1,1),0),NETWORKDAYS.INTL(DATE($B$3,1,1),DATE($B$3,1,1),1,'Non-working days'!$A$6:$A$45)=0),"",IF(COUNTIFS('Leave log'!$A$7:$A$306,Employees!$A$27,'Leave log'!$B$7:$B$306,"&lt;="&amp;DATE($B$3,1,1),'Leave log'!$C$7:$C$306,"&gt;="&amp;DATE($B$3,1,1),'Leave log'!$F$7:$F$306,"Approved")&gt;0,"A",""))="A","A",IF(OR(DATE($B$3,1,1)&gt;EOMONTH(DATE($B$3,1,1),0),NETWORKDAYS.INTL(DATE($B$3,1,1),DATE($B$3,1,1),1,'Non-working days'!$A$6:$A$45)=0),"",IF(COUNTIFS('Leave log'!$A$7:$A$306,Employees!$A$27,'Leave log'!$B$7:$B$306,"&lt;="&amp;DATE($B$3,1,1),'Leave log'!$C$7:$C$306,"&gt;="&amp;DATE($B$3,1,1),'Leave log'!$F$7:$F$306,"Pending")&gt;0,"P",""))))</f>
        <v/>
      </c>
      <c r="C28" s="23" t="str">
        <f>IF(A28="","",IF(IF(OR(DATE($B$3,1,2)&gt;EOMONTH(DATE($B$3,1,1),0),NETWORKDAYS.INTL(DATE($B$3,1,2),DATE($B$3,1,2),1,'Non-working days'!$A$6:$A$45)=0),"",IF(COUNTIFS('Leave log'!$A$7:$A$306,Employees!$A$27,'Leave log'!$B$7:$B$306,"&lt;="&amp;DATE($B$3,1,2),'Leave log'!$C$7:$C$306,"&gt;="&amp;DATE($B$3,1,2),'Leave log'!$F$7:$F$306,"Approved")&gt;0,"A",""))="A","A",IF(OR(DATE($B$3,1,2)&gt;EOMONTH(DATE($B$3,1,1),0),NETWORKDAYS.INTL(DATE($B$3,1,2),DATE($B$3,1,2),1,'Non-working days'!$A$6:$A$45)=0),"",IF(COUNTIFS('Leave log'!$A$7:$A$306,Employees!$A$27,'Leave log'!$B$7:$B$306,"&lt;="&amp;DATE($B$3,1,2),'Leave log'!$C$7:$C$306,"&gt;="&amp;DATE($B$3,1,2),'Leave log'!$F$7:$F$306,"Pending")&gt;0,"P",""))))</f>
        <v/>
      </c>
      <c r="D28" s="23" t="str">
        <f>IF(A28="","",IF(IF(OR(DATE($B$3,1,3)&gt;EOMONTH(DATE($B$3,1,1),0),NETWORKDAYS.INTL(DATE($B$3,1,3),DATE($B$3,1,3),1,'Non-working days'!$A$6:$A$45)=0),"",IF(COUNTIFS('Leave log'!$A$7:$A$306,Employees!$A$27,'Leave log'!$B$7:$B$306,"&lt;="&amp;DATE($B$3,1,3),'Leave log'!$C$7:$C$306,"&gt;="&amp;DATE($B$3,1,3),'Leave log'!$F$7:$F$306,"Approved")&gt;0,"A",""))="A","A",IF(OR(DATE($B$3,1,3)&gt;EOMONTH(DATE($B$3,1,1),0),NETWORKDAYS.INTL(DATE($B$3,1,3),DATE($B$3,1,3),1,'Non-working days'!$A$6:$A$45)=0),"",IF(COUNTIFS('Leave log'!$A$7:$A$306,Employees!$A$27,'Leave log'!$B$7:$B$306,"&lt;="&amp;DATE($B$3,1,3),'Leave log'!$C$7:$C$306,"&gt;="&amp;DATE($B$3,1,3),'Leave log'!$F$7:$F$306,"Pending")&gt;0,"P",""))))</f>
        <v/>
      </c>
      <c r="E28" s="23" t="str">
        <f>IF(A28="","",IF(IF(OR(DATE($B$3,1,4)&gt;EOMONTH(DATE($B$3,1,1),0),NETWORKDAYS.INTL(DATE($B$3,1,4),DATE($B$3,1,4),1,'Non-working days'!$A$6:$A$45)=0),"",IF(COUNTIFS('Leave log'!$A$7:$A$306,Employees!$A$27,'Leave log'!$B$7:$B$306,"&lt;="&amp;DATE($B$3,1,4),'Leave log'!$C$7:$C$306,"&gt;="&amp;DATE($B$3,1,4),'Leave log'!$F$7:$F$306,"Approved")&gt;0,"A",""))="A","A",IF(OR(DATE($B$3,1,4)&gt;EOMONTH(DATE($B$3,1,1),0),NETWORKDAYS.INTL(DATE($B$3,1,4),DATE($B$3,1,4),1,'Non-working days'!$A$6:$A$45)=0),"",IF(COUNTIFS('Leave log'!$A$7:$A$306,Employees!$A$27,'Leave log'!$B$7:$B$306,"&lt;="&amp;DATE($B$3,1,4),'Leave log'!$C$7:$C$306,"&gt;="&amp;DATE($B$3,1,4),'Leave log'!$F$7:$F$306,"Pending")&gt;0,"P",""))))</f>
        <v/>
      </c>
      <c r="F28" s="23" t="str">
        <f>IF(A28="","",IF(IF(OR(DATE($B$3,1,5)&gt;EOMONTH(DATE($B$3,1,1),0),NETWORKDAYS.INTL(DATE($B$3,1,5),DATE($B$3,1,5),1,'Non-working days'!$A$6:$A$45)=0),"",IF(COUNTIFS('Leave log'!$A$7:$A$306,Employees!$A$27,'Leave log'!$B$7:$B$306,"&lt;="&amp;DATE($B$3,1,5),'Leave log'!$C$7:$C$306,"&gt;="&amp;DATE($B$3,1,5),'Leave log'!$F$7:$F$306,"Approved")&gt;0,"A",""))="A","A",IF(OR(DATE($B$3,1,5)&gt;EOMONTH(DATE($B$3,1,1),0),NETWORKDAYS.INTL(DATE($B$3,1,5),DATE($B$3,1,5),1,'Non-working days'!$A$6:$A$45)=0),"",IF(COUNTIFS('Leave log'!$A$7:$A$306,Employees!$A$27,'Leave log'!$B$7:$B$306,"&lt;="&amp;DATE($B$3,1,5),'Leave log'!$C$7:$C$306,"&gt;="&amp;DATE($B$3,1,5),'Leave log'!$F$7:$F$306,"Pending")&gt;0,"P",""))))</f>
        <v/>
      </c>
      <c r="G28" s="23" t="str">
        <f>IF(A28="","",IF(IF(OR(DATE($B$3,1,6)&gt;EOMONTH(DATE($B$3,1,1),0),NETWORKDAYS.INTL(DATE($B$3,1,6),DATE($B$3,1,6),1,'Non-working days'!$A$6:$A$45)=0),"",IF(COUNTIFS('Leave log'!$A$7:$A$306,Employees!$A$27,'Leave log'!$B$7:$B$306,"&lt;="&amp;DATE($B$3,1,6),'Leave log'!$C$7:$C$306,"&gt;="&amp;DATE($B$3,1,6),'Leave log'!$F$7:$F$306,"Approved")&gt;0,"A",""))="A","A",IF(OR(DATE($B$3,1,6)&gt;EOMONTH(DATE($B$3,1,1),0),NETWORKDAYS.INTL(DATE($B$3,1,6),DATE($B$3,1,6),1,'Non-working days'!$A$6:$A$45)=0),"",IF(COUNTIFS('Leave log'!$A$7:$A$306,Employees!$A$27,'Leave log'!$B$7:$B$306,"&lt;="&amp;DATE($B$3,1,6),'Leave log'!$C$7:$C$306,"&gt;="&amp;DATE($B$3,1,6),'Leave log'!$F$7:$F$306,"Pending")&gt;0,"P",""))))</f>
        <v/>
      </c>
      <c r="H28" s="23" t="str">
        <f>IF(A28="","",IF(IF(OR(DATE($B$3,1,7)&gt;EOMONTH(DATE($B$3,1,1),0),NETWORKDAYS.INTL(DATE($B$3,1,7),DATE($B$3,1,7),1,'Non-working days'!$A$6:$A$45)=0),"",IF(COUNTIFS('Leave log'!$A$7:$A$306,Employees!$A$27,'Leave log'!$B$7:$B$306,"&lt;="&amp;DATE($B$3,1,7),'Leave log'!$C$7:$C$306,"&gt;="&amp;DATE($B$3,1,7),'Leave log'!$F$7:$F$306,"Approved")&gt;0,"A",""))="A","A",IF(OR(DATE($B$3,1,7)&gt;EOMONTH(DATE($B$3,1,1),0),NETWORKDAYS.INTL(DATE($B$3,1,7),DATE($B$3,1,7),1,'Non-working days'!$A$6:$A$45)=0),"",IF(COUNTIFS('Leave log'!$A$7:$A$306,Employees!$A$27,'Leave log'!$B$7:$B$306,"&lt;="&amp;DATE($B$3,1,7),'Leave log'!$C$7:$C$306,"&gt;="&amp;DATE($B$3,1,7),'Leave log'!$F$7:$F$306,"Pending")&gt;0,"P",""))))</f>
        <v/>
      </c>
      <c r="I28" s="23" t="str">
        <f>IF(A28="","",IF(IF(OR(DATE($B$3,1,8)&gt;EOMONTH(DATE($B$3,1,1),0),NETWORKDAYS.INTL(DATE($B$3,1,8),DATE($B$3,1,8),1,'Non-working days'!$A$6:$A$45)=0),"",IF(COUNTIFS('Leave log'!$A$7:$A$306,Employees!$A$27,'Leave log'!$B$7:$B$306,"&lt;="&amp;DATE($B$3,1,8),'Leave log'!$C$7:$C$306,"&gt;="&amp;DATE($B$3,1,8),'Leave log'!$F$7:$F$306,"Approved")&gt;0,"A",""))="A","A",IF(OR(DATE($B$3,1,8)&gt;EOMONTH(DATE($B$3,1,1),0),NETWORKDAYS.INTL(DATE($B$3,1,8),DATE($B$3,1,8),1,'Non-working days'!$A$6:$A$45)=0),"",IF(COUNTIFS('Leave log'!$A$7:$A$306,Employees!$A$27,'Leave log'!$B$7:$B$306,"&lt;="&amp;DATE($B$3,1,8),'Leave log'!$C$7:$C$306,"&gt;="&amp;DATE($B$3,1,8),'Leave log'!$F$7:$F$306,"Pending")&gt;0,"P",""))))</f>
        <v/>
      </c>
      <c r="J28" s="23" t="str">
        <f>IF(A28="","",IF(IF(OR(DATE($B$3,1,9)&gt;EOMONTH(DATE($B$3,1,1),0),NETWORKDAYS.INTL(DATE($B$3,1,9),DATE($B$3,1,9),1,'Non-working days'!$A$6:$A$45)=0),"",IF(COUNTIFS('Leave log'!$A$7:$A$306,Employees!$A$27,'Leave log'!$B$7:$B$306,"&lt;="&amp;DATE($B$3,1,9),'Leave log'!$C$7:$C$306,"&gt;="&amp;DATE($B$3,1,9),'Leave log'!$F$7:$F$306,"Approved")&gt;0,"A",""))="A","A",IF(OR(DATE($B$3,1,9)&gt;EOMONTH(DATE($B$3,1,1),0),NETWORKDAYS.INTL(DATE($B$3,1,9),DATE($B$3,1,9),1,'Non-working days'!$A$6:$A$45)=0),"",IF(COUNTIFS('Leave log'!$A$7:$A$306,Employees!$A$27,'Leave log'!$B$7:$B$306,"&lt;="&amp;DATE($B$3,1,9),'Leave log'!$C$7:$C$306,"&gt;="&amp;DATE($B$3,1,9),'Leave log'!$F$7:$F$306,"Pending")&gt;0,"P",""))))</f>
        <v/>
      </c>
      <c r="K28" s="23" t="str">
        <f>IF(A28="","",IF(IF(OR(DATE($B$3,1,10)&gt;EOMONTH(DATE($B$3,1,1),0),NETWORKDAYS.INTL(DATE($B$3,1,10),DATE($B$3,1,10),1,'Non-working days'!$A$6:$A$45)=0),"",IF(COUNTIFS('Leave log'!$A$7:$A$306,Employees!$A$27,'Leave log'!$B$7:$B$306,"&lt;="&amp;DATE($B$3,1,10),'Leave log'!$C$7:$C$306,"&gt;="&amp;DATE($B$3,1,10),'Leave log'!$F$7:$F$306,"Approved")&gt;0,"A",""))="A","A",IF(OR(DATE($B$3,1,10)&gt;EOMONTH(DATE($B$3,1,1),0),NETWORKDAYS.INTL(DATE($B$3,1,10),DATE($B$3,1,10),1,'Non-working days'!$A$6:$A$45)=0),"",IF(COUNTIFS('Leave log'!$A$7:$A$306,Employees!$A$27,'Leave log'!$B$7:$B$306,"&lt;="&amp;DATE($B$3,1,10),'Leave log'!$C$7:$C$306,"&gt;="&amp;DATE($B$3,1,10),'Leave log'!$F$7:$F$306,"Pending")&gt;0,"P",""))))</f>
        <v/>
      </c>
      <c r="L28" s="23" t="str">
        <f>IF(A28="","",IF(IF(OR(DATE($B$3,1,11)&gt;EOMONTH(DATE($B$3,1,1),0),NETWORKDAYS.INTL(DATE($B$3,1,11),DATE($B$3,1,11),1,'Non-working days'!$A$6:$A$45)=0),"",IF(COUNTIFS('Leave log'!$A$7:$A$306,Employees!$A$27,'Leave log'!$B$7:$B$306,"&lt;="&amp;DATE($B$3,1,11),'Leave log'!$C$7:$C$306,"&gt;="&amp;DATE($B$3,1,11),'Leave log'!$F$7:$F$306,"Approved")&gt;0,"A",""))="A","A",IF(OR(DATE($B$3,1,11)&gt;EOMONTH(DATE($B$3,1,1),0),NETWORKDAYS.INTL(DATE($B$3,1,11),DATE($B$3,1,11),1,'Non-working days'!$A$6:$A$45)=0),"",IF(COUNTIFS('Leave log'!$A$7:$A$306,Employees!$A$27,'Leave log'!$B$7:$B$306,"&lt;="&amp;DATE($B$3,1,11),'Leave log'!$C$7:$C$306,"&gt;="&amp;DATE($B$3,1,11),'Leave log'!$F$7:$F$306,"Pending")&gt;0,"P",""))))</f>
        <v/>
      </c>
      <c r="M28" s="23" t="str">
        <f>IF(A28="","",IF(IF(OR(DATE($B$3,1,12)&gt;EOMONTH(DATE($B$3,1,1),0),NETWORKDAYS.INTL(DATE($B$3,1,12),DATE($B$3,1,12),1,'Non-working days'!$A$6:$A$45)=0),"",IF(COUNTIFS('Leave log'!$A$7:$A$306,Employees!$A$27,'Leave log'!$B$7:$B$306,"&lt;="&amp;DATE($B$3,1,12),'Leave log'!$C$7:$C$306,"&gt;="&amp;DATE($B$3,1,12),'Leave log'!$F$7:$F$306,"Approved")&gt;0,"A",""))="A","A",IF(OR(DATE($B$3,1,12)&gt;EOMONTH(DATE($B$3,1,1),0),NETWORKDAYS.INTL(DATE($B$3,1,12),DATE($B$3,1,12),1,'Non-working days'!$A$6:$A$45)=0),"",IF(COUNTIFS('Leave log'!$A$7:$A$306,Employees!$A$27,'Leave log'!$B$7:$B$306,"&lt;="&amp;DATE($B$3,1,12),'Leave log'!$C$7:$C$306,"&gt;="&amp;DATE($B$3,1,12),'Leave log'!$F$7:$F$306,"Pending")&gt;0,"P",""))))</f>
        <v/>
      </c>
      <c r="N28" s="23" t="str">
        <f>IF(A28="","",IF(IF(OR(DATE($B$3,1,13)&gt;EOMONTH(DATE($B$3,1,1),0),NETWORKDAYS.INTL(DATE($B$3,1,13),DATE($B$3,1,13),1,'Non-working days'!$A$6:$A$45)=0),"",IF(COUNTIFS('Leave log'!$A$7:$A$306,Employees!$A$27,'Leave log'!$B$7:$B$306,"&lt;="&amp;DATE($B$3,1,13),'Leave log'!$C$7:$C$306,"&gt;="&amp;DATE($B$3,1,13),'Leave log'!$F$7:$F$306,"Approved")&gt;0,"A",""))="A","A",IF(OR(DATE($B$3,1,13)&gt;EOMONTH(DATE($B$3,1,1),0),NETWORKDAYS.INTL(DATE($B$3,1,13),DATE($B$3,1,13),1,'Non-working days'!$A$6:$A$45)=0),"",IF(COUNTIFS('Leave log'!$A$7:$A$306,Employees!$A$27,'Leave log'!$B$7:$B$306,"&lt;="&amp;DATE($B$3,1,13),'Leave log'!$C$7:$C$306,"&gt;="&amp;DATE($B$3,1,13),'Leave log'!$F$7:$F$306,"Pending")&gt;0,"P",""))))</f>
        <v/>
      </c>
      <c r="O28" s="23" t="str">
        <f>IF(A28="","",IF(IF(OR(DATE($B$3,1,14)&gt;EOMONTH(DATE($B$3,1,1),0),NETWORKDAYS.INTL(DATE($B$3,1,14),DATE($B$3,1,14),1,'Non-working days'!$A$6:$A$45)=0),"",IF(COUNTIFS('Leave log'!$A$7:$A$306,Employees!$A$27,'Leave log'!$B$7:$B$306,"&lt;="&amp;DATE($B$3,1,14),'Leave log'!$C$7:$C$306,"&gt;="&amp;DATE($B$3,1,14),'Leave log'!$F$7:$F$306,"Approved")&gt;0,"A",""))="A","A",IF(OR(DATE($B$3,1,14)&gt;EOMONTH(DATE($B$3,1,1),0),NETWORKDAYS.INTL(DATE($B$3,1,14),DATE($B$3,1,14),1,'Non-working days'!$A$6:$A$45)=0),"",IF(COUNTIFS('Leave log'!$A$7:$A$306,Employees!$A$27,'Leave log'!$B$7:$B$306,"&lt;="&amp;DATE($B$3,1,14),'Leave log'!$C$7:$C$306,"&gt;="&amp;DATE($B$3,1,14),'Leave log'!$F$7:$F$306,"Pending")&gt;0,"P",""))))</f>
        <v/>
      </c>
      <c r="P28" s="23" t="str">
        <f>IF(A28="","",IF(IF(OR(DATE($B$3,1,15)&gt;EOMONTH(DATE($B$3,1,1),0),NETWORKDAYS.INTL(DATE($B$3,1,15),DATE($B$3,1,15),1,'Non-working days'!$A$6:$A$45)=0),"",IF(COUNTIFS('Leave log'!$A$7:$A$306,Employees!$A$27,'Leave log'!$B$7:$B$306,"&lt;="&amp;DATE($B$3,1,15),'Leave log'!$C$7:$C$306,"&gt;="&amp;DATE($B$3,1,15),'Leave log'!$F$7:$F$306,"Approved")&gt;0,"A",""))="A","A",IF(OR(DATE($B$3,1,15)&gt;EOMONTH(DATE($B$3,1,1),0),NETWORKDAYS.INTL(DATE($B$3,1,15),DATE($B$3,1,15),1,'Non-working days'!$A$6:$A$45)=0),"",IF(COUNTIFS('Leave log'!$A$7:$A$306,Employees!$A$27,'Leave log'!$B$7:$B$306,"&lt;="&amp;DATE($B$3,1,15),'Leave log'!$C$7:$C$306,"&gt;="&amp;DATE($B$3,1,15),'Leave log'!$F$7:$F$306,"Pending")&gt;0,"P",""))))</f>
        <v/>
      </c>
      <c r="Q28" s="23" t="str">
        <f>IF(A28="","",IF(IF(OR(DATE($B$3,1,16)&gt;EOMONTH(DATE($B$3,1,1),0),NETWORKDAYS.INTL(DATE($B$3,1,16),DATE($B$3,1,16),1,'Non-working days'!$A$6:$A$45)=0),"",IF(COUNTIFS('Leave log'!$A$7:$A$306,Employees!$A$27,'Leave log'!$B$7:$B$306,"&lt;="&amp;DATE($B$3,1,16),'Leave log'!$C$7:$C$306,"&gt;="&amp;DATE($B$3,1,16),'Leave log'!$F$7:$F$306,"Approved")&gt;0,"A",""))="A","A",IF(OR(DATE($B$3,1,16)&gt;EOMONTH(DATE($B$3,1,1),0),NETWORKDAYS.INTL(DATE($B$3,1,16),DATE($B$3,1,16),1,'Non-working days'!$A$6:$A$45)=0),"",IF(COUNTIFS('Leave log'!$A$7:$A$306,Employees!$A$27,'Leave log'!$B$7:$B$306,"&lt;="&amp;DATE($B$3,1,16),'Leave log'!$C$7:$C$306,"&gt;="&amp;DATE($B$3,1,16),'Leave log'!$F$7:$F$306,"Pending")&gt;0,"P",""))))</f>
        <v/>
      </c>
      <c r="R28" s="23" t="str">
        <f>IF(A28="","",IF(IF(OR(DATE($B$3,1,17)&gt;EOMONTH(DATE($B$3,1,1),0),NETWORKDAYS.INTL(DATE($B$3,1,17),DATE($B$3,1,17),1,'Non-working days'!$A$6:$A$45)=0),"",IF(COUNTIFS('Leave log'!$A$7:$A$306,Employees!$A$27,'Leave log'!$B$7:$B$306,"&lt;="&amp;DATE($B$3,1,17),'Leave log'!$C$7:$C$306,"&gt;="&amp;DATE($B$3,1,17),'Leave log'!$F$7:$F$306,"Approved")&gt;0,"A",""))="A","A",IF(OR(DATE($B$3,1,17)&gt;EOMONTH(DATE($B$3,1,1),0),NETWORKDAYS.INTL(DATE($B$3,1,17),DATE($B$3,1,17),1,'Non-working days'!$A$6:$A$45)=0),"",IF(COUNTIFS('Leave log'!$A$7:$A$306,Employees!$A$27,'Leave log'!$B$7:$B$306,"&lt;="&amp;DATE($B$3,1,17),'Leave log'!$C$7:$C$306,"&gt;="&amp;DATE($B$3,1,17),'Leave log'!$F$7:$F$306,"Pending")&gt;0,"P",""))))</f>
        <v/>
      </c>
      <c r="S28" s="23" t="str">
        <f>IF(A28="","",IF(IF(OR(DATE($B$3,1,18)&gt;EOMONTH(DATE($B$3,1,1),0),NETWORKDAYS.INTL(DATE($B$3,1,18),DATE($B$3,1,18),1,'Non-working days'!$A$6:$A$45)=0),"",IF(COUNTIFS('Leave log'!$A$7:$A$306,Employees!$A$27,'Leave log'!$B$7:$B$306,"&lt;="&amp;DATE($B$3,1,18),'Leave log'!$C$7:$C$306,"&gt;="&amp;DATE($B$3,1,18),'Leave log'!$F$7:$F$306,"Approved")&gt;0,"A",""))="A","A",IF(OR(DATE($B$3,1,18)&gt;EOMONTH(DATE($B$3,1,1),0),NETWORKDAYS.INTL(DATE($B$3,1,18),DATE($B$3,1,18),1,'Non-working days'!$A$6:$A$45)=0),"",IF(COUNTIFS('Leave log'!$A$7:$A$306,Employees!$A$27,'Leave log'!$B$7:$B$306,"&lt;="&amp;DATE($B$3,1,18),'Leave log'!$C$7:$C$306,"&gt;="&amp;DATE($B$3,1,18),'Leave log'!$F$7:$F$306,"Pending")&gt;0,"P",""))))</f>
        <v/>
      </c>
      <c r="T28" s="23" t="str">
        <f>IF(A28="","",IF(IF(OR(DATE($B$3,1,19)&gt;EOMONTH(DATE($B$3,1,1),0),NETWORKDAYS.INTL(DATE($B$3,1,19),DATE($B$3,1,19),1,'Non-working days'!$A$6:$A$45)=0),"",IF(COUNTIFS('Leave log'!$A$7:$A$306,Employees!$A$27,'Leave log'!$B$7:$B$306,"&lt;="&amp;DATE($B$3,1,19),'Leave log'!$C$7:$C$306,"&gt;="&amp;DATE($B$3,1,19),'Leave log'!$F$7:$F$306,"Approved")&gt;0,"A",""))="A","A",IF(OR(DATE($B$3,1,19)&gt;EOMONTH(DATE($B$3,1,1),0),NETWORKDAYS.INTL(DATE($B$3,1,19),DATE($B$3,1,19),1,'Non-working days'!$A$6:$A$45)=0),"",IF(COUNTIFS('Leave log'!$A$7:$A$306,Employees!$A$27,'Leave log'!$B$7:$B$306,"&lt;="&amp;DATE($B$3,1,19),'Leave log'!$C$7:$C$306,"&gt;="&amp;DATE($B$3,1,19),'Leave log'!$F$7:$F$306,"Pending")&gt;0,"P",""))))</f>
        <v/>
      </c>
      <c r="U28" s="23" t="str">
        <f>IF(A28="","",IF(IF(OR(DATE($B$3,1,20)&gt;EOMONTH(DATE($B$3,1,1),0),NETWORKDAYS.INTL(DATE($B$3,1,20),DATE($B$3,1,20),1,'Non-working days'!$A$6:$A$45)=0),"",IF(COUNTIFS('Leave log'!$A$7:$A$306,Employees!$A$27,'Leave log'!$B$7:$B$306,"&lt;="&amp;DATE($B$3,1,20),'Leave log'!$C$7:$C$306,"&gt;="&amp;DATE($B$3,1,20),'Leave log'!$F$7:$F$306,"Approved")&gt;0,"A",""))="A","A",IF(OR(DATE($B$3,1,20)&gt;EOMONTH(DATE($B$3,1,1),0),NETWORKDAYS.INTL(DATE($B$3,1,20),DATE($B$3,1,20),1,'Non-working days'!$A$6:$A$45)=0),"",IF(COUNTIFS('Leave log'!$A$7:$A$306,Employees!$A$27,'Leave log'!$B$7:$B$306,"&lt;="&amp;DATE($B$3,1,20),'Leave log'!$C$7:$C$306,"&gt;="&amp;DATE($B$3,1,20),'Leave log'!$F$7:$F$306,"Pending")&gt;0,"P",""))))</f>
        <v/>
      </c>
      <c r="V28" s="23" t="str">
        <f>IF(A28="","",IF(IF(OR(DATE($B$3,1,21)&gt;EOMONTH(DATE($B$3,1,1),0),NETWORKDAYS.INTL(DATE($B$3,1,21),DATE($B$3,1,21),1,'Non-working days'!$A$6:$A$45)=0),"",IF(COUNTIFS('Leave log'!$A$7:$A$306,Employees!$A$27,'Leave log'!$B$7:$B$306,"&lt;="&amp;DATE($B$3,1,21),'Leave log'!$C$7:$C$306,"&gt;="&amp;DATE($B$3,1,21),'Leave log'!$F$7:$F$306,"Approved")&gt;0,"A",""))="A","A",IF(OR(DATE($B$3,1,21)&gt;EOMONTH(DATE($B$3,1,1),0),NETWORKDAYS.INTL(DATE($B$3,1,21),DATE($B$3,1,21),1,'Non-working days'!$A$6:$A$45)=0),"",IF(COUNTIFS('Leave log'!$A$7:$A$306,Employees!$A$27,'Leave log'!$B$7:$B$306,"&lt;="&amp;DATE($B$3,1,21),'Leave log'!$C$7:$C$306,"&gt;="&amp;DATE($B$3,1,21),'Leave log'!$F$7:$F$306,"Pending")&gt;0,"P",""))))</f>
        <v/>
      </c>
      <c r="W28" s="23" t="str">
        <f>IF(A28="","",IF(IF(OR(DATE($B$3,1,22)&gt;EOMONTH(DATE($B$3,1,1),0),NETWORKDAYS.INTL(DATE($B$3,1,22),DATE($B$3,1,22),1,'Non-working days'!$A$6:$A$45)=0),"",IF(COUNTIFS('Leave log'!$A$7:$A$306,Employees!$A$27,'Leave log'!$B$7:$B$306,"&lt;="&amp;DATE($B$3,1,22),'Leave log'!$C$7:$C$306,"&gt;="&amp;DATE($B$3,1,22),'Leave log'!$F$7:$F$306,"Approved")&gt;0,"A",""))="A","A",IF(OR(DATE($B$3,1,22)&gt;EOMONTH(DATE($B$3,1,1),0),NETWORKDAYS.INTL(DATE($B$3,1,22),DATE($B$3,1,22),1,'Non-working days'!$A$6:$A$45)=0),"",IF(COUNTIFS('Leave log'!$A$7:$A$306,Employees!$A$27,'Leave log'!$B$7:$B$306,"&lt;="&amp;DATE($B$3,1,22),'Leave log'!$C$7:$C$306,"&gt;="&amp;DATE($B$3,1,22),'Leave log'!$F$7:$F$306,"Pending")&gt;0,"P",""))))</f>
        <v/>
      </c>
      <c r="X28" s="23" t="str">
        <f>IF(A28="","",IF(IF(OR(DATE($B$3,1,23)&gt;EOMONTH(DATE($B$3,1,1),0),NETWORKDAYS.INTL(DATE($B$3,1,23),DATE($B$3,1,23),1,'Non-working days'!$A$6:$A$45)=0),"",IF(COUNTIFS('Leave log'!$A$7:$A$306,Employees!$A$27,'Leave log'!$B$7:$B$306,"&lt;="&amp;DATE($B$3,1,23),'Leave log'!$C$7:$C$306,"&gt;="&amp;DATE($B$3,1,23),'Leave log'!$F$7:$F$306,"Approved")&gt;0,"A",""))="A","A",IF(OR(DATE($B$3,1,23)&gt;EOMONTH(DATE($B$3,1,1),0),NETWORKDAYS.INTL(DATE($B$3,1,23),DATE($B$3,1,23),1,'Non-working days'!$A$6:$A$45)=0),"",IF(COUNTIFS('Leave log'!$A$7:$A$306,Employees!$A$27,'Leave log'!$B$7:$B$306,"&lt;="&amp;DATE($B$3,1,23),'Leave log'!$C$7:$C$306,"&gt;="&amp;DATE($B$3,1,23),'Leave log'!$F$7:$F$306,"Pending")&gt;0,"P",""))))</f>
        <v/>
      </c>
      <c r="Y28" s="23" t="str">
        <f>IF(A28="","",IF(IF(OR(DATE($B$3,1,24)&gt;EOMONTH(DATE($B$3,1,1),0),NETWORKDAYS.INTL(DATE($B$3,1,24),DATE($B$3,1,24),1,'Non-working days'!$A$6:$A$45)=0),"",IF(COUNTIFS('Leave log'!$A$7:$A$306,Employees!$A$27,'Leave log'!$B$7:$B$306,"&lt;="&amp;DATE($B$3,1,24),'Leave log'!$C$7:$C$306,"&gt;="&amp;DATE($B$3,1,24),'Leave log'!$F$7:$F$306,"Approved")&gt;0,"A",""))="A","A",IF(OR(DATE($B$3,1,24)&gt;EOMONTH(DATE($B$3,1,1),0),NETWORKDAYS.INTL(DATE($B$3,1,24),DATE($B$3,1,24),1,'Non-working days'!$A$6:$A$45)=0),"",IF(COUNTIFS('Leave log'!$A$7:$A$306,Employees!$A$27,'Leave log'!$B$7:$B$306,"&lt;="&amp;DATE($B$3,1,24),'Leave log'!$C$7:$C$306,"&gt;="&amp;DATE($B$3,1,24),'Leave log'!$F$7:$F$306,"Pending")&gt;0,"P",""))))</f>
        <v/>
      </c>
      <c r="Z28" s="23" t="str">
        <f>IF(A28="","",IF(IF(OR(DATE($B$3,1,25)&gt;EOMONTH(DATE($B$3,1,1),0),NETWORKDAYS.INTL(DATE($B$3,1,25),DATE($B$3,1,25),1,'Non-working days'!$A$6:$A$45)=0),"",IF(COUNTIFS('Leave log'!$A$7:$A$306,Employees!$A$27,'Leave log'!$B$7:$B$306,"&lt;="&amp;DATE($B$3,1,25),'Leave log'!$C$7:$C$306,"&gt;="&amp;DATE($B$3,1,25),'Leave log'!$F$7:$F$306,"Approved")&gt;0,"A",""))="A","A",IF(OR(DATE($B$3,1,25)&gt;EOMONTH(DATE($B$3,1,1),0),NETWORKDAYS.INTL(DATE($B$3,1,25),DATE($B$3,1,25),1,'Non-working days'!$A$6:$A$45)=0),"",IF(COUNTIFS('Leave log'!$A$7:$A$306,Employees!$A$27,'Leave log'!$B$7:$B$306,"&lt;="&amp;DATE($B$3,1,25),'Leave log'!$C$7:$C$306,"&gt;="&amp;DATE($B$3,1,25),'Leave log'!$F$7:$F$306,"Pending")&gt;0,"P",""))))</f>
        <v/>
      </c>
      <c r="AA28" s="23" t="str">
        <f>IF(A28="","",IF(IF(OR(DATE($B$3,1,26)&gt;EOMONTH(DATE($B$3,1,1),0),NETWORKDAYS.INTL(DATE($B$3,1,26),DATE($B$3,1,26),1,'Non-working days'!$A$6:$A$45)=0),"",IF(COUNTIFS('Leave log'!$A$7:$A$306,Employees!$A$27,'Leave log'!$B$7:$B$306,"&lt;="&amp;DATE($B$3,1,26),'Leave log'!$C$7:$C$306,"&gt;="&amp;DATE($B$3,1,26),'Leave log'!$F$7:$F$306,"Approved")&gt;0,"A",""))="A","A",IF(OR(DATE($B$3,1,26)&gt;EOMONTH(DATE($B$3,1,1),0),NETWORKDAYS.INTL(DATE($B$3,1,26),DATE($B$3,1,26),1,'Non-working days'!$A$6:$A$45)=0),"",IF(COUNTIFS('Leave log'!$A$7:$A$306,Employees!$A$27,'Leave log'!$B$7:$B$306,"&lt;="&amp;DATE($B$3,1,26),'Leave log'!$C$7:$C$306,"&gt;="&amp;DATE($B$3,1,26),'Leave log'!$F$7:$F$306,"Pending")&gt;0,"P",""))))</f>
        <v/>
      </c>
      <c r="AB28" s="23" t="str">
        <f>IF(A28="","",IF(IF(OR(DATE($B$3,1,27)&gt;EOMONTH(DATE($B$3,1,1),0),NETWORKDAYS.INTL(DATE($B$3,1,27),DATE($B$3,1,27),1,'Non-working days'!$A$6:$A$45)=0),"",IF(COUNTIFS('Leave log'!$A$7:$A$306,Employees!$A$27,'Leave log'!$B$7:$B$306,"&lt;="&amp;DATE($B$3,1,27),'Leave log'!$C$7:$C$306,"&gt;="&amp;DATE($B$3,1,27),'Leave log'!$F$7:$F$306,"Approved")&gt;0,"A",""))="A","A",IF(OR(DATE($B$3,1,27)&gt;EOMONTH(DATE($B$3,1,1),0),NETWORKDAYS.INTL(DATE($B$3,1,27),DATE($B$3,1,27),1,'Non-working days'!$A$6:$A$45)=0),"",IF(COUNTIFS('Leave log'!$A$7:$A$306,Employees!$A$27,'Leave log'!$B$7:$B$306,"&lt;="&amp;DATE($B$3,1,27),'Leave log'!$C$7:$C$306,"&gt;="&amp;DATE($B$3,1,27),'Leave log'!$F$7:$F$306,"Pending")&gt;0,"P",""))))</f>
        <v/>
      </c>
      <c r="AC28" s="23" t="str">
        <f>IF(A28="","",IF(IF(OR(DATE($B$3,1,28)&gt;EOMONTH(DATE($B$3,1,1),0),NETWORKDAYS.INTL(DATE($B$3,1,28),DATE($B$3,1,28),1,'Non-working days'!$A$6:$A$45)=0),"",IF(COUNTIFS('Leave log'!$A$7:$A$306,Employees!$A$27,'Leave log'!$B$7:$B$306,"&lt;="&amp;DATE($B$3,1,28),'Leave log'!$C$7:$C$306,"&gt;="&amp;DATE($B$3,1,28),'Leave log'!$F$7:$F$306,"Approved")&gt;0,"A",""))="A","A",IF(OR(DATE($B$3,1,28)&gt;EOMONTH(DATE($B$3,1,1),0),NETWORKDAYS.INTL(DATE($B$3,1,28),DATE($B$3,1,28),1,'Non-working days'!$A$6:$A$45)=0),"",IF(COUNTIFS('Leave log'!$A$7:$A$306,Employees!$A$27,'Leave log'!$B$7:$B$306,"&lt;="&amp;DATE($B$3,1,28),'Leave log'!$C$7:$C$306,"&gt;="&amp;DATE($B$3,1,28),'Leave log'!$F$7:$F$306,"Pending")&gt;0,"P",""))))</f>
        <v/>
      </c>
      <c r="AD28" s="23" t="str">
        <f>IF(A28="","",IF(IF(OR(DATE($B$3,1,29)&gt;EOMONTH(DATE($B$3,1,1),0),NETWORKDAYS.INTL(DATE($B$3,1,29),DATE($B$3,1,29),1,'Non-working days'!$A$6:$A$45)=0),"",IF(COUNTIFS('Leave log'!$A$7:$A$306,Employees!$A$27,'Leave log'!$B$7:$B$306,"&lt;="&amp;DATE($B$3,1,29),'Leave log'!$C$7:$C$306,"&gt;="&amp;DATE($B$3,1,29),'Leave log'!$F$7:$F$306,"Approved")&gt;0,"A",""))="A","A",IF(OR(DATE($B$3,1,29)&gt;EOMONTH(DATE($B$3,1,1),0),NETWORKDAYS.INTL(DATE($B$3,1,29),DATE($B$3,1,29),1,'Non-working days'!$A$6:$A$45)=0),"",IF(COUNTIFS('Leave log'!$A$7:$A$306,Employees!$A$27,'Leave log'!$B$7:$B$306,"&lt;="&amp;DATE($B$3,1,29),'Leave log'!$C$7:$C$306,"&gt;="&amp;DATE($B$3,1,29),'Leave log'!$F$7:$F$306,"Pending")&gt;0,"P",""))))</f>
        <v/>
      </c>
      <c r="AE28" s="23" t="str">
        <f>IF(A28="","",IF(IF(OR(DATE($B$3,1,30)&gt;EOMONTH(DATE($B$3,1,1),0),NETWORKDAYS.INTL(DATE($B$3,1,30),DATE($B$3,1,30),1,'Non-working days'!$A$6:$A$45)=0),"",IF(COUNTIFS('Leave log'!$A$7:$A$306,Employees!$A$27,'Leave log'!$B$7:$B$306,"&lt;="&amp;DATE($B$3,1,30),'Leave log'!$C$7:$C$306,"&gt;="&amp;DATE($B$3,1,30),'Leave log'!$F$7:$F$306,"Approved")&gt;0,"A",""))="A","A",IF(OR(DATE($B$3,1,30)&gt;EOMONTH(DATE($B$3,1,1),0),NETWORKDAYS.INTL(DATE($B$3,1,30),DATE($B$3,1,30),1,'Non-working days'!$A$6:$A$45)=0),"",IF(COUNTIFS('Leave log'!$A$7:$A$306,Employees!$A$27,'Leave log'!$B$7:$B$306,"&lt;="&amp;DATE($B$3,1,30),'Leave log'!$C$7:$C$306,"&gt;="&amp;DATE($B$3,1,30),'Leave log'!$F$7:$F$306,"Pending")&gt;0,"P",""))))</f>
        <v/>
      </c>
      <c r="AF28" s="23" t="str">
        <f>IF(A28="","",IF(IF(OR(DATE($B$3,1,31)&gt;EOMONTH(DATE($B$3,1,1),0),NETWORKDAYS.INTL(DATE($B$3,1,31),DATE($B$3,1,31),1,'Non-working days'!$A$6:$A$45)=0),"",IF(COUNTIFS('Leave log'!$A$7:$A$306,Employees!$A$27,'Leave log'!$B$7:$B$306,"&lt;="&amp;DATE($B$3,1,31),'Leave log'!$C$7:$C$306,"&gt;="&amp;DATE($B$3,1,31),'Leave log'!$F$7:$F$306,"Approved")&gt;0,"A",""))="A","A",IF(OR(DATE($B$3,1,31)&gt;EOMONTH(DATE($B$3,1,1),0),NETWORKDAYS.INTL(DATE($B$3,1,31),DATE($B$3,1,31),1,'Non-working days'!$A$6:$A$45)=0),"",IF(COUNTIFS('Leave log'!$A$7:$A$306,Employees!$A$27,'Leave log'!$B$7:$B$306,"&lt;="&amp;DATE($B$3,1,31),'Leave log'!$C$7:$C$306,"&gt;="&amp;DATE($B$3,1,31),'Leave log'!$F$7:$F$306,"Pending")&gt;0,"P",""))))</f>
        <v/>
      </c>
    </row>
    <row r="29" spans="1:32" ht="18" customHeight="1" x14ac:dyDescent="0.3">
      <c r="A29" s="22" t="str">
        <f>IF(Employees!F28="Yes",Employees!B28,"")</f>
        <v/>
      </c>
      <c r="B29" s="23" t="str">
        <f>IF(A29="","",IF(IF(OR(DATE($B$3,1,1)&gt;EOMONTH(DATE($B$3,1,1),0),NETWORKDAYS.INTL(DATE($B$3,1,1),DATE($B$3,1,1),1,'Non-working days'!$A$6:$A$45)=0),"",IF(COUNTIFS('Leave log'!$A$7:$A$306,Employees!$A$28,'Leave log'!$B$7:$B$306,"&lt;="&amp;DATE($B$3,1,1),'Leave log'!$C$7:$C$306,"&gt;="&amp;DATE($B$3,1,1),'Leave log'!$F$7:$F$306,"Approved")&gt;0,"A",""))="A","A",IF(OR(DATE($B$3,1,1)&gt;EOMONTH(DATE($B$3,1,1),0),NETWORKDAYS.INTL(DATE($B$3,1,1),DATE($B$3,1,1),1,'Non-working days'!$A$6:$A$45)=0),"",IF(COUNTIFS('Leave log'!$A$7:$A$306,Employees!$A$28,'Leave log'!$B$7:$B$306,"&lt;="&amp;DATE($B$3,1,1),'Leave log'!$C$7:$C$306,"&gt;="&amp;DATE($B$3,1,1),'Leave log'!$F$7:$F$306,"Pending")&gt;0,"P",""))))</f>
        <v/>
      </c>
      <c r="C29" s="23" t="str">
        <f>IF(A29="","",IF(IF(OR(DATE($B$3,1,2)&gt;EOMONTH(DATE($B$3,1,1),0),NETWORKDAYS.INTL(DATE($B$3,1,2),DATE($B$3,1,2),1,'Non-working days'!$A$6:$A$45)=0),"",IF(COUNTIFS('Leave log'!$A$7:$A$306,Employees!$A$28,'Leave log'!$B$7:$B$306,"&lt;="&amp;DATE($B$3,1,2),'Leave log'!$C$7:$C$306,"&gt;="&amp;DATE($B$3,1,2),'Leave log'!$F$7:$F$306,"Approved")&gt;0,"A",""))="A","A",IF(OR(DATE($B$3,1,2)&gt;EOMONTH(DATE($B$3,1,1),0),NETWORKDAYS.INTL(DATE($B$3,1,2),DATE($B$3,1,2),1,'Non-working days'!$A$6:$A$45)=0),"",IF(COUNTIFS('Leave log'!$A$7:$A$306,Employees!$A$28,'Leave log'!$B$7:$B$306,"&lt;="&amp;DATE($B$3,1,2),'Leave log'!$C$7:$C$306,"&gt;="&amp;DATE($B$3,1,2),'Leave log'!$F$7:$F$306,"Pending")&gt;0,"P",""))))</f>
        <v/>
      </c>
      <c r="D29" s="23" t="str">
        <f>IF(A29="","",IF(IF(OR(DATE($B$3,1,3)&gt;EOMONTH(DATE($B$3,1,1),0),NETWORKDAYS.INTL(DATE($B$3,1,3),DATE($B$3,1,3),1,'Non-working days'!$A$6:$A$45)=0),"",IF(COUNTIFS('Leave log'!$A$7:$A$306,Employees!$A$28,'Leave log'!$B$7:$B$306,"&lt;="&amp;DATE($B$3,1,3),'Leave log'!$C$7:$C$306,"&gt;="&amp;DATE($B$3,1,3),'Leave log'!$F$7:$F$306,"Approved")&gt;0,"A",""))="A","A",IF(OR(DATE($B$3,1,3)&gt;EOMONTH(DATE($B$3,1,1),0),NETWORKDAYS.INTL(DATE($B$3,1,3),DATE($B$3,1,3),1,'Non-working days'!$A$6:$A$45)=0),"",IF(COUNTIFS('Leave log'!$A$7:$A$306,Employees!$A$28,'Leave log'!$B$7:$B$306,"&lt;="&amp;DATE($B$3,1,3),'Leave log'!$C$7:$C$306,"&gt;="&amp;DATE($B$3,1,3),'Leave log'!$F$7:$F$306,"Pending")&gt;0,"P",""))))</f>
        <v/>
      </c>
      <c r="E29" s="23" t="str">
        <f>IF(A29="","",IF(IF(OR(DATE($B$3,1,4)&gt;EOMONTH(DATE($B$3,1,1),0),NETWORKDAYS.INTL(DATE($B$3,1,4),DATE($B$3,1,4),1,'Non-working days'!$A$6:$A$45)=0),"",IF(COUNTIFS('Leave log'!$A$7:$A$306,Employees!$A$28,'Leave log'!$B$7:$B$306,"&lt;="&amp;DATE($B$3,1,4),'Leave log'!$C$7:$C$306,"&gt;="&amp;DATE($B$3,1,4),'Leave log'!$F$7:$F$306,"Approved")&gt;0,"A",""))="A","A",IF(OR(DATE($B$3,1,4)&gt;EOMONTH(DATE($B$3,1,1),0),NETWORKDAYS.INTL(DATE($B$3,1,4),DATE($B$3,1,4),1,'Non-working days'!$A$6:$A$45)=0),"",IF(COUNTIFS('Leave log'!$A$7:$A$306,Employees!$A$28,'Leave log'!$B$7:$B$306,"&lt;="&amp;DATE($B$3,1,4),'Leave log'!$C$7:$C$306,"&gt;="&amp;DATE($B$3,1,4),'Leave log'!$F$7:$F$306,"Pending")&gt;0,"P",""))))</f>
        <v/>
      </c>
      <c r="F29" s="23" t="str">
        <f>IF(A29="","",IF(IF(OR(DATE($B$3,1,5)&gt;EOMONTH(DATE($B$3,1,1),0),NETWORKDAYS.INTL(DATE($B$3,1,5),DATE($B$3,1,5),1,'Non-working days'!$A$6:$A$45)=0),"",IF(COUNTIFS('Leave log'!$A$7:$A$306,Employees!$A$28,'Leave log'!$B$7:$B$306,"&lt;="&amp;DATE($B$3,1,5),'Leave log'!$C$7:$C$306,"&gt;="&amp;DATE($B$3,1,5),'Leave log'!$F$7:$F$306,"Approved")&gt;0,"A",""))="A","A",IF(OR(DATE($B$3,1,5)&gt;EOMONTH(DATE($B$3,1,1),0),NETWORKDAYS.INTL(DATE($B$3,1,5),DATE($B$3,1,5),1,'Non-working days'!$A$6:$A$45)=0),"",IF(COUNTIFS('Leave log'!$A$7:$A$306,Employees!$A$28,'Leave log'!$B$7:$B$306,"&lt;="&amp;DATE($B$3,1,5),'Leave log'!$C$7:$C$306,"&gt;="&amp;DATE($B$3,1,5),'Leave log'!$F$7:$F$306,"Pending")&gt;0,"P",""))))</f>
        <v/>
      </c>
      <c r="G29" s="23" t="str">
        <f>IF(A29="","",IF(IF(OR(DATE($B$3,1,6)&gt;EOMONTH(DATE($B$3,1,1),0),NETWORKDAYS.INTL(DATE($B$3,1,6),DATE($B$3,1,6),1,'Non-working days'!$A$6:$A$45)=0),"",IF(COUNTIFS('Leave log'!$A$7:$A$306,Employees!$A$28,'Leave log'!$B$7:$B$306,"&lt;="&amp;DATE($B$3,1,6),'Leave log'!$C$7:$C$306,"&gt;="&amp;DATE($B$3,1,6),'Leave log'!$F$7:$F$306,"Approved")&gt;0,"A",""))="A","A",IF(OR(DATE($B$3,1,6)&gt;EOMONTH(DATE($B$3,1,1),0),NETWORKDAYS.INTL(DATE($B$3,1,6),DATE($B$3,1,6),1,'Non-working days'!$A$6:$A$45)=0),"",IF(COUNTIFS('Leave log'!$A$7:$A$306,Employees!$A$28,'Leave log'!$B$7:$B$306,"&lt;="&amp;DATE($B$3,1,6),'Leave log'!$C$7:$C$306,"&gt;="&amp;DATE($B$3,1,6),'Leave log'!$F$7:$F$306,"Pending")&gt;0,"P",""))))</f>
        <v/>
      </c>
      <c r="H29" s="23" t="str">
        <f>IF(A29="","",IF(IF(OR(DATE($B$3,1,7)&gt;EOMONTH(DATE($B$3,1,1),0),NETWORKDAYS.INTL(DATE($B$3,1,7),DATE($B$3,1,7),1,'Non-working days'!$A$6:$A$45)=0),"",IF(COUNTIFS('Leave log'!$A$7:$A$306,Employees!$A$28,'Leave log'!$B$7:$B$306,"&lt;="&amp;DATE($B$3,1,7),'Leave log'!$C$7:$C$306,"&gt;="&amp;DATE($B$3,1,7),'Leave log'!$F$7:$F$306,"Approved")&gt;0,"A",""))="A","A",IF(OR(DATE($B$3,1,7)&gt;EOMONTH(DATE($B$3,1,1),0),NETWORKDAYS.INTL(DATE($B$3,1,7),DATE($B$3,1,7),1,'Non-working days'!$A$6:$A$45)=0),"",IF(COUNTIFS('Leave log'!$A$7:$A$306,Employees!$A$28,'Leave log'!$B$7:$B$306,"&lt;="&amp;DATE($B$3,1,7),'Leave log'!$C$7:$C$306,"&gt;="&amp;DATE($B$3,1,7),'Leave log'!$F$7:$F$306,"Pending")&gt;0,"P",""))))</f>
        <v/>
      </c>
      <c r="I29" s="23" t="str">
        <f>IF(A29="","",IF(IF(OR(DATE($B$3,1,8)&gt;EOMONTH(DATE($B$3,1,1),0),NETWORKDAYS.INTL(DATE($B$3,1,8),DATE($B$3,1,8),1,'Non-working days'!$A$6:$A$45)=0),"",IF(COUNTIFS('Leave log'!$A$7:$A$306,Employees!$A$28,'Leave log'!$B$7:$B$306,"&lt;="&amp;DATE($B$3,1,8),'Leave log'!$C$7:$C$306,"&gt;="&amp;DATE($B$3,1,8),'Leave log'!$F$7:$F$306,"Approved")&gt;0,"A",""))="A","A",IF(OR(DATE($B$3,1,8)&gt;EOMONTH(DATE($B$3,1,1),0),NETWORKDAYS.INTL(DATE($B$3,1,8),DATE($B$3,1,8),1,'Non-working days'!$A$6:$A$45)=0),"",IF(COUNTIFS('Leave log'!$A$7:$A$306,Employees!$A$28,'Leave log'!$B$7:$B$306,"&lt;="&amp;DATE($B$3,1,8),'Leave log'!$C$7:$C$306,"&gt;="&amp;DATE($B$3,1,8),'Leave log'!$F$7:$F$306,"Pending")&gt;0,"P",""))))</f>
        <v/>
      </c>
      <c r="J29" s="23" t="str">
        <f>IF(A29="","",IF(IF(OR(DATE($B$3,1,9)&gt;EOMONTH(DATE($B$3,1,1),0),NETWORKDAYS.INTL(DATE($B$3,1,9),DATE($B$3,1,9),1,'Non-working days'!$A$6:$A$45)=0),"",IF(COUNTIFS('Leave log'!$A$7:$A$306,Employees!$A$28,'Leave log'!$B$7:$B$306,"&lt;="&amp;DATE($B$3,1,9),'Leave log'!$C$7:$C$306,"&gt;="&amp;DATE($B$3,1,9),'Leave log'!$F$7:$F$306,"Approved")&gt;0,"A",""))="A","A",IF(OR(DATE($B$3,1,9)&gt;EOMONTH(DATE($B$3,1,1),0),NETWORKDAYS.INTL(DATE($B$3,1,9),DATE($B$3,1,9),1,'Non-working days'!$A$6:$A$45)=0),"",IF(COUNTIFS('Leave log'!$A$7:$A$306,Employees!$A$28,'Leave log'!$B$7:$B$306,"&lt;="&amp;DATE($B$3,1,9),'Leave log'!$C$7:$C$306,"&gt;="&amp;DATE($B$3,1,9),'Leave log'!$F$7:$F$306,"Pending")&gt;0,"P",""))))</f>
        <v/>
      </c>
      <c r="K29" s="23" t="str">
        <f>IF(A29="","",IF(IF(OR(DATE($B$3,1,10)&gt;EOMONTH(DATE($B$3,1,1),0),NETWORKDAYS.INTL(DATE($B$3,1,10),DATE($B$3,1,10),1,'Non-working days'!$A$6:$A$45)=0),"",IF(COUNTIFS('Leave log'!$A$7:$A$306,Employees!$A$28,'Leave log'!$B$7:$B$306,"&lt;="&amp;DATE($B$3,1,10),'Leave log'!$C$7:$C$306,"&gt;="&amp;DATE($B$3,1,10),'Leave log'!$F$7:$F$306,"Approved")&gt;0,"A",""))="A","A",IF(OR(DATE($B$3,1,10)&gt;EOMONTH(DATE($B$3,1,1),0),NETWORKDAYS.INTL(DATE($B$3,1,10),DATE($B$3,1,10),1,'Non-working days'!$A$6:$A$45)=0),"",IF(COUNTIFS('Leave log'!$A$7:$A$306,Employees!$A$28,'Leave log'!$B$7:$B$306,"&lt;="&amp;DATE($B$3,1,10),'Leave log'!$C$7:$C$306,"&gt;="&amp;DATE($B$3,1,10),'Leave log'!$F$7:$F$306,"Pending")&gt;0,"P",""))))</f>
        <v/>
      </c>
      <c r="L29" s="23" t="str">
        <f>IF(A29="","",IF(IF(OR(DATE($B$3,1,11)&gt;EOMONTH(DATE($B$3,1,1),0),NETWORKDAYS.INTL(DATE($B$3,1,11),DATE($B$3,1,11),1,'Non-working days'!$A$6:$A$45)=0),"",IF(COUNTIFS('Leave log'!$A$7:$A$306,Employees!$A$28,'Leave log'!$B$7:$B$306,"&lt;="&amp;DATE($B$3,1,11),'Leave log'!$C$7:$C$306,"&gt;="&amp;DATE($B$3,1,11),'Leave log'!$F$7:$F$306,"Approved")&gt;0,"A",""))="A","A",IF(OR(DATE($B$3,1,11)&gt;EOMONTH(DATE($B$3,1,1),0),NETWORKDAYS.INTL(DATE($B$3,1,11),DATE($B$3,1,11),1,'Non-working days'!$A$6:$A$45)=0),"",IF(COUNTIFS('Leave log'!$A$7:$A$306,Employees!$A$28,'Leave log'!$B$7:$B$306,"&lt;="&amp;DATE($B$3,1,11),'Leave log'!$C$7:$C$306,"&gt;="&amp;DATE($B$3,1,11),'Leave log'!$F$7:$F$306,"Pending")&gt;0,"P",""))))</f>
        <v/>
      </c>
      <c r="M29" s="23" t="str">
        <f>IF(A29="","",IF(IF(OR(DATE($B$3,1,12)&gt;EOMONTH(DATE($B$3,1,1),0),NETWORKDAYS.INTL(DATE($B$3,1,12),DATE($B$3,1,12),1,'Non-working days'!$A$6:$A$45)=0),"",IF(COUNTIFS('Leave log'!$A$7:$A$306,Employees!$A$28,'Leave log'!$B$7:$B$306,"&lt;="&amp;DATE($B$3,1,12),'Leave log'!$C$7:$C$306,"&gt;="&amp;DATE($B$3,1,12),'Leave log'!$F$7:$F$306,"Approved")&gt;0,"A",""))="A","A",IF(OR(DATE($B$3,1,12)&gt;EOMONTH(DATE($B$3,1,1),0),NETWORKDAYS.INTL(DATE($B$3,1,12),DATE($B$3,1,12),1,'Non-working days'!$A$6:$A$45)=0),"",IF(COUNTIFS('Leave log'!$A$7:$A$306,Employees!$A$28,'Leave log'!$B$7:$B$306,"&lt;="&amp;DATE($B$3,1,12),'Leave log'!$C$7:$C$306,"&gt;="&amp;DATE($B$3,1,12),'Leave log'!$F$7:$F$306,"Pending")&gt;0,"P",""))))</f>
        <v/>
      </c>
      <c r="N29" s="23" t="str">
        <f>IF(A29="","",IF(IF(OR(DATE($B$3,1,13)&gt;EOMONTH(DATE($B$3,1,1),0),NETWORKDAYS.INTL(DATE($B$3,1,13),DATE($B$3,1,13),1,'Non-working days'!$A$6:$A$45)=0),"",IF(COUNTIFS('Leave log'!$A$7:$A$306,Employees!$A$28,'Leave log'!$B$7:$B$306,"&lt;="&amp;DATE($B$3,1,13),'Leave log'!$C$7:$C$306,"&gt;="&amp;DATE($B$3,1,13),'Leave log'!$F$7:$F$306,"Approved")&gt;0,"A",""))="A","A",IF(OR(DATE($B$3,1,13)&gt;EOMONTH(DATE($B$3,1,1),0),NETWORKDAYS.INTL(DATE($B$3,1,13),DATE($B$3,1,13),1,'Non-working days'!$A$6:$A$45)=0),"",IF(COUNTIFS('Leave log'!$A$7:$A$306,Employees!$A$28,'Leave log'!$B$7:$B$306,"&lt;="&amp;DATE($B$3,1,13),'Leave log'!$C$7:$C$306,"&gt;="&amp;DATE($B$3,1,13),'Leave log'!$F$7:$F$306,"Pending")&gt;0,"P",""))))</f>
        <v/>
      </c>
      <c r="O29" s="23" t="str">
        <f>IF(A29="","",IF(IF(OR(DATE($B$3,1,14)&gt;EOMONTH(DATE($B$3,1,1),0),NETWORKDAYS.INTL(DATE($B$3,1,14),DATE($B$3,1,14),1,'Non-working days'!$A$6:$A$45)=0),"",IF(COUNTIFS('Leave log'!$A$7:$A$306,Employees!$A$28,'Leave log'!$B$7:$B$306,"&lt;="&amp;DATE($B$3,1,14),'Leave log'!$C$7:$C$306,"&gt;="&amp;DATE($B$3,1,14),'Leave log'!$F$7:$F$306,"Approved")&gt;0,"A",""))="A","A",IF(OR(DATE($B$3,1,14)&gt;EOMONTH(DATE($B$3,1,1),0),NETWORKDAYS.INTL(DATE($B$3,1,14),DATE($B$3,1,14),1,'Non-working days'!$A$6:$A$45)=0),"",IF(COUNTIFS('Leave log'!$A$7:$A$306,Employees!$A$28,'Leave log'!$B$7:$B$306,"&lt;="&amp;DATE($B$3,1,14),'Leave log'!$C$7:$C$306,"&gt;="&amp;DATE($B$3,1,14),'Leave log'!$F$7:$F$306,"Pending")&gt;0,"P",""))))</f>
        <v/>
      </c>
      <c r="P29" s="23" t="str">
        <f>IF(A29="","",IF(IF(OR(DATE($B$3,1,15)&gt;EOMONTH(DATE($B$3,1,1),0),NETWORKDAYS.INTL(DATE($B$3,1,15),DATE($B$3,1,15),1,'Non-working days'!$A$6:$A$45)=0),"",IF(COUNTIFS('Leave log'!$A$7:$A$306,Employees!$A$28,'Leave log'!$B$7:$B$306,"&lt;="&amp;DATE($B$3,1,15),'Leave log'!$C$7:$C$306,"&gt;="&amp;DATE($B$3,1,15),'Leave log'!$F$7:$F$306,"Approved")&gt;0,"A",""))="A","A",IF(OR(DATE($B$3,1,15)&gt;EOMONTH(DATE($B$3,1,1),0),NETWORKDAYS.INTL(DATE($B$3,1,15),DATE($B$3,1,15),1,'Non-working days'!$A$6:$A$45)=0),"",IF(COUNTIFS('Leave log'!$A$7:$A$306,Employees!$A$28,'Leave log'!$B$7:$B$306,"&lt;="&amp;DATE($B$3,1,15),'Leave log'!$C$7:$C$306,"&gt;="&amp;DATE($B$3,1,15),'Leave log'!$F$7:$F$306,"Pending")&gt;0,"P",""))))</f>
        <v/>
      </c>
      <c r="Q29" s="23" t="str">
        <f>IF(A29="","",IF(IF(OR(DATE($B$3,1,16)&gt;EOMONTH(DATE($B$3,1,1),0),NETWORKDAYS.INTL(DATE($B$3,1,16),DATE($B$3,1,16),1,'Non-working days'!$A$6:$A$45)=0),"",IF(COUNTIFS('Leave log'!$A$7:$A$306,Employees!$A$28,'Leave log'!$B$7:$B$306,"&lt;="&amp;DATE($B$3,1,16),'Leave log'!$C$7:$C$306,"&gt;="&amp;DATE($B$3,1,16),'Leave log'!$F$7:$F$306,"Approved")&gt;0,"A",""))="A","A",IF(OR(DATE($B$3,1,16)&gt;EOMONTH(DATE($B$3,1,1),0),NETWORKDAYS.INTL(DATE($B$3,1,16),DATE($B$3,1,16),1,'Non-working days'!$A$6:$A$45)=0),"",IF(COUNTIFS('Leave log'!$A$7:$A$306,Employees!$A$28,'Leave log'!$B$7:$B$306,"&lt;="&amp;DATE($B$3,1,16),'Leave log'!$C$7:$C$306,"&gt;="&amp;DATE($B$3,1,16),'Leave log'!$F$7:$F$306,"Pending")&gt;0,"P",""))))</f>
        <v/>
      </c>
      <c r="R29" s="23" t="str">
        <f>IF(A29="","",IF(IF(OR(DATE($B$3,1,17)&gt;EOMONTH(DATE($B$3,1,1),0),NETWORKDAYS.INTL(DATE($B$3,1,17),DATE($B$3,1,17),1,'Non-working days'!$A$6:$A$45)=0),"",IF(COUNTIFS('Leave log'!$A$7:$A$306,Employees!$A$28,'Leave log'!$B$7:$B$306,"&lt;="&amp;DATE($B$3,1,17),'Leave log'!$C$7:$C$306,"&gt;="&amp;DATE($B$3,1,17),'Leave log'!$F$7:$F$306,"Approved")&gt;0,"A",""))="A","A",IF(OR(DATE($B$3,1,17)&gt;EOMONTH(DATE($B$3,1,1),0),NETWORKDAYS.INTL(DATE($B$3,1,17),DATE($B$3,1,17),1,'Non-working days'!$A$6:$A$45)=0),"",IF(COUNTIFS('Leave log'!$A$7:$A$306,Employees!$A$28,'Leave log'!$B$7:$B$306,"&lt;="&amp;DATE($B$3,1,17),'Leave log'!$C$7:$C$306,"&gt;="&amp;DATE($B$3,1,17),'Leave log'!$F$7:$F$306,"Pending")&gt;0,"P",""))))</f>
        <v/>
      </c>
      <c r="S29" s="23" t="str">
        <f>IF(A29="","",IF(IF(OR(DATE($B$3,1,18)&gt;EOMONTH(DATE($B$3,1,1),0),NETWORKDAYS.INTL(DATE($B$3,1,18),DATE($B$3,1,18),1,'Non-working days'!$A$6:$A$45)=0),"",IF(COUNTIFS('Leave log'!$A$7:$A$306,Employees!$A$28,'Leave log'!$B$7:$B$306,"&lt;="&amp;DATE($B$3,1,18),'Leave log'!$C$7:$C$306,"&gt;="&amp;DATE($B$3,1,18),'Leave log'!$F$7:$F$306,"Approved")&gt;0,"A",""))="A","A",IF(OR(DATE($B$3,1,18)&gt;EOMONTH(DATE($B$3,1,1),0),NETWORKDAYS.INTL(DATE($B$3,1,18),DATE($B$3,1,18),1,'Non-working days'!$A$6:$A$45)=0),"",IF(COUNTIFS('Leave log'!$A$7:$A$306,Employees!$A$28,'Leave log'!$B$7:$B$306,"&lt;="&amp;DATE($B$3,1,18),'Leave log'!$C$7:$C$306,"&gt;="&amp;DATE($B$3,1,18),'Leave log'!$F$7:$F$306,"Pending")&gt;0,"P",""))))</f>
        <v/>
      </c>
      <c r="T29" s="23" t="str">
        <f>IF(A29="","",IF(IF(OR(DATE($B$3,1,19)&gt;EOMONTH(DATE($B$3,1,1),0),NETWORKDAYS.INTL(DATE($B$3,1,19),DATE($B$3,1,19),1,'Non-working days'!$A$6:$A$45)=0),"",IF(COUNTIFS('Leave log'!$A$7:$A$306,Employees!$A$28,'Leave log'!$B$7:$B$306,"&lt;="&amp;DATE($B$3,1,19),'Leave log'!$C$7:$C$306,"&gt;="&amp;DATE($B$3,1,19),'Leave log'!$F$7:$F$306,"Approved")&gt;0,"A",""))="A","A",IF(OR(DATE($B$3,1,19)&gt;EOMONTH(DATE($B$3,1,1),0),NETWORKDAYS.INTL(DATE($B$3,1,19),DATE($B$3,1,19),1,'Non-working days'!$A$6:$A$45)=0),"",IF(COUNTIFS('Leave log'!$A$7:$A$306,Employees!$A$28,'Leave log'!$B$7:$B$306,"&lt;="&amp;DATE($B$3,1,19),'Leave log'!$C$7:$C$306,"&gt;="&amp;DATE($B$3,1,19),'Leave log'!$F$7:$F$306,"Pending")&gt;0,"P",""))))</f>
        <v/>
      </c>
      <c r="U29" s="23" t="str">
        <f>IF(A29="","",IF(IF(OR(DATE($B$3,1,20)&gt;EOMONTH(DATE($B$3,1,1),0),NETWORKDAYS.INTL(DATE($B$3,1,20),DATE($B$3,1,20),1,'Non-working days'!$A$6:$A$45)=0),"",IF(COUNTIFS('Leave log'!$A$7:$A$306,Employees!$A$28,'Leave log'!$B$7:$B$306,"&lt;="&amp;DATE($B$3,1,20),'Leave log'!$C$7:$C$306,"&gt;="&amp;DATE($B$3,1,20),'Leave log'!$F$7:$F$306,"Approved")&gt;0,"A",""))="A","A",IF(OR(DATE($B$3,1,20)&gt;EOMONTH(DATE($B$3,1,1),0),NETWORKDAYS.INTL(DATE($B$3,1,20),DATE($B$3,1,20),1,'Non-working days'!$A$6:$A$45)=0),"",IF(COUNTIFS('Leave log'!$A$7:$A$306,Employees!$A$28,'Leave log'!$B$7:$B$306,"&lt;="&amp;DATE($B$3,1,20),'Leave log'!$C$7:$C$306,"&gt;="&amp;DATE($B$3,1,20),'Leave log'!$F$7:$F$306,"Pending")&gt;0,"P",""))))</f>
        <v/>
      </c>
      <c r="V29" s="23" t="str">
        <f>IF(A29="","",IF(IF(OR(DATE($B$3,1,21)&gt;EOMONTH(DATE($B$3,1,1),0),NETWORKDAYS.INTL(DATE($B$3,1,21),DATE($B$3,1,21),1,'Non-working days'!$A$6:$A$45)=0),"",IF(COUNTIFS('Leave log'!$A$7:$A$306,Employees!$A$28,'Leave log'!$B$7:$B$306,"&lt;="&amp;DATE($B$3,1,21),'Leave log'!$C$7:$C$306,"&gt;="&amp;DATE($B$3,1,21),'Leave log'!$F$7:$F$306,"Approved")&gt;0,"A",""))="A","A",IF(OR(DATE($B$3,1,21)&gt;EOMONTH(DATE($B$3,1,1),0),NETWORKDAYS.INTL(DATE($B$3,1,21),DATE($B$3,1,21),1,'Non-working days'!$A$6:$A$45)=0),"",IF(COUNTIFS('Leave log'!$A$7:$A$306,Employees!$A$28,'Leave log'!$B$7:$B$306,"&lt;="&amp;DATE($B$3,1,21),'Leave log'!$C$7:$C$306,"&gt;="&amp;DATE($B$3,1,21),'Leave log'!$F$7:$F$306,"Pending")&gt;0,"P",""))))</f>
        <v/>
      </c>
      <c r="W29" s="23" t="str">
        <f>IF(A29="","",IF(IF(OR(DATE($B$3,1,22)&gt;EOMONTH(DATE($B$3,1,1),0),NETWORKDAYS.INTL(DATE($B$3,1,22),DATE($B$3,1,22),1,'Non-working days'!$A$6:$A$45)=0),"",IF(COUNTIFS('Leave log'!$A$7:$A$306,Employees!$A$28,'Leave log'!$B$7:$B$306,"&lt;="&amp;DATE($B$3,1,22),'Leave log'!$C$7:$C$306,"&gt;="&amp;DATE($B$3,1,22),'Leave log'!$F$7:$F$306,"Approved")&gt;0,"A",""))="A","A",IF(OR(DATE($B$3,1,22)&gt;EOMONTH(DATE($B$3,1,1),0),NETWORKDAYS.INTL(DATE($B$3,1,22),DATE($B$3,1,22),1,'Non-working days'!$A$6:$A$45)=0),"",IF(COUNTIFS('Leave log'!$A$7:$A$306,Employees!$A$28,'Leave log'!$B$7:$B$306,"&lt;="&amp;DATE($B$3,1,22),'Leave log'!$C$7:$C$306,"&gt;="&amp;DATE($B$3,1,22),'Leave log'!$F$7:$F$306,"Pending")&gt;0,"P",""))))</f>
        <v/>
      </c>
      <c r="X29" s="23" t="str">
        <f>IF(A29="","",IF(IF(OR(DATE($B$3,1,23)&gt;EOMONTH(DATE($B$3,1,1),0),NETWORKDAYS.INTL(DATE($B$3,1,23),DATE($B$3,1,23),1,'Non-working days'!$A$6:$A$45)=0),"",IF(COUNTIFS('Leave log'!$A$7:$A$306,Employees!$A$28,'Leave log'!$B$7:$B$306,"&lt;="&amp;DATE($B$3,1,23),'Leave log'!$C$7:$C$306,"&gt;="&amp;DATE($B$3,1,23),'Leave log'!$F$7:$F$306,"Approved")&gt;0,"A",""))="A","A",IF(OR(DATE($B$3,1,23)&gt;EOMONTH(DATE($B$3,1,1),0),NETWORKDAYS.INTL(DATE($B$3,1,23),DATE($B$3,1,23),1,'Non-working days'!$A$6:$A$45)=0),"",IF(COUNTIFS('Leave log'!$A$7:$A$306,Employees!$A$28,'Leave log'!$B$7:$B$306,"&lt;="&amp;DATE($B$3,1,23),'Leave log'!$C$7:$C$306,"&gt;="&amp;DATE($B$3,1,23),'Leave log'!$F$7:$F$306,"Pending")&gt;0,"P",""))))</f>
        <v/>
      </c>
      <c r="Y29" s="23" t="str">
        <f>IF(A29="","",IF(IF(OR(DATE($B$3,1,24)&gt;EOMONTH(DATE($B$3,1,1),0),NETWORKDAYS.INTL(DATE($B$3,1,24),DATE($B$3,1,24),1,'Non-working days'!$A$6:$A$45)=0),"",IF(COUNTIFS('Leave log'!$A$7:$A$306,Employees!$A$28,'Leave log'!$B$7:$B$306,"&lt;="&amp;DATE($B$3,1,24),'Leave log'!$C$7:$C$306,"&gt;="&amp;DATE($B$3,1,24),'Leave log'!$F$7:$F$306,"Approved")&gt;0,"A",""))="A","A",IF(OR(DATE($B$3,1,24)&gt;EOMONTH(DATE($B$3,1,1),0),NETWORKDAYS.INTL(DATE($B$3,1,24),DATE($B$3,1,24),1,'Non-working days'!$A$6:$A$45)=0),"",IF(COUNTIFS('Leave log'!$A$7:$A$306,Employees!$A$28,'Leave log'!$B$7:$B$306,"&lt;="&amp;DATE($B$3,1,24),'Leave log'!$C$7:$C$306,"&gt;="&amp;DATE($B$3,1,24),'Leave log'!$F$7:$F$306,"Pending")&gt;0,"P",""))))</f>
        <v/>
      </c>
      <c r="Z29" s="23" t="str">
        <f>IF(A29="","",IF(IF(OR(DATE($B$3,1,25)&gt;EOMONTH(DATE($B$3,1,1),0),NETWORKDAYS.INTL(DATE($B$3,1,25),DATE($B$3,1,25),1,'Non-working days'!$A$6:$A$45)=0),"",IF(COUNTIFS('Leave log'!$A$7:$A$306,Employees!$A$28,'Leave log'!$B$7:$B$306,"&lt;="&amp;DATE($B$3,1,25),'Leave log'!$C$7:$C$306,"&gt;="&amp;DATE($B$3,1,25),'Leave log'!$F$7:$F$306,"Approved")&gt;0,"A",""))="A","A",IF(OR(DATE($B$3,1,25)&gt;EOMONTH(DATE($B$3,1,1),0),NETWORKDAYS.INTL(DATE($B$3,1,25),DATE($B$3,1,25),1,'Non-working days'!$A$6:$A$45)=0),"",IF(COUNTIFS('Leave log'!$A$7:$A$306,Employees!$A$28,'Leave log'!$B$7:$B$306,"&lt;="&amp;DATE($B$3,1,25),'Leave log'!$C$7:$C$306,"&gt;="&amp;DATE($B$3,1,25),'Leave log'!$F$7:$F$306,"Pending")&gt;0,"P",""))))</f>
        <v/>
      </c>
      <c r="AA29" s="23" t="str">
        <f>IF(A29="","",IF(IF(OR(DATE($B$3,1,26)&gt;EOMONTH(DATE($B$3,1,1),0),NETWORKDAYS.INTL(DATE($B$3,1,26),DATE($B$3,1,26),1,'Non-working days'!$A$6:$A$45)=0),"",IF(COUNTIFS('Leave log'!$A$7:$A$306,Employees!$A$28,'Leave log'!$B$7:$B$306,"&lt;="&amp;DATE($B$3,1,26),'Leave log'!$C$7:$C$306,"&gt;="&amp;DATE($B$3,1,26),'Leave log'!$F$7:$F$306,"Approved")&gt;0,"A",""))="A","A",IF(OR(DATE($B$3,1,26)&gt;EOMONTH(DATE($B$3,1,1),0),NETWORKDAYS.INTL(DATE($B$3,1,26),DATE($B$3,1,26),1,'Non-working days'!$A$6:$A$45)=0),"",IF(COUNTIFS('Leave log'!$A$7:$A$306,Employees!$A$28,'Leave log'!$B$7:$B$306,"&lt;="&amp;DATE($B$3,1,26),'Leave log'!$C$7:$C$306,"&gt;="&amp;DATE($B$3,1,26),'Leave log'!$F$7:$F$306,"Pending")&gt;0,"P",""))))</f>
        <v/>
      </c>
      <c r="AB29" s="23" t="str">
        <f>IF(A29="","",IF(IF(OR(DATE($B$3,1,27)&gt;EOMONTH(DATE($B$3,1,1),0),NETWORKDAYS.INTL(DATE($B$3,1,27),DATE($B$3,1,27),1,'Non-working days'!$A$6:$A$45)=0),"",IF(COUNTIFS('Leave log'!$A$7:$A$306,Employees!$A$28,'Leave log'!$B$7:$B$306,"&lt;="&amp;DATE($B$3,1,27),'Leave log'!$C$7:$C$306,"&gt;="&amp;DATE($B$3,1,27),'Leave log'!$F$7:$F$306,"Approved")&gt;0,"A",""))="A","A",IF(OR(DATE($B$3,1,27)&gt;EOMONTH(DATE($B$3,1,1),0),NETWORKDAYS.INTL(DATE($B$3,1,27),DATE($B$3,1,27),1,'Non-working days'!$A$6:$A$45)=0),"",IF(COUNTIFS('Leave log'!$A$7:$A$306,Employees!$A$28,'Leave log'!$B$7:$B$306,"&lt;="&amp;DATE($B$3,1,27),'Leave log'!$C$7:$C$306,"&gt;="&amp;DATE($B$3,1,27),'Leave log'!$F$7:$F$306,"Pending")&gt;0,"P",""))))</f>
        <v/>
      </c>
      <c r="AC29" s="23" t="str">
        <f>IF(A29="","",IF(IF(OR(DATE($B$3,1,28)&gt;EOMONTH(DATE($B$3,1,1),0),NETWORKDAYS.INTL(DATE($B$3,1,28),DATE($B$3,1,28),1,'Non-working days'!$A$6:$A$45)=0),"",IF(COUNTIFS('Leave log'!$A$7:$A$306,Employees!$A$28,'Leave log'!$B$7:$B$306,"&lt;="&amp;DATE($B$3,1,28),'Leave log'!$C$7:$C$306,"&gt;="&amp;DATE($B$3,1,28),'Leave log'!$F$7:$F$306,"Approved")&gt;0,"A",""))="A","A",IF(OR(DATE($B$3,1,28)&gt;EOMONTH(DATE($B$3,1,1),0),NETWORKDAYS.INTL(DATE($B$3,1,28),DATE($B$3,1,28),1,'Non-working days'!$A$6:$A$45)=0),"",IF(COUNTIFS('Leave log'!$A$7:$A$306,Employees!$A$28,'Leave log'!$B$7:$B$306,"&lt;="&amp;DATE($B$3,1,28),'Leave log'!$C$7:$C$306,"&gt;="&amp;DATE($B$3,1,28),'Leave log'!$F$7:$F$306,"Pending")&gt;0,"P",""))))</f>
        <v/>
      </c>
      <c r="AD29" s="23" t="str">
        <f>IF(A29="","",IF(IF(OR(DATE($B$3,1,29)&gt;EOMONTH(DATE($B$3,1,1),0),NETWORKDAYS.INTL(DATE($B$3,1,29),DATE($B$3,1,29),1,'Non-working days'!$A$6:$A$45)=0),"",IF(COUNTIFS('Leave log'!$A$7:$A$306,Employees!$A$28,'Leave log'!$B$7:$B$306,"&lt;="&amp;DATE($B$3,1,29),'Leave log'!$C$7:$C$306,"&gt;="&amp;DATE($B$3,1,29),'Leave log'!$F$7:$F$306,"Approved")&gt;0,"A",""))="A","A",IF(OR(DATE($B$3,1,29)&gt;EOMONTH(DATE($B$3,1,1),0),NETWORKDAYS.INTL(DATE($B$3,1,29),DATE($B$3,1,29),1,'Non-working days'!$A$6:$A$45)=0),"",IF(COUNTIFS('Leave log'!$A$7:$A$306,Employees!$A$28,'Leave log'!$B$7:$B$306,"&lt;="&amp;DATE($B$3,1,29),'Leave log'!$C$7:$C$306,"&gt;="&amp;DATE($B$3,1,29),'Leave log'!$F$7:$F$306,"Pending")&gt;0,"P",""))))</f>
        <v/>
      </c>
      <c r="AE29" s="23" t="str">
        <f>IF(A29="","",IF(IF(OR(DATE($B$3,1,30)&gt;EOMONTH(DATE($B$3,1,1),0),NETWORKDAYS.INTL(DATE($B$3,1,30),DATE($B$3,1,30),1,'Non-working days'!$A$6:$A$45)=0),"",IF(COUNTIFS('Leave log'!$A$7:$A$306,Employees!$A$28,'Leave log'!$B$7:$B$306,"&lt;="&amp;DATE($B$3,1,30),'Leave log'!$C$7:$C$306,"&gt;="&amp;DATE($B$3,1,30),'Leave log'!$F$7:$F$306,"Approved")&gt;0,"A",""))="A","A",IF(OR(DATE($B$3,1,30)&gt;EOMONTH(DATE($B$3,1,1),0),NETWORKDAYS.INTL(DATE($B$3,1,30),DATE($B$3,1,30),1,'Non-working days'!$A$6:$A$45)=0),"",IF(COUNTIFS('Leave log'!$A$7:$A$306,Employees!$A$28,'Leave log'!$B$7:$B$306,"&lt;="&amp;DATE($B$3,1,30),'Leave log'!$C$7:$C$306,"&gt;="&amp;DATE($B$3,1,30),'Leave log'!$F$7:$F$306,"Pending")&gt;0,"P",""))))</f>
        <v/>
      </c>
      <c r="AF29" s="23" t="str">
        <f>IF(A29="","",IF(IF(OR(DATE($B$3,1,31)&gt;EOMONTH(DATE($B$3,1,1),0),NETWORKDAYS.INTL(DATE($B$3,1,31),DATE($B$3,1,31),1,'Non-working days'!$A$6:$A$45)=0),"",IF(COUNTIFS('Leave log'!$A$7:$A$306,Employees!$A$28,'Leave log'!$B$7:$B$306,"&lt;="&amp;DATE($B$3,1,31),'Leave log'!$C$7:$C$306,"&gt;="&amp;DATE($B$3,1,31),'Leave log'!$F$7:$F$306,"Approved")&gt;0,"A",""))="A","A",IF(OR(DATE($B$3,1,31)&gt;EOMONTH(DATE($B$3,1,1),0),NETWORKDAYS.INTL(DATE($B$3,1,31),DATE($B$3,1,31),1,'Non-working days'!$A$6:$A$45)=0),"",IF(COUNTIFS('Leave log'!$A$7:$A$306,Employees!$A$28,'Leave log'!$B$7:$B$306,"&lt;="&amp;DATE($B$3,1,31),'Leave log'!$C$7:$C$306,"&gt;="&amp;DATE($B$3,1,31),'Leave log'!$F$7:$F$306,"Pending")&gt;0,"P",""))))</f>
        <v/>
      </c>
    </row>
    <row r="30" spans="1:32" ht="18" customHeight="1" x14ac:dyDescent="0.3">
      <c r="A30" s="22" t="str">
        <f>IF(Employees!F29="Yes",Employees!B29,"")</f>
        <v/>
      </c>
      <c r="B30" s="23" t="str">
        <f>IF(A30="","",IF(IF(OR(DATE($B$3,1,1)&gt;EOMONTH(DATE($B$3,1,1),0),NETWORKDAYS.INTL(DATE($B$3,1,1),DATE($B$3,1,1),1,'Non-working days'!$A$6:$A$45)=0),"",IF(COUNTIFS('Leave log'!$A$7:$A$306,Employees!$A$29,'Leave log'!$B$7:$B$306,"&lt;="&amp;DATE($B$3,1,1),'Leave log'!$C$7:$C$306,"&gt;="&amp;DATE($B$3,1,1),'Leave log'!$F$7:$F$306,"Approved")&gt;0,"A",""))="A","A",IF(OR(DATE($B$3,1,1)&gt;EOMONTH(DATE($B$3,1,1),0),NETWORKDAYS.INTL(DATE($B$3,1,1),DATE($B$3,1,1),1,'Non-working days'!$A$6:$A$45)=0),"",IF(COUNTIFS('Leave log'!$A$7:$A$306,Employees!$A$29,'Leave log'!$B$7:$B$306,"&lt;="&amp;DATE($B$3,1,1),'Leave log'!$C$7:$C$306,"&gt;="&amp;DATE($B$3,1,1),'Leave log'!$F$7:$F$306,"Pending")&gt;0,"P",""))))</f>
        <v/>
      </c>
      <c r="C30" s="23" t="str">
        <f>IF(A30="","",IF(IF(OR(DATE($B$3,1,2)&gt;EOMONTH(DATE($B$3,1,1),0),NETWORKDAYS.INTL(DATE($B$3,1,2),DATE($B$3,1,2),1,'Non-working days'!$A$6:$A$45)=0),"",IF(COUNTIFS('Leave log'!$A$7:$A$306,Employees!$A$29,'Leave log'!$B$7:$B$306,"&lt;="&amp;DATE($B$3,1,2),'Leave log'!$C$7:$C$306,"&gt;="&amp;DATE($B$3,1,2),'Leave log'!$F$7:$F$306,"Approved")&gt;0,"A",""))="A","A",IF(OR(DATE($B$3,1,2)&gt;EOMONTH(DATE($B$3,1,1),0),NETWORKDAYS.INTL(DATE($B$3,1,2),DATE($B$3,1,2),1,'Non-working days'!$A$6:$A$45)=0),"",IF(COUNTIFS('Leave log'!$A$7:$A$306,Employees!$A$29,'Leave log'!$B$7:$B$306,"&lt;="&amp;DATE($B$3,1,2),'Leave log'!$C$7:$C$306,"&gt;="&amp;DATE($B$3,1,2),'Leave log'!$F$7:$F$306,"Pending")&gt;0,"P",""))))</f>
        <v/>
      </c>
      <c r="D30" s="23" t="str">
        <f>IF(A30="","",IF(IF(OR(DATE($B$3,1,3)&gt;EOMONTH(DATE($B$3,1,1),0),NETWORKDAYS.INTL(DATE($B$3,1,3),DATE($B$3,1,3),1,'Non-working days'!$A$6:$A$45)=0),"",IF(COUNTIFS('Leave log'!$A$7:$A$306,Employees!$A$29,'Leave log'!$B$7:$B$306,"&lt;="&amp;DATE($B$3,1,3),'Leave log'!$C$7:$C$306,"&gt;="&amp;DATE($B$3,1,3),'Leave log'!$F$7:$F$306,"Approved")&gt;0,"A",""))="A","A",IF(OR(DATE($B$3,1,3)&gt;EOMONTH(DATE($B$3,1,1),0),NETWORKDAYS.INTL(DATE($B$3,1,3),DATE($B$3,1,3),1,'Non-working days'!$A$6:$A$45)=0),"",IF(COUNTIFS('Leave log'!$A$7:$A$306,Employees!$A$29,'Leave log'!$B$7:$B$306,"&lt;="&amp;DATE($B$3,1,3),'Leave log'!$C$7:$C$306,"&gt;="&amp;DATE($B$3,1,3),'Leave log'!$F$7:$F$306,"Pending")&gt;0,"P",""))))</f>
        <v/>
      </c>
      <c r="E30" s="23" t="str">
        <f>IF(A30="","",IF(IF(OR(DATE($B$3,1,4)&gt;EOMONTH(DATE($B$3,1,1),0),NETWORKDAYS.INTL(DATE($B$3,1,4),DATE($B$3,1,4),1,'Non-working days'!$A$6:$A$45)=0),"",IF(COUNTIFS('Leave log'!$A$7:$A$306,Employees!$A$29,'Leave log'!$B$7:$B$306,"&lt;="&amp;DATE($B$3,1,4),'Leave log'!$C$7:$C$306,"&gt;="&amp;DATE($B$3,1,4),'Leave log'!$F$7:$F$306,"Approved")&gt;0,"A",""))="A","A",IF(OR(DATE($B$3,1,4)&gt;EOMONTH(DATE($B$3,1,1),0),NETWORKDAYS.INTL(DATE($B$3,1,4),DATE($B$3,1,4),1,'Non-working days'!$A$6:$A$45)=0),"",IF(COUNTIFS('Leave log'!$A$7:$A$306,Employees!$A$29,'Leave log'!$B$7:$B$306,"&lt;="&amp;DATE($B$3,1,4),'Leave log'!$C$7:$C$306,"&gt;="&amp;DATE($B$3,1,4),'Leave log'!$F$7:$F$306,"Pending")&gt;0,"P",""))))</f>
        <v/>
      </c>
      <c r="F30" s="23" t="str">
        <f>IF(A30="","",IF(IF(OR(DATE($B$3,1,5)&gt;EOMONTH(DATE($B$3,1,1),0),NETWORKDAYS.INTL(DATE($B$3,1,5),DATE($B$3,1,5),1,'Non-working days'!$A$6:$A$45)=0),"",IF(COUNTIFS('Leave log'!$A$7:$A$306,Employees!$A$29,'Leave log'!$B$7:$B$306,"&lt;="&amp;DATE($B$3,1,5),'Leave log'!$C$7:$C$306,"&gt;="&amp;DATE($B$3,1,5),'Leave log'!$F$7:$F$306,"Approved")&gt;0,"A",""))="A","A",IF(OR(DATE($B$3,1,5)&gt;EOMONTH(DATE($B$3,1,1),0),NETWORKDAYS.INTL(DATE($B$3,1,5),DATE($B$3,1,5),1,'Non-working days'!$A$6:$A$45)=0),"",IF(COUNTIFS('Leave log'!$A$7:$A$306,Employees!$A$29,'Leave log'!$B$7:$B$306,"&lt;="&amp;DATE($B$3,1,5),'Leave log'!$C$7:$C$306,"&gt;="&amp;DATE($B$3,1,5),'Leave log'!$F$7:$F$306,"Pending")&gt;0,"P",""))))</f>
        <v/>
      </c>
      <c r="G30" s="23" t="str">
        <f>IF(A30="","",IF(IF(OR(DATE($B$3,1,6)&gt;EOMONTH(DATE($B$3,1,1),0),NETWORKDAYS.INTL(DATE($B$3,1,6),DATE($B$3,1,6),1,'Non-working days'!$A$6:$A$45)=0),"",IF(COUNTIFS('Leave log'!$A$7:$A$306,Employees!$A$29,'Leave log'!$B$7:$B$306,"&lt;="&amp;DATE($B$3,1,6),'Leave log'!$C$7:$C$306,"&gt;="&amp;DATE($B$3,1,6),'Leave log'!$F$7:$F$306,"Approved")&gt;0,"A",""))="A","A",IF(OR(DATE($B$3,1,6)&gt;EOMONTH(DATE($B$3,1,1),0),NETWORKDAYS.INTL(DATE($B$3,1,6),DATE($B$3,1,6),1,'Non-working days'!$A$6:$A$45)=0),"",IF(COUNTIFS('Leave log'!$A$7:$A$306,Employees!$A$29,'Leave log'!$B$7:$B$306,"&lt;="&amp;DATE($B$3,1,6),'Leave log'!$C$7:$C$306,"&gt;="&amp;DATE($B$3,1,6),'Leave log'!$F$7:$F$306,"Pending")&gt;0,"P",""))))</f>
        <v/>
      </c>
      <c r="H30" s="23" t="str">
        <f>IF(A30="","",IF(IF(OR(DATE($B$3,1,7)&gt;EOMONTH(DATE($B$3,1,1),0),NETWORKDAYS.INTL(DATE($B$3,1,7),DATE($B$3,1,7),1,'Non-working days'!$A$6:$A$45)=0),"",IF(COUNTIFS('Leave log'!$A$7:$A$306,Employees!$A$29,'Leave log'!$B$7:$B$306,"&lt;="&amp;DATE($B$3,1,7),'Leave log'!$C$7:$C$306,"&gt;="&amp;DATE($B$3,1,7),'Leave log'!$F$7:$F$306,"Approved")&gt;0,"A",""))="A","A",IF(OR(DATE($B$3,1,7)&gt;EOMONTH(DATE($B$3,1,1),0),NETWORKDAYS.INTL(DATE($B$3,1,7),DATE($B$3,1,7),1,'Non-working days'!$A$6:$A$45)=0),"",IF(COUNTIFS('Leave log'!$A$7:$A$306,Employees!$A$29,'Leave log'!$B$7:$B$306,"&lt;="&amp;DATE($B$3,1,7),'Leave log'!$C$7:$C$306,"&gt;="&amp;DATE($B$3,1,7),'Leave log'!$F$7:$F$306,"Pending")&gt;0,"P",""))))</f>
        <v/>
      </c>
      <c r="I30" s="23" t="str">
        <f>IF(A30="","",IF(IF(OR(DATE($B$3,1,8)&gt;EOMONTH(DATE($B$3,1,1),0),NETWORKDAYS.INTL(DATE($B$3,1,8),DATE($B$3,1,8),1,'Non-working days'!$A$6:$A$45)=0),"",IF(COUNTIFS('Leave log'!$A$7:$A$306,Employees!$A$29,'Leave log'!$B$7:$B$306,"&lt;="&amp;DATE($B$3,1,8),'Leave log'!$C$7:$C$306,"&gt;="&amp;DATE($B$3,1,8),'Leave log'!$F$7:$F$306,"Approved")&gt;0,"A",""))="A","A",IF(OR(DATE($B$3,1,8)&gt;EOMONTH(DATE($B$3,1,1),0),NETWORKDAYS.INTL(DATE($B$3,1,8),DATE($B$3,1,8),1,'Non-working days'!$A$6:$A$45)=0),"",IF(COUNTIFS('Leave log'!$A$7:$A$306,Employees!$A$29,'Leave log'!$B$7:$B$306,"&lt;="&amp;DATE($B$3,1,8),'Leave log'!$C$7:$C$306,"&gt;="&amp;DATE($B$3,1,8),'Leave log'!$F$7:$F$306,"Pending")&gt;0,"P",""))))</f>
        <v/>
      </c>
      <c r="J30" s="23" t="str">
        <f>IF(A30="","",IF(IF(OR(DATE($B$3,1,9)&gt;EOMONTH(DATE($B$3,1,1),0),NETWORKDAYS.INTL(DATE($B$3,1,9),DATE($B$3,1,9),1,'Non-working days'!$A$6:$A$45)=0),"",IF(COUNTIFS('Leave log'!$A$7:$A$306,Employees!$A$29,'Leave log'!$B$7:$B$306,"&lt;="&amp;DATE($B$3,1,9),'Leave log'!$C$7:$C$306,"&gt;="&amp;DATE($B$3,1,9),'Leave log'!$F$7:$F$306,"Approved")&gt;0,"A",""))="A","A",IF(OR(DATE($B$3,1,9)&gt;EOMONTH(DATE($B$3,1,1),0),NETWORKDAYS.INTL(DATE($B$3,1,9),DATE($B$3,1,9),1,'Non-working days'!$A$6:$A$45)=0),"",IF(COUNTIFS('Leave log'!$A$7:$A$306,Employees!$A$29,'Leave log'!$B$7:$B$306,"&lt;="&amp;DATE($B$3,1,9),'Leave log'!$C$7:$C$306,"&gt;="&amp;DATE($B$3,1,9),'Leave log'!$F$7:$F$306,"Pending")&gt;0,"P",""))))</f>
        <v/>
      </c>
      <c r="K30" s="23" t="str">
        <f>IF(A30="","",IF(IF(OR(DATE($B$3,1,10)&gt;EOMONTH(DATE($B$3,1,1),0),NETWORKDAYS.INTL(DATE($B$3,1,10),DATE($B$3,1,10),1,'Non-working days'!$A$6:$A$45)=0),"",IF(COUNTIFS('Leave log'!$A$7:$A$306,Employees!$A$29,'Leave log'!$B$7:$B$306,"&lt;="&amp;DATE($B$3,1,10),'Leave log'!$C$7:$C$306,"&gt;="&amp;DATE($B$3,1,10),'Leave log'!$F$7:$F$306,"Approved")&gt;0,"A",""))="A","A",IF(OR(DATE($B$3,1,10)&gt;EOMONTH(DATE($B$3,1,1),0),NETWORKDAYS.INTL(DATE($B$3,1,10),DATE($B$3,1,10),1,'Non-working days'!$A$6:$A$45)=0),"",IF(COUNTIFS('Leave log'!$A$7:$A$306,Employees!$A$29,'Leave log'!$B$7:$B$306,"&lt;="&amp;DATE($B$3,1,10),'Leave log'!$C$7:$C$306,"&gt;="&amp;DATE($B$3,1,10),'Leave log'!$F$7:$F$306,"Pending")&gt;0,"P",""))))</f>
        <v/>
      </c>
      <c r="L30" s="23" t="str">
        <f>IF(A30="","",IF(IF(OR(DATE($B$3,1,11)&gt;EOMONTH(DATE($B$3,1,1),0),NETWORKDAYS.INTL(DATE($B$3,1,11),DATE($B$3,1,11),1,'Non-working days'!$A$6:$A$45)=0),"",IF(COUNTIFS('Leave log'!$A$7:$A$306,Employees!$A$29,'Leave log'!$B$7:$B$306,"&lt;="&amp;DATE($B$3,1,11),'Leave log'!$C$7:$C$306,"&gt;="&amp;DATE($B$3,1,11),'Leave log'!$F$7:$F$306,"Approved")&gt;0,"A",""))="A","A",IF(OR(DATE($B$3,1,11)&gt;EOMONTH(DATE($B$3,1,1),0),NETWORKDAYS.INTL(DATE($B$3,1,11),DATE($B$3,1,11),1,'Non-working days'!$A$6:$A$45)=0),"",IF(COUNTIFS('Leave log'!$A$7:$A$306,Employees!$A$29,'Leave log'!$B$7:$B$306,"&lt;="&amp;DATE($B$3,1,11),'Leave log'!$C$7:$C$306,"&gt;="&amp;DATE($B$3,1,11),'Leave log'!$F$7:$F$306,"Pending")&gt;0,"P",""))))</f>
        <v/>
      </c>
      <c r="M30" s="23" t="str">
        <f>IF(A30="","",IF(IF(OR(DATE($B$3,1,12)&gt;EOMONTH(DATE($B$3,1,1),0),NETWORKDAYS.INTL(DATE($B$3,1,12),DATE($B$3,1,12),1,'Non-working days'!$A$6:$A$45)=0),"",IF(COUNTIFS('Leave log'!$A$7:$A$306,Employees!$A$29,'Leave log'!$B$7:$B$306,"&lt;="&amp;DATE($B$3,1,12),'Leave log'!$C$7:$C$306,"&gt;="&amp;DATE($B$3,1,12),'Leave log'!$F$7:$F$306,"Approved")&gt;0,"A",""))="A","A",IF(OR(DATE($B$3,1,12)&gt;EOMONTH(DATE($B$3,1,1),0),NETWORKDAYS.INTL(DATE($B$3,1,12),DATE($B$3,1,12),1,'Non-working days'!$A$6:$A$45)=0),"",IF(COUNTIFS('Leave log'!$A$7:$A$306,Employees!$A$29,'Leave log'!$B$7:$B$306,"&lt;="&amp;DATE($B$3,1,12),'Leave log'!$C$7:$C$306,"&gt;="&amp;DATE($B$3,1,12),'Leave log'!$F$7:$F$306,"Pending")&gt;0,"P",""))))</f>
        <v/>
      </c>
      <c r="N30" s="23" t="str">
        <f>IF(A30="","",IF(IF(OR(DATE($B$3,1,13)&gt;EOMONTH(DATE($B$3,1,1),0),NETWORKDAYS.INTL(DATE($B$3,1,13),DATE($B$3,1,13),1,'Non-working days'!$A$6:$A$45)=0),"",IF(COUNTIFS('Leave log'!$A$7:$A$306,Employees!$A$29,'Leave log'!$B$7:$B$306,"&lt;="&amp;DATE($B$3,1,13),'Leave log'!$C$7:$C$306,"&gt;="&amp;DATE($B$3,1,13),'Leave log'!$F$7:$F$306,"Approved")&gt;0,"A",""))="A","A",IF(OR(DATE($B$3,1,13)&gt;EOMONTH(DATE($B$3,1,1),0),NETWORKDAYS.INTL(DATE($B$3,1,13),DATE($B$3,1,13),1,'Non-working days'!$A$6:$A$45)=0),"",IF(COUNTIFS('Leave log'!$A$7:$A$306,Employees!$A$29,'Leave log'!$B$7:$B$306,"&lt;="&amp;DATE($B$3,1,13),'Leave log'!$C$7:$C$306,"&gt;="&amp;DATE($B$3,1,13),'Leave log'!$F$7:$F$306,"Pending")&gt;0,"P",""))))</f>
        <v/>
      </c>
      <c r="O30" s="23" t="str">
        <f>IF(A30="","",IF(IF(OR(DATE($B$3,1,14)&gt;EOMONTH(DATE($B$3,1,1),0),NETWORKDAYS.INTL(DATE($B$3,1,14),DATE($B$3,1,14),1,'Non-working days'!$A$6:$A$45)=0),"",IF(COUNTIFS('Leave log'!$A$7:$A$306,Employees!$A$29,'Leave log'!$B$7:$B$306,"&lt;="&amp;DATE($B$3,1,14),'Leave log'!$C$7:$C$306,"&gt;="&amp;DATE($B$3,1,14),'Leave log'!$F$7:$F$306,"Approved")&gt;0,"A",""))="A","A",IF(OR(DATE($B$3,1,14)&gt;EOMONTH(DATE($B$3,1,1),0),NETWORKDAYS.INTL(DATE($B$3,1,14),DATE($B$3,1,14),1,'Non-working days'!$A$6:$A$45)=0),"",IF(COUNTIFS('Leave log'!$A$7:$A$306,Employees!$A$29,'Leave log'!$B$7:$B$306,"&lt;="&amp;DATE($B$3,1,14),'Leave log'!$C$7:$C$306,"&gt;="&amp;DATE($B$3,1,14),'Leave log'!$F$7:$F$306,"Pending")&gt;0,"P",""))))</f>
        <v/>
      </c>
      <c r="P30" s="23" t="str">
        <f>IF(A30="","",IF(IF(OR(DATE($B$3,1,15)&gt;EOMONTH(DATE($B$3,1,1),0),NETWORKDAYS.INTL(DATE($B$3,1,15),DATE($B$3,1,15),1,'Non-working days'!$A$6:$A$45)=0),"",IF(COUNTIFS('Leave log'!$A$7:$A$306,Employees!$A$29,'Leave log'!$B$7:$B$306,"&lt;="&amp;DATE($B$3,1,15),'Leave log'!$C$7:$C$306,"&gt;="&amp;DATE($B$3,1,15),'Leave log'!$F$7:$F$306,"Approved")&gt;0,"A",""))="A","A",IF(OR(DATE($B$3,1,15)&gt;EOMONTH(DATE($B$3,1,1),0),NETWORKDAYS.INTL(DATE($B$3,1,15),DATE($B$3,1,15),1,'Non-working days'!$A$6:$A$45)=0),"",IF(COUNTIFS('Leave log'!$A$7:$A$306,Employees!$A$29,'Leave log'!$B$7:$B$306,"&lt;="&amp;DATE($B$3,1,15),'Leave log'!$C$7:$C$306,"&gt;="&amp;DATE($B$3,1,15),'Leave log'!$F$7:$F$306,"Pending")&gt;0,"P",""))))</f>
        <v/>
      </c>
      <c r="Q30" s="23" t="str">
        <f>IF(A30="","",IF(IF(OR(DATE($B$3,1,16)&gt;EOMONTH(DATE($B$3,1,1),0),NETWORKDAYS.INTL(DATE($B$3,1,16),DATE($B$3,1,16),1,'Non-working days'!$A$6:$A$45)=0),"",IF(COUNTIFS('Leave log'!$A$7:$A$306,Employees!$A$29,'Leave log'!$B$7:$B$306,"&lt;="&amp;DATE($B$3,1,16),'Leave log'!$C$7:$C$306,"&gt;="&amp;DATE($B$3,1,16),'Leave log'!$F$7:$F$306,"Approved")&gt;0,"A",""))="A","A",IF(OR(DATE($B$3,1,16)&gt;EOMONTH(DATE($B$3,1,1),0),NETWORKDAYS.INTL(DATE($B$3,1,16),DATE($B$3,1,16),1,'Non-working days'!$A$6:$A$45)=0),"",IF(COUNTIFS('Leave log'!$A$7:$A$306,Employees!$A$29,'Leave log'!$B$7:$B$306,"&lt;="&amp;DATE($B$3,1,16),'Leave log'!$C$7:$C$306,"&gt;="&amp;DATE($B$3,1,16),'Leave log'!$F$7:$F$306,"Pending")&gt;0,"P",""))))</f>
        <v/>
      </c>
      <c r="R30" s="23" t="str">
        <f>IF(A30="","",IF(IF(OR(DATE($B$3,1,17)&gt;EOMONTH(DATE($B$3,1,1),0),NETWORKDAYS.INTL(DATE($B$3,1,17),DATE($B$3,1,17),1,'Non-working days'!$A$6:$A$45)=0),"",IF(COUNTIFS('Leave log'!$A$7:$A$306,Employees!$A$29,'Leave log'!$B$7:$B$306,"&lt;="&amp;DATE($B$3,1,17),'Leave log'!$C$7:$C$306,"&gt;="&amp;DATE($B$3,1,17),'Leave log'!$F$7:$F$306,"Approved")&gt;0,"A",""))="A","A",IF(OR(DATE($B$3,1,17)&gt;EOMONTH(DATE($B$3,1,1),0),NETWORKDAYS.INTL(DATE($B$3,1,17),DATE($B$3,1,17),1,'Non-working days'!$A$6:$A$45)=0),"",IF(COUNTIFS('Leave log'!$A$7:$A$306,Employees!$A$29,'Leave log'!$B$7:$B$306,"&lt;="&amp;DATE($B$3,1,17),'Leave log'!$C$7:$C$306,"&gt;="&amp;DATE($B$3,1,17),'Leave log'!$F$7:$F$306,"Pending")&gt;0,"P",""))))</f>
        <v/>
      </c>
      <c r="S30" s="23" t="str">
        <f>IF(A30="","",IF(IF(OR(DATE($B$3,1,18)&gt;EOMONTH(DATE($B$3,1,1),0),NETWORKDAYS.INTL(DATE($B$3,1,18),DATE($B$3,1,18),1,'Non-working days'!$A$6:$A$45)=0),"",IF(COUNTIFS('Leave log'!$A$7:$A$306,Employees!$A$29,'Leave log'!$B$7:$B$306,"&lt;="&amp;DATE($B$3,1,18),'Leave log'!$C$7:$C$306,"&gt;="&amp;DATE($B$3,1,18),'Leave log'!$F$7:$F$306,"Approved")&gt;0,"A",""))="A","A",IF(OR(DATE($B$3,1,18)&gt;EOMONTH(DATE($B$3,1,1),0),NETWORKDAYS.INTL(DATE($B$3,1,18),DATE($B$3,1,18),1,'Non-working days'!$A$6:$A$45)=0),"",IF(COUNTIFS('Leave log'!$A$7:$A$306,Employees!$A$29,'Leave log'!$B$7:$B$306,"&lt;="&amp;DATE($B$3,1,18),'Leave log'!$C$7:$C$306,"&gt;="&amp;DATE($B$3,1,18),'Leave log'!$F$7:$F$306,"Pending")&gt;0,"P",""))))</f>
        <v/>
      </c>
      <c r="T30" s="23" t="str">
        <f>IF(A30="","",IF(IF(OR(DATE($B$3,1,19)&gt;EOMONTH(DATE($B$3,1,1),0),NETWORKDAYS.INTL(DATE($B$3,1,19),DATE($B$3,1,19),1,'Non-working days'!$A$6:$A$45)=0),"",IF(COUNTIFS('Leave log'!$A$7:$A$306,Employees!$A$29,'Leave log'!$B$7:$B$306,"&lt;="&amp;DATE($B$3,1,19),'Leave log'!$C$7:$C$306,"&gt;="&amp;DATE($B$3,1,19),'Leave log'!$F$7:$F$306,"Approved")&gt;0,"A",""))="A","A",IF(OR(DATE($B$3,1,19)&gt;EOMONTH(DATE($B$3,1,1),0),NETWORKDAYS.INTL(DATE($B$3,1,19),DATE($B$3,1,19),1,'Non-working days'!$A$6:$A$45)=0),"",IF(COUNTIFS('Leave log'!$A$7:$A$306,Employees!$A$29,'Leave log'!$B$7:$B$306,"&lt;="&amp;DATE($B$3,1,19),'Leave log'!$C$7:$C$306,"&gt;="&amp;DATE($B$3,1,19),'Leave log'!$F$7:$F$306,"Pending")&gt;0,"P",""))))</f>
        <v/>
      </c>
      <c r="U30" s="23" t="str">
        <f>IF(A30="","",IF(IF(OR(DATE($B$3,1,20)&gt;EOMONTH(DATE($B$3,1,1),0),NETWORKDAYS.INTL(DATE($B$3,1,20),DATE($B$3,1,20),1,'Non-working days'!$A$6:$A$45)=0),"",IF(COUNTIFS('Leave log'!$A$7:$A$306,Employees!$A$29,'Leave log'!$B$7:$B$306,"&lt;="&amp;DATE($B$3,1,20),'Leave log'!$C$7:$C$306,"&gt;="&amp;DATE($B$3,1,20),'Leave log'!$F$7:$F$306,"Approved")&gt;0,"A",""))="A","A",IF(OR(DATE($B$3,1,20)&gt;EOMONTH(DATE($B$3,1,1),0),NETWORKDAYS.INTL(DATE($B$3,1,20),DATE($B$3,1,20),1,'Non-working days'!$A$6:$A$45)=0),"",IF(COUNTIFS('Leave log'!$A$7:$A$306,Employees!$A$29,'Leave log'!$B$7:$B$306,"&lt;="&amp;DATE($B$3,1,20),'Leave log'!$C$7:$C$306,"&gt;="&amp;DATE($B$3,1,20),'Leave log'!$F$7:$F$306,"Pending")&gt;0,"P",""))))</f>
        <v/>
      </c>
      <c r="V30" s="23" t="str">
        <f>IF(A30="","",IF(IF(OR(DATE($B$3,1,21)&gt;EOMONTH(DATE($B$3,1,1),0),NETWORKDAYS.INTL(DATE($B$3,1,21),DATE($B$3,1,21),1,'Non-working days'!$A$6:$A$45)=0),"",IF(COUNTIFS('Leave log'!$A$7:$A$306,Employees!$A$29,'Leave log'!$B$7:$B$306,"&lt;="&amp;DATE($B$3,1,21),'Leave log'!$C$7:$C$306,"&gt;="&amp;DATE($B$3,1,21),'Leave log'!$F$7:$F$306,"Approved")&gt;0,"A",""))="A","A",IF(OR(DATE($B$3,1,21)&gt;EOMONTH(DATE($B$3,1,1),0),NETWORKDAYS.INTL(DATE($B$3,1,21),DATE($B$3,1,21),1,'Non-working days'!$A$6:$A$45)=0),"",IF(COUNTIFS('Leave log'!$A$7:$A$306,Employees!$A$29,'Leave log'!$B$7:$B$306,"&lt;="&amp;DATE($B$3,1,21),'Leave log'!$C$7:$C$306,"&gt;="&amp;DATE($B$3,1,21),'Leave log'!$F$7:$F$306,"Pending")&gt;0,"P",""))))</f>
        <v/>
      </c>
      <c r="W30" s="23" t="str">
        <f>IF(A30="","",IF(IF(OR(DATE($B$3,1,22)&gt;EOMONTH(DATE($B$3,1,1),0),NETWORKDAYS.INTL(DATE($B$3,1,22),DATE($B$3,1,22),1,'Non-working days'!$A$6:$A$45)=0),"",IF(COUNTIFS('Leave log'!$A$7:$A$306,Employees!$A$29,'Leave log'!$B$7:$B$306,"&lt;="&amp;DATE($B$3,1,22),'Leave log'!$C$7:$C$306,"&gt;="&amp;DATE($B$3,1,22),'Leave log'!$F$7:$F$306,"Approved")&gt;0,"A",""))="A","A",IF(OR(DATE($B$3,1,22)&gt;EOMONTH(DATE($B$3,1,1),0),NETWORKDAYS.INTL(DATE($B$3,1,22),DATE($B$3,1,22),1,'Non-working days'!$A$6:$A$45)=0),"",IF(COUNTIFS('Leave log'!$A$7:$A$306,Employees!$A$29,'Leave log'!$B$7:$B$306,"&lt;="&amp;DATE($B$3,1,22),'Leave log'!$C$7:$C$306,"&gt;="&amp;DATE($B$3,1,22),'Leave log'!$F$7:$F$306,"Pending")&gt;0,"P",""))))</f>
        <v/>
      </c>
      <c r="X30" s="23" t="str">
        <f>IF(A30="","",IF(IF(OR(DATE($B$3,1,23)&gt;EOMONTH(DATE($B$3,1,1),0),NETWORKDAYS.INTL(DATE($B$3,1,23),DATE($B$3,1,23),1,'Non-working days'!$A$6:$A$45)=0),"",IF(COUNTIFS('Leave log'!$A$7:$A$306,Employees!$A$29,'Leave log'!$B$7:$B$306,"&lt;="&amp;DATE($B$3,1,23),'Leave log'!$C$7:$C$306,"&gt;="&amp;DATE($B$3,1,23),'Leave log'!$F$7:$F$306,"Approved")&gt;0,"A",""))="A","A",IF(OR(DATE($B$3,1,23)&gt;EOMONTH(DATE($B$3,1,1),0),NETWORKDAYS.INTL(DATE($B$3,1,23),DATE($B$3,1,23),1,'Non-working days'!$A$6:$A$45)=0),"",IF(COUNTIFS('Leave log'!$A$7:$A$306,Employees!$A$29,'Leave log'!$B$7:$B$306,"&lt;="&amp;DATE($B$3,1,23),'Leave log'!$C$7:$C$306,"&gt;="&amp;DATE($B$3,1,23),'Leave log'!$F$7:$F$306,"Pending")&gt;0,"P",""))))</f>
        <v/>
      </c>
      <c r="Y30" s="23" t="str">
        <f>IF(A30="","",IF(IF(OR(DATE($B$3,1,24)&gt;EOMONTH(DATE($B$3,1,1),0),NETWORKDAYS.INTL(DATE($B$3,1,24),DATE($B$3,1,24),1,'Non-working days'!$A$6:$A$45)=0),"",IF(COUNTIFS('Leave log'!$A$7:$A$306,Employees!$A$29,'Leave log'!$B$7:$B$306,"&lt;="&amp;DATE($B$3,1,24),'Leave log'!$C$7:$C$306,"&gt;="&amp;DATE($B$3,1,24),'Leave log'!$F$7:$F$306,"Approved")&gt;0,"A",""))="A","A",IF(OR(DATE($B$3,1,24)&gt;EOMONTH(DATE($B$3,1,1),0),NETWORKDAYS.INTL(DATE($B$3,1,24),DATE($B$3,1,24),1,'Non-working days'!$A$6:$A$45)=0),"",IF(COUNTIFS('Leave log'!$A$7:$A$306,Employees!$A$29,'Leave log'!$B$7:$B$306,"&lt;="&amp;DATE($B$3,1,24),'Leave log'!$C$7:$C$306,"&gt;="&amp;DATE($B$3,1,24),'Leave log'!$F$7:$F$306,"Pending")&gt;0,"P",""))))</f>
        <v/>
      </c>
      <c r="Z30" s="23" t="str">
        <f>IF(A30="","",IF(IF(OR(DATE($B$3,1,25)&gt;EOMONTH(DATE($B$3,1,1),0),NETWORKDAYS.INTL(DATE($B$3,1,25),DATE($B$3,1,25),1,'Non-working days'!$A$6:$A$45)=0),"",IF(COUNTIFS('Leave log'!$A$7:$A$306,Employees!$A$29,'Leave log'!$B$7:$B$306,"&lt;="&amp;DATE($B$3,1,25),'Leave log'!$C$7:$C$306,"&gt;="&amp;DATE($B$3,1,25),'Leave log'!$F$7:$F$306,"Approved")&gt;0,"A",""))="A","A",IF(OR(DATE($B$3,1,25)&gt;EOMONTH(DATE($B$3,1,1),0),NETWORKDAYS.INTL(DATE($B$3,1,25),DATE($B$3,1,25),1,'Non-working days'!$A$6:$A$45)=0),"",IF(COUNTIFS('Leave log'!$A$7:$A$306,Employees!$A$29,'Leave log'!$B$7:$B$306,"&lt;="&amp;DATE($B$3,1,25),'Leave log'!$C$7:$C$306,"&gt;="&amp;DATE($B$3,1,25),'Leave log'!$F$7:$F$306,"Pending")&gt;0,"P",""))))</f>
        <v/>
      </c>
      <c r="AA30" s="23" t="str">
        <f>IF(A30="","",IF(IF(OR(DATE($B$3,1,26)&gt;EOMONTH(DATE($B$3,1,1),0),NETWORKDAYS.INTL(DATE($B$3,1,26),DATE($B$3,1,26),1,'Non-working days'!$A$6:$A$45)=0),"",IF(COUNTIFS('Leave log'!$A$7:$A$306,Employees!$A$29,'Leave log'!$B$7:$B$306,"&lt;="&amp;DATE($B$3,1,26),'Leave log'!$C$7:$C$306,"&gt;="&amp;DATE($B$3,1,26),'Leave log'!$F$7:$F$306,"Approved")&gt;0,"A",""))="A","A",IF(OR(DATE($B$3,1,26)&gt;EOMONTH(DATE($B$3,1,1),0),NETWORKDAYS.INTL(DATE($B$3,1,26),DATE($B$3,1,26),1,'Non-working days'!$A$6:$A$45)=0),"",IF(COUNTIFS('Leave log'!$A$7:$A$306,Employees!$A$29,'Leave log'!$B$7:$B$306,"&lt;="&amp;DATE($B$3,1,26),'Leave log'!$C$7:$C$306,"&gt;="&amp;DATE($B$3,1,26),'Leave log'!$F$7:$F$306,"Pending")&gt;0,"P",""))))</f>
        <v/>
      </c>
      <c r="AB30" s="23" t="str">
        <f>IF(A30="","",IF(IF(OR(DATE($B$3,1,27)&gt;EOMONTH(DATE($B$3,1,1),0),NETWORKDAYS.INTL(DATE($B$3,1,27),DATE($B$3,1,27),1,'Non-working days'!$A$6:$A$45)=0),"",IF(COUNTIFS('Leave log'!$A$7:$A$306,Employees!$A$29,'Leave log'!$B$7:$B$306,"&lt;="&amp;DATE($B$3,1,27),'Leave log'!$C$7:$C$306,"&gt;="&amp;DATE($B$3,1,27),'Leave log'!$F$7:$F$306,"Approved")&gt;0,"A",""))="A","A",IF(OR(DATE($B$3,1,27)&gt;EOMONTH(DATE($B$3,1,1),0),NETWORKDAYS.INTL(DATE($B$3,1,27),DATE($B$3,1,27),1,'Non-working days'!$A$6:$A$45)=0),"",IF(COUNTIFS('Leave log'!$A$7:$A$306,Employees!$A$29,'Leave log'!$B$7:$B$306,"&lt;="&amp;DATE($B$3,1,27),'Leave log'!$C$7:$C$306,"&gt;="&amp;DATE($B$3,1,27),'Leave log'!$F$7:$F$306,"Pending")&gt;0,"P",""))))</f>
        <v/>
      </c>
      <c r="AC30" s="23" t="str">
        <f>IF(A30="","",IF(IF(OR(DATE($B$3,1,28)&gt;EOMONTH(DATE($B$3,1,1),0),NETWORKDAYS.INTL(DATE($B$3,1,28),DATE($B$3,1,28),1,'Non-working days'!$A$6:$A$45)=0),"",IF(COUNTIFS('Leave log'!$A$7:$A$306,Employees!$A$29,'Leave log'!$B$7:$B$306,"&lt;="&amp;DATE($B$3,1,28),'Leave log'!$C$7:$C$306,"&gt;="&amp;DATE($B$3,1,28),'Leave log'!$F$7:$F$306,"Approved")&gt;0,"A",""))="A","A",IF(OR(DATE($B$3,1,28)&gt;EOMONTH(DATE($B$3,1,1),0),NETWORKDAYS.INTL(DATE($B$3,1,28),DATE($B$3,1,28),1,'Non-working days'!$A$6:$A$45)=0),"",IF(COUNTIFS('Leave log'!$A$7:$A$306,Employees!$A$29,'Leave log'!$B$7:$B$306,"&lt;="&amp;DATE($B$3,1,28),'Leave log'!$C$7:$C$306,"&gt;="&amp;DATE($B$3,1,28),'Leave log'!$F$7:$F$306,"Pending")&gt;0,"P",""))))</f>
        <v/>
      </c>
      <c r="AD30" s="23" t="str">
        <f>IF(A30="","",IF(IF(OR(DATE($B$3,1,29)&gt;EOMONTH(DATE($B$3,1,1),0),NETWORKDAYS.INTL(DATE($B$3,1,29),DATE($B$3,1,29),1,'Non-working days'!$A$6:$A$45)=0),"",IF(COUNTIFS('Leave log'!$A$7:$A$306,Employees!$A$29,'Leave log'!$B$7:$B$306,"&lt;="&amp;DATE($B$3,1,29),'Leave log'!$C$7:$C$306,"&gt;="&amp;DATE($B$3,1,29),'Leave log'!$F$7:$F$306,"Approved")&gt;0,"A",""))="A","A",IF(OR(DATE($B$3,1,29)&gt;EOMONTH(DATE($B$3,1,1),0),NETWORKDAYS.INTL(DATE($B$3,1,29),DATE($B$3,1,29),1,'Non-working days'!$A$6:$A$45)=0),"",IF(COUNTIFS('Leave log'!$A$7:$A$306,Employees!$A$29,'Leave log'!$B$7:$B$306,"&lt;="&amp;DATE($B$3,1,29),'Leave log'!$C$7:$C$306,"&gt;="&amp;DATE($B$3,1,29),'Leave log'!$F$7:$F$306,"Pending")&gt;0,"P",""))))</f>
        <v/>
      </c>
      <c r="AE30" s="23" t="str">
        <f>IF(A30="","",IF(IF(OR(DATE($B$3,1,30)&gt;EOMONTH(DATE($B$3,1,1),0),NETWORKDAYS.INTL(DATE($B$3,1,30),DATE($B$3,1,30),1,'Non-working days'!$A$6:$A$45)=0),"",IF(COUNTIFS('Leave log'!$A$7:$A$306,Employees!$A$29,'Leave log'!$B$7:$B$306,"&lt;="&amp;DATE($B$3,1,30),'Leave log'!$C$7:$C$306,"&gt;="&amp;DATE($B$3,1,30),'Leave log'!$F$7:$F$306,"Approved")&gt;0,"A",""))="A","A",IF(OR(DATE($B$3,1,30)&gt;EOMONTH(DATE($B$3,1,1),0),NETWORKDAYS.INTL(DATE($B$3,1,30),DATE($B$3,1,30),1,'Non-working days'!$A$6:$A$45)=0),"",IF(COUNTIFS('Leave log'!$A$7:$A$306,Employees!$A$29,'Leave log'!$B$7:$B$306,"&lt;="&amp;DATE($B$3,1,30),'Leave log'!$C$7:$C$306,"&gt;="&amp;DATE($B$3,1,30),'Leave log'!$F$7:$F$306,"Pending")&gt;0,"P",""))))</f>
        <v/>
      </c>
      <c r="AF30" s="23" t="str">
        <f>IF(A30="","",IF(IF(OR(DATE($B$3,1,31)&gt;EOMONTH(DATE($B$3,1,1),0),NETWORKDAYS.INTL(DATE($B$3,1,31),DATE($B$3,1,31),1,'Non-working days'!$A$6:$A$45)=0),"",IF(COUNTIFS('Leave log'!$A$7:$A$306,Employees!$A$29,'Leave log'!$B$7:$B$306,"&lt;="&amp;DATE($B$3,1,31),'Leave log'!$C$7:$C$306,"&gt;="&amp;DATE($B$3,1,31),'Leave log'!$F$7:$F$306,"Approved")&gt;0,"A",""))="A","A",IF(OR(DATE($B$3,1,31)&gt;EOMONTH(DATE($B$3,1,1),0),NETWORKDAYS.INTL(DATE($B$3,1,31),DATE($B$3,1,31),1,'Non-working days'!$A$6:$A$45)=0),"",IF(COUNTIFS('Leave log'!$A$7:$A$306,Employees!$A$29,'Leave log'!$B$7:$B$306,"&lt;="&amp;DATE($B$3,1,31),'Leave log'!$C$7:$C$306,"&gt;="&amp;DATE($B$3,1,31),'Leave log'!$F$7:$F$306,"Pending")&gt;0,"P",""))))</f>
        <v/>
      </c>
    </row>
    <row r="31" spans="1:32" ht="18" customHeight="1" x14ac:dyDescent="0.3">
      <c r="A31" s="22" t="str">
        <f>IF(Employees!F30="Yes",Employees!B30,"")</f>
        <v/>
      </c>
      <c r="B31" s="23" t="str">
        <f>IF(A31="","",IF(IF(OR(DATE($B$3,1,1)&gt;EOMONTH(DATE($B$3,1,1),0),NETWORKDAYS.INTL(DATE($B$3,1,1),DATE($B$3,1,1),1,'Non-working days'!$A$6:$A$45)=0),"",IF(COUNTIFS('Leave log'!$A$7:$A$306,Employees!$A$30,'Leave log'!$B$7:$B$306,"&lt;="&amp;DATE($B$3,1,1),'Leave log'!$C$7:$C$306,"&gt;="&amp;DATE($B$3,1,1),'Leave log'!$F$7:$F$306,"Approved")&gt;0,"A",""))="A","A",IF(OR(DATE($B$3,1,1)&gt;EOMONTH(DATE($B$3,1,1),0),NETWORKDAYS.INTL(DATE($B$3,1,1),DATE($B$3,1,1),1,'Non-working days'!$A$6:$A$45)=0),"",IF(COUNTIFS('Leave log'!$A$7:$A$306,Employees!$A$30,'Leave log'!$B$7:$B$306,"&lt;="&amp;DATE($B$3,1,1),'Leave log'!$C$7:$C$306,"&gt;="&amp;DATE($B$3,1,1),'Leave log'!$F$7:$F$306,"Pending")&gt;0,"P",""))))</f>
        <v/>
      </c>
      <c r="C31" s="23" t="str">
        <f>IF(A31="","",IF(IF(OR(DATE($B$3,1,2)&gt;EOMONTH(DATE($B$3,1,1),0),NETWORKDAYS.INTL(DATE($B$3,1,2),DATE($B$3,1,2),1,'Non-working days'!$A$6:$A$45)=0),"",IF(COUNTIFS('Leave log'!$A$7:$A$306,Employees!$A$30,'Leave log'!$B$7:$B$306,"&lt;="&amp;DATE($B$3,1,2),'Leave log'!$C$7:$C$306,"&gt;="&amp;DATE($B$3,1,2),'Leave log'!$F$7:$F$306,"Approved")&gt;0,"A",""))="A","A",IF(OR(DATE($B$3,1,2)&gt;EOMONTH(DATE($B$3,1,1),0),NETWORKDAYS.INTL(DATE($B$3,1,2),DATE($B$3,1,2),1,'Non-working days'!$A$6:$A$45)=0),"",IF(COUNTIFS('Leave log'!$A$7:$A$306,Employees!$A$30,'Leave log'!$B$7:$B$306,"&lt;="&amp;DATE($B$3,1,2),'Leave log'!$C$7:$C$306,"&gt;="&amp;DATE($B$3,1,2),'Leave log'!$F$7:$F$306,"Pending")&gt;0,"P",""))))</f>
        <v/>
      </c>
      <c r="D31" s="23" t="str">
        <f>IF(A31="","",IF(IF(OR(DATE($B$3,1,3)&gt;EOMONTH(DATE($B$3,1,1),0),NETWORKDAYS.INTL(DATE($B$3,1,3),DATE($B$3,1,3),1,'Non-working days'!$A$6:$A$45)=0),"",IF(COUNTIFS('Leave log'!$A$7:$A$306,Employees!$A$30,'Leave log'!$B$7:$B$306,"&lt;="&amp;DATE($B$3,1,3),'Leave log'!$C$7:$C$306,"&gt;="&amp;DATE($B$3,1,3),'Leave log'!$F$7:$F$306,"Approved")&gt;0,"A",""))="A","A",IF(OR(DATE($B$3,1,3)&gt;EOMONTH(DATE($B$3,1,1),0),NETWORKDAYS.INTL(DATE($B$3,1,3),DATE($B$3,1,3),1,'Non-working days'!$A$6:$A$45)=0),"",IF(COUNTIFS('Leave log'!$A$7:$A$306,Employees!$A$30,'Leave log'!$B$7:$B$306,"&lt;="&amp;DATE($B$3,1,3),'Leave log'!$C$7:$C$306,"&gt;="&amp;DATE($B$3,1,3),'Leave log'!$F$7:$F$306,"Pending")&gt;0,"P",""))))</f>
        <v/>
      </c>
      <c r="E31" s="23" t="str">
        <f>IF(A31="","",IF(IF(OR(DATE($B$3,1,4)&gt;EOMONTH(DATE($B$3,1,1),0),NETWORKDAYS.INTL(DATE($B$3,1,4),DATE($B$3,1,4),1,'Non-working days'!$A$6:$A$45)=0),"",IF(COUNTIFS('Leave log'!$A$7:$A$306,Employees!$A$30,'Leave log'!$B$7:$B$306,"&lt;="&amp;DATE($B$3,1,4),'Leave log'!$C$7:$C$306,"&gt;="&amp;DATE($B$3,1,4),'Leave log'!$F$7:$F$306,"Approved")&gt;0,"A",""))="A","A",IF(OR(DATE($B$3,1,4)&gt;EOMONTH(DATE($B$3,1,1),0),NETWORKDAYS.INTL(DATE($B$3,1,4),DATE($B$3,1,4),1,'Non-working days'!$A$6:$A$45)=0),"",IF(COUNTIFS('Leave log'!$A$7:$A$306,Employees!$A$30,'Leave log'!$B$7:$B$306,"&lt;="&amp;DATE($B$3,1,4),'Leave log'!$C$7:$C$306,"&gt;="&amp;DATE($B$3,1,4),'Leave log'!$F$7:$F$306,"Pending")&gt;0,"P",""))))</f>
        <v/>
      </c>
      <c r="F31" s="23" t="str">
        <f>IF(A31="","",IF(IF(OR(DATE($B$3,1,5)&gt;EOMONTH(DATE($B$3,1,1),0),NETWORKDAYS.INTL(DATE($B$3,1,5),DATE($B$3,1,5),1,'Non-working days'!$A$6:$A$45)=0),"",IF(COUNTIFS('Leave log'!$A$7:$A$306,Employees!$A$30,'Leave log'!$B$7:$B$306,"&lt;="&amp;DATE($B$3,1,5),'Leave log'!$C$7:$C$306,"&gt;="&amp;DATE($B$3,1,5),'Leave log'!$F$7:$F$306,"Approved")&gt;0,"A",""))="A","A",IF(OR(DATE($B$3,1,5)&gt;EOMONTH(DATE($B$3,1,1),0),NETWORKDAYS.INTL(DATE($B$3,1,5),DATE($B$3,1,5),1,'Non-working days'!$A$6:$A$45)=0),"",IF(COUNTIFS('Leave log'!$A$7:$A$306,Employees!$A$30,'Leave log'!$B$7:$B$306,"&lt;="&amp;DATE($B$3,1,5),'Leave log'!$C$7:$C$306,"&gt;="&amp;DATE($B$3,1,5),'Leave log'!$F$7:$F$306,"Pending")&gt;0,"P",""))))</f>
        <v/>
      </c>
      <c r="G31" s="23" t="str">
        <f>IF(A31="","",IF(IF(OR(DATE($B$3,1,6)&gt;EOMONTH(DATE($B$3,1,1),0),NETWORKDAYS.INTL(DATE($B$3,1,6),DATE($B$3,1,6),1,'Non-working days'!$A$6:$A$45)=0),"",IF(COUNTIFS('Leave log'!$A$7:$A$306,Employees!$A$30,'Leave log'!$B$7:$B$306,"&lt;="&amp;DATE($B$3,1,6),'Leave log'!$C$7:$C$306,"&gt;="&amp;DATE($B$3,1,6),'Leave log'!$F$7:$F$306,"Approved")&gt;0,"A",""))="A","A",IF(OR(DATE($B$3,1,6)&gt;EOMONTH(DATE($B$3,1,1),0),NETWORKDAYS.INTL(DATE($B$3,1,6),DATE($B$3,1,6),1,'Non-working days'!$A$6:$A$45)=0),"",IF(COUNTIFS('Leave log'!$A$7:$A$306,Employees!$A$30,'Leave log'!$B$7:$B$306,"&lt;="&amp;DATE($B$3,1,6),'Leave log'!$C$7:$C$306,"&gt;="&amp;DATE($B$3,1,6),'Leave log'!$F$7:$F$306,"Pending")&gt;0,"P",""))))</f>
        <v/>
      </c>
      <c r="H31" s="23" t="str">
        <f>IF(A31="","",IF(IF(OR(DATE($B$3,1,7)&gt;EOMONTH(DATE($B$3,1,1),0),NETWORKDAYS.INTL(DATE($B$3,1,7),DATE($B$3,1,7),1,'Non-working days'!$A$6:$A$45)=0),"",IF(COUNTIFS('Leave log'!$A$7:$A$306,Employees!$A$30,'Leave log'!$B$7:$B$306,"&lt;="&amp;DATE($B$3,1,7),'Leave log'!$C$7:$C$306,"&gt;="&amp;DATE($B$3,1,7),'Leave log'!$F$7:$F$306,"Approved")&gt;0,"A",""))="A","A",IF(OR(DATE($B$3,1,7)&gt;EOMONTH(DATE($B$3,1,1),0),NETWORKDAYS.INTL(DATE($B$3,1,7),DATE($B$3,1,7),1,'Non-working days'!$A$6:$A$45)=0),"",IF(COUNTIFS('Leave log'!$A$7:$A$306,Employees!$A$30,'Leave log'!$B$7:$B$306,"&lt;="&amp;DATE($B$3,1,7),'Leave log'!$C$7:$C$306,"&gt;="&amp;DATE($B$3,1,7),'Leave log'!$F$7:$F$306,"Pending")&gt;0,"P",""))))</f>
        <v/>
      </c>
      <c r="I31" s="23" t="str">
        <f>IF(A31="","",IF(IF(OR(DATE($B$3,1,8)&gt;EOMONTH(DATE($B$3,1,1),0),NETWORKDAYS.INTL(DATE($B$3,1,8),DATE($B$3,1,8),1,'Non-working days'!$A$6:$A$45)=0),"",IF(COUNTIFS('Leave log'!$A$7:$A$306,Employees!$A$30,'Leave log'!$B$7:$B$306,"&lt;="&amp;DATE($B$3,1,8),'Leave log'!$C$7:$C$306,"&gt;="&amp;DATE($B$3,1,8),'Leave log'!$F$7:$F$306,"Approved")&gt;0,"A",""))="A","A",IF(OR(DATE($B$3,1,8)&gt;EOMONTH(DATE($B$3,1,1),0),NETWORKDAYS.INTL(DATE($B$3,1,8),DATE($B$3,1,8),1,'Non-working days'!$A$6:$A$45)=0),"",IF(COUNTIFS('Leave log'!$A$7:$A$306,Employees!$A$30,'Leave log'!$B$7:$B$306,"&lt;="&amp;DATE($B$3,1,8),'Leave log'!$C$7:$C$306,"&gt;="&amp;DATE($B$3,1,8),'Leave log'!$F$7:$F$306,"Pending")&gt;0,"P",""))))</f>
        <v/>
      </c>
      <c r="J31" s="23" t="str">
        <f>IF(A31="","",IF(IF(OR(DATE($B$3,1,9)&gt;EOMONTH(DATE($B$3,1,1),0),NETWORKDAYS.INTL(DATE($B$3,1,9),DATE($B$3,1,9),1,'Non-working days'!$A$6:$A$45)=0),"",IF(COUNTIFS('Leave log'!$A$7:$A$306,Employees!$A$30,'Leave log'!$B$7:$B$306,"&lt;="&amp;DATE($B$3,1,9),'Leave log'!$C$7:$C$306,"&gt;="&amp;DATE($B$3,1,9),'Leave log'!$F$7:$F$306,"Approved")&gt;0,"A",""))="A","A",IF(OR(DATE($B$3,1,9)&gt;EOMONTH(DATE($B$3,1,1),0),NETWORKDAYS.INTL(DATE($B$3,1,9),DATE($B$3,1,9),1,'Non-working days'!$A$6:$A$45)=0),"",IF(COUNTIFS('Leave log'!$A$7:$A$306,Employees!$A$30,'Leave log'!$B$7:$B$306,"&lt;="&amp;DATE($B$3,1,9),'Leave log'!$C$7:$C$306,"&gt;="&amp;DATE($B$3,1,9),'Leave log'!$F$7:$F$306,"Pending")&gt;0,"P",""))))</f>
        <v/>
      </c>
      <c r="K31" s="23" t="str">
        <f>IF(A31="","",IF(IF(OR(DATE($B$3,1,10)&gt;EOMONTH(DATE($B$3,1,1),0),NETWORKDAYS.INTL(DATE($B$3,1,10),DATE($B$3,1,10),1,'Non-working days'!$A$6:$A$45)=0),"",IF(COUNTIFS('Leave log'!$A$7:$A$306,Employees!$A$30,'Leave log'!$B$7:$B$306,"&lt;="&amp;DATE($B$3,1,10),'Leave log'!$C$7:$C$306,"&gt;="&amp;DATE($B$3,1,10),'Leave log'!$F$7:$F$306,"Approved")&gt;0,"A",""))="A","A",IF(OR(DATE($B$3,1,10)&gt;EOMONTH(DATE($B$3,1,1),0),NETWORKDAYS.INTL(DATE($B$3,1,10),DATE($B$3,1,10),1,'Non-working days'!$A$6:$A$45)=0),"",IF(COUNTIFS('Leave log'!$A$7:$A$306,Employees!$A$30,'Leave log'!$B$7:$B$306,"&lt;="&amp;DATE($B$3,1,10),'Leave log'!$C$7:$C$306,"&gt;="&amp;DATE($B$3,1,10),'Leave log'!$F$7:$F$306,"Pending")&gt;0,"P",""))))</f>
        <v/>
      </c>
      <c r="L31" s="23" t="str">
        <f>IF(A31="","",IF(IF(OR(DATE($B$3,1,11)&gt;EOMONTH(DATE($B$3,1,1),0),NETWORKDAYS.INTL(DATE($B$3,1,11),DATE($B$3,1,11),1,'Non-working days'!$A$6:$A$45)=0),"",IF(COUNTIFS('Leave log'!$A$7:$A$306,Employees!$A$30,'Leave log'!$B$7:$B$306,"&lt;="&amp;DATE($B$3,1,11),'Leave log'!$C$7:$C$306,"&gt;="&amp;DATE($B$3,1,11),'Leave log'!$F$7:$F$306,"Approved")&gt;0,"A",""))="A","A",IF(OR(DATE($B$3,1,11)&gt;EOMONTH(DATE($B$3,1,1),0),NETWORKDAYS.INTL(DATE($B$3,1,11),DATE($B$3,1,11),1,'Non-working days'!$A$6:$A$45)=0),"",IF(COUNTIFS('Leave log'!$A$7:$A$306,Employees!$A$30,'Leave log'!$B$7:$B$306,"&lt;="&amp;DATE($B$3,1,11),'Leave log'!$C$7:$C$306,"&gt;="&amp;DATE($B$3,1,11),'Leave log'!$F$7:$F$306,"Pending")&gt;0,"P",""))))</f>
        <v/>
      </c>
      <c r="M31" s="23" t="str">
        <f>IF(A31="","",IF(IF(OR(DATE($B$3,1,12)&gt;EOMONTH(DATE($B$3,1,1),0),NETWORKDAYS.INTL(DATE($B$3,1,12),DATE($B$3,1,12),1,'Non-working days'!$A$6:$A$45)=0),"",IF(COUNTIFS('Leave log'!$A$7:$A$306,Employees!$A$30,'Leave log'!$B$7:$B$306,"&lt;="&amp;DATE($B$3,1,12),'Leave log'!$C$7:$C$306,"&gt;="&amp;DATE($B$3,1,12),'Leave log'!$F$7:$F$306,"Approved")&gt;0,"A",""))="A","A",IF(OR(DATE($B$3,1,12)&gt;EOMONTH(DATE($B$3,1,1),0),NETWORKDAYS.INTL(DATE($B$3,1,12),DATE($B$3,1,12),1,'Non-working days'!$A$6:$A$45)=0),"",IF(COUNTIFS('Leave log'!$A$7:$A$306,Employees!$A$30,'Leave log'!$B$7:$B$306,"&lt;="&amp;DATE($B$3,1,12),'Leave log'!$C$7:$C$306,"&gt;="&amp;DATE($B$3,1,12),'Leave log'!$F$7:$F$306,"Pending")&gt;0,"P",""))))</f>
        <v/>
      </c>
      <c r="N31" s="23" t="str">
        <f>IF(A31="","",IF(IF(OR(DATE($B$3,1,13)&gt;EOMONTH(DATE($B$3,1,1),0),NETWORKDAYS.INTL(DATE($B$3,1,13),DATE($B$3,1,13),1,'Non-working days'!$A$6:$A$45)=0),"",IF(COUNTIFS('Leave log'!$A$7:$A$306,Employees!$A$30,'Leave log'!$B$7:$B$306,"&lt;="&amp;DATE($B$3,1,13),'Leave log'!$C$7:$C$306,"&gt;="&amp;DATE($B$3,1,13),'Leave log'!$F$7:$F$306,"Approved")&gt;0,"A",""))="A","A",IF(OR(DATE($B$3,1,13)&gt;EOMONTH(DATE($B$3,1,1),0),NETWORKDAYS.INTL(DATE($B$3,1,13),DATE($B$3,1,13),1,'Non-working days'!$A$6:$A$45)=0),"",IF(COUNTIFS('Leave log'!$A$7:$A$306,Employees!$A$30,'Leave log'!$B$7:$B$306,"&lt;="&amp;DATE($B$3,1,13),'Leave log'!$C$7:$C$306,"&gt;="&amp;DATE($B$3,1,13),'Leave log'!$F$7:$F$306,"Pending")&gt;0,"P",""))))</f>
        <v/>
      </c>
      <c r="O31" s="23" t="str">
        <f>IF(A31="","",IF(IF(OR(DATE($B$3,1,14)&gt;EOMONTH(DATE($B$3,1,1),0),NETWORKDAYS.INTL(DATE($B$3,1,14),DATE($B$3,1,14),1,'Non-working days'!$A$6:$A$45)=0),"",IF(COUNTIFS('Leave log'!$A$7:$A$306,Employees!$A$30,'Leave log'!$B$7:$B$306,"&lt;="&amp;DATE($B$3,1,14),'Leave log'!$C$7:$C$306,"&gt;="&amp;DATE($B$3,1,14),'Leave log'!$F$7:$F$306,"Approved")&gt;0,"A",""))="A","A",IF(OR(DATE($B$3,1,14)&gt;EOMONTH(DATE($B$3,1,1),0),NETWORKDAYS.INTL(DATE($B$3,1,14),DATE($B$3,1,14),1,'Non-working days'!$A$6:$A$45)=0),"",IF(COUNTIFS('Leave log'!$A$7:$A$306,Employees!$A$30,'Leave log'!$B$7:$B$306,"&lt;="&amp;DATE($B$3,1,14),'Leave log'!$C$7:$C$306,"&gt;="&amp;DATE($B$3,1,14),'Leave log'!$F$7:$F$306,"Pending")&gt;0,"P",""))))</f>
        <v/>
      </c>
      <c r="P31" s="23" t="str">
        <f>IF(A31="","",IF(IF(OR(DATE($B$3,1,15)&gt;EOMONTH(DATE($B$3,1,1),0),NETWORKDAYS.INTL(DATE($B$3,1,15),DATE($B$3,1,15),1,'Non-working days'!$A$6:$A$45)=0),"",IF(COUNTIFS('Leave log'!$A$7:$A$306,Employees!$A$30,'Leave log'!$B$7:$B$306,"&lt;="&amp;DATE($B$3,1,15),'Leave log'!$C$7:$C$306,"&gt;="&amp;DATE($B$3,1,15),'Leave log'!$F$7:$F$306,"Approved")&gt;0,"A",""))="A","A",IF(OR(DATE($B$3,1,15)&gt;EOMONTH(DATE($B$3,1,1),0),NETWORKDAYS.INTL(DATE($B$3,1,15),DATE($B$3,1,15),1,'Non-working days'!$A$6:$A$45)=0),"",IF(COUNTIFS('Leave log'!$A$7:$A$306,Employees!$A$30,'Leave log'!$B$7:$B$306,"&lt;="&amp;DATE($B$3,1,15),'Leave log'!$C$7:$C$306,"&gt;="&amp;DATE($B$3,1,15),'Leave log'!$F$7:$F$306,"Pending")&gt;0,"P",""))))</f>
        <v/>
      </c>
      <c r="Q31" s="23" t="str">
        <f>IF(A31="","",IF(IF(OR(DATE($B$3,1,16)&gt;EOMONTH(DATE($B$3,1,1),0),NETWORKDAYS.INTL(DATE($B$3,1,16),DATE($B$3,1,16),1,'Non-working days'!$A$6:$A$45)=0),"",IF(COUNTIFS('Leave log'!$A$7:$A$306,Employees!$A$30,'Leave log'!$B$7:$B$306,"&lt;="&amp;DATE($B$3,1,16),'Leave log'!$C$7:$C$306,"&gt;="&amp;DATE($B$3,1,16),'Leave log'!$F$7:$F$306,"Approved")&gt;0,"A",""))="A","A",IF(OR(DATE($B$3,1,16)&gt;EOMONTH(DATE($B$3,1,1),0),NETWORKDAYS.INTL(DATE($B$3,1,16),DATE($B$3,1,16),1,'Non-working days'!$A$6:$A$45)=0),"",IF(COUNTIFS('Leave log'!$A$7:$A$306,Employees!$A$30,'Leave log'!$B$7:$B$306,"&lt;="&amp;DATE($B$3,1,16),'Leave log'!$C$7:$C$306,"&gt;="&amp;DATE($B$3,1,16),'Leave log'!$F$7:$F$306,"Pending")&gt;0,"P",""))))</f>
        <v/>
      </c>
      <c r="R31" s="23" t="str">
        <f>IF(A31="","",IF(IF(OR(DATE($B$3,1,17)&gt;EOMONTH(DATE($B$3,1,1),0),NETWORKDAYS.INTL(DATE($B$3,1,17),DATE($B$3,1,17),1,'Non-working days'!$A$6:$A$45)=0),"",IF(COUNTIFS('Leave log'!$A$7:$A$306,Employees!$A$30,'Leave log'!$B$7:$B$306,"&lt;="&amp;DATE($B$3,1,17),'Leave log'!$C$7:$C$306,"&gt;="&amp;DATE($B$3,1,17),'Leave log'!$F$7:$F$306,"Approved")&gt;0,"A",""))="A","A",IF(OR(DATE($B$3,1,17)&gt;EOMONTH(DATE($B$3,1,1),0),NETWORKDAYS.INTL(DATE($B$3,1,17),DATE($B$3,1,17),1,'Non-working days'!$A$6:$A$45)=0),"",IF(COUNTIFS('Leave log'!$A$7:$A$306,Employees!$A$30,'Leave log'!$B$7:$B$306,"&lt;="&amp;DATE($B$3,1,17),'Leave log'!$C$7:$C$306,"&gt;="&amp;DATE($B$3,1,17),'Leave log'!$F$7:$F$306,"Pending")&gt;0,"P",""))))</f>
        <v/>
      </c>
      <c r="S31" s="23" t="str">
        <f>IF(A31="","",IF(IF(OR(DATE($B$3,1,18)&gt;EOMONTH(DATE($B$3,1,1),0),NETWORKDAYS.INTL(DATE($B$3,1,18),DATE($B$3,1,18),1,'Non-working days'!$A$6:$A$45)=0),"",IF(COUNTIFS('Leave log'!$A$7:$A$306,Employees!$A$30,'Leave log'!$B$7:$B$306,"&lt;="&amp;DATE($B$3,1,18),'Leave log'!$C$7:$C$306,"&gt;="&amp;DATE($B$3,1,18),'Leave log'!$F$7:$F$306,"Approved")&gt;0,"A",""))="A","A",IF(OR(DATE($B$3,1,18)&gt;EOMONTH(DATE($B$3,1,1),0),NETWORKDAYS.INTL(DATE($B$3,1,18),DATE($B$3,1,18),1,'Non-working days'!$A$6:$A$45)=0),"",IF(COUNTIFS('Leave log'!$A$7:$A$306,Employees!$A$30,'Leave log'!$B$7:$B$306,"&lt;="&amp;DATE($B$3,1,18),'Leave log'!$C$7:$C$306,"&gt;="&amp;DATE($B$3,1,18),'Leave log'!$F$7:$F$306,"Pending")&gt;0,"P",""))))</f>
        <v/>
      </c>
      <c r="T31" s="23" t="str">
        <f>IF(A31="","",IF(IF(OR(DATE($B$3,1,19)&gt;EOMONTH(DATE($B$3,1,1),0),NETWORKDAYS.INTL(DATE($B$3,1,19),DATE($B$3,1,19),1,'Non-working days'!$A$6:$A$45)=0),"",IF(COUNTIFS('Leave log'!$A$7:$A$306,Employees!$A$30,'Leave log'!$B$7:$B$306,"&lt;="&amp;DATE($B$3,1,19),'Leave log'!$C$7:$C$306,"&gt;="&amp;DATE($B$3,1,19),'Leave log'!$F$7:$F$306,"Approved")&gt;0,"A",""))="A","A",IF(OR(DATE($B$3,1,19)&gt;EOMONTH(DATE($B$3,1,1),0),NETWORKDAYS.INTL(DATE($B$3,1,19),DATE($B$3,1,19),1,'Non-working days'!$A$6:$A$45)=0),"",IF(COUNTIFS('Leave log'!$A$7:$A$306,Employees!$A$30,'Leave log'!$B$7:$B$306,"&lt;="&amp;DATE($B$3,1,19),'Leave log'!$C$7:$C$306,"&gt;="&amp;DATE($B$3,1,19),'Leave log'!$F$7:$F$306,"Pending")&gt;0,"P",""))))</f>
        <v/>
      </c>
      <c r="U31" s="23" t="str">
        <f>IF(A31="","",IF(IF(OR(DATE($B$3,1,20)&gt;EOMONTH(DATE($B$3,1,1),0),NETWORKDAYS.INTL(DATE($B$3,1,20),DATE($B$3,1,20),1,'Non-working days'!$A$6:$A$45)=0),"",IF(COUNTIFS('Leave log'!$A$7:$A$306,Employees!$A$30,'Leave log'!$B$7:$B$306,"&lt;="&amp;DATE($B$3,1,20),'Leave log'!$C$7:$C$306,"&gt;="&amp;DATE($B$3,1,20),'Leave log'!$F$7:$F$306,"Approved")&gt;0,"A",""))="A","A",IF(OR(DATE($B$3,1,20)&gt;EOMONTH(DATE($B$3,1,1),0),NETWORKDAYS.INTL(DATE($B$3,1,20),DATE($B$3,1,20),1,'Non-working days'!$A$6:$A$45)=0),"",IF(COUNTIFS('Leave log'!$A$7:$A$306,Employees!$A$30,'Leave log'!$B$7:$B$306,"&lt;="&amp;DATE($B$3,1,20),'Leave log'!$C$7:$C$306,"&gt;="&amp;DATE($B$3,1,20),'Leave log'!$F$7:$F$306,"Pending")&gt;0,"P",""))))</f>
        <v/>
      </c>
      <c r="V31" s="23" t="str">
        <f>IF(A31="","",IF(IF(OR(DATE($B$3,1,21)&gt;EOMONTH(DATE($B$3,1,1),0),NETWORKDAYS.INTL(DATE($B$3,1,21),DATE($B$3,1,21),1,'Non-working days'!$A$6:$A$45)=0),"",IF(COUNTIFS('Leave log'!$A$7:$A$306,Employees!$A$30,'Leave log'!$B$7:$B$306,"&lt;="&amp;DATE($B$3,1,21),'Leave log'!$C$7:$C$306,"&gt;="&amp;DATE($B$3,1,21),'Leave log'!$F$7:$F$306,"Approved")&gt;0,"A",""))="A","A",IF(OR(DATE($B$3,1,21)&gt;EOMONTH(DATE($B$3,1,1),0),NETWORKDAYS.INTL(DATE($B$3,1,21),DATE($B$3,1,21),1,'Non-working days'!$A$6:$A$45)=0),"",IF(COUNTIFS('Leave log'!$A$7:$A$306,Employees!$A$30,'Leave log'!$B$7:$B$306,"&lt;="&amp;DATE($B$3,1,21),'Leave log'!$C$7:$C$306,"&gt;="&amp;DATE($B$3,1,21),'Leave log'!$F$7:$F$306,"Pending")&gt;0,"P",""))))</f>
        <v/>
      </c>
      <c r="W31" s="23" t="str">
        <f>IF(A31="","",IF(IF(OR(DATE($B$3,1,22)&gt;EOMONTH(DATE($B$3,1,1),0),NETWORKDAYS.INTL(DATE($B$3,1,22),DATE($B$3,1,22),1,'Non-working days'!$A$6:$A$45)=0),"",IF(COUNTIFS('Leave log'!$A$7:$A$306,Employees!$A$30,'Leave log'!$B$7:$B$306,"&lt;="&amp;DATE($B$3,1,22),'Leave log'!$C$7:$C$306,"&gt;="&amp;DATE($B$3,1,22),'Leave log'!$F$7:$F$306,"Approved")&gt;0,"A",""))="A","A",IF(OR(DATE($B$3,1,22)&gt;EOMONTH(DATE($B$3,1,1),0),NETWORKDAYS.INTL(DATE($B$3,1,22),DATE($B$3,1,22),1,'Non-working days'!$A$6:$A$45)=0),"",IF(COUNTIFS('Leave log'!$A$7:$A$306,Employees!$A$30,'Leave log'!$B$7:$B$306,"&lt;="&amp;DATE($B$3,1,22),'Leave log'!$C$7:$C$306,"&gt;="&amp;DATE($B$3,1,22),'Leave log'!$F$7:$F$306,"Pending")&gt;0,"P",""))))</f>
        <v/>
      </c>
      <c r="X31" s="23" t="str">
        <f>IF(A31="","",IF(IF(OR(DATE($B$3,1,23)&gt;EOMONTH(DATE($B$3,1,1),0),NETWORKDAYS.INTL(DATE($B$3,1,23),DATE($B$3,1,23),1,'Non-working days'!$A$6:$A$45)=0),"",IF(COUNTIFS('Leave log'!$A$7:$A$306,Employees!$A$30,'Leave log'!$B$7:$B$306,"&lt;="&amp;DATE($B$3,1,23),'Leave log'!$C$7:$C$306,"&gt;="&amp;DATE($B$3,1,23),'Leave log'!$F$7:$F$306,"Approved")&gt;0,"A",""))="A","A",IF(OR(DATE($B$3,1,23)&gt;EOMONTH(DATE($B$3,1,1),0),NETWORKDAYS.INTL(DATE($B$3,1,23),DATE($B$3,1,23),1,'Non-working days'!$A$6:$A$45)=0),"",IF(COUNTIFS('Leave log'!$A$7:$A$306,Employees!$A$30,'Leave log'!$B$7:$B$306,"&lt;="&amp;DATE($B$3,1,23),'Leave log'!$C$7:$C$306,"&gt;="&amp;DATE($B$3,1,23),'Leave log'!$F$7:$F$306,"Pending")&gt;0,"P",""))))</f>
        <v/>
      </c>
      <c r="Y31" s="23" t="str">
        <f>IF(A31="","",IF(IF(OR(DATE($B$3,1,24)&gt;EOMONTH(DATE($B$3,1,1),0),NETWORKDAYS.INTL(DATE($B$3,1,24),DATE($B$3,1,24),1,'Non-working days'!$A$6:$A$45)=0),"",IF(COUNTIFS('Leave log'!$A$7:$A$306,Employees!$A$30,'Leave log'!$B$7:$B$306,"&lt;="&amp;DATE($B$3,1,24),'Leave log'!$C$7:$C$306,"&gt;="&amp;DATE($B$3,1,24),'Leave log'!$F$7:$F$306,"Approved")&gt;0,"A",""))="A","A",IF(OR(DATE($B$3,1,24)&gt;EOMONTH(DATE($B$3,1,1),0),NETWORKDAYS.INTL(DATE($B$3,1,24),DATE($B$3,1,24),1,'Non-working days'!$A$6:$A$45)=0),"",IF(COUNTIFS('Leave log'!$A$7:$A$306,Employees!$A$30,'Leave log'!$B$7:$B$306,"&lt;="&amp;DATE($B$3,1,24),'Leave log'!$C$7:$C$306,"&gt;="&amp;DATE($B$3,1,24),'Leave log'!$F$7:$F$306,"Pending")&gt;0,"P",""))))</f>
        <v/>
      </c>
      <c r="Z31" s="23" t="str">
        <f>IF(A31="","",IF(IF(OR(DATE($B$3,1,25)&gt;EOMONTH(DATE($B$3,1,1),0),NETWORKDAYS.INTL(DATE($B$3,1,25),DATE($B$3,1,25),1,'Non-working days'!$A$6:$A$45)=0),"",IF(COUNTIFS('Leave log'!$A$7:$A$306,Employees!$A$30,'Leave log'!$B$7:$B$306,"&lt;="&amp;DATE($B$3,1,25),'Leave log'!$C$7:$C$306,"&gt;="&amp;DATE($B$3,1,25),'Leave log'!$F$7:$F$306,"Approved")&gt;0,"A",""))="A","A",IF(OR(DATE($B$3,1,25)&gt;EOMONTH(DATE($B$3,1,1),0),NETWORKDAYS.INTL(DATE($B$3,1,25),DATE($B$3,1,25),1,'Non-working days'!$A$6:$A$45)=0),"",IF(COUNTIFS('Leave log'!$A$7:$A$306,Employees!$A$30,'Leave log'!$B$7:$B$306,"&lt;="&amp;DATE($B$3,1,25),'Leave log'!$C$7:$C$306,"&gt;="&amp;DATE($B$3,1,25),'Leave log'!$F$7:$F$306,"Pending")&gt;0,"P",""))))</f>
        <v/>
      </c>
      <c r="AA31" s="23" t="str">
        <f>IF(A31="","",IF(IF(OR(DATE($B$3,1,26)&gt;EOMONTH(DATE($B$3,1,1),0),NETWORKDAYS.INTL(DATE($B$3,1,26),DATE($B$3,1,26),1,'Non-working days'!$A$6:$A$45)=0),"",IF(COUNTIFS('Leave log'!$A$7:$A$306,Employees!$A$30,'Leave log'!$B$7:$B$306,"&lt;="&amp;DATE($B$3,1,26),'Leave log'!$C$7:$C$306,"&gt;="&amp;DATE($B$3,1,26),'Leave log'!$F$7:$F$306,"Approved")&gt;0,"A",""))="A","A",IF(OR(DATE($B$3,1,26)&gt;EOMONTH(DATE($B$3,1,1),0),NETWORKDAYS.INTL(DATE($B$3,1,26),DATE($B$3,1,26),1,'Non-working days'!$A$6:$A$45)=0),"",IF(COUNTIFS('Leave log'!$A$7:$A$306,Employees!$A$30,'Leave log'!$B$7:$B$306,"&lt;="&amp;DATE($B$3,1,26),'Leave log'!$C$7:$C$306,"&gt;="&amp;DATE($B$3,1,26),'Leave log'!$F$7:$F$306,"Pending")&gt;0,"P",""))))</f>
        <v/>
      </c>
      <c r="AB31" s="23" t="str">
        <f>IF(A31="","",IF(IF(OR(DATE($B$3,1,27)&gt;EOMONTH(DATE($B$3,1,1),0),NETWORKDAYS.INTL(DATE($B$3,1,27),DATE($B$3,1,27),1,'Non-working days'!$A$6:$A$45)=0),"",IF(COUNTIFS('Leave log'!$A$7:$A$306,Employees!$A$30,'Leave log'!$B$7:$B$306,"&lt;="&amp;DATE($B$3,1,27),'Leave log'!$C$7:$C$306,"&gt;="&amp;DATE($B$3,1,27),'Leave log'!$F$7:$F$306,"Approved")&gt;0,"A",""))="A","A",IF(OR(DATE($B$3,1,27)&gt;EOMONTH(DATE($B$3,1,1),0),NETWORKDAYS.INTL(DATE($B$3,1,27),DATE($B$3,1,27),1,'Non-working days'!$A$6:$A$45)=0),"",IF(COUNTIFS('Leave log'!$A$7:$A$306,Employees!$A$30,'Leave log'!$B$7:$B$306,"&lt;="&amp;DATE($B$3,1,27),'Leave log'!$C$7:$C$306,"&gt;="&amp;DATE($B$3,1,27),'Leave log'!$F$7:$F$306,"Pending")&gt;0,"P",""))))</f>
        <v/>
      </c>
      <c r="AC31" s="23" t="str">
        <f>IF(A31="","",IF(IF(OR(DATE($B$3,1,28)&gt;EOMONTH(DATE($B$3,1,1),0),NETWORKDAYS.INTL(DATE($B$3,1,28),DATE($B$3,1,28),1,'Non-working days'!$A$6:$A$45)=0),"",IF(COUNTIFS('Leave log'!$A$7:$A$306,Employees!$A$30,'Leave log'!$B$7:$B$306,"&lt;="&amp;DATE($B$3,1,28),'Leave log'!$C$7:$C$306,"&gt;="&amp;DATE($B$3,1,28),'Leave log'!$F$7:$F$306,"Approved")&gt;0,"A",""))="A","A",IF(OR(DATE($B$3,1,28)&gt;EOMONTH(DATE($B$3,1,1),0),NETWORKDAYS.INTL(DATE($B$3,1,28),DATE($B$3,1,28),1,'Non-working days'!$A$6:$A$45)=0),"",IF(COUNTIFS('Leave log'!$A$7:$A$306,Employees!$A$30,'Leave log'!$B$7:$B$306,"&lt;="&amp;DATE($B$3,1,28),'Leave log'!$C$7:$C$306,"&gt;="&amp;DATE($B$3,1,28),'Leave log'!$F$7:$F$306,"Pending")&gt;0,"P",""))))</f>
        <v/>
      </c>
      <c r="AD31" s="23" t="str">
        <f>IF(A31="","",IF(IF(OR(DATE($B$3,1,29)&gt;EOMONTH(DATE($B$3,1,1),0),NETWORKDAYS.INTL(DATE($B$3,1,29),DATE($B$3,1,29),1,'Non-working days'!$A$6:$A$45)=0),"",IF(COUNTIFS('Leave log'!$A$7:$A$306,Employees!$A$30,'Leave log'!$B$7:$B$306,"&lt;="&amp;DATE($B$3,1,29),'Leave log'!$C$7:$C$306,"&gt;="&amp;DATE($B$3,1,29),'Leave log'!$F$7:$F$306,"Approved")&gt;0,"A",""))="A","A",IF(OR(DATE($B$3,1,29)&gt;EOMONTH(DATE($B$3,1,1),0),NETWORKDAYS.INTL(DATE($B$3,1,29),DATE($B$3,1,29),1,'Non-working days'!$A$6:$A$45)=0),"",IF(COUNTIFS('Leave log'!$A$7:$A$306,Employees!$A$30,'Leave log'!$B$7:$B$306,"&lt;="&amp;DATE($B$3,1,29),'Leave log'!$C$7:$C$306,"&gt;="&amp;DATE($B$3,1,29),'Leave log'!$F$7:$F$306,"Pending")&gt;0,"P",""))))</f>
        <v/>
      </c>
      <c r="AE31" s="23" t="str">
        <f>IF(A31="","",IF(IF(OR(DATE($B$3,1,30)&gt;EOMONTH(DATE($B$3,1,1),0),NETWORKDAYS.INTL(DATE($B$3,1,30),DATE($B$3,1,30),1,'Non-working days'!$A$6:$A$45)=0),"",IF(COUNTIFS('Leave log'!$A$7:$A$306,Employees!$A$30,'Leave log'!$B$7:$B$306,"&lt;="&amp;DATE($B$3,1,30),'Leave log'!$C$7:$C$306,"&gt;="&amp;DATE($B$3,1,30),'Leave log'!$F$7:$F$306,"Approved")&gt;0,"A",""))="A","A",IF(OR(DATE($B$3,1,30)&gt;EOMONTH(DATE($B$3,1,1),0),NETWORKDAYS.INTL(DATE($B$3,1,30),DATE($B$3,1,30),1,'Non-working days'!$A$6:$A$45)=0),"",IF(COUNTIFS('Leave log'!$A$7:$A$306,Employees!$A$30,'Leave log'!$B$7:$B$306,"&lt;="&amp;DATE($B$3,1,30),'Leave log'!$C$7:$C$306,"&gt;="&amp;DATE($B$3,1,30),'Leave log'!$F$7:$F$306,"Pending")&gt;0,"P",""))))</f>
        <v/>
      </c>
      <c r="AF31" s="23" t="str">
        <f>IF(A31="","",IF(IF(OR(DATE($B$3,1,31)&gt;EOMONTH(DATE($B$3,1,1),0),NETWORKDAYS.INTL(DATE($B$3,1,31),DATE($B$3,1,31),1,'Non-working days'!$A$6:$A$45)=0),"",IF(COUNTIFS('Leave log'!$A$7:$A$306,Employees!$A$30,'Leave log'!$B$7:$B$306,"&lt;="&amp;DATE($B$3,1,31),'Leave log'!$C$7:$C$306,"&gt;="&amp;DATE($B$3,1,31),'Leave log'!$F$7:$F$306,"Approved")&gt;0,"A",""))="A","A",IF(OR(DATE($B$3,1,31)&gt;EOMONTH(DATE($B$3,1,1),0),NETWORKDAYS.INTL(DATE($B$3,1,31),DATE($B$3,1,31),1,'Non-working days'!$A$6:$A$45)=0),"",IF(COUNTIFS('Leave log'!$A$7:$A$306,Employees!$A$30,'Leave log'!$B$7:$B$306,"&lt;="&amp;DATE($B$3,1,31),'Leave log'!$C$7:$C$306,"&gt;="&amp;DATE($B$3,1,31),'Leave log'!$F$7:$F$306,"Pending")&gt;0,"P",""))))</f>
        <v/>
      </c>
    </row>
    <row r="32" spans="1:32" ht="18" customHeight="1" x14ac:dyDescent="0.3">
      <c r="A32" s="22" t="str">
        <f>IF(Employees!F31="Yes",Employees!B31,"")</f>
        <v/>
      </c>
      <c r="B32" s="23" t="str">
        <f>IF(A32="","",IF(IF(OR(DATE($B$3,1,1)&gt;EOMONTH(DATE($B$3,1,1),0),NETWORKDAYS.INTL(DATE($B$3,1,1),DATE($B$3,1,1),1,'Non-working days'!$A$6:$A$45)=0),"",IF(COUNTIFS('Leave log'!$A$7:$A$306,Employees!$A$31,'Leave log'!$B$7:$B$306,"&lt;="&amp;DATE($B$3,1,1),'Leave log'!$C$7:$C$306,"&gt;="&amp;DATE($B$3,1,1),'Leave log'!$F$7:$F$306,"Approved")&gt;0,"A",""))="A","A",IF(OR(DATE($B$3,1,1)&gt;EOMONTH(DATE($B$3,1,1),0),NETWORKDAYS.INTL(DATE($B$3,1,1),DATE($B$3,1,1),1,'Non-working days'!$A$6:$A$45)=0),"",IF(COUNTIFS('Leave log'!$A$7:$A$306,Employees!$A$31,'Leave log'!$B$7:$B$306,"&lt;="&amp;DATE($B$3,1,1),'Leave log'!$C$7:$C$306,"&gt;="&amp;DATE($B$3,1,1),'Leave log'!$F$7:$F$306,"Pending")&gt;0,"P",""))))</f>
        <v/>
      </c>
      <c r="C32" s="23" t="str">
        <f>IF(A32="","",IF(IF(OR(DATE($B$3,1,2)&gt;EOMONTH(DATE($B$3,1,1),0),NETWORKDAYS.INTL(DATE($B$3,1,2),DATE($B$3,1,2),1,'Non-working days'!$A$6:$A$45)=0),"",IF(COUNTIFS('Leave log'!$A$7:$A$306,Employees!$A$31,'Leave log'!$B$7:$B$306,"&lt;="&amp;DATE($B$3,1,2),'Leave log'!$C$7:$C$306,"&gt;="&amp;DATE($B$3,1,2),'Leave log'!$F$7:$F$306,"Approved")&gt;0,"A",""))="A","A",IF(OR(DATE($B$3,1,2)&gt;EOMONTH(DATE($B$3,1,1),0),NETWORKDAYS.INTL(DATE($B$3,1,2),DATE($B$3,1,2),1,'Non-working days'!$A$6:$A$45)=0),"",IF(COUNTIFS('Leave log'!$A$7:$A$306,Employees!$A$31,'Leave log'!$B$7:$B$306,"&lt;="&amp;DATE($B$3,1,2),'Leave log'!$C$7:$C$306,"&gt;="&amp;DATE($B$3,1,2),'Leave log'!$F$7:$F$306,"Pending")&gt;0,"P",""))))</f>
        <v/>
      </c>
      <c r="D32" s="23" t="str">
        <f>IF(A32="","",IF(IF(OR(DATE($B$3,1,3)&gt;EOMONTH(DATE($B$3,1,1),0),NETWORKDAYS.INTL(DATE($B$3,1,3),DATE($B$3,1,3),1,'Non-working days'!$A$6:$A$45)=0),"",IF(COUNTIFS('Leave log'!$A$7:$A$306,Employees!$A$31,'Leave log'!$B$7:$B$306,"&lt;="&amp;DATE($B$3,1,3),'Leave log'!$C$7:$C$306,"&gt;="&amp;DATE($B$3,1,3),'Leave log'!$F$7:$F$306,"Approved")&gt;0,"A",""))="A","A",IF(OR(DATE($B$3,1,3)&gt;EOMONTH(DATE($B$3,1,1),0),NETWORKDAYS.INTL(DATE($B$3,1,3),DATE($B$3,1,3),1,'Non-working days'!$A$6:$A$45)=0),"",IF(COUNTIFS('Leave log'!$A$7:$A$306,Employees!$A$31,'Leave log'!$B$7:$B$306,"&lt;="&amp;DATE($B$3,1,3),'Leave log'!$C$7:$C$306,"&gt;="&amp;DATE($B$3,1,3),'Leave log'!$F$7:$F$306,"Pending")&gt;0,"P",""))))</f>
        <v/>
      </c>
      <c r="E32" s="23" t="str">
        <f>IF(A32="","",IF(IF(OR(DATE($B$3,1,4)&gt;EOMONTH(DATE($B$3,1,1),0),NETWORKDAYS.INTL(DATE($B$3,1,4),DATE($B$3,1,4),1,'Non-working days'!$A$6:$A$45)=0),"",IF(COUNTIFS('Leave log'!$A$7:$A$306,Employees!$A$31,'Leave log'!$B$7:$B$306,"&lt;="&amp;DATE($B$3,1,4),'Leave log'!$C$7:$C$306,"&gt;="&amp;DATE($B$3,1,4),'Leave log'!$F$7:$F$306,"Approved")&gt;0,"A",""))="A","A",IF(OR(DATE($B$3,1,4)&gt;EOMONTH(DATE($B$3,1,1),0),NETWORKDAYS.INTL(DATE($B$3,1,4),DATE($B$3,1,4),1,'Non-working days'!$A$6:$A$45)=0),"",IF(COUNTIFS('Leave log'!$A$7:$A$306,Employees!$A$31,'Leave log'!$B$7:$B$306,"&lt;="&amp;DATE($B$3,1,4),'Leave log'!$C$7:$C$306,"&gt;="&amp;DATE($B$3,1,4),'Leave log'!$F$7:$F$306,"Pending")&gt;0,"P",""))))</f>
        <v/>
      </c>
      <c r="F32" s="23" t="str">
        <f>IF(A32="","",IF(IF(OR(DATE($B$3,1,5)&gt;EOMONTH(DATE($B$3,1,1),0),NETWORKDAYS.INTL(DATE($B$3,1,5),DATE($B$3,1,5),1,'Non-working days'!$A$6:$A$45)=0),"",IF(COUNTIFS('Leave log'!$A$7:$A$306,Employees!$A$31,'Leave log'!$B$7:$B$306,"&lt;="&amp;DATE($B$3,1,5),'Leave log'!$C$7:$C$306,"&gt;="&amp;DATE($B$3,1,5),'Leave log'!$F$7:$F$306,"Approved")&gt;0,"A",""))="A","A",IF(OR(DATE($B$3,1,5)&gt;EOMONTH(DATE($B$3,1,1),0),NETWORKDAYS.INTL(DATE($B$3,1,5),DATE($B$3,1,5),1,'Non-working days'!$A$6:$A$45)=0),"",IF(COUNTIFS('Leave log'!$A$7:$A$306,Employees!$A$31,'Leave log'!$B$7:$B$306,"&lt;="&amp;DATE($B$3,1,5),'Leave log'!$C$7:$C$306,"&gt;="&amp;DATE($B$3,1,5),'Leave log'!$F$7:$F$306,"Pending")&gt;0,"P",""))))</f>
        <v/>
      </c>
      <c r="G32" s="23" t="str">
        <f>IF(A32="","",IF(IF(OR(DATE($B$3,1,6)&gt;EOMONTH(DATE($B$3,1,1),0),NETWORKDAYS.INTL(DATE($B$3,1,6),DATE($B$3,1,6),1,'Non-working days'!$A$6:$A$45)=0),"",IF(COUNTIFS('Leave log'!$A$7:$A$306,Employees!$A$31,'Leave log'!$B$7:$B$306,"&lt;="&amp;DATE($B$3,1,6),'Leave log'!$C$7:$C$306,"&gt;="&amp;DATE($B$3,1,6),'Leave log'!$F$7:$F$306,"Approved")&gt;0,"A",""))="A","A",IF(OR(DATE($B$3,1,6)&gt;EOMONTH(DATE($B$3,1,1),0),NETWORKDAYS.INTL(DATE($B$3,1,6),DATE($B$3,1,6),1,'Non-working days'!$A$6:$A$45)=0),"",IF(COUNTIFS('Leave log'!$A$7:$A$306,Employees!$A$31,'Leave log'!$B$7:$B$306,"&lt;="&amp;DATE($B$3,1,6),'Leave log'!$C$7:$C$306,"&gt;="&amp;DATE($B$3,1,6),'Leave log'!$F$7:$F$306,"Pending")&gt;0,"P",""))))</f>
        <v/>
      </c>
      <c r="H32" s="23" t="str">
        <f>IF(A32="","",IF(IF(OR(DATE($B$3,1,7)&gt;EOMONTH(DATE($B$3,1,1),0),NETWORKDAYS.INTL(DATE($B$3,1,7),DATE($B$3,1,7),1,'Non-working days'!$A$6:$A$45)=0),"",IF(COUNTIFS('Leave log'!$A$7:$A$306,Employees!$A$31,'Leave log'!$B$7:$B$306,"&lt;="&amp;DATE($B$3,1,7),'Leave log'!$C$7:$C$306,"&gt;="&amp;DATE($B$3,1,7),'Leave log'!$F$7:$F$306,"Approved")&gt;0,"A",""))="A","A",IF(OR(DATE($B$3,1,7)&gt;EOMONTH(DATE($B$3,1,1),0),NETWORKDAYS.INTL(DATE($B$3,1,7),DATE($B$3,1,7),1,'Non-working days'!$A$6:$A$45)=0),"",IF(COUNTIFS('Leave log'!$A$7:$A$306,Employees!$A$31,'Leave log'!$B$7:$B$306,"&lt;="&amp;DATE($B$3,1,7),'Leave log'!$C$7:$C$306,"&gt;="&amp;DATE($B$3,1,7),'Leave log'!$F$7:$F$306,"Pending")&gt;0,"P",""))))</f>
        <v/>
      </c>
      <c r="I32" s="23" t="str">
        <f>IF(A32="","",IF(IF(OR(DATE($B$3,1,8)&gt;EOMONTH(DATE($B$3,1,1),0),NETWORKDAYS.INTL(DATE($B$3,1,8),DATE($B$3,1,8),1,'Non-working days'!$A$6:$A$45)=0),"",IF(COUNTIFS('Leave log'!$A$7:$A$306,Employees!$A$31,'Leave log'!$B$7:$B$306,"&lt;="&amp;DATE($B$3,1,8),'Leave log'!$C$7:$C$306,"&gt;="&amp;DATE($B$3,1,8),'Leave log'!$F$7:$F$306,"Approved")&gt;0,"A",""))="A","A",IF(OR(DATE($B$3,1,8)&gt;EOMONTH(DATE($B$3,1,1),0),NETWORKDAYS.INTL(DATE($B$3,1,8),DATE($B$3,1,8),1,'Non-working days'!$A$6:$A$45)=0),"",IF(COUNTIFS('Leave log'!$A$7:$A$306,Employees!$A$31,'Leave log'!$B$7:$B$306,"&lt;="&amp;DATE($B$3,1,8),'Leave log'!$C$7:$C$306,"&gt;="&amp;DATE($B$3,1,8),'Leave log'!$F$7:$F$306,"Pending")&gt;0,"P",""))))</f>
        <v/>
      </c>
      <c r="J32" s="23" t="str">
        <f>IF(A32="","",IF(IF(OR(DATE($B$3,1,9)&gt;EOMONTH(DATE($B$3,1,1),0),NETWORKDAYS.INTL(DATE($B$3,1,9),DATE($B$3,1,9),1,'Non-working days'!$A$6:$A$45)=0),"",IF(COUNTIFS('Leave log'!$A$7:$A$306,Employees!$A$31,'Leave log'!$B$7:$B$306,"&lt;="&amp;DATE($B$3,1,9),'Leave log'!$C$7:$C$306,"&gt;="&amp;DATE($B$3,1,9),'Leave log'!$F$7:$F$306,"Approved")&gt;0,"A",""))="A","A",IF(OR(DATE($B$3,1,9)&gt;EOMONTH(DATE($B$3,1,1),0),NETWORKDAYS.INTL(DATE($B$3,1,9),DATE($B$3,1,9),1,'Non-working days'!$A$6:$A$45)=0),"",IF(COUNTIFS('Leave log'!$A$7:$A$306,Employees!$A$31,'Leave log'!$B$7:$B$306,"&lt;="&amp;DATE($B$3,1,9),'Leave log'!$C$7:$C$306,"&gt;="&amp;DATE($B$3,1,9),'Leave log'!$F$7:$F$306,"Pending")&gt;0,"P",""))))</f>
        <v/>
      </c>
      <c r="K32" s="23" t="str">
        <f>IF(A32="","",IF(IF(OR(DATE($B$3,1,10)&gt;EOMONTH(DATE($B$3,1,1),0),NETWORKDAYS.INTL(DATE($B$3,1,10),DATE($B$3,1,10),1,'Non-working days'!$A$6:$A$45)=0),"",IF(COUNTIFS('Leave log'!$A$7:$A$306,Employees!$A$31,'Leave log'!$B$7:$B$306,"&lt;="&amp;DATE($B$3,1,10),'Leave log'!$C$7:$C$306,"&gt;="&amp;DATE($B$3,1,10),'Leave log'!$F$7:$F$306,"Approved")&gt;0,"A",""))="A","A",IF(OR(DATE($B$3,1,10)&gt;EOMONTH(DATE($B$3,1,1),0),NETWORKDAYS.INTL(DATE($B$3,1,10),DATE($B$3,1,10),1,'Non-working days'!$A$6:$A$45)=0),"",IF(COUNTIFS('Leave log'!$A$7:$A$306,Employees!$A$31,'Leave log'!$B$7:$B$306,"&lt;="&amp;DATE($B$3,1,10),'Leave log'!$C$7:$C$306,"&gt;="&amp;DATE($B$3,1,10),'Leave log'!$F$7:$F$306,"Pending")&gt;0,"P",""))))</f>
        <v/>
      </c>
      <c r="L32" s="23" t="str">
        <f>IF(A32="","",IF(IF(OR(DATE($B$3,1,11)&gt;EOMONTH(DATE($B$3,1,1),0),NETWORKDAYS.INTL(DATE($B$3,1,11),DATE($B$3,1,11),1,'Non-working days'!$A$6:$A$45)=0),"",IF(COUNTIFS('Leave log'!$A$7:$A$306,Employees!$A$31,'Leave log'!$B$7:$B$306,"&lt;="&amp;DATE($B$3,1,11),'Leave log'!$C$7:$C$306,"&gt;="&amp;DATE($B$3,1,11),'Leave log'!$F$7:$F$306,"Approved")&gt;0,"A",""))="A","A",IF(OR(DATE($B$3,1,11)&gt;EOMONTH(DATE($B$3,1,1),0),NETWORKDAYS.INTL(DATE($B$3,1,11),DATE($B$3,1,11),1,'Non-working days'!$A$6:$A$45)=0),"",IF(COUNTIFS('Leave log'!$A$7:$A$306,Employees!$A$31,'Leave log'!$B$7:$B$306,"&lt;="&amp;DATE($B$3,1,11),'Leave log'!$C$7:$C$306,"&gt;="&amp;DATE($B$3,1,11),'Leave log'!$F$7:$F$306,"Pending")&gt;0,"P",""))))</f>
        <v/>
      </c>
      <c r="M32" s="23" t="str">
        <f>IF(A32="","",IF(IF(OR(DATE($B$3,1,12)&gt;EOMONTH(DATE($B$3,1,1),0),NETWORKDAYS.INTL(DATE($B$3,1,12),DATE($B$3,1,12),1,'Non-working days'!$A$6:$A$45)=0),"",IF(COUNTIFS('Leave log'!$A$7:$A$306,Employees!$A$31,'Leave log'!$B$7:$B$306,"&lt;="&amp;DATE($B$3,1,12),'Leave log'!$C$7:$C$306,"&gt;="&amp;DATE($B$3,1,12),'Leave log'!$F$7:$F$306,"Approved")&gt;0,"A",""))="A","A",IF(OR(DATE($B$3,1,12)&gt;EOMONTH(DATE($B$3,1,1),0),NETWORKDAYS.INTL(DATE($B$3,1,12),DATE($B$3,1,12),1,'Non-working days'!$A$6:$A$45)=0),"",IF(COUNTIFS('Leave log'!$A$7:$A$306,Employees!$A$31,'Leave log'!$B$7:$B$306,"&lt;="&amp;DATE($B$3,1,12),'Leave log'!$C$7:$C$306,"&gt;="&amp;DATE($B$3,1,12),'Leave log'!$F$7:$F$306,"Pending")&gt;0,"P",""))))</f>
        <v/>
      </c>
      <c r="N32" s="23" t="str">
        <f>IF(A32="","",IF(IF(OR(DATE($B$3,1,13)&gt;EOMONTH(DATE($B$3,1,1),0),NETWORKDAYS.INTL(DATE($B$3,1,13),DATE($B$3,1,13),1,'Non-working days'!$A$6:$A$45)=0),"",IF(COUNTIFS('Leave log'!$A$7:$A$306,Employees!$A$31,'Leave log'!$B$7:$B$306,"&lt;="&amp;DATE($B$3,1,13),'Leave log'!$C$7:$C$306,"&gt;="&amp;DATE($B$3,1,13),'Leave log'!$F$7:$F$306,"Approved")&gt;0,"A",""))="A","A",IF(OR(DATE($B$3,1,13)&gt;EOMONTH(DATE($B$3,1,1),0),NETWORKDAYS.INTL(DATE($B$3,1,13),DATE($B$3,1,13),1,'Non-working days'!$A$6:$A$45)=0),"",IF(COUNTIFS('Leave log'!$A$7:$A$306,Employees!$A$31,'Leave log'!$B$7:$B$306,"&lt;="&amp;DATE($B$3,1,13),'Leave log'!$C$7:$C$306,"&gt;="&amp;DATE($B$3,1,13),'Leave log'!$F$7:$F$306,"Pending")&gt;0,"P",""))))</f>
        <v/>
      </c>
      <c r="O32" s="23" t="str">
        <f>IF(A32="","",IF(IF(OR(DATE($B$3,1,14)&gt;EOMONTH(DATE($B$3,1,1),0),NETWORKDAYS.INTL(DATE($B$3,1,14),DATE($B$3,1,14),1,'Non-working days'!$A$6:$A$45)=0),"",IF(COUNTIFS('Leave log'!$A$7:$A$306,Employees!$A$31,'Leave log'!$B$7:$B$306,"&lt;="&amp;DATE($B$3,1,14),'Leave log'!$C$7:$C$306,"&gt;="&amp;DATE($B$3,1,14),'Leave log'!$F$7:$F$306,"Approved")&gt;0,"A",""))="A","A",IF(OR(DATE($B$3,1,14)&gt;EOMONTH(DATE($B$3,1,1),0),NETWORKDAYS.INTL(DATE($B$3,1,14),DATE($B$3,1,14),1,'Non-working days'!$A$6:$A$45)=0),"",IF(COUNTIFS('Leave log'!$A$7:$A$306,Employees!$A$31,'Leave log'!$B$7:$B$306,"&lt;="&amp;DATE($B$3,1,14),'Leave log'!$C$7:$C$306,"&gt;="&amp;DATE($B$3,1,14),'Leave log'!$F$7:$F$306,"Pending")&gt;0,"P",""))))</f>
        <v/>
      </c>
      <c r="P32" s="23" t="str">
        <f>IF(A32="","",IF(IF(OR(DATE($B$3,1,15)&gt;EOMONTH(DATE($B$3,1,1),0),NETWORKDAYS.INTL(DATE($B$3,1,15),DATE($B$3,1,15),1,'Non-working days'!$A$6:$A$45)=0),"",IF(COUNTIFS('Leave log'!$A$7:$A$306,Employees!$A$31,'Leave log'!$B$7:$B$306,"&lt;="&amp;DATE($B$3,1,15),'Leave log'!$C$7:$C$306,"&gt;="&amp;DATE($B$3,1,15),'Leave log'!$F$7:$F$306,"Approved")&gt;0,"A",""))="A","A",IF(OR(DATE($B$3,1,15)&gt;EOMONTH(DATE($B$3,1,1),0),NETWORKDAYS.INTL(DATE($B$3,1,15),DATE($B$3,1,15),1,'Non-working days'!$A$6:$A$45)=0),"",IF(COUNTIFS('Leave log'!$A$7:$A$306,Employees!$A$31,'Leave log'!$B$7:$B$306,"&lt;="&amp;DATE($B$3,1,15),'Leave log'!$C$7:$C$306,"&gt;="&amp;DATE($B$3,1,15),'Leave log'!$F$7:$F$306,"Pending")&gt;0,"P",""))))</f>
        <v/>
      </c>
      <c r="Q32" s="23" t="str">
        <f>IF(A32="","",IF(IF(OR(DATE($B$3,1,16)&gt;EOMONTH(DATE($B$3,1,1),0),NETWORKDAYS.INTL(DATE($B$3,1,16),DATE($B$3,1,16),1,'Non-working days'!$A$6:$A$45)=0),"",IF(COUNTIFS('Leave log'!$A$7:$A$306,Employees!$A$31,'Leave log'!$B$7:$B$306,"&lt;="&amp;DATE($B$3,1,16),'Leave log'!$C$7:$C$306,"&gt;="&amp;DATE($B$3,1,16),'Leave log'!$F$7:$F$306,"Approved")&gt;0,"A",""))="A","A",IF(OR(DATE($B$3,1,16)&gt;EOMONTH(DATE($B$3,1,1),0),NETWORKDAYS.INTL(DATE($B$3,1,16),DATE($B$3,1,16),1,'Non-working days'!$A$6:$A$45)=0),"",IF(COUNTIFS('Leave log'!$A$7:$A$306,Employees!$A$31,'Leave log'!$B$7:$B$306,"&lt;="&amp;DATE($B$3,1,16),'Leave log'!$C$7:$C$306,"&gt;="&amp;DATE($B$3,1,16),'Leave log'!$F$7:$F$306,"Pending")&gt;0,"P",""))))</f>
        <v/>
      </c>
      <c r="R32" s="23" t="str">
        <f>IF(A32="","",IF(IF(OR(DATE($B$3,1,17)&gt;EOMONTH(DATE($B$3,1,1),0),NETWORKDAYS.INTL(DATE($B$3,1,17),DATE($B$3,1,17),1,'Non-working days'!$A$6:$A$45)=0),"",IF(COUNTIFS('Leave log'!$A$7:$A$306,Employees!$A$31,'Leave log'!$B$7:$B$306,"&lt;="&amp;DATE($B$3,1,17),'Leave log'!$C$7:$C$306,"&gt;="&amp;DATE($B$3,1,17),'Leave log'!$F$7:$F$306,"Approved")&gt;0,"A",""))="A","A",IF(OR(DATE($B$3,1,17)&gt;EOMONTH(DATE($B$3,1,1),0),NETWORKDAYS.INTL(DATE($B$3,1,17),DATE($B$3,1,17),1,'Non-working days'!$A$6:$A$45)=0),"",IF(COUNTIFS('Leave log'!$A$7:$A$306,Employees!$A$31,'Leave log'!$B$7:$B$306,"&lt;="&amp;DATE($B$3,1,17),'Leave log'!$C$7:$C$306,"&gt;="&amp;DATE($B$3,1,17),'Leave log'!$F$7:$F$306,"Pending")&gt;0,"P",""))))</f>
        <v/>
      </c>
      <c r="S32" s="23" t="str">
        <f>IF(A32="","",IF(IF(OR(DATE($B$3,1,18)&gt;EOMONTH(DATE($B$3,1,1),0),NETWORKDAYS.INTL(DATE($B$3,1,18),DATE($B$3,1,18),1,'Non-working days'!$A$6:$A$45)=0),"",IF(COUNTIFS('Leave log'!$A$7:$A$306,Employees!$A$31,'Leave log'!$B$7:$B$306,"&lt;="&amp;DATE($B$3,1,18),'Leave log'!$C$7:$C$306,"&gt;="&amp;DATE($B$3,1,18),'Leave log'!$F$7:$F$306,"Approved")&gt;0,"A",""))="A","A",IF(OR(DATE($B$3,1,18)&gt;EOMONTH(DATE($B$3,1,1),0),NETWORKDAYS.INTL(DATE($B$3,1,18),DATE($B$3,1,18),1,'Non-working days'!$A$6:$A$45)=0),"",IF(COUNTIFS('Leave log'!$A$7:$A$306,Employees!$A$31,'Leave log'!$B$7:$B$306,"&lt;="&amp;DATE($B$3,1,18),'Leave log'!$C$7:$C$306,"&gt;="&amp;DATE($B$3,1,18),'Leave log'!$F$7:$F$306,"Pending")&gt;0,"P",""))))</f>
        <v/>
      </c>
      <c r="T32" s="23" t="str">
        <f>IF(A32="","",IF(IF(OR(DATE($B$3,1,19)&gt;EOMONTH(DATE($B$3,1,1),0),NETWORKDAYS.INTL(DATE($B$3,1,19),DATE($B$3,1,19),1,'Non-working days'!$A$6:$A$45)=0),"",IF(COUNTIFS('Leave log'!$A$7:$A$306,Employees!$A$31,'Leave log'!$B$7:$B$306,"&lt;="&amp;DATE($B$3,1,19),'Leave log'!$C$7:$C$306,"&gt;="&amp;DATE($B$3,1,19),'Leave log'!$F$7:$F$306,"Approved")&gt;0,"A",""))="A","A",IF(OR(DATE($B$3,1,19)&gt;EOMONTH(DATE($B$3,1,1),0),NETWORKDAYS.INTL(DATE($B$3,1,19),DATE($B$3,1,19),1,'Non-working days'!$A$6:$A$45)=0),"",IF(COUNTIFS('Leave log'!$A$7:$A$306,Employees!$A$31,'Leave log'!$B$7:$B$306,"&lt;="&amp;DATE($B$3,1,19),'Leave log'!$C$7:$C$306,"&gt;="&amp;DATE($B$3,1,19),'Leave log'!$F$7:$F$306,"Pending")&gt;0,"P",""))))</f>
        <v/>
      </c>
      <c r="U32" s="23" t="str">
        <f>IF(A32="","",IF(IF(OR(DATE($B$3,1,20)&gt;EOMONTH(DATE($B$3,1,1),0),NETWORKDAYS.INTL(DATE($B$3,1,20),DATE($B$3,1,20),1,'Non-working days'!$A$6:$A$45)=0),"",IF(COUNTIFS('Leave log'!$A$7:$A$306,Employees!$A$31,'Leave log'!$B$7:$B$306,"&lt;="&amp;DATE($B$3,1,20),'Leave log'!$C$7:$C$306,"&gt;="&amp;DATE($B$3,1,20),'Leave log'!$F$7:$F$306,"Approved")&gt;0,"A",""))="A","A",IF(OR(DATE($B$3,1,20)&gt;EOMONTH(DATE($B$3,1,1),0),NETWORKDAYS.INTL(DATE($B$3,1,20),DATE($B$3,1,20),1,'Non-working days'!$A$6:$A$45)=0),"",IF(COUNTIFS('Leave log'!$A$7:$A$306,Employees!$A$31,'Leave log'!$B$7:$B$306,"&lt;="&amp;DATE($B$3,1,20),'Leave log'!$C$7:$C$306,"&gt;="&amp;DATE($B$3,1,20),'Leave log'!$F$7:$F$306,"Pending")&gt;0,"P",""))))</f>
        <v/>
      </c>
      <c r="V32" s="23" t="str">
        <f>IF(A32="","",IF(IF(OR(DATE($B$3,1,21)&gt;EOMONTH(DATE($B$3,1,1),0),NETWORKDAYS.INTL(DATE($B$3,1,21),DATE($B$3,1,21),1,'Non-working days'!$A$6:$A$45)=0),"",IF(COUNTIFS('Leave log'!$A$7:$A$306,Employees!$A$31,'Leave log'!$B$7:$B$306,"&lt;="&amp;DATE($B$3,1,21),'Leave log'!$C$7:$C$306,"&gt;="&amp;DATE($B$3,1,21),'Leave log'!$F$7:$F$306,"Approved")&gt;0,"A",""))="A","A",IF(OR(DATE($B$3,1,21)&gt;EOMONTH(DATE($B$3,1,1),0),NETWORKDAYS.INTL(DATE($B$3,1,21),DATE($B$3,1,21),1,'Non-working days'!$A$6:$A$45)=0),"",IF(COUNTIFS('Leave log'!$A$7:$A$306,Employees!$A$31,'Leave log'!$B$7:$B$306,"&lt;="&amp;DATE($B$3,1,21),'Leave log'!$C$7:$C$306,"&gt;="&amp;DATE($B$3,1,21),'Leave log'!$F$7:$F$306,"Pending")&gt;0,"P",""))))</f>
        <v/>
      </c>
      <c r="W32" s="23" t="str">
        <f>IF(A32="","",IF(IF(OR(DATE($B$3,1,22)&gt;EOMONTH(DATE($B$3,1,1),0),NETWORKDAYS.INTL(DATE($B$3,1,22),DATE($B$3,1,22),1,'Non-working days'!$A$6:$A$45)=0),"",IF(COUNTIFS('Leave log'!$A$7:$A$306,Employees!$A$31,'Leave log'!$B$7:$B$306,"&lt;="&amp;DATE($B$3,1,22),'Leave log'!$C$7:$C$306,"&gt;="&amp;DATE($B$3,1,22),'Leave log'!$F$7:$F$306,"Approved")&gt;0,"A",""))="A","A",IF(OR(DATE($B$3,1,22)&gt;EOMONTH(DATE($B$3,1,1),0),NETWORKDAYS.INTL(DATE($B$3,1,22),DATE($B$3,1,22),1,'Non-working days'!$A$6:$A$45)=0),"",IF(COUNTIFS('Leave log'!$A$7:$A$306,Employees!$A$31,'Leave log'!$B$7:$B$306,"&lt;="&amp;DATE($B$3,1,22),'Leave log'!$C$7:$C$306,"&gt;="&amp;DATE($B$3,1,22),'Leave log'!$F$7:$F$306,"Pending")&gt;0,"P",""))))</f>
        <v/>
      </c>
      <c r="X32" s="23" t="str">
        <f>IF(A32="","",IF(IF(OR(DATE($B$3,1,23)&gt;EOMONTH(DATE($B$3,1,1),0),NETWORKDAYS.INTL(DATE($B$3,1,23),DATE($B$3,1,23),1,'Non-working days'!$A$6:$A$45)=0),"",IF(COUNTIFS('Leave log'!$A$7:$A$306,Employees!$A$31,'Leave log'!$B$7:$B$306,"&lt;="&amp;DATE($B$3,1,23),'Leave log'!$C$7:$C$306,"&gt;="&amp;DATE($B$3,1,23),'Leave log'!$F$7:$F$306,"Approved")&gt;0,"A",""))="A","A",IF(OR(DATE($B$3,1,23)&gt;EOMONTH(DATE($B$3,1,1),0),NETWORKDAYS.INTL(DATE($B$3,1,23),DATE($B$3,1,23),1,'Non-working days'!$A$6:$A$45)=0),"",IF(COUNTIFS('Leave log'!$A$7:$A$306,Employees!$A$31,'Leave log'!$B$7:$B$306,"&lt;="&amp;DATE($B$3,1,23),'Leave log'!$C$7:$C$306,"&gt;="&amp;DATE($B$3,1,23),'Leave log'!$F$7:$F$306,"Pending")&gt;0,"P",""))))</f>
        <v/>
      </c>
      <c r="Y32" s="23" t="str">
        <f>IF(A32="","",IF(IF(OR(DATE($B$3,1,24)&gt;EOMONTH(DATE($B$3,1,1),0),NETWORKDAYS.INTL(DATE($B$3,1,24),DATE($B$3,1,24),1,'Non-working days'!$A$6:$A$45)=0),"",IF(COUNTIFS('Leave log'!$A$7:$A$306,Employees!$A$31,'Leave log'!$B$7:$B$306,"&lt;="&amp;DATE($B$3,1,24),'Leave log'!$C$7:$C$306,"&gt;="&amp;DATE($B$3,1,24),'Leave log'!$F$7:$F$306,"Approved")&gt;0,"A",""))="A","A",IF(OR(DATE($B$3,1,24)&gt;EOMONTH(DATE($B$3,1,1),0),NETWORKDAYS.INTL(DATE($B$3,1,24),DATE($B$3,1,24),1,'Non-working days'!$A$6:$A$45)=0),"",IF(COUNTIFS('Leave log'!$A$7:$A$306,Employees!$A$31,'Leave log'!$B$7:$B$306,"&lt;="&amp;DATE($B$3,1,24),'Leave log'!$C$7:$C$306,"&gt;="&amp;DATE($B$3,1,24),'Leave log'!$F$7:$F$306,"Pending")&gt;0,"P",""))))</f>
        <v/>
      </c>
      <c r="Z32" s="23" t="str">
        <f>IF(A32="","",IF(IF(OR(DATE($B$3,1,25)&gt;EOMONTH(DATE($B$3,1,1),0),NETWORKDAYS.INTL(DATE($B$3,1,25),DATE($B$3,1,25),1,'Non-working days'!$A$6:$A$45)=0),"",IF(COUNTIFS('Leave log'!$A$7:$A$306,Employees!$A$31,'Leave log'!$B$7:$B$306,"&lt;="&amp;DATE($B$3,1,25),'Leave log'!$C$7:$C$306,"&gt;="&amp;DATE($B$3,1,25),'Leave log'!$F$7:$F$306,"Approved")&gt;0,"A",""))="A","A",IF(OR(DATE($B$3,1,25)&gt;EOMONTH(DATE($B$3,1,1),0),NETWORKDAYS.INTL(DATE($B$3,1,25),DATE($B$3,1,25),1,'Non-working days'!$A$6:$A$45)=0),"",IF(COUNTIFS('Leave log'!$A$7:$A$306,Employees!$A$31,'Leave log'!$B$7:$B$306,"&lt;="&amp;DATE($B$3,1,25),'Leave log'!$C$7:$C$306,"&gt;="&amp;DATE($B$3,1,25),'Leave log'!$F$7:$F$306,"Pending")&gt;0,"P",""))))</f>
        <v/>
      </c>
      <c r="AA32" s="23" t="str">
        <f>IF(A32="","",IF(IF(OR(DATE($B$3,1,26)&gt;EOMONTH(DATE($B$3,1,1),0),NETWORKDAYS.INTL(DATE($B$3,1,26),DATE($B$3,1,26),1,'Non-working days'!$A$6:$A$45)=0),"",IF(COUNTIFS('Leave log'!$A$7:$A$306,Employees!$A$31,'Leave log'!$B$7:$B$306,"&lt;="&amp;DATE($B$3,1,26),'Leave log'!$C$7:$C$306,"&gt;="&amp;DATE($B$3,1,26),'Leave log'!$F$7:$F$306,"Approved")&gt;0,"A",""))="A","A",IF(OR(DATE($B$3,1,26)&gt;EOMONTH(DATE($B$3,1,1),0),NETWORKDAYS.INTL(DATE($B$3,1,26),DATE($B$3,1,26),1,'Non-working days'!$A$6:$A$45)=0),"",IF(COUNTIFS('Leave log'!$A$7:$A$306,Employees!$A$31,'Leave log'!$B$7:$B$306,"&lt;="&amp;DATE($B$3,1,26),'Leave log'!$C$7:$C$306,"&gt;="&amp;DATE($B$3,1,26),'Leave log'!$F$7:$F$306,"Pending")&gt;0,"P",""))))</f>
        <v/>
      </c>
      <c r="AB32" s="23" t="str">
        <f>IF(A32="","",IF(IF(OR(DATE($B$3,1,27)&gt;EOMONTH(DATE($B$3,1,1),0),NETWORKDAYS.INTL(DATE($B$3,1,27),DATE($B$3,1,27),1,'Non-working days'!$A$6:$A$45)=0),"",IF(COUNTIFS('Leave log'!$A$7:$A$306,Employees!$A$31,'Leave log'!$B$7:$B$306,"&lt;="&amp;DATE($B$3,1,27),'Leave log'!$C$7:$C$306,"&gt;="&amp;DATE($B$3,1,27),'Leave log'!$F$7:$F$306,"Approved")&gt;0,"A",""))="A","A",IF(OR(DATE($B$3,1,27)&gt;EOMONTH(DATE($B$3,1,1),0),NETWORKDAYS.INTL(DATE($B$3,1,27),DATE($B$3,1,27),1,'Non-working days'!$A$6:$A$45)=0),"",IF(COUNTIFS('Leave log'!$A$7:$A$306,Employees!$A$31,'Leave log'!$B$7:$B$306,"&lt;="&amp;DATE($B$3,1,27),'Leave log'!$C$7:$C$306,"&gt;="&amp;DATE($B$3,1,27),'Leave log'!$F$7:$F$306,"Pending")&gt;0,"P",""))))</f>
        <v/>
      </c>
      <c r="AC32" s="23" t="str">
        <f>IF(A32="","",IF(IF(OR(DATE($B$3,1,28)&gt;EOMONTH(DATE($B$3,1,1),0),NETWORKDAYS.INTL(DATE($B$3,1,28),DATE($B$3,1,28),1,'Non-working days'!$A$6:$A$45)=0),"",IF(COUNTIFS('Leave log'!$A$7:$A$306,Employees!$A$31,'Leave log'!$B$7:$B$306,"&lt;="&amp;DATE($B$3,1,28),'Leave log'!$C$7:$C$306,"&gt;="&amp;DATE($B$3,1,28),'Leave log'!$F$7:$F$306,"Approved")&gt;0,"A",""))="A","A",IF(OR(DATE($B$3,1,28)&gt;EOMONTH(DATE($B$3,1,1),0),NETWORKDAYS.INTL(DATE($B$3,1,28),DATE($B$3,1,28),1,'Non-working days'!$A$6:$A$45)=0),"",IF(COUNTIFS('Leave log'!$A$7:$A$306,Employees!$A$31,'Leave log'!$B$7:$B$306,"&lt;="&amp;DATE($B$3,1,28),'Leave log'!$C$7:$C$306,"&gt;="&amp;DATE($B$3,1,28),'Leave log'!$F$7:$F$306,"Pending")&gt;0,"P",""))))</f>
        <v/>
      </c>
      <c r="AD32" s="23" t="str">
        <f>IF(A32="","",IF(IF(OR(DATE($B$3,1,29)&gt;EOMONTH(DATE($B$3,1,1),0),NETWORKDAYS.INTL(DATE($B$3,1,29),DATE($B$3,1,29),1,'Non-working days'!$A$6:$A$45)=0),"",IF(COUNTIFS('Leave log'!$A$7:$A$306,Employees!$A$31,'Leave log'!$B$7:$B$306,"&lt;="&amp;DATE($B$3,1,29),'Leave log'!$C$7:$C$306,"&gt;="&amp;DATE($B$3,1,29),'Leave log'!$F$7:$F$306,"Approved")&gt;0,"A",""))="A","A",IF(OR(DATE($B$3,1,29)&gt;EOMONTH(DATE($B$3,1,1),0),NETWORKDAYS.INTL(DATE($B$3,1,29),DATE($B$3,1,29),1,'Non-working days'!$A$6:$A$45)=0),"",IF(COUNTIFS('Leave log'!$A$7:$A$306,Employees!$A$31,'Leave log'!$B$7:$B$306,"&lt;="&amp;DATE($B$3,1,29),'Leave log'!$C$7:$C$306,"&gt;="&amp;DATE($B$3,1,29),'Leave log'!$F$7:$F$306,"Pending")&gt;0,"P",""))))</f>
        <v/>
      </c>
      <c r="AE32" s="23" t="str">
        <f>IF(A32="","",IF(IF(OR(DATE($B$3,1,30)&gt;EOMONTH(DATE($B$3,1,1),0),NETWORKDAYS.INTL(DATE($B$3,1,30),DATE($B$3,1,30),1,'Non-working days'!$A$6:$A$45)=0),"",IF(COUNTIFS('Leave log'!$A$7:$A$306,Employees!$A$31,'Leave log'!$B$7:$B$306,"&lt;="&amp;DATE($B$3,1,30),'Leave log'!$C$7:$C$306,"&gt;="&amp;DATE($B$3,1,30),'Leave log'!$F$7:$F$306,"Approved")&gt;0,"A",""))="A","A",IF(OR(DATE($B$3,1,30)&gt;EOMONTH(DATE($B$3,1,1),0),NETWORKDAYS.INTL(DATE($B$3,1,30),DATE($B$3,1,30),1,'Non-working days'!$A$6:$A$45)=0),"",IF(COUNTIFS('Leave log'!$A$7:$A$306,Employees!$A$31,'Leave log'!$B$7:$B$306,"&lt;="&amp;DATE($B$3,1,30),'Leave log'!$C$7:$C$306,"&gt;="&amp;DATE($B$3,1,30),'Leave log'!$F$7:$F$306,"Pending")&gt;0,"P",""))))</f>
        <v/>
      </c>
      <c r="AF32" s="23" t="str">
        <f>IF(A32="","",IF(IF(OR(DATE($B$3,1,31)&gt;EOMONTH(DATE($B$3,1,1),0),NETWORKDAYS.INTL(DATE($B$3,1,31),DATE($B$3,1,31),1,'Non-working days'!$A$6:$A$45)=0),"",IF(COUNTIFS('Leave log'!$A$7:$A$306,Employees!$A$31,'Leave log'!$B$7:$B$306,"&lt;="&amp;DATE($B$3,1,31),'Leave log'!$C$7:$C$306,"&gt;="&amp;DATE($B$3,1,31),'Leave log'!$F$7:$F$306,"Approved")&gt;0,"A",""))="A","A",IF(OR(DATE($B$3,1,31)&gt;EOMONTH(DATE($B$3,1,1),0),NETWORKDAYS.INTL(DATE($B$3,1,31),DATE($B$3,1,31),1,'Non-working days'!$A$6:$A$45)=0),"",IF(COUNTIFS('Leave log'!$A$7:$A$306,Employees!$A$31,'Leave log'!$B$7:$B$306,"&lt;="&amp;DATE($B$3,1,31),'Leave log'!$C$7:$C$306,"&gt;="&amp;DATE($B$3,1,31),'Leave log'!$F$7:$F$306,"Pending")&gt;0,"P",""))))</f>
        <v/>
      </c>
    </row>
    <row r="33" spans="1:32" ht="18" customHeight="1" x14ac:dyDescent="0.3">
      <c r="A33" s="22" t="str">
        <f>IF(Employees!F32="Yes",Employees!B32,"")</f>
        <v/>
      </c>
      <c r="B33" s="23" t="str">
        <f>IF(A33="","",IF(IF(OR(DATE($B$3,1,1)&gt;EOMONTH(DATE($B$3,1,1),0),NETWORKDAYS.INTL(DATE($B$3,1,1),DATE($B$3,1,1),1,'Non-working days'!$A$6:$A$45)=0),"",IF(COUNTIFS('Leave log'!$A$7:$A$306,Employees!$A$32,'Leave log'!$B$7:$B$306,"&lt;="&amp;DATE($B$3,1,1),'Leave log'!$C$7:$C$306,"&gt;="&amp;DATE($B$3,1,1),'Leave log'!$F$7:$F$306,"Approved")&gt;0,"A",""))="A","A",IF(OR(DATE($B$3,1,1)&gt;EOMONTH(DATE($B$3,1,1),0),NETWORKDAYS.INTL(DATE($B$3,1,1),DATE($B$3,1,1),1,'Non-working days'!$A$6:$A$45)=0),"",IF(COUNTIFS('Leave log'!$A$7:$A$306,Employees!$A$32,'Leave log'!$B$7:$B$306,"&lt;="&amp;DATE($B$3,1,1),'Leave log'!$C$7:$C$306,"&gt;="&amp;DATE($B$3,1,1),'Leave log'!$F$7:$F$306,"Pending")&gt;0,"P",""))))</f>
        <v/>
      </c>
      <c r="C33" s="23" t="str">
        <f>IF(A33="","",IF(IF(OR(DATE($B$3,1,2)&gt;EOMONTH(DATE($B$3,1,1),0),NETWORKDAYS.INTL(DATE($B$3,1,2),DATE($B$3,1,2),1,'Non-working days'!$A$6:$A$45)=0),"",IF(COUNTIFS('Leave log'!$A$7:$A$306,Employees!$A$32,'Leave log'!$B$7:$B$306,"&lt;="&amp;DATE($B$3,1,2),'Leave log'!$C$7:$C$306,"&gt;="&amp;DATE($B$3,1,2),'Leave log'!$F$7:$F$306,"Approved")&gt;0,"A",""))="A","A",IF(OR(DATE($B$3,1,2)&gt;EOMONTH(DATE($B$3,1,1),0),NETWORKDAYS.INTL(DATE($B$3,1,2),DATE($B$3,1,2),1,'Non-working days'!$A$6:$A$45)=0),"",IF(COUNTIFS('Leave log'!$A$7:$A$306,Employees!$A$32,'Leave log'!$B$7:$B$306,"&lt;="&amp;DATE($B$3,1,2),'Leave log'!$C$7:$C$306,"&gt;="&amp;DATE($B$3,1,2),'Leave log'!$F$7:$F$306,"Pending")&gt;0,"P",""))))</f>
        <v/>
      </c>
      <c r="D33" s="23" t="str">
        <f>IF(A33="","",IF(IF(OR(DATE($B$3,1,3)&gt;EOMONTH(DATE($B$3,1,1),0),NETWORKDAYS.INTL(DATE($B$3,1,3),DATE($B$3,1,3),1,'Non-working days'!$A$6:$A$45)=0),"",IF(COUNTIFS('Leave log'!$A$7:$A$306,Employees!$A$32,'Leave log'!$B$7:$B$306,"&lt;="&amp;DATE($B$3,1,3),'Leave log'!$C$7:$C$306,"&gt;="&amp;DATE($B$3,1,3),'Leave log'!$F$7:$F$306,"Approved")&gt;0,"A",""))="A","A",IF(OR(DATE($B$3,1,3)&gt;EOMONTH(DATE($B$3,1,1),0),NETWORKDAYS.INTL(DATE($B$3,1,3),DATE($B$3,1,3),1,'Non-working days'!$A$6:$A$45)=0),"",IF(COUNTIFS('Leave log'!$A$7:$A$306,Employees!$A$32,'Leave log'!$B$7:$B$306,"&lt;="&amp;DATE($B$3,1,3),'Leave log'!$C$7:$C$306,"&gt;="&amp;DATE($B$3,1,3),'Leave log'!$F$7:$F$306,"Pending")&gt;0,"P",""))))</f>
        <v/>
      </c>
      <c r="E33" s="23" t="str">
        <f>IF(A33="","",IF(IF(OR(DATE($B$3,1,4)&gt;EOMONTH(DATE($B$3,1,1),0),NETWORKDAYS.INTL(DATE($B$3,1,4),DATE($B$3,1,4),1,'Non-working days'!$A$6:$A$45)=0),"",IF(COUNTIFS('Leave log'!$A$7:$A$306,Employees!$A$32,'Leave log'!$B$7:$B$306,"&lt;="&amp;DATE($B$3,1,4),'Leave log'!$C$7:$C$306,"&gt;="&amp;DATE($B$3,1,4),'Leave log'!$F$7:$F$306,"Approved")&gt;0,"A",""))="A","A",IF(OR(DATE($B$3,1,4)&gt;EOMONTH(DATE($B$3,1,1),0),NETWORKDAYS.INTL(DATE($B$3,1,4),DATE($B$3,1,4),1,'Non-working days'!$A$6:$A$45)=0),"",IF(COUNTIFS('Leave log'!$A$7:$A$306,Employees!$A$32,'Leave log'!$B$7:$B$306,"&lt;="&amp;DATE($B$3,1,4),'Leave log'!$C$7:$C$306,"&gt;="&amp;DATE($B$3,1,4),'Leave log'!$F$7:$F$306,"Pending")&gt;0,"P",""))))</f>
        <v/>
      </c>
      <c r="F33" s="23" t="str">
        <f>IF(A33="","",IF(IF(OR(DATE($B$3,1,5)&gt;EOMONTH(DATE($B$3,1,1),0),NETWORKDAYS.INTL(DATE($B$3,1,5),DATE($B$3,1,5),1,'Non-working days'!$A$6:$A$45)=0),"",IF(COUNTIFS('Leave log'!$A$7:$A$306,Employees!$A$32,'Leave log'!$B$7:$B$306,"&lt;="&amp;DATE($B$3,1,5),'Leave log'!$C$7:$C$306,"&gt;="&amp;DATE($B$3,1,5),'Leave log'!$F$7:$F$306,"Approved")&gt;0,"A",""))="A","A",IF(OR(DATE($B$3,1,5)&gt;EOMONTH(DATE($B$3,1,1),0),NETWORKDAYS.INTL(DATE($B$3,1,5),DATE($B$3,1,5),1,'Non-working days'!$A$6:$A$45)=0),"",IF(COUNTIFS('Leave log'!$A$7:$A$306,Employees!$A$32,'Leave log'!$B$7:$B$306,"&lt;="&amp;DATE($B$3,1,5),'Leave log'!$C$7:$C$306,"&gt;="&amp;DATE($B$3,1,5),'Leave log'!$F$7:$F$306,"Pending")&gt;0,"P",""))))</f>
        <v/>
      </c>
      <c r="G33" s="23" t="str">
        <f>IF(A33="","",IF(IF(OR(DATE($B$3,1,6)&gt;EOMONTH(DATE($B$3,1,1),0),NETWORKDAYS.INTL(DATE($B$3,1,6),DATE($B$3,1,6),1,'Non-working days'!$A$6:$A$45)=0),"",IF(COUNTIFS('Leave log'!$A$7:$A$306,Employees!$A$32,'Leave log'!$B$7:$B$306,"&lt;="&amp;DATE($B$3,1,6),'Leave log'!$C$7:$C$306,"&gt;="&amp;DATE($B$3,1,6),'Leave log'!$F$7:$F$306,"Approved")&gt;0,"A",""))="A","A",IF(OR(DATE($B$3,1,6)&gt;EOMONTH(DATE($B$3,1,1),0),NETWORKDAYS.INTL(DATE($B$3,1,6),DATE($B$3,1,6),1,'Non-working days'!$A$6:$A$45)=0),"",IF(COUNTIFS('Leave log'!$A$7:$A$306,Employees!$A$32,'Leave log'!$B$7:$B$306,"&lt;="&amp;DATE($B$3,1,6),'Leave log'!$C$7:$C$306,"&gt;="&amp;DATE($B$3,1,6),'Leave log'!$F$7:$F$306,"Pending")&gt;0,"P",""))))</f>
        <v/>
      </c>
      <c r="H33" s="23" t="str">
        <f>IF(A33="","",IF(IF(OR(DATE($B$3,1,7)&gt;EOMONTH(DATE($B$3,1,1),0),NETWORKDAYS.INTL(DATE($B$3,1,7),DATE($B$3,1,7),1,'Non-working days'!$A$6:$A$45)=0),"",IF(COUNTIFS('Leave log'!$A$7:$A$306,Employees!$A$32,'Leave log'!$B$7:$B$306,"&lt;="&amp;DATE($B$3,1,7),'Leave log'!$C$7:$C$306,"&gt;="&amp;DATE($B$3,1,7),'Leave log'!$F$7:$F$306,"Approved")&gt;0,"A",""))="A","A",IF(OR(DATE($B$3,1,7)&gt;EOMONTH(DATE($B$3,1,1),0),NETWORKDAYS.INTL(DATE($B$3,1,7),DATE($B$3,1,7),1,'Non-working days'!$A$6:$A$45)=0),"",IF(COUNTIFS('Leave log'!$A$7:$A$306,Employees!$A$32,'Leave log'!$B$7:$B$306,"&lt;="&amp;DATE($B$3,1,7),'Leave log'!$C$7:$C$306,"&gt;="&amp;DATE($B$3,1,7),'Leave log'!$F$7:$F$306,"Pending")&gt;0,"P",""))))</f>
        <v/>
      </c>
      <c r="I33" s="23" t="str">
        <f>IF(A33="","",IF(IF(OR(DATE($B$3,1,8)&gt;EOMONTH(DATE($B$3,1,1),0),NETWORKDAYS.INTL(DATE($B$3,1,8),DATE($B$3,1,8),1,'Non-working days'!$A$6:$A$45)=0),"",IF(COUNTIFS('Leave log'!$A$7:$A$306,Employees!$A$32,'Leave log'!$B$7:$B$306,"&lt;="&amp;DATE($B$3,1,8),'Leave log'!$C$7:$C$306,"&gt;="&amp;DATE($B$3,1,8),'Leave log'!$F$7:$F$306,"Approved")&gt;0,"A",""))="A","A",IF(OR(DATE($B$3,1,8)&gt;EOMONTH(DATE($B$3,1,1),0),NETWORKDAYS.INTL(DATE($B$3,1,8),DATE($B$3,1,8),1,'Non-working days'!$A$6:$A$45)=0),"",IF(COUNTIFS('Leave log'!$A$7:$A$306,Employees!$A$32,'Leave log'!$B$7:$B$306,"&lt;="&amp;DATE($B$3,1,8),'Leave log'!$C$7:$C$306,"&gt;="&amp;DATE($B$3,1,8),'Leave log'!$F$7:$F$306,"Pending")&gt;0,"P",""))))</f>
        <v/>
      </c>
      <c r="J33" s="23" t="str">
        <f>IF(A33="","",IF(IF(OR(DATE($B$3,1,9)&gt;EOMONTH(DATE($B$3,1,1),0),NETWORKDAYS.INTL(DATE($B$3,1,9),DATE($B$3,1,9),1,'Non-working days'!$A$6:$A$45)=0),"",IF(COUNTIFS('Leave log'!$A$7:$A$306,Employees!$A$32,'Leave log'!$B$7:$B$306,"&lt;="&amp;DATE($B$3,1,9),'Leave log'!$C$7:$C$306,"&gt;="&amp;DATE($B$3,1,9),'Leave log'!$F$7:$F$306,"Approved")&gt;0,"A",""))="A","A",IF(OR(DATE($B$3,1,9)&gt;EOMONTH(DATE($B$3,1,1),0),NETWORKDAYS.INTL(DATE($B$3,1,9),DATE($B$3,1,9),1,'Non-working days'!$A$6:$A$45)=0),"",IF(COUNTIFS('Leave log'!$A$7:$A$306,Employees!$A$32,'Leave log'!$B$7:$B$306,"&lt;="&amp;DATE($B$3,1,9),'Leave log'!$C$7:$C$306,"&gt;="&amp;DATE($B$3,1,9),'Leave log'!$F$7:$F$306,"Pending")&gt;0,"P",""))))</f>
        <v/>
      </c>
      <c r="K33" s="23" t="str">
        <f>IF(A33="","",IF(IF(OR(DATE($B$3,1,10)&gt;EOMONTH(DATE($B$3,1,1),0),NETWORKDAYS.INTL(DATE($B$3,1,10),DATE($B$3,1,10),1,'Non-working days'!$A$6:$A$45)=0),"",IF(COUNTIFS('Leave log'!$A$7:$A$306,Employees!$A$32,'Leave log'!$B$7:$B$306,"&lt;="&amp;DATE($B$3,1,10),'Leave log'!$C$7:$C$306,"&gt;="&amp;DATE($B$3,1,10),'Leave log'!$F$7:$F$306,"Approved")&gt;0,"A",""))="A","A",IF(OR(DATE($B$3,1,10)&gt;EOMONTH(DATE($B$3,1,1),0),NETWORKDAYS.INTL(DATE($B$3,1,10),DATE($B$3,1,10),1,'Non-working days'!$A$6:$A$45)=0),"",IF(COUNTIFS('Leave log'!$A$7:$A$306,Employees!$A$32,'Leave log'!$B$7:$B$306,"&lt;="&amp;DATE($B$3,1,10),'Leave log'!$C$7:$C$306,"&gt;="&amp;DATE($B$3,1,10),'Leave log'!$F$7:$F$306,"Pending")&gt;0,"P",""))))</f>
        <v/>
      </c>
      <c r="L33" s="23" t="str">
        <f>IF(A33="","",IF(IF(OR(DATE($B$3,1,11)&gt;EOMONTH(DATE($B$3,1,1),0),NETWORKDAYS.INTL(DATE($B$3,1,11),DATE($B$3,1,11),1,'Non-working days'!$A$6:$A$45)=0),"",IF(COUNTIFS('Leave log'!$A$7:$A$306,Employees!$A$32,'Leave log'!$B$7:$B$306,"&lt;="&amp;DATE($B$3,1,11),'Leave log'!$C$7:$C$306,"&gt;="&amp;DATE($B$3,1,11),'Leave log'!$F$7:$F$306,"Approved")&gt;0,"A",""))="A","A",IF(OR(DATE($B$3,1,11)&gt;EOMONTH(DATE($B$3,1,1),0),NETWORKDAYS.INTL(DATE($B$3,1,11),DATE($B$3,1,11),1,'Non-working days'!$A$6:$A$45)=0),"",IF(COUNTIFS('Leave log'!$A$7:$A$306,Employees!$A$32,'Leave log'!$B$7:$B$306,"&lt;="&amp;DATE($B$3,1,11),'Leave log'!$C$7:$C$306,"&gt;="&amp;DATE($B$3,1,11),'Leave log'!$F$7:$F$306,"Pending")&gt;0,"P",""))))</f>
        <v/>
      </c>
      <c r="M33" s="23" t="str">
        <f>IF(A33="","",IF(IF(OR(DATE($B$3,1,12)&gt;EOMONTH(DATE($B$3,1,1),0),NETWORKDAYS.INTL(DATE($B$3,1,12),DATE($B$3,1,12),1,'Non-working days'!$A$6:$A$45)=0),"",IF(COUNTIFS('Leave log'!$A$7:$A$306,Employees!$A$32,'Leave log'!$B$7:$B$306,"&lt;="&amp;DATE($B$3,1,12),'Leave log'!$C$7:$C$306,"&gt;="&amp;DATE($B$3,1,12),'Leave log'!$F$7:$F$306,"Approved")&gt;0,"A",""))="A","A",IF(OR(DATE($B$3,1,12)&gt;EOMONTH(DATE($B$3,1,1),0),NETWORKDAYS.INTL(DATE($B$3,1,12),DATE($B$3,1,12),1,'Non-working days'!$A$6:$A$45)=0),"",IF(COUNTIFS('Leave log'!$A$7:$A$306,Employees!$A$32,'Leave log'!$B$7:$B$306,"&lt;="&amp;DATE($B$3,1,12),'Leave log'!$C$7:$C$306,"&gt;="&amp;DATE($B$3,1,12),'Leave log'!$F$7:$F$306,"Pending")&gt;0,"P",""))))</f>
        <v/>
      </c>
      <c r="N33" s="23" t="str">
        <f>IF(A33="","",IF(IF(OR(DATE($B$3,1,13)&gt;EOMONTH(DATE($B$3,1,1),0),NETWORKDAYS.INTL(DATE($B$3,1,13),DATE($B$3,1,13),1,'Non-working days'!$A$6:$A$45)=0),"",IF(COUNTIFS('Leave log'!$A$7:$A$306,Employees!$A$32,'Leave log'!$B$7:$B$306,"&lt;="&amp;DATE($B$3,1,13),'Leave log'!$C$7:$C$306,"&gt;="&amp;DATE($B$3,1,13),'Leave log'!$F$7:$F$306,"Approved")&gt;0,"A",""))="A","A",IF(OR(DATE($B$3,1,13)&gt;EOMONTH(DATE($B$3,1,1),0),NETWORKDAYS.INTL(DATE($B$3,1,13),DATE($B$3,1,13),1,'Non-working days'!$A$6:$A$45)=0),"",IF(COUNTIFS('Leave log'!$A$7:$A$306,Employees!$A$32,'Leave log'!$B$7:$B$306,"&lt;="&amp;DATE($B$3,1,13),'Leave log'!$C$7:$C$306,"&gt;="&amp;DATE($B$3,1,13),'Leave log'!$F$7:$F$306,"Pending")&gt;0,"P",""))))</f>
        <v/>
      </c>
      <c r="O33" s="23" t="str">
        <f>IF(A33="","",IF(IF(OR(DATE($B$3,1,14)&gt;EOMONTH(DATE($B$3,1,1),0),NETWORKDAYS.INTL(DATE($B$3,1,14),DATE($B$3,1,14),1,'Non-working days'!$A$6:$A$45)=0),"",IF(COUNTIFS('Leave log'!$A$7:$A$306,Employees!$A$32,'Leave log'!$B$7:$B$306,"&lt;="&amp;DATE($B$3,1,14),'Leave log'!$C$7:$C$306,"&gt;="&amp;DATE($B$3,1,14),'Leave log'!$F$7:$F$306,"Approved")&gt;0,"A",""))="A","A",IF(OR(DATE($B$3,1,14)&gt;EOMONTH(DATE($B$3,1,1),0),NETWORKDAYS.INTL(DATE($B$3,1,14),DATE($B$3,1,14),1,'Non-working days'!$A$6:$A$45)=0),"",IF(COUNTIFS('Leave log'!$A$7:$A$306,Employees!$A$32,'Leave log'!$B$7:$B$306,"&lt;="&amp;DATE($B$3,1,14),'Leave log'!$C$7:$C$306,"&gt;="&amp;DATE($B$3,1,14),'Leave log'!$F$7:$F$306,"Pending")&gt;0,"P",""))))</f>
        <v/>
      </c>
      <c r="P33" s="23" t="str">
        <f>IF(A33="","",IF(IF(OR(DATE($B$3,1,15)&gt;EOMONTH(DATE($B$3,1,1),0),NETWORKDAYS.INTL(DATE($B$3,1,15),DATE($B$3,1,15),1,'Non-working days'!$A$6:$A$45)=0),"",IF(COUNTIFS('Leave log'!$A$7:$A$306,Employees!$A$32,'Leave log'!$B$7:$B$306,"&lt;="&amp;DATE($B$3,1,15),'Leave log'!$C$7:$C$306,"&gt;="&amp;DATE($B$3,1,15),'Leave log'!$F$7:$F$306,"Approved")&gt;0,"A",""))="A","A",IF(OR(DATE($B$3,1,15)&gt;EOMONTH(DATE($B$3,1,1),0),NETWORKDAYS.INTL(DATE($B$3,1,15),DATE($B$3,1,15),1,'Non-working days'!$A$6:$A$45)=0),"",IF(COUNTIFS('Leave log'!$A$7:$A$306,Employees!$A$32,'Leave log'!$B$7:$B$306,"&lt;="&amp;DATE($B$3,1,15),'Leave log'!$C$7:$C$306,"&gt;="&amp;DATE($B$3,1,15),'Leave log'!$F$7:$F$306,"Pending")&gt;0,"P",""))))</f>
        <v/>
      </c>
      <c r="Q33" s="23" t="str">
        <f>IF(A33="","",IF(IF(OR(DATE($B$3,1,16)&gt;EOMONTH(DATE($B$3,1,1),0),NETWORKDAYS.INTL(DATE($B$3,1,16),DATE($B$3,1,16),1,'Non-working days'!$A$6:$A$45)=0),"",IF(COUNTIFS('Leave log'!$A$7:$A$306,Employees!$A$32,'Leave log'!$B$7:$B$306,"&lt;="&amp;DATE($B$3,1,16),'Leave log'!$C$7:$C$306,"&gt;="&amp;DATE($B$3,1,16),'Leave log'!$F$7:$F$306,"Approved")&gt;0,"A",""))="A","A",IF(OR(DATE($B$3,1,16)&gt;EOMONTH(DATE($B$3,1,1),0),NETWORKDAYS.INTL(DATE($B$3,1,16),DATE($B$3,1,16),1,'Non-working days'!$A$6:$A$45)=0),"",IF(COUNTIFS('Leave log'!$A$7:$A$306,Employees!$A$32,'Leave log'!$B$7:$B$306,"&lt;="&amp;DATE($B$3,1,16),'Leave log'!$C$7:$C$306,"&gt;="&amp;DATE($B$3,1,16),'Leave log'!$F$7:$F$306,"Pending")&gt;0,"P",""))))</f>
        <v/>
      </c>
      <c r="R33" s="23" t="str">
        <f>IF(A33="","",IF(IF(OR(DATE($B$3,1,17)&gt;EOMONTH(DATE($B$3,1,1),0),NETWORKDAYS.INTL(DATE($B$3,1,17),DATE($B$3,1,17),1,'Non-working days'!$A$6:$A$45)=0),"",IF(COUNTIFS('Leave log'!$A$7:$A$306,Employees!$A$32,'Leave log'!$B$7:$B$306,"&lt;="&amp;DATE($B$3,1,17),'Leave log'!$C$7:$C$306,"&gt;="&amp;DATE($B$3,1,17),'Leave log'!$F$7:$F$306,"Approved")&gt;0,"A",""))="A","A",IF(OR(DATE($B$3,1,17)&gt;EOMONTH(DATE($B$3,1,1),0),NETWORKDAYS.INTL(DATE($B$3,1,17),DATE($B$3,1,17),1,'Non-working days'!$A$6:$A$45)=0),"",IF(COUNTIFS('Leave log'!$A$7:$A$306,Employees!$A$32,'Leave log'!$B$7:$B$306,"&lt;="&amp;DATE($B$3,1,17),'Leave log'!$C$7:$C$306,"&gt;="&amp;DATE($B$3,1,17),'Leave log'!$F$7:$F$306,"Pending")&gt;0,"P",""))))</f>
        <v/>
      </c>
      <c r="S33" s="23" t="str">
        <f>IF(A33="","",IF(IF(OR(DATE($B$3,1,18)&gt;EOMONTH(DATE($B$3,1,1),0),NETWORKDAYS.INTL(DATE($B$3,1,18),DATE($B$3,1,18),1,'Non-working days'!$A$6:$A$45)=0),"",IF(COUNTIFS('Leave log'!$A$7:$A$306,Employees!$A$32,'Leave log'!$B$7:$B$306,"&lt;="&amp;DATE($B$3,1,18),'Leave log'!$C$7:$C$306,"&gt;="&amp;DATE($B$3,1,18),'Leave log'!$F$7:$F$306,"Approved")&gt;0,"A",""))="A","A",IF(OR(DATE($B$3,1,18)&gt;EOMONTH(DATE($B$3,1,1),0),NETWORKDAYS.INTL(DATE($B$3,1,18),DATE($B$3,1,18),1,'Non-working days'!$A$6:$A$45)=0),"",IF(COUNTIFS('Leave log'!$A$7:$A$306,Employees!$A$32,'Leave log'!$B$7:$B$306,"&lt;="&amp;DATE($B$3,1,18),'Leave log'!$C$7:$C$306,"&gt;="&amp;DATE($B$3,1,18),'Leave log'!$F$7:$F$306,"Pending")&gt;0,"P",""))))</f>
        <v/>
      </c>
      <c r="T33" s="23" t="str">
        <f>IF(A33="","",IF(IF(OR(DATE($B$3,1,19)&gt;EOMONTH(DATE($B$3,1,1),0),NETWORKDAYS.INTL(DATE($B$3,1,19),DATE($B$3,1,19),1,'Non-working days'!$A$6:$A$45)=0),"",IF(COUNTIFS('Leave log'!$A$7:$A$306,Employees!$A$32,'Leave log'!$B$7:$B$306,"&lt;="&amp;DATE($B$3,1,19),'Leave log'!$C$7:$C$306,"&gt;="&amp;DATE($B$3,1,19),'Leave log'!$F$7:$F$306,"Approved")&gt;0,"A",""))="A","A",IF(OR(DATE($B$3,1,19)&gt;EOMONTH(DATE($B$3,1,1),0),NETWORKDAYS.INTL(DATE($B$3,1,19),DATE($B$3,1,19),1,'Non-working days'!$A$6:$A$45)=0),"",IF(COUNTIFS('Leave log'!$A$7:$A$306,Employees!$A$32,'Leave log'!$B$7:$B$306,"&lt;="&amp;DATE($B$3,1,19),'Leave log'!$C$7:$C$306,"&gt;="&amp;DATE($B$3,1,19),'Leave log'!$F$7:$F$306,"Pending")&gt;0,"P",""))))</f>
        <v/>
      </c>
      <c r="U33" s="23" t="str">
        <f>IF(A33="","",IF(IF(OR(DATE($B$3,1,20)&gt;EOMONTH(DATE($B$3,1,1),0),NETWORKDAYS.INTL(DATE($B$3,1,20),DATE($B$3,1,20),1,'Non-working days'!$A$6:$A$45)=0),"",IF(COUNTIFS('Leave log'!$A$7:$A$306,Employees!$A$32,'Leave log'!$B$7:$B$306,"&lt;="&amp;DATE($B$3,1,20),'Leave log'!$C$7:$C$306,"&gt;="&amp;DATE($B$3,1,20),'Leave log'!$F$7:$F$306,"Approved")&gt;0,"A",""))="A","A",IF(OR(DATE($B$3,1,20)&gt;EOMONTH(DATE($B$3,1,1),0),NETWORKDAYS.INTL(DATE($B$3,1,20),DATE($B$3,1,20),1,'Non-working days'!$A$6:$A$45)=0),"",IF(COUNTIFS('Leave log'!$A$7:$A$306,Employees!$A$32,'Leave log'!$B$7:$B$306,"&lt;="&amp;DATE($B$3,1,20),'Leave log'!$C$7:$C$306,"&gt;="&amp;DATE($B$3,1,20),'Leave log'!$F$7:$F$306,"Pending")&gt;0,"P",""))))</f>
        <v/>
      </c>
      <c r="V33" s="23" t="str">
        <f>IF(A33="","",IF(IF(OR(DATE($B$3,1,21)&gt;EOMONTH(DATE($B$3,1,1),0),NETWORKDAYS.INTL(DATE($B$3,1,21),DATE($B$3,1,21),1,'Non-working days'!$A$6:$A$45)=0),"",IF(COUNTIFS('Leave log'!$A$7:$A$306,Employees!$A$32,'Leave log'!$B$7:$B$306,"&lt;="&amp;DATE($B$3,1,21),'Leave log'!$C$7:$C$306,"&gt;="&amp;DATE($B$3,1,21),'Leave log'!$F$7:$F$306,"Approved")&gt;0,"A",""))="A","A",IF(OR(DATE($B$3,1,21)&gt;EOMONTH(DATE($B$3,1,1),0),NETWORKDAYS.INTL(DATE($B$3,1,21),DATE($B$3,1,21),1,'Non-working days'!$A$6:$A$45)=0),"",IF(COUNTIFS('Leave log'!$A$7:$A$306,Employees!$A$32,'Leave log'!$B$7:$B$306,"&lt;="&amp;DATE($B$3,1,21),'Leave log'!$C$7:$C$306,"&gt;="&amp;DATE($B$3,1,21),'Leave log'!$F$7:$F$306,"Pending")&gt;0,"P",""))))</f>
        <v/>
      </c>
      <c r="W33" s="23" t="str">
        <f>IF(A33="","",IF(IF(OR(DATE($B$3,1,22)&gt;EOMONTH(DATE($B$3,1,1),0),NETWORKDAYS.INTL(DATE($B$3,1,22),DATE($B$3,1,22),1,'Non-working days'!$A$6:$A$45)=0),"",IF(COUNTIFS('Leave log'!$A$7:$A$306,Employees!$A$32,'Leave log'!$B$7:$B$306,"&lt;="&amp;DATE($B$3,1,22),'Leave log'!$C$7:$C$306,"&gt;="&amp;DATE($B$3,1,22),'Leave log'!$F$7:$F$306,"Approved")&gt;0,"A",""))="A","A",IF(OR(DATE($B$3,1,22)&gt;EOMONTH(DATE($B$3,1,1),0),NETWORKDAYS.INTL(DATE($B$3,1,22),DATE($B$3,1,22),1,'Non-working days'!$A$6:$A$45)=0),"",IF(COUNTIFS('Leave log'!$A$7:$A$306,Employees!$A$32,'Leave log'!$B$7:$B$306,"&lt;="&amp;DATE($B$3,1,22),'Leave log'!$C$7:$C$306,"&gt;="&amp;DATE($B$3,1,22),'Leave log'!$F$7:$F$306,"Pending")&gt;0,"P",""))))</f>
        <v/>
      </c>
      <c r="X33" s="23" t="str">
        <f>IF(A33="","",IF(IF(OR(DATE($B$3,1,23)&gt;EOMONTH(DATE($B$3,1,1),0),NETWORKDAYS.INTL(DATE($B$3,1,23),DATE($B$3,1,23),1,'Non-working days'!$A$6:$A$45)=0),"",IF(COUNTIFS('Leave log'!$A$7:$A$306,Employees!$A$32,'Leave log'!$B$7:$B$306,"&lt;="&amp;DATE($B$3,1,23),'Leave log'!$C$7:$C$306,"&gt;="&amp;DATE($B$3,1,23),'Leave log'!$F$7:$F$306,"Approved")&gt;0,"A",""))="A","A",IF(OR(DATE($B$3,1,23)&gt;EOMONTH(DATE($B$3,1,1),0),NETWORKDAYS.INTL(DATE($B$3,1,23),DATE($B$3,1,23),1,'Non-working days'!$A$6:$A$45)=0),"",IF(COUNTIFS('Leave log'!$A$7:$A$306,Employees!$A$32,'Leave log'!$B$7:$B$306,"&lt;="&amp;DATE($B$3,1,23),'Leave log'!$C$7:$C$306,"&gt;="&amp;DATE($B$3,1,23),'Leave log'!$F$7:$F$306,"Pending")&gt;0,"P",""))))</f>
        <v/>
      </c>
      <c r="Y33" s="23" t="str">
        <f>IF(A33="","",IF(IF(OR(DATE($B$3,1,24)&gt;EOMONTH(DATE($B$3,1,1),0),NETWORKDAYS.INTL(DATE($B$3,1,24),DATE($B$3,1,24),1,'Non-working days'!$A$6:$A$45)=0),"",IF(COUNTIFS('Leave log'!$A$7:$A$306,Employees!$A$32,'Leave log'!$B$7:$B$306,"&lt;="&amp;DATE($B$3,1,24),'Leave log'!$C$7:$C$306,"&gt;="&amp;DATE($B$3,1,24),'Leave log'!$F$7:$F$306,"Approved")&gt;0,"A",""))="A","A",IF(OR(DATE($B$3,1,24)&gt;EOMONTH(DATE($B$3,1,1),0),NETWORKDAYS.INTL(DATE($B$3,1,24),DATE($B$3,1,24),1,'Non-working days'!$A$6:$A$45)=0),"",IF(COUNTIFS('Leave log'!$A$7:$A$306,Employees!$A$32,'Leave log'!$B$7:$B$306,"&lt;="&amp;DATE($B$3,1,24),'Leave log'!$C$7:$C$306,"&gt;="&amp;DATE($B$3,1,24),'Leave log'!$F$7:$F$306,"Pending")&gt;0,"P",""))))</f>
        <v/>
      </c>
      <c r="Z33" s="23" t="str">
        <f>IF(A33="","",IF(IF(OR(DATE($B$3,1,25)&gt;EOMONTH(DATE($B$3,1,1),0),NETWORKDAYS.INTL(DATE($B$3,1,25),DATE($B$3,1,25),1,'Non-working days'!$A$6:$A$45)=0),"",IF(COUNTIFS('Leave log'!$A$7:$A$306,Employees!$A$32,'Leave log'!$B$7:$B$306,"&lt;="&amp;DATE($B$3,1,25),'Leave log'!$C$7:$C$306,"&gt;="&amp;DATE($B$3,1,25),'Leave log'!$F$7:$F$306,"Approved")&gt;0,"A",""))="A","A",IF(OR(DATE($B$3,1,25)&gt;EOMONTH(DATE($B$3,1,1),0),NETWORKDAYS.INTL(DATE($B$3,1,25),DATE($B$3,1,25),1,'Non-working days'!$A$6:$A$45)=0),"",IF(COUNTIFS('Leave log'!$A$7:$A$306,Employees!$A$32,'Leave log'!$B$7:$B$306,"&lt;="&amp;DATE($B$3,1,25),'Leave log'!$C$7:$C$306,"&gt;="&amp;DATE($B$3,1,25),'Leave log'!$F$7:$F$306,"Pending")&gt;0,"P",""))))</f>
        <v/>
      </c>
      <c r="AA33" s="23" t="str">
        <f>IF(A33="","",IF(IF(OR(DATE($B$3,1,26)&gt;EOMONTH(DATE($B$3,1,1),0),NETWORKDAYS.INTL(DATE($B$3,1,26),DATE($B$3,1,26),1,'Non-working days'!$A$6:$A$45)=0),"",IF(COUNTIFS('Leave log'!$A$7:$A$306,Employees!$A$32,'Leave log'!$B$7:$B$306,"&lt;="&amp;DATE($B$3,1,26),'Leave log'!$C$7:$C$306,"&gt;="&amp;DATE($B$3,1,26),'Leave log'!$F$7:$F$306,"Approved")&gt;0,"A",""))="A","A",IF(OR(DATE($B$3,1,26)&gt;EOMONTH(DATE($B$3,1,1),0),NETWORKDAYS.INTL(DATE($B$3,1,26),DATE($B$3,1,26),1,'Non-working days'!$A$6:$A$45)=0),"",IF(COUNTIFS('Leave log'!$A$7:$A$306,Employees!$A$32,'Leave log'!$B$7:$B$306,"&lt;="&amp;DATE($B$3,1,26),'Leave log'!$C$7:$C$306,"&gt;="&amp;DATE($B$3,1,26),'Leave log'!$F$7:$F$306,"Pending")&gt;0,"P",""))))</f>
        <v/>
      </c>
      <c r="AB33" s="23" t="str">
        <f>IF(A33="","",IF(IF(OR(DATE($B$3,1,27)&gt;EOMONTH(DATE($B$3,1,1),0),NETWORKDAYS.INTL(DATE($B$3,1,27),DATE($B$3,1,27),1,'Non-working days'!$A$6:$A$45)=0),"",IF(COUNTIFS('Leave log'!$A$7:$A$306,Employees!$A$32,'Leave log'!$B$7:$B$306,"&lt;="&amp;DATE($B$3,1,27),'Leave log'!$C$7:$C$306,"&gt;="&amp;DATE($B$3,1,27),'Leave log'!$F$7:$F$306,"Approved")&gt;0,"A",""))="A","A",IF(OR(DATE($B$3,1,27)&gt;EOMONTH(DATE($B$3,1,1),0),NETWORKDAYS.INTL(DATE($B$3,1,27),DATE($B$3,1,27),1,'Non-working days'!$A$6:$A$45)=0),"",IF(COUNTIFS('Leave log'!$A$7:$A$306,Employees!$A$32,'Leave log'!$B$7:$B$306,"&lt;="&amp;DATE($B$3,1,27),'Leave log'!$C$7:$C$306,"&gt;="&amp;DATE($B$3,1,27),'Leave log'!$F$7:$F$306,"Pending")&gt;0,"P",""))))</f>
        <v/>
      </c>
      <c r="AC33" s="23" t="str">
        <f>IF(A33="","",IF(IF(OR(DATE($B$3,1,28)&gt;EOMONTH(DATE($B$3,1,1),0),NETWORKDAYS.INTL(DATE($B$3,1,28),DATE($B$3,1,28),1,'Non-working days'!$A$6:$A$45)=0),"",IF(COUNTIFS('Leave log'!$A$7:$A$306,Employees!$A$32,'Leave log'!$B$7:$B$306,"&lt;="&amp;DATE($B$3,1,28),'Leave log'!$C$7:$C$306,"&gt;="&amp;DATE($B$3,1,28),'Leave log'!$F$7:$F$306,"Approved")&gt;0,"A",""))="A","A",IF(OR(DATE($B$3,1,28)&gt;EOMONTH(DATE($B$3,1,1),0),NETWORKDAYS.INTL(DATE($B$3,1,28),DATE($B$3,1,28),1,'Non-working days'!$A$6:$A$45)=0),"",IF(COUNTIFS('Leave log'!$A$7:$A$306,Employees!$A$32,'Leave log'!$B$7:$B$306,"&lt;="&amp;DATE($B$3,1,28),'Leave log'!$C$7:$C$306,"&gt;="&amp;DATE($B$3,1,28),'Leave log'!$F$7:$F$306,"Pending")&gt;0,"P",""))))</f>
        <v/>
      </c>
      <c r="AD33" s="23" t="str">
        <f>IF(A33="","",IF(IF(OR(DATE($B$3,1,29)&gt;EOMONTH(DATE($B$3,1,1),0),NETWORKDAYS.INTL(DATE($B$3,1,29),DATE($B$3,1,29),1,'Non-working days'!$A$6:$A$45)=0),"",IF(COUNTIFS('Leave log'!$A$7:$A$306,Employees!$A$32,'Leave log'!$B$7:$B$306,"&lt;="&amp;DATE($B$3,1,29),'Leave log'!$C$7:$C$306,"&gt;="&amp;DATE($B$3,1,29),'Leave log'!$F$7:$F$306,"Approved")&gt;0,"A",""))="A","A",IF(OR(DATE($B$3,1,29)&gt;EOMONTH(DATE($B$3,1,1),0),NETWORKDAYS.INTL(DATE($B$3,1,29),DATE($B$3,1,29),1,'Non-working days'!$A$6:$A$45)=0),"",IF(COUNTIFS('Leave log'!$A$7:$A$306,Employees!$A$32,'Leave log'!$B$7:$B$306,"&lt;="&amp;DATE($B$3,1,29),'Leave log'!$C$7:$C$306,"&gt;="&amp;DATE($B$3,1,29),'Leave log'!$F$7:$F$306,"Pending")&gt;0,"P",""))))</f>
        <v/>
      </c>
      <c r="AE33" s="23" t="str">
        <f>IF(A33="","",IF(IF(OR(DATE($B$3,1,30)&gt;EOMONTH(DATE($B$3,1,1),0),NETWORKDAYS.INTL(DATE($B$3,1,30),DATE($B$3,1,30),1,'Non-working days'!$A$6:$A$45)=0),"",IF(COUNTIFS('Leave log'!$A$7:$A$306,Employees!$A$32,'Leave log'!$B$7:$B$306,"&lt;="&amp;DATE($B$3,1,30),'Leave log'!$C$7:$C$306,"&gt;="&amp;DATE($B$3,1,30),'Leave log'!$F$7:$F$306,"Approved")&gt;0,"A",""))="A","A",IF(OR(DATE($B$3,1,30)&gt;EOMONTH(DATE($B$3,1,1),0),NETWORKDAYS.INTL(DATE($B$3,1,30),DATE($B$3,1,30),1,'Non-working days'!$A$6:$A$45)=0),"",IF(COUNTIFS('Leave log'!$A$7:$A$306,Employees!$A$32,'Leave log'!$B$7:$B$306,"&lt;="&amp;DATE($B$3,1,30),'Leave log'!$C$7:$C$306,"&gt;="&amp;DATE($B$3,1,30),'Leave log'!$F$7:$F$306,"Pending")&gt;0,"P",""))))</f>
        <v/>
      </c>
      <c r="AF33" s="23" t="str">
        <f>IF(A33="","",IF(IF(OR(DATE($B$3,1,31)&gt;EOMONTH(DATE($B$3,1,1),0),NETWORKDAYS.INTL(DATE($B$3,1,31),DATE($B$3,1,31),1,'Non-working days'!$A$6:$A$45)=0),"",IF(COUNTIFS('Leave log'!$A$7:$A$306,Employees!$A$32,'Leave log'!$B$7:$B$306,"&lt;="&amp;DATE($B$3,1,31),'Leave log'!$C$7:$C$306,"&gt;="&amp;DATE($B$3,1,31),'Leave log'!$F$7:$F$306,"Approved")&gt;0,"A",""))="A","A",IF(OR(DATE($B$3,1,31)&gt;EOMONTH(DATE($B$3,1,1),0),NETWORKDAYS.INTL(DATE($B$3,1,31),DATE($B$3,1,31),1,'Non-working days'!$A$6:$A$45)=0),"",IF(COUNTIFS('Leave log'!$A$7:$A$306,Employees!$A$32,'Leave log'!$B$7:$B$306,"&lt;="&amp;DATE($B$3,1,31),'Leave log'!$C$7:$C$306,"&gt;="&amp;DATE($B$3,1,31),'Leave log'!$F$7:$F$306,"Pending")&gt;0,"P",""))))</f>
        <v/>
      </c>
    </row>
    <row r="34" spans="1:32" ht="18" customHeight="1" x14ac:dyDescent="0.3">
      <c r="A34" s="22" t="str">
        <f>IF(Employees!F33="Yes",Employees!B33,"")</f>
        <v/>
      </c>
      <c r="B34" s="23" t="str">
        <f>IF(A34="","",IF(IF(OR(DATE($B$3,1,1)&gt;EOMONTH(DATE($B$3,1,1),0),NETWORKDAYS.INTL(DATE($B$3,1,1),DATE($B$3,1,1),1,'Non-working days'!$A$6:$A$45)=0),"",IF(COUNTIFS('Leave log'!$A$7:$A$306,Employees!$A$33,'Leave log'!$B$7:$B$306,"&lt;="&amp;DATE($B$3,1,1),'Leave log'!$C$7:$C$306,"&gt;="&amp;DATE($B$3,1,1),'Leave log'!$F$7:$F$306,"Approved")&gt;0,"A",""))="A","A",IF(OR(DATE($B$3,1,1)&gt;EOMONTH(DATE($B$3,1,1),0),NETWORKDAYS.INTL(DATE($B$3,1,1),DATE($B$3,1,1),1,'Non-working days'!$A$6:$A$45)=0),"",IF(COUNTIFS('Leave log'!$A$7:$A$306,Employees!$A$33,'Leave log'!$B$7:$B$306,"&lt;="&amp;DATE($B$3,1,1),'Leave log'!$C$7:$C$306,"&gt;="&amp;DATE($B$3,1,1),'Leave log'!$F$7:$F$306,"Pending")&gt;0,"P",""))))</f>
        <v/>
      </c>
      <c r="C34" s="23" t="str">
        <f>IF(A34="","",IF(IF(OR(DATE($B$3,1,2)&gt;EOMONTH(DATE($B$3,1,1),0),NETWORKDAYS.INTL(DATE($B$3,1,2),DATE($B$3,1,2),1,'Non-working days'!$A$6:$A$45)=0),"",IF(COUNTIFS('Leave log'!$A$7:$A$306,Employees!$A$33,'Leave log'!$B$7:$B$306,"&lt;="&amp;DATE($B$3,1,2),'Leave log'!$C$7:$C$306,"&gt;="&amp;DATE($B$3,1,2),'Leave log'!$F$7:$F$306,"Approved")&gt;0,"A",""))="A","A",IF(OR(DATE($B$3,1,2)&gt;EOMONTH(DATE($B$3,1,1),0),NETWORKDAYS.INTL(DATE($B$3,1,2),DATE($B$3,1,2),1,'Non-working days'!$A$6:$A$45)=0),"",IF(COUNTIFS('Leave log'!$A$7:$A$306,Employees!$A$33,'Leave log'!$B$7:$B$306,"&lt;="&amp;DATE($B$3,1,2),'Leave log'!$C$7:$C$306,"&gt;="&amp;DATE($B$3,1,2),'Leave log'!$F$7:$F$306,"Pending")&gt;0,"P",""))))</f>
        <v/>
      </c>
      <c r="D34" s="23" t="str">
        <f>IF(A34="","",IF(IF(OR(DATE($B$3,1,3)&gt;EOMONTH(DATE($B$3,1,1),0),NETWORKDAYS.INTL(DATE($B$3,1,3),DATE($B$3,1,3),1,'Non-working days'!$A$6:$A$45)=0),"",IF(COUNTIFS('Leave log'!$A$7:$A$306,Employees!$A$33,'Leave log'!$B$7:$B$306,"&lt;="&amp;DATE($B$3,1,3),'Leave log'!$C$7:$C$306,"&gt;="&amp;DATE($B$3,1,3),'Leave log'!$F$7:$F$306,"Approved")&gt;0,"A",""))="A","A",IF(OR(DATE($B$3,1,3)&gt;EOMONTH(DATE($B$3,1,1),0),NETWORKDAYS.INTL(DATE($B$3,1,3),DATE($B$3,1,3),1,'Non-working days'!$A$6:$A$45)=0),"",IF(COUNTIFS('Leave log'!$A$7:$A$306,Employees!$A$33,'Leave log'!$B$7:$B$306,"&lt;="&amp;DATE($B$3,1,3),'Leave log'!$C$7:$C$306,"&gt;="&amp;DATE($B$3,1,3),'Leave log'!$F$7:$F$306,"Pending")&gt;0,"P",""))))</f>
        <v/>
      </c>
      <c r="E34" s="23" t="str">
        <f>IF(A34="","",IF(IF(OR(DATE($B$3,1,4)&gt;EOMONTH(DATE($B$3,1,1),0),NETWORKDAYS.INTL(DATE($B$3,1,4),DATE($B$3,1,4),1,'Non-working days'!$A$6:$A$45)=0),"",IF(COUNTIFS('Leave log'!$A$7:$A$306,Employees!$A$33,'Leave log'!$B$7:$B$306,"&lt;="&amp;DATE($B$3,1,4),'Leave log'!$C$7:$C$306,"&gt;="&amp;DATE($B$3,1,4),'Leave log'!$F$7:$F$306,"Approved")&gt;0,"A",""))="A","A",IF(OR(DATE($B$3,1,4)&gt;EOMONTH(DATE($B$3,1,1),0),NETWORKDAYS.INTL(DATE($B$3,1,4),DATE($B$3,1,4),1,'Non-working days'!$A$6:$A$45)=0),"",IF(COUNTIFS('Leave log'!$A$7:$A$306,Employees!$A$33,'Leave log'!$B$7:$B$306,"&lt;="&amp;DATE($B$3,1,4),'Leave log'!$C$7:$C$306,"&gt;="&amp;DATE($B$3,1,4),'Leave log'!$F$7:$F$306,"Pending")&gt;0,"P",""))))</f>
        <v/>
      </c>
      <c r="F34" s="23" t="str">
        <f>IF(A34="","",IF(IF(OR(DATE($B$3,1,5)&gt;EOMONTH(DATE($B$3,1,1),0),NETWORKDAYS.INTL(DATE($B$3,1,5),DATE($B$3,1,5),1,'Non-working days'!$A$6:$A$45)=0),"",IF(COUNTIFS('Leave log'!$A$7:$A$306,Employees!$A$33,'Leave log'!$B$7:$B$306,"&lt;="&amp;DATE($B$3,1,5),'Leave log'!$C$7:$C$306,"&gt;="&amp;DATE($B$3,1,5),'Leave log'!$F$7:$F$306,"Approved")&gt;0,"A",""))="A","A",IF(OR(DATE($B$3,1,5)&gt;EOMONTH(DATE($B$3,1,1),0),NETWORKDAYS.INTL(DATE($B$3,1,5),DATE($B$3,1,5),1,'Non-working days'!$A$6:$A$45)=0),"",IF(COUNTIFS('Leave log'!$A$7:$A$306,Employees!$A$33,'Leave log'!$B$7:$B$306,"&lt;="&amp;DATE($B$3,1,5),'Leave log'!$C$7:$C$306,"&gt;="&amp;DATE($B$3,1,5),'Leave log'!$F$7:$F$306,"Pending")&gt;0,"P",""))))</f>
        <v/>
      </c>
      <c r="G34" s="23" t="str">
        <f>IF(A34="","",IF(IF(OR(DATE($B$3,1,6)&gt;EOMONTH(DATE($B$3,1,1),0),NETWORKDAYS.INTL(DATE($B$3,1,6),DATE($B$3,1,6),1,'Non-working days'!$A$6:$A$45)=0),"",IF(COUNTIFS('Leave log'!$A$7:$A$306,Employees!$A$33,'Leave log'!$B$7:$B$306,"&lt;="&amp;DATE($B$3,1,6),'Leave log'!$C$7:$C$306,"&gt;="&amp;DATE($B$3,1,6),'Leave log'!$F$7:$F$306,"Approved")&gt;0,"A",""))="A","A",IF(OR(DATE($B$3,1,6)&gt;EOMONTH(DATE($B$3,1,1),0),NETWORKDAYS.INTL(DATE($B$3,1,6),DATE($B$3,1,6),1,'Non-working days'!$A$6:$A$45)=0),"",IF(COUNTIFS('Leave log'!$A$7:$A$306,Employees!$A$33,'Leave log'!$B$7:$B$306,"&lt;="&amp;DATE($B$3,1,6),'Leave log'!$C$7:$C$306,"&gt;="&amp;DATE($B$3,1,6),'Leave log'!$F$7:$F$306,"Pending")&gt;0,"P",""))))</f>
        <v/>
      </c>
      <c r="H34" s="23" t="str">
        <f>IF(A34="","",IF(IF(OR(DATE($B$3,1,7)&gt;EOMONTH(DATE($B$3,1,1),0),NETWORKDAYS.INTL(DATE($B$3,1,7),DATE($B$3,1,7),1,'Non-working days'!$A$6:$A$45)=0),"",IF(COUNTIFS('Leave log'!$A$7:$A$306,Employees!$A$33,'Leave log'!$B$7:$B$306,"&lt;="&amp;DATE($B$3,1,7),'Leave log'!$C$7:$C$306,"&gt;="&amp;DATE($B$3,1,7),'Leave log'!$F$7:$F$306,"Approved")&gt;0,"A",""))="A","A",IF(OR(DATE($B$3,1,7)&gt;EOMONTH(DATE($B$3,1,1),0),NETWORKDAYS.INTL(DATE($B$3,1,7),DATE($B$3,1,7),1,'Non-working days'!$A$6:$A$45)=0),"",IF(COUNTIFS('Leave log'!$A$7:$A$306,Employees!$A$33,'Leave log'!$B$7:$B$306,"&lt;="&amp;DATE($B$3,1,7),'Leave log'!$C$7:$C$306,"&gt;="&amp;DATE($B$3,1,7),'Leave log'!$F$7:$F$306,"Pending")&gt;0,"P",""))))</f>
        <v/>
      </c>
      <c r="I34" s="23" t="str">
        <f>IF(A34="","",IF(IF(OR(DATE($B$3,1,8)&gt;EOMONTH(DATE($B$3,1,1),0),NETWORKDAYS.INTL(DATE($B$3,1,8),DATE($B$3,1,8),1,'Non-working days'!$A$6:$A$45)=0),"",IF(COUNTIFS('Leave log'!$A$7:$A$306,Employees!$A$33,'Leave log'!$B$7:$B$306,"&lt;="&amp;DATE($B$3,1,8),'Leave log'!$C$7:$C$306,"&gt;="&amp;DATE($B$3,1,8),'Leave log'!$F$7:$F$306,"Approved")&gt;0,"A",""))="A","A",IF(OR(DATE($B$3,1,8)&gt;EOMONTH(DATE($B$3,1,1),0),NETWORKDAYS.INTL(DATE($B$3,1,8),DATE($B$3,1,8),1,'Non-working days'!$A$6:$A$45)=0),"",IF(COUNTIFS('Leave log'!$A$7:$A$306,Employees!$A$33,'Leave log'!$B$7:$B$306,"&lt;="&amp;DATE($B$3,1,8),'Leave log'!$C$7:$C$306,"&gt;="&amp;DATE($B$3,1,8),'Leave log'!$F$7:$F$306,"Pending")&gt;0,"P",""))))</f>
        <v/>
      </c>
      <c r="J34" s="23" t="str">
        <f>IF(A34="","",IF(IF(OR(DATE($B$3,1,9)&gt;EOMONTH(DATE($B$3,1,1),0),NETWORKDAYS.INTL(DATE($B$3,1,9),DATE($B$3,1,9),1,'Non-working days'!$A$6:$A$45)=0),"",IF(COUNTIFS('Leave log'!$A$7:$A$306,Employees!$A$33,'Leave log'!$B$7:$B$306,"&lt;="&amp;DATE($B$3,1,9),'Leave log'!$C$7:$C$306,"&gt;="&amp;DATE($B$3,1,9),'Leave log'!$F$7:$F$306,"Approved")&gt;0,"A",""))="A","A",IF(OR(DATE($B$3,1,9)&gt;EOMONTH(DATE($B$3,1,1),0),NETWORKDAYS.INTL(DATE($B$3,1,9),DATE($B$3,1,9),1,'Non-working days'!$A$6:$A$45)=0),"",IF(COUNTIFS('Leave log'!$A$7:$A$306,Employees!$A$33,'Leave log'!$B$7:$B$306,"&lt;="&amp;DATE($B$3,1,9),'Leave log'!$C$7:$C$306,"&gt;="&amp;DATE($B$3,1,9),'Leave log'!$F$7:$F$306,"Pending")&gt;0,"P",""))))</f>
        <v/>
      </c>
      <c r="K34" s="23" t="str">
        <f>IF(A34="","",IF(IF(OR(DATE($B$3,1,10)&gt;EOMONTH(DATE($B$3,1,1),0),NETWORKDAYS.INTL(DATE($B$3,1,10),DATE($B$3,1,10),1,'Non-working days'!$A$6:$A$45)=0),"",IF(COUNTIFS('Leave log'!$A$7:$A$306,Employees!$A$33,'Leave log'!$B$7:$B$306,"&lt;="&amp;DATE($B$3,1,10),'Leave log'!$C$7:$C$306,"&gt;="&amp;DATE($B$3,1,10),'Leave log'!$F$7:$F$306,"Approved")&gt;0,"A",""))="A","A",IF(OR(DATE($B$3,1,10)&gt;EOMONTH(DATE($B$3,1,1),0),NETWORKDAYS.INTL(DATE($B$3,1,10),DATE($B$3,1,10),1,'Non-working days'!$A$6:$A$45)=0),"",IF(COUNTIFS('Leave log'!$A$7:$A$306,Employees!$A$33,'Leave log'!$B$7:$B$306,"&lt;="&amp;DATE($B$3,1,10),'Leave log'!$C$7:$C$306,"&gt;="&amp;DATE($B$3,1,10),'Leave log'!$F$7:$F$306,"Pending")&gt;0,"P",""))))</f>
        <v/>
      </c>
      <c r="L34" s="23" t="str">
        <f>IF(A34="","",IF(IF(OR(DATE($B$3,1,11)&gt;EOMONTH(DATE($B$3,1,1),0),NETWORKDAYS.INTL(DATE($B$3,1,11),DATE($B$3,1,11),1,'Non-working days'!$A$6:$A$45)=0),"",IF(COUNTIFS('Leave log'!$A$7:$A$306,Employees!$A$33,'Leave log'!$B$7:$B$306,"&lt;="&amp;DATE($B$3,1,11),'Leave log'!$C$7:$C$306,"&gt;="&amp;DATE($B$3,1,11),'Leave log'!$F$7:$F$306,"Approved")&gt;0,"A",""))="A","A",IF(OR(DATE($B$3,1,11)&gt;EOMONTH(DATE($B$3,1,1),0),NETWORKDAYS.INTL(DATE($B$3,1,11),DATE($B$3,1,11),1,'Non-working days'!$A$6:$A$45)=0),"",IF(COUNTIFS('Leave log'!$A$7:$A$306,Employees!$A$33,'Leave log'!$B$7:$B$306,"&lt;="&amp;DATE($B$3,1,11),'Leave log'!$C$7:$C$306,"&gt;="&amp;DATE($B$3,1,11),'Leave log'!$F$7:$F$306,"Pending")&gt;0,"P",""))))</f>
        <v/>
      </c>
      <c r="M34" s="23" t="str">
        <f>IF(A34="","",IF(IF(OR(DATE($B$3,1,12)&gt;EOMONTH(DATE($B$3,1,1),0),NETWORKDAYS.INTL(DATE($B$3,1,12),DATE($B$3,1,12),1,'Non-working days'!$A$6:$A$45)=0),"",IF(COUNTIFS('Leave log'!$A$7:$A$306,Employees!$A$33,'Leave log'!$B$7:$B$306,"&lt;="&amp;DATE($B$3,1,12),'Leave log'!$C$7:$C$306,"&gt;="&amp;DATE($B$3,1,12),'Leave log'!$F$7:$F$306,"Approved")&gt;0,"A",""))="A","A",IF(OR(DATE($B$3,1,12)&gt;EOMONTH(DATE($B$3,1,1),0),NETWORKDAYS.INTL(DATE($B$3,1,12),DATE($B$3,1,12),1,'Non-working days'!$A$6:$A$45)=0),"",IF(COUNTIFS('Leave log'!$A$7:$A$306,Employees!$A$33,'Leave log'!$B$7:$B$306,"&lt;="&amp;DATE($B$3,1,12),'Leave log'!$C$7:$C$306,"&gt;="&amp;DATE($B$3,1,12),'Leave log'!$F$7:$F$306,"Pending")&gt;0,"P",""))))</f>
        <v/>
      </c>
      <c r="N34" s="23" t="str">
        <f>IF(A34="","",IF(IF(OR(DATE($B$3,1,13)&gt;EOMONTH(DATE($B$3,1,1),0),NETWORKDAYS.INTL(DATE($B$3,1,13),DATE($B$3,1,13),1,'Non-working days'!$A$6:$A$45)=0),"",IF(COUNTIFS('Leave log'!$A$7:$A$306,Employees!$A$33,'Leave log'!$B$7:$B$306,"&lt;="&amp;DATE($B$3,1,13),'Leave log'!$C$7:$C$306,"&gt;="&amp;DATE($B$3,1,13),'Leave log'!$F$7:$F$306,"Approved")&gt;0,"A",""))="A","A",IF(OR(DATE($B$3,1,13)&gt;EOMONTH(DATE($B$3,1,1),0),NETWORKDAYS.INTL(DATE($B$3,1,13),DATE($B$3,1,13),1,'Non-working days'!$A$6:$A$45)=0),"",IF(COUNTIFS('Leave log'!$A$7:$A$306,Employees!$A$33,'Leave log'!$B$7:$B$306,"&lt;="&amp;DATE($B$3,1,13),'Leave log'!$C$7:$C$306,"&gt;="&amp;DATE($B$3,1,13),'Leave log'!$F$7:$F$306,"Pending")&gt;0,"P",""))))</f>
        <v/>
      </c>
      <c r="O34" s="23" t="str">
        <f>IF(A34="","",IF(IF(OR(DATE($B$3,1,14)&gt;EOMONTH(DATE($B$3,1,1),0),NETWORKDAYS.INTL(DATE($B$3,1,14),DATE($B$3,1,14),1,'Non-working days'!$A$6:$A$45)=0),"",IF(COUNTIFS('Leave log'!$A$7:$A$306,Employees!$A$33,'Leave log'!$B$7:$B$306,"&lt;="&amp;DATE($B$3,1,14),'Leave log'!$C$7:$C$306,"&gt;="&amp;DATE($B$3,1,14),'Leave log'!$F$7:$F$306,"Approved")&gt;0,"A",""))="A","A",IF(OR(DATE($B$3,1,14)&gt;EOMONTH(DATE($B$3,1,1),0),NETWORKDAYS.INTL(DATE($B$3,1,14),DATE($B$3,1,14),1,'Non-working days'!$A$6:$A$45)=0),"",IF(COUNTIFS('Leave log'!$A$7:$A$306,Employees!$A$33,'Leave log'!$B$7:$B$306,"&lt;="&amp;DATE($B$3,1,14),'Leave log'!$C$7:$C$306,"&gt;="&amp;DATE($B$3,1,14),'Leave log'!$F$7:$F$306,"Pending")&gt;0,"P",""))))</f>
        <v/>
      </c>
      <c r="P34" s="23" t="str">
        <f>IF(A34="","",IF(IF(OR(DATE($B$3,1,15)&gt;EOMONTH(DATE($B$3,1,1),0),NETWORKDAYS.INTL(DATE($B$3,1,15),DATE($B$3,1,15),1,'Non-working days'!$A$6:$A$45)=0),"",IF(COUNTIFS('Leave log'!$A$7:$A$306,Employees!$A$33,'Leave log'!$B$7:$B$306,"&lt;="&amp;DATE($B$3,1,15),'Leave log'!$C$7:$C$306,"&gt;="&amp;DATE($B$3,1,15),'Leave log'!$F$7:$F$306,"Approved")&gt;0,"A",""))="A","A",IF(OR(DATE($B$3,1,15)&gt;EOMONTH(DATE($B$3,1,1),0),NETWORKDAYS.INTL(DATE($B$3,1,15),DATE($B$3,1,15),1,'Non-working days'!$A$6:$A$45)=0),"",IF(COUNTIFS('Leave log'!$A$7:$A$306,Employees!$A$33,'Leave log'!$B$7:$B$306,"&lt;="&amp;DATE($B$3,1,15),'Leave log'!$C$7:$C$306,"&gt;="&amp;DATE($B$3,1,15),'Leave log'!$F$7:$F$306,"Pending")&gt;0,"P",""))))</f>
        <v/>
      </c>
      <c r="Q34" s="23" t="str">
        <f>IF(A34="","",IF(IF(OR(DATE($B$3,1,16)&gt;EOMONTH(DATE($B$3,1,1),0),NETWORKDAYS.INTL(DATE($B$3,1,16),DATE($B$3,1,16),1,'Non-working days'!$A$6:$A$45)=0),"",IF(COUNTIFS('Leave log'!$A$7:$A$306,Employees!$A$33,'Leave log'!$B$7:$B$306,"&lt;="&amp;DATE($B$3,1,16),'Leave log'!$C$7:$C$306,"&gt;="&amp;DATE($B$3,1,16),'Leave log'!$F$7:$F$306,"Approved")&gt;0,"A",""))="A","A",IF(OR(DATE($B$3,1,16)&gt;EOMONTH(DATE($B$3,1,1),0),NETWORKDAYS.INTL(DATE($B$3,1,16),DATE($B$3,1,16),1,'Non-working days'!$A$6:$A$45)=0),"",IF(COUNTIFS('Leave log'!$A$7:$A$306,Employees!$A$33,'Leave log'!$B$7:$B$306,"&lt;="&amp;DATE($B$3,1,16),'Leave log'!$C$7:$C$306,"&gt;="&amp;DATE($B$3,1,16),'Leave log'!$F$7:$F$306,"Pending")&gt;0,"P",""))))</f>
        <v/>
      </c>
      <c r="R34" s="23" t="str">
        <f>IF(A34="","",IF(IF(OR(DATE($B$3,1,17)&gt;EOMONTH(DATE($B$3,1,1),0),NETWORKDAYS.INTL(DATE($B$3,1,17),DATE($B$3,1,17),1,'Non-working days'!$A$6:$A$45)=0),"",IF(COUNTIFS('Leave log'!$A$7:$A$306,Employees!$A$33,'Leave log'!$B$7:$B$306,"&lt;="&amp;DATE($B$3,1,17),'Leave log'!$C$7:$C$306,"&gt;="&amp;DATE($B$3,1,17),'Leave log'!$F$7:$F$306,"Approved")&gt;0,"A",""))="A","A",IF(OR(DATE($B$3,1,17)&gt;EOMONTH(DATE($B$3,1,1),0),NETWORKDAYS.INTL(DATE($B$3,1,17),DATE($B$3,1,17),1,'Non-working days'!$A$6:$A$45)=0),"",IF(COUNTIFS('Leave log'!$A$7:$A$306,Employees!$A$33,'Leave log'!$B$7:$B$306,"&lt;="&amp;DATE($B$3,1,17),'Leave log'!$C$7:$C$306,"&gt;="&amp;DATE($B$3,1,17),'Leave log'!$F$7:$F$306,"Pending")&gt;0,"P",""))))</f>
        <v/>
      </c>
      <c r="S34" s="23" t="str">
        <f>IF(A34="","",IF(IF(OR(DATE($B$3,1,18)&gt;EOMONTH(DATE($B$3,1,1),0),NETWORKDAYS.INTL(DATE($B$3,1,18),DATE($B$3,1,18),1,'Non-working days'!$A$6:$A$45)=0),"",IF(COUNTIFS('Leave log'!$A$7:$A$306,Employees!$A$33,'Leave log'!$B$7:$B$306,"&lt;="&amp;DATE($B$3,1,18),'Leave log'!$C$7:$C$306,"&gt;="&amp;DATE($B$3,1,18),'Leave log'!$F$7:$F$306,"Approved")&gt;0,"A",""))="A","A",IF(OR(DATE($B$3,1,18)&gt;EOMONTH(DATE($B$3,1,1),0),NETWORKDAYS.INTL(DATE($B$3,1,18),DATE($B$3,1,18),1,'Non-working days'!$A$6:$A$45)=0),"",IF(COUNTIFS('Leave log'!$A$7:$A$306,Employees!$A$33,'Leave log'!$B$7:$B$306,"&lt;="&amp;DATE($B$3,1,18),'Leave log'!$C$7:$C$306,"&gt;="&amp;DATE($B$3,1,18),'Leave log'!$F$7:$F$306,"Pending")&gt;0,"P",""))))</f>
        <v/>
      </c>
      <c r="T34" s="23" t="str">
        <f>IF(A34="","",IF(IF(OR(DATE($B$3,1,19)&gt;EOMONTH(DATE($B$3,1,1),0),NETWORKDAYS.INTL(DATE($B$3,1,19),DATE($B$3,1,19),1,'Non-working days'!$A$6:$A$45)=0),"",IF(COUNTIFS('Leave log'!$A$7:$A$306,Employees!$A$33,'Leave log'!$B$7:$B$306,"&lt;="&amp;DATE($B$3,1,19),'Leave log'!$C$7:$C$306,"&gt;="&amp;DATE($B$3,1,19),'Leave log'!$F$7:$F$306,"Approved")&gt;0,"A",""))="A","A",IF(OR(DATE($B$3,1,19)&gt;EOMONTH(DATE($B$3,1,1),0),NETWORKDAYS.INTL(DATE($B$3,1,19),DATE($B$3,1,19),1,'Non-working days'!$A$6:$A$45)=0),"",IF(COUNTIFS('Leave log'!$A$7:$A$306,Employees!$A$33,'Leave log'!$B$7:$B$306,"&lt;="&amp;DATE($B$3,1,19),'Leave log'!$C$7:$C$306,"&gt;="&amp;DATE($B$3,1,19),'Leave log'!$F$7:$F$306,"Pending")&gt;0,"P",""))))</f>
        <v/>
      </c>
      <c r="U34" s="23" t="str">
        <f>IF(A34="","",IF(IF(OR(DATE($B$3,1,20)&gt;EOMONTH(DATE($B$3,1,1),0),NETWORKDAYS.INTL(DATE($B$3,1,20),DATE($B$3,1,20),1,'Non-working days'!$A$6:$A$45)=0),"",IF(COUNTIFS('Leave log'!$A$7:$A$306,Employees!$A$33,'Leave log'!$B$7:$B$306,"&lt;="&amp;DATE($B$3,1,20),'Leave log'!$C$7:$C$306,"&gt;="&amp;DATE($B$3,1,20),'Leave log'!$F$7:$F$306,"Approved")&gt;0,"A",""))="A","A",IF(OR(DATE($B$3,1,20)&gt;EOMONTH(DATE($B$3,1,1),0),NETWORKDAYS.INTL(DATE($B$3,1,20),DATE($B$3,1,20),1,'Non-working days'!$A$6:$A$45)=0),"",IF(COUNTIFS('Leave log'!$A$7:$A$306,Employees!$A$33,'Leave log'!$B$7:$B$306,"&lt;="&amp;DATE($B$3,1,20),'Leave log'!$C$7:$C$306,"&gt;="&amp;DATE($B$3,1,20),'Leave log'!$F$7:$F$306,"Pending")&gt;0,"P",""))))</f>
        <v/>
      </c>
      <c r="V34" s="23" t="str">
        <f>IF(A34="","",IF(IF(OR(DATE($B$3,1,21)&gt;EOMONTH(DATE($B$3,1,1),0),NETWORKDAYS.INTL(DATE($B$3,1,21),DATE($B$3,1,21),1,'Non-working days'!$A$6:$A$45)=0),"",IF(COUNTIFS('Leave log'!$A$7:$A$306,Employees!$A$33,'Leave log'!$B$7:$B$306,"&lt;="&amp;DATE($B$3,1,21),'Leave log'!$C$7:$C$306,"&gt;="&amp;DATE($B$3,1,21),'Leave log'!$F$7:$F$306,"Approved")&gt;0,"A",""))="A","A",IF(OR(DATE($B$3,1,21)&gt;EOMONTH(DATE($B$3,1,1),0),NETWORKDAYS.INTL(DATE($B$3,1,21),DATE($B$3,1,21),1,'Non-working days'!$A$6:$A$45)=0),"",IF(COUNTIFS('Leave log'!$A$7:$A$306,Employees!$A$33,'Leave log'!$B$7:$B$306,"&lt;="&amp;DATE($B$3,1,21),'Leave log'!$C$7:$C$306,"&gt;="&amp;DATE($B$3,1,21),'Leave log'!$F$7:$F$306,"Pending")&gt;0,"P",""))))</f>
        <v/>
      </c>
      <c r="W34" s="23" t="str">
        <f>IF(A34="","",IF(IF(OR(DATE($B$3,1,22)&gt;EOMONTH(DATE($B$3,1,1),0),NETWORKDAYS.INTL(DATE($B$3,1,22),DATE($B$3,1,22),1,'Non-working days'!$A$6:$A$45)=0),"",IF(COUNTIFS('Leave log'!$A$7:$A$306,Employees!$A$33,'Leave log'!$B$7:$B$306,"&lt;="&amp;DATE($B$3,1,22),'Leave log'!$C$7:$C$306,"&gt;="&amp;DATE($B$3,1,22),'Leave log'!$F$7:$F$306,"Approved")&gt;0,"A",""))="A","A",IF(OR(DATE($B$3,1,22)&gt;EOMONTH(DATE($B$3,1,1),0),NETWORKDAYS.INTL(DATE($B$3,1,22),DATE($B$3,1,22),1,'Non-working days'!$A$6:$A$45)=0),"",IF(COUNTIFS('Leave log'!$A$7:$A$306,Employees!$A$33,'Leave log'!$B$7:$B$306,"&lt;="&amp;DATE($B$3,1,22),'Leave log'!$C$7:$C$306,"&gt;="&amp;DATE($B$3,1,22),'Leave log'!$F$7:$F$306,"Pending")&gt;0,"P",""))))</f>
        <v/>
      </c>
      <c r="X34" s="23" t="str">
        <f>IF(A34="","",IF(IF(OR(DATE($B$3,1,23)&gt;EOMONTH(DATE($B$3,1,1),0),NETWORKDAYS.INTL(DATE($B$3,1,23),DATE($B$3,1,23),1,'Non-working days'!$A$6:$A$45)=0),"",IF(COUNTIFS('Leave log'!$A$7:$A$306,Employees!$A$33,'Leave log'!$B$7:$B$306,"&lt;="&amp;DATE($B$3,1,23),'Leave log'!$C$7:$C$306,"&gt;="&amp;DATE($B$3,1,23),'Leave log'!$F$7:$F$306,"Approved")&gt;0,"A",""))="A","A",IF(OR(DATE($B$3,1,23)&gt;EOMONTH(DATE($B$3,1,1),0),NETWORKDAYS.INTL(DATE($B$3,1,23),DATE($B$3,1,23),1,'Non-working days'!$A$6:$A$45)=0),"",IF(COUNTIFS('Leave log'!$A$7:$A$306,Employees!$A$33,'Leave log'!$B$7:$B$306,"&lt;="&amp;DATE($B$3,1,23),'Leave log'!$C$7:$C$306,"&gt;="&amp;DATE($B$3,1,23),'Leave log'!$F$7:$F$306,"Pending")&gt;0,"P",""))))</f>
        <v/>
      </c>
      <c r="Y34" s="23" t="str">
        <f>IF(A34="","",IF(IF(OR(DATE($B$3,1,24)&gt;EOMONTH(DATE($B$3,1,1),0),NETWORKDAYS.INTL(DATE($B$3,1,24),DATE($B$3,1,24),1,'Non-working days'!$A$6:$A$45)=0),"",IF(COUNTIFS('Leave log'!$A$7:$A$306,Employees!$A$33,'Leave log'!$B$7:$B$306,"&lt;="&amp;DATE($B$3,1,24),'Leave log'!$C$7:$C$306,"&gt;="&amp;DATE($B$3,1,24),'Leave log'!$F$7:$F$306,"Approved")&gt;0,"A",""))="A","A",IF(OR(DATE($B$3,1,24)&gt;EOMONTH(DATE($B$3,1,1),0),NETWORKDAYS.INTL(DATE($B$3,1,24),DATE($B$3,1,24),1,'Non-working days'!$A$6:$A$45)=0),"",IF(COUNTIFS('Leave log'!$A$7:$A$306,Employees!$A$33,'Leave log'!$B$7:$B$306,"&lt;="&amp;DATE($B$3,1,24),'Leave log'!$C$7:$C$306,"&gt;="&amp;DATE($B$3,1,24),'Leave log'!$F$7:$F$306,"Pending")&gt;0,"P",""))))</f>
        <v/>
      </c>
      <c r="Z34" s="23" t="str">
        <f>IF(A34="","",IF(IF(OR(DATE($B$3,1,25)&gt;EOMONTH(DATE($B$3,1,1),0),NETWORKDAYS.INTL(DATE($B$3,1,25),DATE($B$3,1,25),1,'Non-working days'!$A$6:$A$45)=0),"",IF(COUNTIFS('Leave log'!$A$7:$A$306,Employees!$A$33,'Leave log'!$B$7:$B$306,"&lt;="&amp;DATE($B$3,1,25),'Leave log'!$C$7:$C$306,"&gt;="&amp;DATE($B$3,1,25),'Leave log'!$F$7:$F$306,"Approved")&gt;0,"A",""))="A","A",IF(OR(DATE($B$3,1,25)&gt;EOMONTH(DATE($B$3,1,1),0),NETWORKDAYS.INTL(DATE($B$3,1,25),DATE($B$3,1,25),1,'Non-working days'!$A$6:$A$45)=0),"",IF(COUNTIFS('Leave log'!$A$7:$A$306,Employees!$A$33,'Leave log'!$B$7:$B$306,"&lt;="&amp;DATE($B$3,1,25),'Leave log'!$C$7:$C$306,"&gt;="&amp;DATE($B$3,1,25),'Leave log'!$F$7:$F$306,"Pending")&gt;0,"P",""))))</f>
        <v/>
      </c>
      <c r="AA34" s="23" t="str">
        <f>IF(A34="","",IF(IF(OR(DATE($B$3,1,26)&gt;EOMONTH(DATE($B$3,1,1),0),NETWORKDAYS.INTL(DATE($B$3,1,26),DATE($B$3,1,26),1,'Non-working days'!$A$6:$A$45)=0),"",IF(COUNTIFS('Leave log'!$A$7:$A$306,Employees!$A$33,'Leave log'!$B$7:$B$306,"&lt;="&amp;DATE($B$3,1,26),'Leave log'!$C$7:$C$306,"&gt;="&amp;DATE($B$3,1,26),'Leave log'!$F$7:$F$306,"Approved")&gt;0,"A",""))="A","A",IF(OR(DATE($B$3,1,26)&gt;EOMONTH(DATE($B$3,1,1),0),NETWORKDAYS.INTL(DATE($B$3,1,26),DATE($B$3,1,26),1,'Non-working days'!$A$6:$A$45)=0),"",IF(COUNTIFS('Leave log'!$A$7:$A$306,Employees!$A$33,'Leave log'!$B$7:$B$306,"&lt;="&amp;DATE($B$3,1,26),'Leave log'!$C$7:$C$306,"&gt;="&amp;DATE($B$3,1,26),'Leave log'!$F$7:$F$306,"Pending")&gt;0,"P",""))))</f>
        <v/>
      </c>
      <c r="AB34" s="23" t="str">
        <f>IF(A34="","",IF(IF(OR(DATE($B$3,1,27)&gt;EOMONTH(DATE($B$3,1,1),0),NETWORKDAYS.INTL(DATE($B$3,1,27),DATE($B$3,1,27),1,'Non-working days'!$A$6:$A$45)=0),"",IF(COUNTIFS('Leave log'!$A$7:$A$306,Employees!$A$33,'Leave log'!$B$7:$B$306,"&lt;="&amp;DATE($B$3,1,27),'Leave log'!$C$7:$C$306,"&gt;="&amp;DATE($B$3,1,27),'Leave log'!$F$7:$F$306,"Approved")&gt;0,"A",""))="A","A",IF(OR(DATE($B$3,1,27)&gt;EOMONTH(DATE($B$3,1,1),0),NETWORKDAYS.INTL(DATE($B$3,1,27),DATE($B$3,1,27),1,'Non-working days'!$A$6:$A$45)=0),"",IF(COUNTIFS('Leave log'!$A$7:$A$306,Employees!$A$33,'Leave log'!$B$7:$B$306,"&lt;="&amp;DATE($B$3,1,27),'Leave log'!$C$7:$C$306,"&gt;="&amp;DATE($B$3,1,27),'Leave log'!$F$7:$F$306,"Pending")&gt;0,"P",""))))</f>
        <v/>
      </c>
      <c r="AC34" s="23" t="str">
        <f>IF(A34="","",IF(IF(OR(DATE($B$3,1,28)&gt;EOMONTH(DATE($B$3,1,1),0),NETWORKDAYS.INTL(DATE($B$3,1,28),DATE($B$3,1,28),1,'Non-working days'!$A$6:$A$45)=0),"",IF(COUNTIFS('Leave log'!$A$7:$A$306,Employees!$A$33,'Leave log'!$B$7:$B$306,"&lt;="&amp;DATE($B$3,1,28),'Leave log'!$C$7:$C$306,"&gt;="&amp;DATE($B$3,1,28),'Leave log'!$F$7:$F$306,"Approved")&gt;0,"A",""))="A","A",IF(OR(DATE($B$3,1,28)&gt;EOMONTH(DATE($B$3,1,1),0),NETWORKDAYS.INTL(DATE($B$3,1,28),DATE($B$3,1,28),1,'Non-working days'!$A$6:$A$45)=0),"",IF(COUNTIFS('Leave log'!$A$7:$A$306,Employees!$A$33,'Leave log'!$B$7:$B$306,"&lt;="&amp;DATE($B$3,1,28),'Leave log'!$C$7:$C$306,"&gt;="&amp;DATE($B$3,1,28),'Leave log'!$F$7:$F$306,"Pending")&gt;0,"P",""))))</f>
        <v/>
      </c>
      <c r="AD34" s="23" t="str">
        <f>IF(A34="","",IF(IF(OR(DATE($B$3,1,29)&gt;EOMONTH(DATE($B$3,1,1),0),NETWORKDAYS.INTL(DATE($B$3,1,29),DATE($B$3,1,29),1,'Non-working days'!$A$6:$A$45)=0),"",IF(COUNTIFS('Leave log'!$A$7:$A$306,Employees!$A$33,'Leave log'!$B$7:$B$306,"&lt;="&amp;DATE($B$3,1,29),'Leave log'!$C$7:$C$306,"&gt;="&amp;DATE($B$3,1,29),'Leave log'!$F$7:$F$306,"Approved")&gt;0,"A",""))="A","A",IF(OR(DATE($B$3,1,29)&gt;EOMONTH(DATE($B$3,1,1),0),NETWORKDAYS.INTL(DATE($B$3,1,29),DATE($B$3,1,29),1,'Non-working days'!$A$6:$A$45)=0),"",IF(COUNTIFS('Leave log'!$A$7:$A$306,Employees!$A$33,'Leave log'!$B$7:$B$306,"&lt;="&amp;DATE($B$3,1,29),'Leave log'!$C$7:$C$306,"&gt;="&amp;DATE($B$3,1,29),'Leave log'!$F$7:$F$306,"Pending")&gt;0,"P",""))))</f>
        <v/>
      </c>
      <c r="AE34" s="23" t="str">
        <f>IF(A34="","",IF(IF(OR(DATE($B$3,1,30)&gt;EOMONTH(DATE($B$3,1,1),0),NETWORKDAYS.INTL(DATE($B$3,1,30),DATE($B$3,1,30),1,'Non-working days'!$A$6:$A$45)=0),"",IF(COUNTIFS('Leave log'!$A$7:$A$306,Employees!$A$33,'Leave log'!$B$7:$B$306,"&lt;="&amp;DATE($B$3,1,30),'Leave log'!$C$7:$C$306,"&gt;="&amp;DATE($B$3,1,30),'Leave log'!$F$7:$F$306,"Approved")&gt;0,"A",""))="A","A",IF(OR(DATE($B$3,1,30)&gt;EOMONTH(DATE($B$3,1,1),0),NETWORKDAYS.INTL(DATE($B$3,1,30),DATE($B$3,1,30),1,'Non-working days'!$A$6:$A$45)=0),"",IF(COUNTIFS('Leave log'!$A$7:$A$306,Employees!$A$33,'Leave log'!$B$7:$B$306,"&lt;="&amp;DATE($B$3,1,30),'Leave log'!$C$7:$C$306,"&gt;="&amp;DATE($B$3,1,30),'Leave log'!$F$7:$F$306,"Pending")&gt;0,"P",""))))</f>
        <v/>
      </c>
      <c r="AF34" s="23" t="str">
        <f>IF(A34="","",IF(IF(OR(DATE($B$3,1,31)&gt;EOMONTH(DATE($B$3,1,1),0),NETWORKDAYS.INTL(DATE($B$3,1,31),DATE($B$3,1,31),1,'Non-working days'!$A$6:$A$45)=0),"",IF(COUNTIFS('Leave log'!$A$7:$A$306,Employees!$A$33,'Leave log'!$B$7:$B$306,"&lt;="&amp;DATE($B$3,1,31),'Leave log'!$C$7:$C$306,"&gt;="&amp;DATE($B$3,1,31),'Leave log'!$F$7:$F$306,"Approved")&gt;0,"A",""))="A","A",IF(OR(DATE($B$3,1,31)&gt;EOMONTH(DATE($B$3,1,1),0),NETWORKDAYS.INTL(DATE($B$3,1,31),DATE($B$3,1,31),1,'Non-working days'!$A$6:$A$45)=0),"",IF(COUNTIFS('Leave log'!$A$7:$A$306,Employees!$A$33,'Leave log'!$B$7:$B$306,"&lt;="&amp;DATE($B$3,1,31),'Leave log'!$C$7:$C$306,"&gt;="&amp;DATE($B$3,1,31),'Leave log'!$F$7:$F$306,"Pending")&gt;0,"P",""))))</f>
        <v/>
      </c>
    </row>
    <row r="35" spans="1:32" ht="18" customHeight="1" x14ac:dyDescent="0.3">
      <c r="A35" s="22" t="str">
        <f>IF(Employees!F34="Yes",Employees!B34,"")</f>
        <v/>
      </c>
      <c r="B35" s="23" t="str">
        <f>IF(A35="","",IF(IF(OR(DATE($B$3,1,1)&gt;EOMONTH(DATE($B$3,1,1),0),NETWORKDAYS.INTL(DATE($B$3,1,1),DATE($B$3,1,1),1,'Non-working days'!$A$6:$A$45)=0),"",IF(COUNTIFS('Leave log'!$A$7:$A$306,Employees!$A$34,'Leave log'!$B$7:$B$306,"&lt;="&amp;DATE($B$3,1,1),'Leave log'!$C$7:$C$306,"&gt;="&amp;DATE($B$3,1,1),'Leave log'!$F$7:$F$306,"Approved")&gt;0,"A",""))="A","A",IF(OR(DATE($B$3,1,1)&gt;EOMONTH(DATE($B$3,1,1),0),NETWORKDAYS.INTL(DATE($B$3,1,1),DATE($B$3,1,1),1,'Non-working days'!$A$6:$A$45)=0),"",IF(COUNTIFS('Leave log'!$A$7:$A$306,Employees!$A$34,'Leave log'!$B$7:$B$306,"&lt;="&amp;DATE($B$3,1,1),'Leave log'!$C$7:$C$306,"&gt;="&amp;DATE($B$3,1,1),'Leave log'!$F$7:$F$306,"Pending")&gt;0,"P",""))))</f>
        <v/>
      </c>
      <c r="C35" s="23" t="str">
        <f>IF(A35="","",IF(IF(OR(DATE($B$3,1,2)&gt;EOMONTH(DATE($B$3,1,1),0),NETWORKDAYS.INTL(DATE($B$3,1,2),DATE($B$3,1,2),1,'Non-working days'!$A$6:$A$45)=0),"",IF(COUNTIFS('Leave log'!$A$7:$A$306,Employees!$A$34,'Leave log'!$B$7:$B$306,"&lt;="&amp;DATE($B$3,1,2),'Leave log'!$C$7:$C$306,"&gt;="&amp;DATE($B$3,1,2),'Leave log'!$F$7:$F$306,"Approved")&gt;0,"A",""))="A","A",IF(OR(DATE($B$3,1,2)&gt;EOMONTH(DATE($B$3,1,1),0),NETWORKDAYS.INTL(DATE($B$3,1,2),DATE($B$3,1,2),1,'Non-working days'!$A$6:$A$45)=0),"",IF(COUNTIFS('Leave log'!$A$7:$A$306,Employees!$A$34,'Leave log'!$B$7:$B$306,"&lt;="&amp;DATE($B$3,1,2),'Leave log'!$C$7:$C$306,"&gt;="&amp;DATE($B$3,1,2),'Leave log'!$F$7:$F$306,"Pending")&gt;0,"P",""))))</f>
        <v/>
      </c>
      <c r="D35" s="23" t="str">
        <f>IF(A35="","",IF(IF(OR(DATE($B$3,1,3)&gt;EOMONTH(DATE($B$3,1,1),0),NETWORKDAYS.INTL(DATE($B$3,1,3),DATE($B$3,1,3),1,'Non-working days'!$A$6:$A$45)=0),"",IF(COUNTIFS('Leave log'!$A$7:$A$306,Employees!$A$34,'Leave log'!$B$7:$B$306,"&lt;="&amp;DATE($B$3,1,3),'Leave log'!$C$7:$C$306,"&gt;="&amp;DATE($B$3,1,3),'Leave log'!$F$7:$F$306,"Approved")&gt;0,"A",""))="A","A",IF(OR(DATE($B$3,1,3)&gt;EOMONTH(DATE($B$3,1,1),0),NETWORKDAYS.INTL(DATE($B$3,1,3),DATE($B$3,1,3),1,'Non-working days'!$A$6:$A$45)=0),"",IF(COUNTIFS('Leave log'!$A$7:$A$306,Employees!$A$34,'Leave log'!$B$7:$B$306,"&lt;="&amp;DATE($B$3,1,3),'Leave log'!$C$7:$C$306,"&gt;="&amp;DATE($B$3,1,3),'Leave log'!$F$7:$F$306,"Pending")&gt;0,"P",""))))</f>
        <v/>
      </c>
      <c r="E35" s="23" t="str">
        <f>IF(A35="","",IF(IF(OR(DATE($B$3,1,4)&gt;EOMONTH(DATE($B$3,1,1),0),NETWORKDAYS.INTL(DATE($B$3,1,4),DATE($B$3,1,4),1,'Non-working days'!$A$6:$A$45)=0),"",IF(COUNTIFS('Leave log'!$A$7:$A$306,Employees!$A$34,'Leave log'!$B$7:$B$306,"&lt;="&amp;DATE($B$3,1,4),'Leave log'!$C$7:$C$306,"&gt;="&amp;DATE($B$3,1,4),'Leave log'!$F$7:$F$306,"Approved")&gt;0,"A",""))="A","A",IF(OR(DATE($B$3,1,4)&gt;EOMONTH(DATE($B$3,1,1),0),NETWORKDAYS.INTL(DATE($B$3,1,4),DATE($B$3,1,4),1,'Non-working days'!$A$6:$A$45)=0),"",IF(COUNTIFS('Leave log'!$A$7:$A$306,Employees!$A$34,'Leave log'!$B$7:$B$306,"&lt;="&amp;DATE($B$3,1,4),'Leave log'!$C$7:$C$306,"&gt;="&amp;DATE($B$3,1,4),'Leave log'!$F$7:$F$306,"Pending")&gt;0,"P",""))))</f>
        <v/>
      </c>
      <c r="F35" s="23" t="str">
        <f>IF(A35="","",IF(IF(OR(DATE($B$3,1,5)&gt;EOMONTH(DATE($B$3,1,1),0),NETWORKDAYS.INTL(DATE($B$3,1,5),DATE($B$3,1,5),1,'Non-working days'!$A$6:$A$45)=0),"",IF(COUNTIFS('Leave log'!$A$7:$A$306,Employees!$A$34,'Leave log'!$B$7:$B$306,"&lt;="&amp;DATE($B$3,1,5),'Leave log'!$C$7:$C$306,"&gt;="&amp;DATE($B$3,1,5),'Leave log'!$F$7:$F$306,"Approved")&gt;0,"A",""))="A","A",IF(OR(DATE($B$3,1,5)&gt;EOMONTH(DATE($B$3,1,1),0),NETWORKDAYS.INTL(DATE($B$3,1,5),DATE($B$3,1,5),1,'Non-working days'!$A$6:$A$45)=0),"",IF(COUNTIFS('Leave log'!$A$7:$A$306,Employees!$A$34,'Leave log'!$B$7:$B$306,"&lt;="&amp;DATE($B$3,1,5),'Leave log'!$C$7:$C$306,"&gt;="&amp;DATE($B$3,1,5),'Leave log'!$F$7:$F$306,"Pending")&gt;0,"P",""))))</f>
        <v/>
      </c>
      <c r="G35" s="23" t="str">
        <f>IF(A35="","",IF(IF(OR(DATE($B$3,1,6)&gt;EOMONTH(DATE($B$3,1,1),0),NETWORKDAYS.INTL(DATE($B$3,1,6),DATE($B$3,1,6),1,'Non-working days'!$A$6:$A$45)=0),"",IF(COUNTIFS('Leave log'!$A$7:$A$306,Employees!$A$34,'Leave log'!$B$7:$B$306,"&lt;="&amp;DATE($B$3,1,6),'Leave log'!$C$7:$C$306,"&gt;="&amp;DATE($B$3,1,6),'Leave log'!$F$7:$F$306,"Approved")&gt;0,"A",""))="A","A",IF(OR(DATE($B$3,1,6)&gt;EOMONTH(DATE($B$3,1,1),0),NETWORKDAYS.INTL(DATE($B$3,1,6),DATE($B$3,1,6),1,'Non-working days'!$A$6:$A$45)=0),"",IF(COUNTIFS('Leave log'!$A$7:$A$306,Employees!$A$34,'Leave log'!$B$7:$B$306,"&lt;="&amp;DATE($B$3,1,6),'Leave log'!$C$7:$C$306,"&gt;="&amp;DATE($B$3,1,6),'Leave log'!$F$7:$F$306,"Pending")&gt;0,"P",""))))</f>
        <v/>
      </c>
      <c r="H35" s="23" t="str">
        <f>IF(A35="","",IF(IF(OR(DATE($B$3,1,7)&gt;EOMONTH(DATE($B$3,1,1),0),NETWORKDAYS.INTL(DATE($B$3,1,7),DATE($B$3,1,7),1,'Non-working days'!$A$6:$A$45)=0),"",IF(COUNTIFS('Leave log'!$A$7:$A$306,Employees!$A$34,'Leave log'!$B$7:$B$306,"&lt;="&amp;DATE($B$3,1,7),'Leave log'!$C$7:$C$306,"&gt;="&amp;DATE($B$3,1,7),'Leave log'!$F$7:$F$306,"Approved")&gt;0,"A",""))="A","A",IF(OR(DATE($B$3,1,7)&gt;EOMONTH(DATE($B$3,1,1),0),NETWORKDAYS.INTL(DATE($B$3,1,7),DATE($B$3,1,7),1,'Non-working days'!$A$6:$A$45)=0),"",IF(COUNTIFS('Leave log'!$A$7:$A$306,Employees!$A$34,'Leave log'!$B$7:$B$306,"&lt;="&amp;DATE($B$3,1,7),'Leave log'!$C$7:$C$306,"&gt;="&amp;DATE($B$3,1,7),'Leave log'!$F$7:$F$306,"Pending")&gt;0,"P",""))))</f>
        <v/>
      </c>
      <c r="I35" s="23" t="str">
        <f>IF(A35="","",IF(IF(OR(DATE($B$3,1,8)&gt;EOMONTH(DATE($B$3,1,1),0),NETWORKDAYS.INTL(DATE($B$3,1,8),DATE($B$3,1,8),1,'Non-working days'!$A$6:$A$45)=0),"",IF(COUNTIFS('Leave log'!$A$7:$A$306,Employees!$A$34,'Leave log'!$B$7:$B$306,"&lt;="&amp;DATE($B$3,1,8),'Leave log'!$C$7:$C$306,"&gt;="&amp;DATE($B$3,1,8),'Leave log'!$F$7:$F$306,"Approved")&gt;0,"A",""))="A","A",IF(OR(DATE($B$3,1,8)&gt;EOMONTH(DATE($B$3,1,1),0),NETWORKDAYS.INTL(DATE($B$3,1,8),DATE($B$3,1,8),1,'Non-working days'!$A$6:$A$45)=0),"",IF(COUNTIFS('Leave log'!$A$7:$A$306,Employees!$A$34,'Leave log'!$B$7:$B$306,"&lt;="&amp;DATE($B$3,1,8),'Leave log'!$C$7:$C$306,"&gt;="&amp;DATE($B$3,1,8),'Leave log'!$F$7:$F$306,"Pending")&gt;0,"P",""))))</f>
        <v/>
      </c>
      <c r="J35" s="23" t="str">
        <f>IF(A35="","",IF(IF(OR(DATE($B$3,1,9)&gt;EOMONTH(DATE($B$3,1,1),0),NETWORKDAYS.INTL(DATE($B$3,1,9),DATE($B$3,1,9),1,'Non-working days'!$A$6:$A$45)=0),"",IF(COUNTIFS('Leave log'!$A$7:$A$306,Employees!$A$34,'Leave log'!$B$7:$B$306,"&lt;="&amp;DATE($B$3,1,9),'Leave log'!$C$7:$C$306,"&gt;="&amp;DATE($B$3,1,9),'Leave log'!$F$7:$F$306,"Approved")&gt;0,"A",""))="A","A",IF(OR(DATE($B$3,1,9)&gt;EOMONTH(DATE($B$3,1,1),0),NETWORKDAYS.INTL(DATE($B$3,1,9),DATE($B$3,1,9),1,'Non-working days'!$A$6:$A$45)=0),"",IF(COUNTIFS('Leave log'!$A$7:$A$306,Employees!$A$34,'Leave log'!$B$7:$B$306,"&lt;="&amp;DATE($B$3,1,9),'Leave log'!$C$7:$C$306,"&gt;="&amp;DATE($B$3,1,9),'Leave log'!$F$7:$F$306,"Pending")&gt;0,"P",""))))</f>
        <v/>
      </c>
      <c r="K35" s="23" t="str">
        <f>IF(A35="","",IF(IF(OR(DATE($B$3,1,10)&gt;EOMONTH(DATE($B$3,1,1),0),NETWORKDAYS.INTL(DATE($B$3,1,10),DATE($B$3,1,10),1,'Non-working days'!$A$6:$A$45)=0),"",IF(COUNTIFS('Leave log'!$A$7:$A$306,Employees!$A$34,'Leave log'!$B$7:$B$306,"&lt;="&amp;DATE($B$3,1,10),'Leave log'!$C$7:$C$306,"&gt;="&amp;DATE($B$3,1,10),'Leave log'!$F$7:$F$306,"Approved")&gt;0,"A",""))="A","A",IF(OR(DATE($B$3,1,10)&gt;EOMONTH(DATE($B$3,1,1),0),NETWORKDAYS.INTL(DATE($B$3,1,10),DATE($B$3,1,10),1,'Non-working days'!$A$6:$A$45)=0),"",IF(COUNTIFS('Leave log'!$A$7:$A$306,Employees!$A$34,'Leave log'!$B$7:$B$306,"&lt;="&amp;DATE($B$3,1,10),'Leave log'!$C$7:$C$306,"&gt;="&amp;DATE($B$3,1,10),'Leave log'!$F$7:$F$306,"Pending")&gt;0,"P",""))))</f>
        <v/>
      </c>
      <c r="L35" s="23" t="str">
        <f>IF(A35="","",IF(IF(OR(DATE($B$3,1,11)&gt;EOMONTH(DATE($B$3,1,1),0),NETWORKDAYS.INTL(DATE($B$3,1,11),DATE($B$3,1,11),1,'Non-working days'!$A$6:$A$45)=0),"",IF(COUNTIFS('Leave log'!$A$7:$A$306,Employees!$A$34,'Leave log'!$B$7:$B$306,"&lt;="&amp;DATE($B$3,1,11),'Leave log'!$C$7:$C$306,"&gt;="&amp;DATE($B$3,1,11),'Leave log'!$F$7:$F$306,"Approved")&gt;0,"A",""))="A","A",IF(OR(DATE($B$3,1,11)&gt;EOMONTH(DATE($B$3,1,1),0),NETWORKDAYS.INTL(DATE($B$3,1,11),DATE($B$3,1,11),1,'Non-working days'!$A$6:$A$45)=0),"",IF(COUNTIFS('Leave log'!$A$7:$A$306,Employees!$A$34,'Leave log'!$B$7:$B$306,"&lt;="&amp;DATE($B$3,1,11),'Leave log'!$C$7:$C$306,"&gt;="&amp;DATE($B$3,1,11),'Leave log'!$F$7:$F$306,"Pending")&gt;0,"P",""))))</f>
        <v/>
      </c>
      <c r="M35" s="23" t="str">
        <f>IF(A35="","",IF(IF(OR(DATE($B$3,1,12)&gt;EOMONTH(DATE($B$3,1,1),0),NETWORKDAYS.INTL(DATE($B$3,1,12),DATE($B$3,1,12),1,'Non-working days'!$A$6:$A$45)=0),"",IF(COUNTIFS('Leave log'!$A$7:$A$306,Employees!$A$34,'Leave log'!$B$7:$B$306,"&lt;="&amp;DATE($B$3,1,12),'Leave log'!$C$7:$C$306,"&gt;="&amp;DATE($B$3,1,12),'Leave log'!$F$7:$F$306,"Approved")&gt;0,"A",""))="A","A",IF(OR(DATE($B$3,1,12)&gt;EOMONTH(DATE($B$3,1,1),0),NETWORKDAYS.INTL(DATE($B$3,1,12),DATE($B$3,1,12),1,'Non-working days'!$A$6:$A$45)=0),"",IF(COUNTIFS('Leave log'!$A$7:$A$306,Employees!$A$34,'Leave log'!$B$7:$B$306,"&lt;="&amp;DATE($B$3,1,12),'Leave log'!$C$7:$C$306,"&gt;="&amp;DATE($B$3,1,12),'Leave log'!$F$7:$F$306,"Pending")&gt;0,"P",""))))</f>
        <v/>
      </c>
      <c r="N35" s="23" t="str">
        <f>IF(A35="","",IF(IF(OR(DATE($B$3,1,13)&gt;EOMONTH(DATE($B$3,1,1),0),NETWORKDAYS.INTL(DATE($B$3,1,13),DATE($B$3,1,13),1,'Non-working days'!$A$6:$A$45)=0),"",IF(COUNTIFS('Leave log'!$A$7:$A$306,Employees!$A$34,'Leave log'!$B$7:$B$306,"&lt;="&amp;DATE($B$3,1,13),'Leave log'!$C$7:$C$306,"&gt;="&amp;DATE($B$3,1,13),'Leave log'!$F$7:$F$306,"Approved")&gt;0,"A",""))="A","A",IF(OR(DATE($B$3,1,13)&gt;EOMONTH(DATE($B$3,1,1),0),NETWORKDAYS.INTL(DATE($B$3,1,13),DATE($B$3,1,13),1,'Non-working days'!$A$6:$A$45)=0),"",IF(COUNTIFS('Leave log'!$A$7:$A$306,Employees!$A$34,'Leave log'!$B$7:$B$306,"&lt;="&amp;DATE($B$3,1,13),'Leave log'!$C$7:$C$306,"&gt;="&amp;DATE($B$3,1,13),'Leave log'!$F$7:$F$306,"Pending")&gt;0,"P",""))))</f>
        <v/>
      </c>
      <c r="O35" s="23" t="str">
        <f>IF(A35="","",IF(IF(OR(DATE($B$3,1,14)&gt;EOMONTH(DATE($B$3,1,1),0),NETWORKDAYS.INTL(DATE($B$3,1,14),DATE($B$3,1,14),1,'Non-working days'!$A$6:$A$45)=0),"",IF(COUNTIFS('Leave log'!$A$7:$A$306,Employees!$A$34,'Leave log'!$B$7:$B$306,"&lt;="&amp;DATE($B$3,1,14),'Leave log'!$C$7:$C$306,"&gt;="&amp;DATE($B$3,1,14),'Leave log'!$F$7:$F$306,"Approved")&gt;0,"A",""))="A","A",IF(OR(DATE($B$3,1,14)&gt;EOMONTH(DATE($B$3,1,1),0),NETWORKDAYS.INTL(DATE($B$3,1,14),DATE($B$3,1,14),1,'Non-working days'!$A$6:$A$45)=0),"",IF(COUNTIFS('Leave log'!$A$7:$A$306,Employees!$A$34,'Leave log'!$B$7:$B$306,"&lt;="&amp;DATE($B$3,1,14),'Leave log'!$C$7:$C$306,"&gt;="&amp;DATE($B$3,1,14),'Leave log'!$F$7:$F$306,"Pending")&gt;0,"P",""))))</f>
        <v/>
      </c>
      <c r="P35" s="23" t="str">
        <f>IF(A35="","",IF(IF(OR(DATE($B$3,1,15)&gt;EOMONTH(DATE($B$3,1,1),0),NETWORKDAYS.INTL(DATE($B$3,1,15),DATE($B$3,1,15),1,'Non-working days'!$A$6:$A$45)=0),"",IF(COUNTIFS('Leave log'!$A$7:$A$306,Employees!$A$34,'Leave log'!$B$7:$B$306,"&lt;="&amp;DATE($B$3,1,15),'Leave log'!$C$7:$C$306,"&gt;="&amp;DATE($B$3,1,15),'Leave log'!$F$7:$F$306,"Approved")&gt;0,"A",""))="A","A",IF(OR(DATE($B$3,1,15)&gt;EOMONTH(DATE($B$3,1,1),0),NETWORKDAYS.INTL(DATE($B$3,1,15),DATE($B$3,1,15),1,'Non-working days'!$A$6:$A$45)=0),"",IF(COUNTIFS('Leave log'!$A$7:$A$306,Employees!$A$34,'Leave log'!$B$7:$B$306,"&lt;="&amp;DATE($B$3,1,15),'Leave log'!$C$7:$C$306,"&gt;="&amp;DATE($B$3,1,15),'Leave log'!$F$7:$F$306,"Pending")&gt;0,"P",""))))</f>
        <v/>
      </c>
      <c r="Q35" s="23" t="str">
        <f>IF(A35="","",IF(IF(OR(DATE($B$3,1,16)&gt;EOMONTH(DATE($B$3,1,1),0),NETWORKDAYS.INTL(DATE($B$3,1,16),DATE($B$3,1,16),1,'Non-working days'!$A$6:$A$45)=0),"",IF(COUNTIFS('Leave log'!$A$7:$A$306,Employees!$A$34,'Leave log'!$B$7:$B$306,"&lt;="&amp;DATE($B$3,1,16),'Leave log'!$C$7:$C$306,"&gt;="&amp;DATE($B$3,1,16),'Leave log'!$F$7:$F$306,"Approved")&gt;0,"A",""))="A","A",IF(OR(DATE($B$3,1,16)&gt;EOMONTH(DATE($B$3,1,1),0),NETWORKDAYS.INTL(DATE($B$3,1,16),DATE($B$3,1,16),1,'Non-working days'!$A$6:$A$45)=0),"",IF(COUNTIFS('Leave log'!$A$7:$A$306,Employees!$A$34,'Leave log'!$B$7:$B$306,"&lt;="&amp;DATE($B$3,1,16),'Leave log'!$C$7:$C$306,"&gt;="&amp;DATE($B$3,1,16),'Leave log'!$F$7:$F$306,"Pending")&gt;0,"P",""))))</f>
        <v/>
      </c>
      <c r="R35" s="23" t="str">
        <f>IF(A35="","",IF(IF(OR(DATE($B$3,1,17)&gt;EOMONTH(DATE($B$3,1,1),0),NETWORKDAYS.INTL(DATE($B$3,1,17),DATE($B$3,1,17),1,'Non-working days'!$A$6:$A$45)=0),"",IF(COUNTIFS('Leave log'!$A$7:$A$306,Employees!$A$34,'Leave log'!$B$7:$B$306,"&lt;="&amp;DATE($B$3,1,17),'Leave log'!$C$7:$C$306,"&gt;="&amp;DATE($B$3,1,17),'Leave log'!$F$7:$F$306,"Approved")&gt;0,"A",""))="A","A",IF(OR(DATE($B$3,1,17)&gt;EOMONTH(DATE($B$3,1,1),0),NETWORKDAYS.INTL(DATE($B$3,1,17),DATE($B$3,1,17),1,'Non-working days'!$A$6:$A$45)=0),"",IF(COUNTIFS('Leave log'!$A$7:$A$306,Employees!$A$34,'Leave log'!$B$7:$B$306,"&lt;="&amp;DATE($B$3,1,17),'Leave log'!$C$7:$C$306,"&gt;="&amp;DATE($B$3,1,17),'Leave log'!$F$7:$F$306,"Pending")&gt;0,"P",""))))</f>
        <v/>
      </c>
      <c r="S35" s="23" t="str">
        <f>IF(A35="","",IF(IF(OR(DATE($B$3,1,18)&gt;EOMONTH(DATE($B$3,1,1),0),NETWORKDAYS.INTL(DATE($B$3,1,18),DATE($B$3,1,18),1,'Non-working days'!$A$6:$A$45)=0),"",IF(COUNTIFS('Leave log'!$A$7:$A$306,Employees!$A$34,'Leave log'!$B$7:$B$306,"&lt;="&amp;DATE($B$3,1,18),'Leave log'!$C$7:$C$306,"&gt;="&amp;DATE($B$3,1,18),'Leave log'!$F$7:$F$306,"Approved")&gt;0,"A",""))="A","A",IF(OR(DATE($B$3,1,18)&gt;EOMONTH(DATE($B$3,1,1),0),NETWORKDAYS.INTL(DATE($B$3,1,18),DATE($B$3,1,18),1,'Non-working days'!$A$6:$A$45)=0),"",IF(COUNTIFS('Leave log'!$A$7:$A$306,Employees!$A$34,'Leave log'!$B$7:$B$306,"&lt;="&amp;DATE($B$3,1,18),'Leave log'!$C$7:$C$306,"&gt;="&amp;DATE($B$3,1,18),'Leave log'!$F$7:$F$306,"Pending")&gt;0,"P",""))))</f>
        <v/>
      </c>
      <c r="T35" s="23" t="str">
        <f>IF(A35="","",IF(IF(OR(DATE($B$3,1,19)&gt;EOMONTH(DATE($B$3,1,1),0),NETWORKDAYS.INTL(DATE($B$3,1,19),DATE($B$3,1,19),1,'Non-working days'!$A$6:$A$45)=0),"",IF(COUNTIFS('Leave log'!$A$7:$A$306,Employees!$A$34,'Leave log'!$B$7:$B$306,"&lt;="&amp;DATE($B$3,1,19),'Leave log'!$C$7:$C$306,"&gt;="&amp;DATE($B$3,1,19),'Leave log'!$F$7:$F$306,"Approved")&gt;0,"A",""))="A","A",IF(OR(DATE($B$3,1,19)&gt;EOMONTH(DATE($B$3,1,1),0),NETWORKDAYS.INTL(DATE($B$3,1,19),DATE($B$3,1,19),1,'Non-working days'!$A$6:$A$45)=0),"",IF(COUNTIFS('Leave log'!$A$7:$A$306,Employees!$A$34,'Leave log'!$B$7:$B$306,"&lt;="&amp;DATE($B$3,1,19),'Leave log'!$C$7:$C$306,"&gt;="&amp;DATE($B$3,1,19),'Leave log'!$F$7:$F$306,"Pending")&gt;0,"P",""))))</f>
        <v/>
      </c>
      <c r="U35" s="23" t="str">
        <f>IF(A35="","",IF(IF(OR(DATE($B$3,1,20)&gt;EOMONTH(DATE($B$3,1,1),0),NETWORKDAYS.INTL(DATE($B$3,1,20),DATE($B$3,1,20),1,'Non-working days'!$A$6:$A$45)=0),"",IF(COUNTIFS('Leave log'!$A$7:$A$306,Employees!$A$34,'Leave log'!$B$7:$B$306,"&lt;="&amp;DATE($B$3,1,20),'Leave log'!$C$7:$C$306,"&gt;="&amp;DATE($B$3,1,20),'Leave log'!$F$7:$F$306,"Approved")&gt;0,"A",""))="A","A",IF(OR(DATE($B$3,1,20)&gt;EOMONTH(DATE($B$3,1,1),0),NETWORKDAYS.INTL(DATE($B$3,1,20),DATE($B$3,1,20),1,'Non-working days'!$A$6:$A$45)=0),"",IF(COUNTIFS('Leave log'!$A$7:$A$306,Employees!$A$34,'Leave log'!$B$7:$B$306,"&lt;="&amp;DATE($B$3,1,20),'Leave log'!$C$7:$C$306,"&gt;="&amp;DATE($B$3,1,20),'Leave log'!$F$7:$F$306,"Pending")&gt;0,"P",""))))</f>
        <v/>
      </c>
      <c r="V35" s="23" t="str">
        <f>IF(A35="","",IF(IF(OR(DATE($B$3,1,21)&gt;EOMONTH(DATE($B$3,1,1),0),NETWORKDAYS.INTL(DATE($B$3,1,21),DATE($B$3,1,21),1,'Non-working days'!$A$6:$A$45)=0),"",IF(COUNTIFS('Leave log'!$A$7:$A$306,Employees!$A$34,'Leave log'!$B$7:$B$306,"&lt;="&amp;DATE($B$3,1,21),'Leave log'!$C$7:$C$306,"&gt;="&amp;DATE($B$3,1,21),'Leave log'!$F$7:$F$306,"Approved")&gt;0,"A",""))="A","A",IF(OR(DATE($B$3,1,21)&gt;EOMONTH(DATE($B$3,1,1),0),NETWORKDAYS.INTL(DATE($B$3,1,21),DATE($B$3,1,21),1,'Non-working days'!$A$6:$A$45)=0),"",IF(COUNTIFS('Leave log'!$A$7:$A$306,Employees!$A$34,'Leave log'!$B$7:$B$306,"&lt;="&amp;DATE($B$3,1,21),'Leave log'!$C$7:$C$306,"&gt;="&amp;DATE($B$3,1,21),'Leave log'!$F$7:$F$306,"Pending")&gt;0,"P",""))))</f>
        <v/>
      </c>
      <c r="W35" s="23" t="str">
        <f>IF(A35="","",IF(IF(OR(DATE($B$3,1,22)&gt;EOMONTH(DATE($B$3,1,1),0),NETWORKDAYS.INTL(DATE($B$3,1,22),DATE($B$3,1,22),1,'Non-working days'!$A$6:$A$45)=0),"",IF(COUNTIFS('Leave log'!$A$7:$A$306,Employees!$A$34,'Leave log'!$B$7:$B$306,"&lt;="&amp;DATE($B$3,1,22),'Leave log'!$C$7:$C$306,"&gt;="&amp;DATE($B$3,1,22),'Leave log'!$F$7:$F$306,"Approved")&gt;0,"A",""))="A","A",IF(OR(DATE($B$3,1,22)&gt;EOMONTH(DATE($B$3,1,1),0),NETWORKDAYS.INTL(DATE($B$3,1,22),DATE($B$3,1,22),1,'Non-working days'!$A$6:$A$45)=0),"",IF(COUNTIFS('Leave log'!$A$7:$A$306,Employees!$A$34,'Leave log'!$B$7:$B$306,"&lt;="&amp;DATE($B$3,1,22),'Leave log'!$C$7:$C$306,"&gt;="&amp;DATE($B$3,1,22),'Leave log'!$F$7:$F$306,"Pending")&gt;0,"P",""))))</f>
        <v/>
      </c>
      <c r="X35" s="23" t="str">
        <f>IF(A35="","",IF(IF(OR(DATE($B$3,1,23)&gt;EOMONTH(DATE($B$3,1,1),0),NETWORKDAYS.INTL(DATE($B$3,1,23),DATE($B$3,1,23),1,'Non-working days'!$A$6:$A$45)=0),"",IF(COUNTIFS('Leave log'!$A$7:$A$306,Employees!$A$34,'Leave log'!$B$7:$B$306,"&lt;="&amp;DATE($B$3,1,23),'Leave log'!$C$7:$C$306,"&gt;="&amp;DATE($B$3,1,23),'Leave log'!$F$7:$F$306,"Approved")&gt;0,"A",""))="A","A",IF(OR(DATE($B$3,1,23)&gt;EOMONTH(DATE($B$3,1,1),0),NETWORKDAYS.INTL(DATE($B$3,1,23),DATE($B$3,1,23),1,'Non-working days'!$A$6:$A$45)=0),"",IF(COUNTIFS('Leave log'!$A$7:$A$306,Employees!$A$34,'Leave log'!$B$7:$B$306,"&lt;="&amp;DATE($B$3,1,23),'Leave log'!$C$7:$C$306,"&gt;="&amp;DATE($B$3,1,23),'Leave log'!$F$7:$F$306,"Pending")&gt;0,"P",""))))</f>
        <v/>
      </c>
      <c r="Y35" s="23" t="str">
        <f>IF(A35="","",IF(IF(OR(DATE($B$3,1,24)&gt;EOMONTH(DATE($B$3,1,1),0),NETWORKDAYS.INTL(DATE($B$3,1,24),DATE($B$3,1,24),1,'Non-working days'!$A$6:$A$45)=0),"",IF(COUNTIFS('Leave log'!$A$7:$A$306,Employees!$A$34,'Leave log'!$B$7:$B$306,"&lt;="&amp;DATE($B$3,1,24),'Leave log'!$C$7:$C$306,"&gt;="&amp;DATE($B$3,1,24),'Leave log'!$F$7:$F$306,"Approved")&gt;0,"A",""))="A","A",IF(OR(DATE($B$3,1,24)&gt;EOMONTH(DATE($B$3,1,1),0),NETWORKDAYS.INTL(DATE($B$3,1,24),DATE($B$3,1,24),1,'Non-working days'!$A$6:$A$45)=0),"",IF(COUNTIFS('Leave log'!$A$7:$A$306,Employees!$A$34,'Leave log'!$B$7:$B$306,"&lt;="&amp;DATE($B$3,1,24),'Leave log'!$C$7:$C$306,"&gt;="&amp;DATE($B$3,1,24),'Leave log'!$F$7:$F$306,"Pending")&gt;0,"P",""))))</f>
        <v/>
      </c>
      <c r="Z35" s="23" t="str">
        <f>IF(A35="","",IF(IF(OR(DATE($B$3,1,25)&gt;EOMONTH(DATE($B$3,1,1),0),NETWORKDAYS.INTL(DATE($B$3,1,25),DATE($B$3,1,25),1,'Non-working days'!$A$6:$A$45)=0),"",IF(COUNTIFS('Leave log'!$A$7:$A$306,Employees!$A$34,'Leave log'!$B$7:$B$306,"&lt;="&amp;DATE($B$3,1,25),'Leave log'!$C$7:$C$306,"&gt;="&amp;DATE($B$3,1,25),'Leave log'!$F$7:$F$306,"Approved")&gt;0,"A",""))="A","A",IF(OR(DATE($B$3,1,25)&gt;EOMONTH(DATE($B$3,1,1),0),NETWORKDAYS.INTL(DATE($B$3,1,25),DATE($B$3,1,25),1,'Non-working days'!$A$6:$A$45)=0),"",IF(COUNTIFS('Leave log'!$A$7:$A$306,Employees!$A$34,'Leave log'!$B$7:$B$306,"&lt;="&amp;DATE($B$3,1,25),'Leave log'!$C$7:$C$306,"&gt;="&amp;DATE($B$3,1,25),'Leave log'!$F$7:$F$306,"Pending")&gt;0,"P",""))))</f>
        <v/>
      </c>
      <c r="AA35" s="23" t="str">
        <f>IF(A35="","",IF(IF(OR(DATE($B$3,1,26)&gt;EOMONTH(DATE($B$3,1,1),0),NETWORKDAYS.INTL(DATE($B$3,1,26),DATE($B$3,1,26),1,'Non-working days'!$A$6:$A$45)=0),"",IF(COUNTIFS('Leave log'!$A$7:$A$306,Employees!$A$34,'Leave log'!$B$7:$B$306,"&lt;="&amp;DATE($B$3,1,26),'Leave log'!$C$7:$C$306,"&gt;="&amp;DATE($B$3,1,26),'Leave log'!$F$7:$F$306,"Approved")&gt;0,"A",""))="A","A",IF(OR(DATE($B$3,1,26)&gt;EOMONTH(DATE($B$3,1,1),0),NETWORKDAYS.INTL(DATE($B$3,1,26),DATE($B$3,1,26),1,'Non-working days'!$A$6:$A$45)=0),"",IF(COUNTIFS('Leave log'!$A$7:$A$306,Employees!$A$34,'Leave log'!$B$7:$B$306,"&lt;="&amp;DATE($B$3,1,26),'Leave log'!$C$7:$C$306,"&gt;="&amp;DATE($B$3,1,26),'Leave log'!$F$7:$F$306,"Pending")&gt;0,"P",""))))</f>
        <v/>
      </c>
      <c r="AB35" s="23" t="str">
        <f>IF(A35="","",IF(IF(OR(DATE($B$3,1,27)&gt;EOMONTH(DATE($B$3,1,1),0),NETWORKDAYS.INTL(DATE($B$3,1,27),DATE($B$3,1,27),1,'Non-working days'!$A$6:$A$45)=0),"",IF(COUNTIFS('Leave log'!$A$7:$A$306,Employees!$A$34,'Leave log'!$B$7:$B$306,"&lt;="&amp;DATE($B$3,1,27),'Leave log'!$C$7:$C$306,"&gt;="&amp;DATE($B$3,1,27),'Leave log'!$F$7:$F$306,"Approved")&gt;0,"A",""))="A","A",IF(OR(DATE($B$3,1,27)&gt;EOMONTH(DATE($B$3,1,1),0),NETWORKDAYS.INTL(DATE($B$3,1,27),DATE($B$3,1,27),1,'Non-working days'!$A$6:$A$45)=0),"",IF(COUNTIFS('Leave log'!$A$7:$A$306,Employees!$A$34,'Leave log'!$B$7:$B$306,"&lt;="&amp;DATE($B$3,1,27),'Leave log'!$C$7:$C$306,"&gt;="&amp;DATE($B$3,1,27),'Leave log'!$F$7:$F$306,"Pending")&gt;0,"P",""))))</f>
        <v/>
      </c>
      <c r="AC35" s="23" t="str">
        <f>IF(A35="","",IF(IF(OR(DATE($B$3,1,28)&gt;EOMONTH(DATE($B$3,1,1),0),NETWORKDAYS.INTL(DATE($B$3,1,28),DATE($B$3,1,28),1,'Non-working days'!$A$6:$A$45)=0),"",IF(COUNTIFS('Leave log'!$A$7:$A$306,Employees!$A$34,'Leave log'!$B$7:$B$306,"&lt;="&amp;DATE($B$3,1,28),'Leave log'!$C$7:$C$306,"&gt;="&amp;DATE($B$3,1,28),'Leave log'!$F$7:$F$306,"Approved")&gt;0,"A",""))="A","A",IF(OR(DATE($B$3,1,28)&gt;EOMONTH(DATE($B$3,1,1),0),NETWORKDAYS.INTL(DATE($B$3,1,28),DATE($B$3,1,28),1,'Non-working days'!$A$6:$A$45)=0),"",IF(COUNTIFS('Leave log'!$A$7:$A$306,Employees!$A$34,'Leave log'!$B$7:$B$306,"&lt;="&amp;DATE($B$3,1,28),'Leave log'!$C$7:$C$306,"&gt;="&amp;DATE($B$3,1,28),'Leave log'!$F$7:$F$306,"Pending")&gt;0,"P",""))))</f>
        <v/>
      </c>
      <c r="AD35" s="23" t="str">
        <f>IF(A35="","",IF(IF(OR(DATE($B$3,1,29)&gt;EOMONTH(DATE($B$3,1,1),0),NETWORKDAYS.INTL(DATE($B$3,1,29),DATE($B$3,1,29),1,'Non-working days'!$A$6:$A$45)=0),"",IF(COUNTIFS('Leave log'!$A$7:$A$306,Employees!$A$34,'Leave log'!$B$7:$B$306,"&lt;="&amp;DATE($B$3,1,29),'Leave log'!$C$7:$C$306,"&gt;="&amp;DATE($B$3,1,29),'Leave log'!$F$7:$F$306,"Approved")&gt;0,"A",""))="A","A",IF(OR(DATE($B$3,1,29)&gt;EOMONTH(DATE($B$3,1,1),0),NETWORKDAYS.INTL(DATE($B$3,1,29),DATE($B$3,1,29),1,'Non-working days'!$A$6:$A$45)=0),"",IF(COUNTIFS('Leave log'!$A$7:$A$306,Employees!$A$34,'Leave log'!$B$7:$B$306,"&lt;="&amp;DATE($B$3,1,29),'Leave log'!$C$7:$C$306,"&gt;="&amp;DATE($B$3,1,29),'Leave log'!$F$7:$F$306,"Pending")&gt;0,"P",""))))</f>
        <v/>
      </c>
      <c r="AE35" s="23" t="str">
        <f>IF(A35="","",IF(IF(OR(DATE($B$3,1,30)&gt;EOMONTH(DATE($B$3,1,1),0),NETWORKDAYS.INTL(DATE($B$3,1,30),DATE($B$3,1,30),1,'Non-working days'!$A$6:$A$45)=0),"",IF(COUNTIFS('Leave log'!$A$7:$A$306,Employees!$A$34,'Leave log'!$B$7:$B$306,"&lt;="&amp;DATE($B$3,1,30),'Leave log'!$C$7:$C$306,"&gt;="&amp;DATE($B$3,1,30),'Leave log'!$F$7:$F$306,"Approved")&gt;0,"A",""))="A","A",IF(OR(DATE($B$3,1,30)&gt;EOMONTH(DATE($B$3,1,1),0),NETWORKDAYS.INTL(DATE($B$3,1,30),DATE($B$3,1,30),1,'Non-working days'!$A$6:$A$45)=0),"",IF(COUNTIFS('Leave log'!$A$7:$A$306,Employees!$A$34,'Leave log'!$B$7:$B$306,"&lt;="&amp;DATE($B$3,1,30),'Leave log'!$C$7:$C$306,"&gt;="&amp;DATE($B$3,1,30),'Leave log'!$F$7:$F$306,"Pending")&gt;0,"P",""))))</f>
        <v/>
      </c>
      <c r="AF35" s="23" t="str">
        <f>IF(A35="","",IF(IF(OR(DATE($B$3,1,31)&gt;EOMONTH(DATE($B$3,1,1),0),NETWORKDAYS.INTL(DATE($B$3,1,31),DATE($B$3,1,31),1,'Non-working days'!$A$6:$A$45)=0),"",IF(COUNTIFS('Leave log'!$A$7:$A$306,Employees!$A$34,'Leave log'!$B$7:$B$306,"&lt;="&amp;DATE($B$3,1,31),'Leave log'!$C$7:$C$306,"&gt;="&amp;DATE($B$3,1,31),'Leave log'!$F$7:$F$306,"Approved")&gt;0,"A",""))="A","A",IF(OR(DATE($B$3,1,31)&gt;EOMONTH(DATE($B$3,1,1),0),NETWORKDAYS.INTL(DATE($B$3,1,31),DATE($B$3,1,31),1,'Non-working days'!$A$6:$A$45)=0),"",IF(COUNTIFS('Leave log'!$A$7:$A$306,Employees!$A$34,'Leave log'!$B$7:$B$306,"&lt;="&amp;DATE($B$3,1,31),'Leave log'!$C$7:$C$306,"&gt;="&amp;DATE($B$3,1,31),'Leave log'!$F$7:$F$306,"Pending")&gt;0,"P",""))))</f>
        <v/>
      </c>
    </row>
    <row r="36" spans="1:32" ht="18" customHeight="1" x14ac:dyDescent="0.3">
      <c r="A36" s="22" t="str">
        <f>IF(Employees!F35="Yes",Employees!B35,"")</f>
        <v/>
      </c>
      <c r="B36" s="23" t="str">
        <f>IF(A36="","",IF(IF(OR(DATE($B$3,1,1)&gt;EOMONTH(DATE($B$3,1,1),0),NETWORKDAYS.INTL(DATE($B$3,1,1),DATE($B$3,1,1),1,'Non-working days'!$A$6:$A$45)=0),"",IF(COUNTIFS('Leave log'!$A$7:$A$306,Employees!$A$35,'Leave log'!$B$7:$B$306,"&lt;="&amp;DATE($B$3,1,1),'Leave log'!$C$7:$C$306,"&gt;="&amp;DATE($B$3,1,1),'Leave log'!$F$7:$F$306,"Approved")&gt;0,"A",""))="A","A",IF(OR(DATE($B$3,1,1)&gt;EOMONTH(DATE($B$3,1,1),0),NETWORKDAYS.INTL(DATE($B$3,1,1),DATE($B$3,1,1),1,'Non-working days'!$A$6:$A$45)=0),"",IF(COUNTIFS('Leave log'!$A$7:$A$306,Employees!$A$35,'Leave log'!$B$7:$B$306,"&lt;="&amp;DATE($B$3,1,1),'Leave log'!$C$7:$C$306,"&gt;="&amp;DATE($B$3,1,1),'Leave log'!$F$7:$F$306,"Pending")&gt;0,"P",""))))</f>
        <v/>
      </c>
      <c r="C36" s="23" t="str">
        <f>IF(A36="","",IF(IF(OR(DATE($B$3,1,2)&gt;EOMONTH(DATE($B$3,1,1),0),NETWORKDAYS.INTL(DATE($B$3,1,2),DATE($B$3,1,2),1,'Non-working days'!$A$6:$A$45)=0),"",IF(COUNTIFS('Leave log'!$A$7:$A$306,Employees!$A$35,'Leave log'!$B$7:$B$306,"&lt;="&amp;DATE($B$3,1,2),'Leave log'!$C$7:$C$306,"&gt;="&amp;DATE($B$3,1,2),'Leave log'!$F$7:$F$306,"Approved")&gt;0,"A",""))="A","A",IF(OR(DATE($B$3,1,2)&gt;EOMONTH(DATE($B$3,1,1),0),NETWORKDAYS.INTL(DATE($B$3,1,2),DATE($B$3,1,2),1,'Non-working days'!$A$6:$A$45)=0),"",IF(COUNTIFS('Leave log'!$A$7:$A$306,Employees!$A$35,'Leave log'!$B$7:$B$306,"&lt;="&amp;DATE($B$3,1,2),'Leave log'!$C$7:$C$306,"&gt;="&amp;DATE($B$3,1,2),'Leave log'!$F$7:$F$306,"Pending")&gt;0,"P",""))))</f>
        <v/>
      </c>
      <c r="D36" s="23" t="str">
        <f>IF(A36="","",IF(IF(OR(DATE($B$3,1,3)&gt;EOMONTH(DATE($B$3,1,1),0),NETWORKDAYS.INTL(DATE($B$3,1,3),DATE($B$3,1,3),1,'Non-working days'!$A$6:$A$45)=0),"",IF(COUNTIFS('Leave log'!$A$7:$A$306,Employees!$A$35,'Leave log'!$B$7:$B$306,"&lt;="&amp;DATE($B$3,1,3),'Leave log'!$C$7:$C$306,"&gt;="&amp;DATE($B$3,1,3),'Leave log'!$F$7:$F$306,"Approved")&gt;0,"A",""))="A","A",IF(OR(DATE($B$3,1,3)&gt;EOMONTH(DATE($B$3,1,1),0),NETWORKDAYS.INTL(DATE($B$3,1,3),DATE($B$3,1,3),1,'Non-working days'!$A$6:$A$45)=0),"",IF(COUNTIFS('Leave log'!$A$7:$A$306,Employees!$A$35,'Leave log'!$B$7:$B$306,"&lt;="&amp;DATE($B$3,1,3),'Leave log'!$C$7:$C$306,"&gt;="&amp;DATE($B$3,1,3),'Leave log'!$F$7:$F$306,"Pending")&gt;0,"P",""))))</f>
        <v/>
      </c>
      <c r="E36" s="23" t="str">
        <f>IF(A36="","",IF(IF(OR(DATE($B$3,1,4)&gt;EOMONTH(DATE($B$3,1,1),0),NETWORKDAYS.INTL(DATE($B$3,1,4),DATE($B$3,1,4),1,'Non-working days'!$A$6:$A$45)=0),"",IF(COUNTIFS('Leave log'!$A$7:$A$306,Employees!$A$35,'Leave log'!$B$7:$B$306,"&lt;="&amp;DATE($B$3,1,4),'Leave log'!$C$7:$C$306,"&gt;="&amp;DATE($B$3,1,4),'Leave log'!$F$7:$F$306,"Approved")&gt;0,"A",""))="A","A",IF(OR(DATE($B$3,1,4)&gt;EOMONTH(DATE($B$3,1,1),0),NETWORKDAYS.INTL(DATE($B$3,1,4),DATE($B$3,1,4),1,'Non-working days'!$A$6:$A$45)=0),"",IF(COUNTIFS('Leave log'!$A$7:$A$306,Employees!$A$35,'Leave log'!$B$7:$B$306,"&lt;="&amp;DATE($B$3,1,4),'Leave log'!$C$7:$C$306,"&gt;="&amp;DATE($B$3,1,4),'Leave log'!$F$7:$F$306,"Pending")&gt;0,"P",""))))</f>
        <v/>
      </c>
      <c r="F36" s="23" t="str">
        <f>IF(A36="","",IF(IF(OR(DATE($B$3,1,5)&gt;EOMONTH(DATE($B$3,1,1),0),NETWORKDAYS.INTL(DATE($B$3,1,5),DATE($B$3,1,5),1,'Non-working days'!$A$6:$A$45)=0),"",IF(COUNTIFS('Leave log'!$A$7:$A$306,Employees!$A$35,'Leave log'!$B$7:$B$306,"&lt;="&amp;DATE($B$3,1,5),'Leave log'!$C$7:$C$306,"&gt;="&amp;DATE($B$3,1,5),'Leave log'!$F$7:$F$306,"Approved")&gt;0,"A",""))="A","A",IF(OR(DATE($B$3,1,5)&gt;EOMONTH(DATE($B$3,1,1),0),NETWORKDAYS.INTL(DATE($B$3,1,5),DATE($B$3,1,5),1,'Non-working days'!$A$6:$A$45)=0),"",IF(COUNTIFS('Leave log'!$A$7:$A$306,Employees!$A$35,'Leave log'!$B$7:$B$306,"&lt;="&amp;DATE($B$3,1,5),'Leave log'!$C$7:$C$306,"&gt;="&amp;DATE($B$3,1,5),'Leave log'!$F$7:$F$306,"Pending")&gt;0,"P",""))))</f>
        <v/>
      </c>
      <c r="G36" s="23" t="str">
        <f>IF(A36="","",IF(IF(OR(DATE($B$3,1,6)&gt;EOMONTH(DATE($B$3,1,1),0),NETWORKDAYS.INTL(DATE($B$3,1,6),DATE($B$3,1,6),1,'Non-working days'!$A$6:$A$45)=0),"",IF(COUNTIFS('Leave log'!$A$7:$A$306,Employees!$A$35,'Leave log'!$B$7:$B$306,"&lt;="&amp;DATE($B$3,1,6),'Leave log'!$C$7:$C$306,"&gt;="&amp;DATE($B$3,1,6),'Leave log'!$F$7:$F$306,"Approved")&gt;0,"A",""))="A","A",IF(OR(DATE($B$3,1,6)&gt;EOMONTH(DATE($B$3,1,1),0),NETWORKDAYS.INTL(DATE($B$3,1,6),DATE($B$3,1,6),1,'Non-working days'!$A$6:$A$45)=0),"",IF(COUNTIFS('Leave log'!$A$7:$A$306,Employees!$A$35,'Leave log'!$B$7:$B$306,"&lt;="&amp;DATE($B$3,1,6),'Leave log'!$C$7:$C$306,"&gt;="&amp;DATE($B$3,1,6),'Leave log'!$F$7:$F$306,"Pending")&gt;0,"P",""))))</f>
        <v/>
      </c>
      <c r="H36" s="23" t="str">
        <f>IF(A36="","",IF(IF(OR(DATE($B$3,1,7)&gt;EOMONTH(DATE($B$3,1,1),0),NETWORKDAYS.INTL(DATE($B$3,1,7),DATE($B$3,1,7),1,'Non-working days'!$A$6:$A$45)=0),"",IF(COUNTIFS('Leave log'!$A$7:$A$306,Employees!$A$35,'Leave log'!$B$7:$B$306,"&lt;="&amp;DATE($B$3,1,7),'Leave log'!$C$7:$C$306,"&gt;="&amp;DATE($B$3,1,7),'Leave log'!$F$7:$F$306,"Approved")&gt;0,"A",""))="A","A",IF(OR(DATE($B$3,1,7)&gt;EOMONTH(DATE($B$3,1,1),0),NETWORKDAYS.INTL(DATE($B$3,1,7),DATE($B$3,1,7),1,'Non-working days'!$A$6:$A$45)=0),"",IF(COUNTIFS('Leave log'!$A$7:$A$306,Employees!$A$35,'Leave log'!$B$7:$B$306,"&lt;="&amp;DATE($B$3,1,7),'Leave log'!$C$7:$C$306,"&gt;="&amp;DATE($B$3,1,7),'Leave log'!$F$7:$F$306,"Pending")&gt;0,"P",""))))</f>
        <v/>
      </c>
      <c r="I36" s="23" t="str">
        <f>IF(A36="","",IF(IF(OR(DATE($B$3,1,8)&gt;EOMONTH(DATE($B$3,1,1),0),NETWORKDAYS.INTL(DATE($B$3,1,8),DATE($B$3,1,8),1,'Non-working days'!$A$6:$A$45)=0),"",IF(COUNTIFS('Leave log'!$A$7:$A$306,Employees!$A$35,'Leave log'!$B$7:$B$306,"&lt;="&amp;DATE($B$3,1,8),'Leave log'!$C$7:$C$306,"&gt;="&amp;DATE($B$3,1,8),'Leave log'!$F$7:$F$306,"Approved")&gt;0,"A",""))="A","A",IF(OR(DATE($B$3,1,8)&gt;EOMONTH(DATE($B$3,1,1),0),NETWORKDAYS.INTL(DATE($B$3,1,8),DATE($B$3,1,8),1,'Non-working days'!$A$6:$A$45)=0),"",IF(COUNTIFS('Leave log'!$A$7:$A$306,Employees!$A$35,'Leave log'!$B$7:$B$306,"&lt;="&amp;DATE($B$3,1,8),'Leave log'!$C$7:$C$306,"&gt;="&amp;DATE($B$3,1,8),'Leave log'!$F$7:$F$306,"Pending")&gt;0,"P",""))))</f>
        <v/>
      </c>
      <c r="J36" s="23" t="str">
        <f>IF(A36="","",IF(IF(OR(DATE($B$3,1,9)&gt;EOMONTH(DATE($B$3,1,1),0),NETWORKDAYS.INTL(DATE($B$3,1,9),DATE($B$3,1,9),1,'Non-working days'!$A$6:$A$45)=0),"",IF(COUNTIFS('Leave log'!$A$7:$A$306,Employees!$A$35,'Leave log'!$B$7:$B$306,"&lt;="&amp;DATE($B$3,1,9),'Leave log'!$C$7:$C$306,"&gt;="&amp;DATE($B$3,1,9),'Leave log'!$F$7:$F$306,"Approved")&gt;0,"A",""))="A","A",IF(OR(DATE($B$3,1,9)&gt;EOMONTH(DATE($B$3,1,1),0),NETWORKDAYS.INTL(DATE($B$3,1,9),DATE($B$3,1,9),1,'Non-working days'!$A$6:$A$45)=0),"",IF(COUNTIFS('Leave log'!$A$7:$A$306,Employees!$A$35,'Leave log'!$B$7:$B$306,"&lt;="&amp;DATE($B$3,1,9),'Leave log'!$C$7:$C$306,"&gt;="&amp;DATE($B$3,1,9),'Leave log'!$F$7:$F$306,"Pending")&gt;0,"P",""))))</f>
        <v/>
      </c>
      <c r="K36" s="23" t="str">
        <f>IF(A36="","",IF(IF(OR(DATE($B$3,1,10)&gt;EOMONTH(DATE($B$3,1,1),0),NETWORKDAYS.INTL(DATE($B$3,1,10),DATE($B$3,1,10),1,'Non-working days'!$A$6:$A$45)=0),"",IF(COUNTIFS('Leave log'!$A$7:$A$306,Employees!$A$35,'Leave log'!$B$7:$B$306,"&lt;="&amp;DATE($B$3,1,10),'Leave log'!$C$7:$C$306,"&gt;="&amp;DATE($B$3,1,10),'Leave log'!$F$7:$F$306,"Approved")&gt;0,"A",""))="A","A",IF(OR(DATE($B$3,1,10)&gt;EOMONTH(DATE($B$3,1,1),0),NETWORKDAYS.INTL(DATE($B$3,1,10),DATE($B$3,1,10),1,'Non-working days'!$A$6:$A$45)=0),"",IF(COUNTIFS('Leave log'!$A$7:$A$306,Employees!$A$35,'Leave log'!$B$7:$B$306,"&lt;="&amp;DATE($B$3,1,10),'Leave log'!$C$7:$C$306,"&gt;="&amp;DATE($B$3,1,10),'Leave log'!$F$7:$F$306,"Pending")&gt;0,"P",""))))</f>
        <v/>
      </c>
      <c r="L36" s="23" t="str">
        <f>IF(A36="","",IF(IF(OR(DATE($B$3,1,11)&gt;EOMONTH(DATE($B$3,1,1),0),NETWORKDAYS.INTL(DATE($B$3,1,11),DATE($B$3,1,11),1,'Non-working days'!$A$6:$A$45)=0),"",IF(COUNTIFS('Leave log'!$A$7:$A$306,Employees!$A$35,'Leave log'!$B$7:$B$306,"&lt;="&amp;DATE($B$3,1,11),'Leave log'!$C$7:$C$306,"&gt;="&amp;DATE($B$3,1,11),'Leave log'!$F$7:$F$306,"Approved")&gt;0,"A",""))="A","A",IF(OR(DATE($B$3,1,11)&gt;EOMONTH(DATE($B$3,1,1),0),NETWORKDAYS.INTL(DATE($B$3,1,11),DATE($B$3,1,11),1,'Non-working days'!$A$6:$A$45)=0),"",IF(COUNTIFS('Leave log'!$A$7:$A$306,Employees!$A$35,'Leave log'!$B$7:$B$306,"&lt;="&amp;DATE($B$3,1,11),'Leave log'!$C$7:$C$306,"&gt;="&amp;DATE($B$3,1,11),'Leave log'!$F$7:$F$306,"Pending")&gt;0,"P",""))))</f>
        <v/>
      </c>
      <c r="M36" s="23" t="str">
        <f>IF(A36="","",IF(IF(OR(DATE($B$3,1,12)&gt;EOMONTH(DATE($B$3,1,1),0),NETWORKDAYS.INTL(DATE($B$3,1,12),DATE($B$3,1,12),1,'Non-working days'!$A$6:$A$45)=0),"",IF(COUNTIFS('Leave log'!$A$7:$A$306,Employees!$A$35,'Leave log'!$B$7:$B$306,"&lt;="&amp;DATE($B$3,1,12),'Leave log'!$C$7:$C$306,"&gt;="&amp;DATE($B$3,1,12),'Leave log'!$F$7:$F$306,"Approved")&gt;0,"A",""))="A","A",IF(OR(DATE($B$3,1,12)&gt;EOMONTH(DATE($B$3,1,1),0),NETWORKDAYS.INTL(DATE($B$3,1,12),DATE($B$3,1,12),1,'Non-working days'!$A$6:$A$45)=0),"",IF(COUNTIFS('Leave log'!$A$7:$A$306,Employees!$A$35,'Leave log'!$B$7:$B$306,"&lt;="&amp;DATE($B$3,1,12),'Leave log'!$C$7:$C$306,"&gt;="&amp;DATE($B$3,1,12),'Leave log'!$F$7:$F$306,"Pending")&gt;0,"P",""))))</f>
        <v/>
      </c>
      <c r="N36" s="23" t="str">
        <f>IF(A36="","",IF(IF(OR(DATE($B$3,1,13)&gt;EOMONTH(DATE($B$3,1,1),0),NETWORKDAYS.INTL(DATE($B$3,1,13),DATE($B$3,1,13),1,'Non-working days'!$A$6:$A$45)=0),"",IF(COUNTIFS('Leave log'!$A$7:$A$306,Employees!$A$35,'Leave log'!$B$7:$B$306,"&lt;="&amp;DATE($B$3,1,13),'Leave log'!$C$7:$C$306,"&gt;="&amp;DATE($B$3,1,13),'Leave log'!$F$7:$F$306,"Approved")&gt;0,"A",""))="A","A",IF(OR(DATE($B$3,1,13)&gt;EOMONTH(DATE($B$3,1,1),0),NETWORKDAYS.INTL(DATE($B$3,1,13),DATE($B$3,1,13),1,'Non-working days'!$A$6:$A$45)=0),"",IF(COUNTIFS('Leave log'!$A$7:$A$306,Employees!$A$35,'Leave log'!$B$7:$B$306,"&lt;="&amp;DATE($B$3,1,13),'Leave log'!$C$7:$C$306,"&gt;="&amp;DATE($B$3,1,13),'Leave log'!$F$7:$F$306,"Pending")&gt;0,"P",""))))</f>
        <v/>
      </c>
      <c r="O36" s="23" t="str">
        <f>IF(A36="","",IF(IF(OR(DATE($B$3,1,14)&gt;EOMONTH(DATE($B$3,1,1),0),NETWORKDAYS.INTL(DATE($B$3,1,14),DATE($B$3,1,14),1,'Non-working days'!$A$6:$A$45)=0),"",IF(COUNTIFS('Leave log'!$A$7:$A$306,Employees!$A$35,'Leave log'!$B$7:$B$306,"&lt;="&amp;DATE($B$3,1,14),'Leave log'!$C$7:$C$306,"&gt;="&amp;DATE($B$3,1,14),'Leave log'!$F$7:$F$306,"Approved")&gt;0,"A",""))="A","A",IF(OR(DATE($B$3,1,14)&gt;EOMONTH(DATE($B$3,1,1),0),NETWORKDAYS.INTL(DATE($B$3,1,14),DATE($B$3,1,14),1,'Non-working days'!$A$6:$A$45)=0),"",IF(COUNTIFS('Leave log'!$A$7:$A$306,Employees!$A$35,'Leave log'!$B$7:$B$306,"&lt;="&amp;DATE($B$3,1,14),'Leave log'!$C$7:$C$306,"&gt;="&amp;DATE($B$3,1,14),'Leave log'!$F$7:$F$306,"Pending")&gt;0,"P",""))))</f>
        <v/>
      </c>
      <c r="P36" s="23" t="str">
        <f>IF(A36="","",IF(IF(OR(DATE($B$3,1,15)&gt;EOMONTH(DATE($B$3,1,1),0),NETWORKDAYS.INTL(DATE($B$3,1,15),DATE($B$3,1,15),1,'Non-working days'!$A$6:$A$45)=0),"",IF(COUNTIFS('Leave log'!$A$7:$A$306,Employees!$A$35,'Leave log'!$B$7:$B$306,"&lt;="&amp;DATE($B$3,1,15),'Leave log'!$C$7:$C$306,"&gt;="&amp;DATE($B$3,1,15),'Leave log'!$F$7:$F$306,"Approved")&gt;0,"A",""))="A","A",IF(OR(DATE($B$3,1,15)&gt;EOMONTH(DATE($B$3,1,1),0),NETWORKDAYS.INTL(DATE($B$3,1,15),DATE($B$3,1,15),1,'Non-working days'!$A$6:$A$45)=0),"",IF(COUNTIFS('Leave log'!$A$7:$A$306,Employees!$A$35,'Leave log'!$B$7:$B$306,"&lt;="&amp;DATE($B$3,1,15),'Leave log'!$C$7:$C$306,"&gt;="&amp;DATE($B$3,1,15),'Leave log'!$F$7:$F$306,"Pending")&gt;0,"P",""))))</f>
        <v/>
      </c>
      <c r="Q36" s="23" t="str">
        <f>IF(A36="","",IF(IF(OR(DATE($B$3,1,16)&gt;EOMONTH(DATE($B$3,1,1),0),NETWORKDAYS.INTL(DATE($B$3,1,16),DATE($B$3,1,16),1,'Non-working days'!$A$6:$A$45)=0),"",IF(COUNTIFS('Leave log'!$A$7:$A$306,Employees!$A$35,'Leave log'!$B$7:$B$306,"&lt;="&amp;DATE($B$3,1,16),'Leave log'!$C$7:$C$306,"&gt;="&amp;DATE($B$3,1,16),'Leave log'!$F$7:$F$306,"Approved")&gt;0,"A",""))="A","A",IF(OR(DATE($B$3,1,16)&gt;EOMONTH(DATE($B$3,1,1),0),NETWORKDAYS.INTL(DATE($B$3,1,16),DATE($B$3,1,16),1,'Non-working days'!$A$6:$A$45)=0),"",IF(COUNTIFS('Leave log'!$A$7:$A$306,Employees!$A$35,'Leave log'!$B$7:$B$306,"&lt;="&amp;DATE($B$3,1,16),'Leave log'!$C$7:$C$306,"&gt;="&amp;DATE($B$3,1,16),'Leave log'!$F$7:$F$306,"Pending")&gt;0,"P",""))))</f>
        <v/>
      </c>
      <c r="R36" s="23" t="str">
        <f>IF(A36="","",IF(IF(OR(DATE($B$3,1,17)&gt;EOMONTH(DATE($B$3,1,1),0),NETWORKDAYS.INTL(DATE($B$3,1,17),DATE($B$3,1,17),1,'Non-working days'!$A$6:$A$45)=0),"",IF(COUNTIFS('Leave log'!$A$7:$A$306,Employees!$A$35,'Leave log'!$B$7:$B$306,"&lt;="&amp;DATE($B$3,1,17),'Leave log'!$C$7:$C$306,"&gt;="&amp;DATE($B$3,1,17),'Leave log'!$F$7:$F$306,"Approved")&gt;0,"A",""))="A","A",IF(OR(DATE($B$3,1,17)&gt;EOMONTH(DATE($B$3,1,1),0),NETWORKDAYS.INTL(DATE($B$3,1,17),DATE($B$3,1,17),1,'Non-working days'!$A$6:$A$45)=0),"",IF(COUNTIFS('Leave log'!$A$7:$A$306,Employees!$A$35,'Leave log'!$B$7:$B$306,"&lt;="&amp;DATE($B$3,1,17),'Leave log'!$C$7:$C$306,"&gt;="&amp;DATE($B$3,1,17),'Leave log'!$F$7:$F$306,"Pending")&gt;0,"P",""))))</f>
        <v/>
      </c>
      <c r="S36" s="23" t="str">
        <f>IF(A36="","",IF(IF(OR(DATE($B$3,1,18)&gt;EOMONTH(DATE($B$3,1,1),0),NETWORKDAYS.INTL(DATE($B$3,1,18),DATE($B$3,1,18),1,'Non-working days'!$A$6:$A$45)=0),"",IF(COUNTIFS('Leave log'!$A$7:$A$306,Employees!$A$35,'Leave log'!$B$7:$B$306,"&lt;="&amp;DATE($B$3,1,18),'Leave log'!$C$7:$C$306,"&gt;="&amp;DATE($B$3,1,18),'Leave log'!$F$7:$F$306,"Approved")&gt;0,"A",""))="A","A",IF(OR(DATE($B$3,1,18)&gt;EOMONTH(DATE($B$3,1,1),0),NETWORKDAYS.INTL(DATE($B$3,1,18),DATE($B$3,1,18),1,'Non-working days'!$A$6:$A$45)=0),"",IF(COUNTIFS('Leave log'!$A$7:$A$306,Employees!$A$35,'Leave log'!$B$7:$B$306,"&lt;="&amp;DATE($B$3,1,18),'Leave log'!$C$7:$C$306,"&gt;="&amp;DATE($B$3,1,18),'Leave log'!$F$7:$F$306,"Pending")&gt;0,"P",""))))</f>
        <v/>
      </c>
      <c r="T36" s="23" t="str">
        <f>IF(A36="","",IF(IF(OR(DATE($B$3,1,19)&gt;EOMONTH(DATE($B$3,1,1),0),NETWORKDAYS.INTL(DATE($B$3,1,19),DATE($B$3,1,19),1,'Non-working days'!$A$6:$A$45)=0),"",IF(COUNTIFS('Leave log'!$A$7:$A$306,Employees!$A$35,'Leave log'!$B$7:$B$306,"&lt;="&amp;DATE($B$3,1,19),'Leave log'!$C$7:$C$306,"&gt;="&amp;DATE($B$3,1,19),'Leave log'!$F$7:$F$306,"Approved")&gt;0,"A",""))="A","A",IF(OR(DATE($B$3,1,19)&gt;EOMONTH(DATE($B$3,1,1),0),NETWORKDAYS.INTL(DATE($B$3,1,19),DATE($B$3,1,19),1,'Non-working days'!$A$6:$A$45)=0),"",IF(COUNTIFS('Leave log'!$A$7:$A$306,Employees!$A$35,'Leave log'!$B$7:$B$306,"&lt;="&amp;DATE($B$3,1,19),'Leave log'!$C$7:$C$306,"&gt;="&amp;DATE($B$3,1,19),'Leave log'!$F$7:$F$306,"Pending")&gt;0,"P",""))))</f>
        <v/>
      </c>
      <c r="U36" s="23" t="str">
        <f>IF(A36="","",IF(IF(OR(DATE($B$3,1,20)&gt;EOMONTH(DATE($B$3,1,1),0),NETWORKDAYS.INTL(DATE($B$3,1,20),DATE($B$3,1,20),1,'Non-working days'!$A$6:$A$45)=0),"",IF(COUNTIFS('Leave log'!$A$7:$A$306,Employees!$A$35,'Leave log'!$B$7:$B$306,"&lt;="&amp;DATE($B$3,1,20),'Leave log'!$C$7:$C$306,"&gt;="&amp;DATE($B$3,1,20),'Leave log'!$F$7:$F$306,"Approved")&gt;0,"A",""))="A","A",IF(OR(DATE($B$3,1,20)&gt;EOMONTH(DATE($B$3,1,1),0),NETWORKDAYS.INTL(DATE($B$3,1,20),DATE($B$3,1,20),1,'Non-working days'!$A$6:$A$45)=0),"",IF(COUNTIFS('Leave log'!$A$7:$A$306,Employees!$A$35,'Leave log'!$B$7:$B$306,"&lt;="&amp;DATE($B$3,1,20),'Leave log'!$C$7:$C$306,"&gt;="&amp;DATE($B$3,1,20),'Leave log'!$F$7:$F$306,"Pending")&gt;0,"P",""))))</f>
        <v/>
      </c>
      <c r="V36" s="23" t="str">
        <f>IF(A36="","",IF(IF(OR(DATE($B$3,1,21)&gt;EOMONTH(DATE($B$3,1,1),0),NETWORKDAYS.INTL(DATE($B$3,1,21),DATE($B$3,1,21),1,'Non-working days'!$A$6:$A$45)=0),"",IF(COUNTIFS('Leave log'!$A$7:$A$306,Employees!$A$35,'Leave log'!$B$7:$B$306,"&lt;="&amp;DATE($B$3,1,21),'Leave log'!$C$7:$C$306,"&gt;="&amp;DATE($B$3,1,21),'Leave log'!$F$7:$F$306,"Approved")&gt;0,"A",""))="A","A",IF(OR(DATE($B$3,1,21)&gt;EOMONTH(DATE($B$3,1,1),0),NETWORKDAYS.INTL(DATE($B$3,1,21),DATE($B$3,1,21),1,'Non-working days'!$A$6:$A$45)=0),"",IF(COUNTIFS('Leave log'!$A$7:$A$306,Employees!$A$35,'Leave log'!$B$7:$B$306,"&lt;="&amp;DATE($B$3,1,21),'Leave log'!$C$7:$C$306,"&gt;="&amp;DATE($B$3,1,21),'Leave log'!$F$7:$F$306,"Pending")&gt;0,"P",""))))</f>
        <v/>
      </c>
      <c r="W36" s="23" t="str">
        <f>IF(A36="","",IF(IF(OR(DATE($B$3,1,22)&gt;EOMONTH(DATE($B$3,1,1),0),NETWORKDAYS.INTL(DATE($B$3,1,22),DATE($B$3,1,22),1,'Non-working days'!$A$6:$A$45)=0),"",IF(COUNTIFS('Leave log'!$A$7:$A$306,Employees!$A$35,'Leave log'!$B$7:$B$306,"&lt;="&amp;DATE($B$3,1,22),'Leave log'!$C$7:$C$306,"&gt;="&amp;DATE($B$3,1,22),'Leave log'!$F$7:$F$306,"Approved")&gt;0,"A",""))="A","A",IF(OR(DATE($B$3,1,22)&gt;EOMONTH(DATE($B$3,1,1),0),NETWORKDAYS.INTL(DATE($B$3,1,22),DATE($B$3,1,22),1,'Non-working days'!$A$6:$A$45)=0),"",IF(COUNTIFS('Leave log'!$A$7:$A$306,Employees!$A$35,'Leave log'!$B$7:$B$306,"&lt;="&amp;DATE($B$3,1,22),'Leave log'!$C$7:$C$306,"&gt;="&amp;DATE($B$3,1,22),'Leave log'!$F$7:$F$306,"Pending")&gt;0,"P",""))))</f>
        <v/>
      </c>
      <c r="X36" s="23" t="str">
        <f>IF(A36="","",IF(IF(OR(DATE($B$3,1,23)&gt;EOMONTH(DATE($B$3,1,1),0),NETWORKDAYS.INTL(DATE($B$3,1,23),DATE($B$3,1,23),1,'Non-working days'!$A$6:$A$45)=0),"",IF(COUNTIFS('Leave log'!$A$7:$A$306,Employees!$A$35,'Leave log'!$B$7:$B$306,"&lt;="&amp;DATE($B$3,1,23),'Leave log'!$C$7:$C$306,"&gt;="&amp;DATE($B$3,1,23),'Leave log'!$F$7:$F$306,"Approved")&gt;0,"A",""))="A","A",IF(OR(DATE($B$3,1,23)&gt;EOMONTH(DATE($B$3,1,1),0),NETWORKDAYS.INTL(DATE($B$3,1,23),DATE($B$3,1,23),1,'Non-working days'!$A$6:$A$45)=0),"",IF(COUNTIFS('Leave log'!$A$7:$A$306,Employees!$A$35,'Leave log'!$B$7:$B$306,"&lt;="&amp;DATE($B$3,1,23),'Leave log'!$C$7:$C$306,"&gt;="&amp;DATE($B$3,1,23),'Leave log'!$F$7:$F$306,"Pending")&gt;0,"P",""))))</f>
        <v/>
      </c>
      <c r="Y36" s="23" t="str">
        <f>IF(A36="","",IF(IF(OR(DATE($B$3,1,24)&gt;EOMONTH(DATE($B$3,1,1),0),NETWORKDAYS.INTL(DATE($B$3,1,24),DATE($B$3,1,24),1,'Non-working days'!$A$6:$A$45)=0),"",IF(COUNTIFS('Leave log'!$A$7:$A$306,Employees!$A$35,'Leave log'!$B$7:$B$306,"&lt;="&amp;DATE($B$3,1,24),'Leave log'!$C$7:$C$306,"&gt;="&amp;DATE($B$3,1,24),'Leave log'!$F$7:$F$306,"Approved")&gt;0,"A",""))="A","A",IF(OR(DATE($B$3,1,24)&gt;EOMONTH(DATE($B$3,1,1),0),NETWORKDAYS.INTL(DATE($B$3,1,24),DATE($B$3,1,24),1,'Non-working days'!$A$6:$A$45)=0),"",IF(COUNTIFS('Leave log'!$A$7:$A$306,Employees!$A$35,'Leave log'!$B$7:$B$306,"&lt;="&amp;DATE($B$3,1,24),'Leave log'!$C$7:$C$306,"&gt;="&amp;DATE($B$3,1,24),'Leave log'!$F$7:$F$306,"Pending")&gt;0,"P",""))))</f>
        <v/>
      </c>
      <c r="Z36" s="23" t="str">
        <f>IF(A36="","",IF(IF(OR(DATE($B$3,1,25)&gt;EOMONTH(DATE($B$3,1,1),0),NETWORKDAYS.INTL(DATE($B$3,1,25),DATE($B$3,1,25),1,'Non-working days'!$A$6:$A$45)=0),"",IF(COUNTIFS('Leave log'!$A$7:$A$306,Employees!$A$35,'Leave log'!$B$7:$B$306,"&lt;="&amp;DATE($B$3,1,25),'Leave log'!$C$7:$C$306,"&gt;="&amp;DATE($B$3,1,25),'Leave log'!$F$7:$F$306,"Approved")&gt;0,"A",""))="A","A",IF(OR(DATE($B$3,1,25)&gt;EOMONTH(DATE($B$3,1,1),0),NETWORKDAYS.INTL(DATE($B$3,1,25),DATE($B$3,1,25),1,'Non-working days'!$A$6:$A$45)=0),"",IF(COUNTIFS('Leave log'!$A$7:$A$306,Employees!$A$35,'Leave log'!$B$7:$B$306,"&lt;="&amp;DATE($B$3,1,25),'Leave log'!$C$7:$C$306,"&gt;="&amp;DATE($B$3,1,25),'Leave log'!$F$7:$F$306,"Pending")&gt;0,"P",""))))</f>
        <v/>
      </c>
      <c r="AA36" s="23" t="str">
        <f>IF(A36="","",IF(IF(OR(DATE($B$3,1,26)&gt;EOMONTH(DATE($B$3,1,1),0),NETWORKDAYS.INTL(DATE($B$3,1,26),DATE($B$3,1,26),1,'Non-working days'!$A$6:$A$45)=0),"",IF(COUNTIFS('Leave log'!$A$7:$A$306,Employees!$A$35,'Leave log'!$B$7:$B$306,"&lt;="&amp;DATE($B$3,1,26),'Leave log'!$C$7:$C$306,"&gt;="&amp;DATE($B$3,1,26),'Leave log'!$F$7:$F$306,"Approved")&gt;0,"A",""))="A","A",IF(OR(DATE($B$3,1,26)&gt;EOMONTH(DATE($B$3,1,1),0),NETWORKDAYS.INTL(DATE($B$3,1,26),DATE($B$3,1,26),1,'Non-working days'!$A$6:$A$45)=0),"",IF(COUNTIFS('Leave log'!$A$7:$A$306,Employees!$A$35,'Leave log'!$B$7:$B$306,"&lt;="&amp;DATE($B$3,1,26),'Leave log'!$C$7:$C$306,"&gt;="&amp;DATE($B$3,1,26),'Leave log'!$F$7:$F$306,"Pending")&gt;0,"P",""))))</f>
        <v/>
      </c>
      <c r="AB36" s="23" t="str">
        <f>IF(A36="","",IF(IF(OR(DATE($B$3,1,27)&gt;EOMONTH(DATE($B$3,1,1),0),NETWORKDAYS.INTL(DATE($B$3,1,27),DATE($B$3,1,27),1,'Non-working days'!$A$6:$A$45)=0),"",IF(COUNTIFS('Leave log'!$A$7:$A$306,Employees!$A$35,'Leave log'!$B$7:$B$306,"&lt;="&amp;DATE($B$3,1,27),'Leave log'!$C$7:$C$306,"&gt;="&amp;DATE($B$3,1,27),'Leave log'!$F$7:$F$306,"Approved")&gt;0,"A",""))="A","A",IF(OR(DATE($B$3,1,27)&gt;EOMONTH(DATE($B$3,1,1),0),NETWORKDAYS.INTL(DATE($B$3,1,27),DATE($B$3,1,27),1,'Non-working days'!$A$6:$A$45)=0),"",IF(COUNTIFS('Leave log'!$A$7:$A$306,Employees!$A$35,'Leave log'!$B$7:$B$306,"&lt;="&amp;DATE($B$3,1,27),'Leave log'!$C$7:$C$306,"&gt;="&amp;DATE($B$3,1,27),'Leave log'!$F$7:$F$306,"Pending")&gt;0,"P",""))))</f>
        <v/>
      </c>
      <c r="AC36" s="23" t="str">
        <f>IF(A36="","",IF(IF(OR(DATE($B$3,1,28)&gt;EOMONTH(DATE($B$3,1,1),0),NETWORKDAYS.INTL(DATE($B$3,1,28),DATE($B$3,1,28),1,'Non-working days'!$A$6:$A$45)=0),"",IF(COUNTIFS('Leave log'!$A$7:$A$306,Employees!$A$35,'Leave log'!$B$7:$B$306,"&lt;="&amp;DATE($B$3,1,28),'Leave log'!$C$7:$C$306,"&gt;="&amp;DATE($B$3,1,28),'Leave log'!$F$7:$F$306,"Approved")&gt;0,"A",""))="A","A",IF(OR(DATE($B$3,1,28)&gt;EOMONTH(DATE($B$3,1,1),0),NETWORKDAYS.INTL(DATE($B$3,1,28),DATE($B$3,1,28),1,'Non-working days'!$A$6:$A$45)=0),"",IF(COUNTIFS('Leave log'!$A$7:$A$306,Employees!$A$35,'Leave log'!$B$7:$B$306,"&lt;="&amp;DATE($B$3,1,28),'Leave log'!$C$7:$C$306,"&gt;="&amp;DATE($B$3,1,28),'Leave log'!$F$7:$F$306,"Pending")&gt;0,"P",""))))</f>
        <v/>
      </c>
      <c r="AD36" s="23" t="str">
        <f>IF(A36="","",IF(IF(OR(DATE($B$3,1,29)&gt;EOMONTH(DATE($B$3,1,1),0),NETWORKDAYS.INTL(DATE($B$3,1,29),DATE($B$3,1,29),1,'Non-working days'!$A$6:$A$45)=0),"",IF(COUNTIFS('Leave log'!$A$7:$A$306,Employees!$A$35,'Leave log'!$B$7:$B$306,"&lt;="&amp;DATE($B$3,1,29),'Leave log'!$C$7:$C$306,"&gt;="&amp;DATE($B$3,1,29),'Leave log'!$F$7:$F$306,"Approved")&gt;0,"A",""))="A","A",IF(OR(DATE($B$3,1,29)&gt;EOMONTH(DATE($B$3,1,1),0),NETWORKDAYS.INTL(DATE($B$3,1,29),DATE($B$3,1,29),1,'Non-working days'!$A$6:$A$45)=0),"",IF(COUNTIFS('Leave log'!$A$7:$A$306,Employees!$A$35,'Leave log'!$B$7:$B$306,"&lt;="&amp;DATE($B$3,1,29),'Leave log'!$C$7:$C$306,"&gt;="&amp;DATE($B$3,1,29),'Leave log'!$F$7:$F$306,"Pending")&gt;0,"P",""))))</f>
        <v/>
      </c>
      <c r="AE36" s="23" t="str">
        <f>IF(A36="","",IF(IF(OR(DATE($B$3,1,30)&gt;EOMONTH(DATE($B$3,1,1),0),NETWORKDAYS.INTL(DATE($B$3,1,30),DATE($B$3,1,30),1,'Non-working days'!$A$6:$A$45)=0),"",IF(COUNTIFS('Leave log'!$A$7:$A$306,Employees!$A$35,'Leave log'!$B$7:$B$306,"&lt;="&amp;DATE($B$3,1,30),'Leave log'!$C$7:$C$306,"&gt;="&amp;DATE($B$3,1,30),'Leave log'!$F$7:$F$306,"Approved")&gt;0,"A",""))="A","A",IF(OR(DATE($B$3,1,30)&gt;EOMONTH(DATE($B$3,1,1),0),NETWORKDAYS.INTL(DATE($B$3,1,30),DATE($B$3,1,30),1,'Non-working days'!$A$6:$A$45)=0),"",IF(COUNTIFS('Leave log'!$A$7:$A$306,Employees!$A$35,'Leave log'!$B$7:$B$306,"&lt;="&amp;DATE($B$3,1,30),'Leave log'!$C$7:$C$306,"&gt;="&amp;DATE($B$3,1,30),'Leave log'!$F$7:$F$306,"Pending")&gt;0,"P",""))))</f>
        <v/>
      </c>
      <c r="AF36" s="23" t="str">
        <f>IF(A36="","",IF(IF(OR(DATE($B$3,1,31)&gt;EOMONTH(DATE($B$3,1,1),0),NETWORKDAYS.INTL(DATE($B$3,1,31),DATE($B$3,1,31),1,'Non-working days'!$A$6:$A$45)=0),"",IF(COUNTIFS('Leave log'!$A$7:$A$306,Employees!$A$35,'Leave log'!$B$7:$B$306,"&lt;="&amp;DATE($B$3,1,31),'Leave log'!$C$7:$C$306,"&gt;="&amp;DATE($B$3,1,31),'Leave log'!$F$7:$F$306,"Approved")&gt;0,"A",""))="A","A",IF(OR(DATE($B$3,1,31)&gt;EOMONTH(DATE($B$3,1,1),0),NETWORKDAYS.INTL(DATE($B$3,1,31),DATE($B$3,1,31),1,'Non-working days'!$A$6:$A$45)=0),"",IF(COUNTIFS('Leave log'!$A$7:$A$306,Employees!$A$35,'Leave log'!$B$7:$B$306,"&lt;="&amp;DATE($B$3,1,31),'Leave log'!$C$7:$C$306,"&gt;="&amp;DATE($B$3,1,31),'Leave log'!$F$7:$F$306,"Pending")&gt;0,"P",""))))</f>
        <v/>
      </c>
    </row>
    <row r="39" spans="1:32" ht="15.6" x14ac:dyDescent="0.3">
      <c r="A39" s="31" t="s">
        <v>76</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row>
    <row r="40" spans="1:32" x14ac:dyDescent="0.3">
      <c r="A40" s="20" t="s">
        <v>75</v>
      </c>
      <c r="B40" s="21">
        <v>1</v>
      </c>
      <c r="C40" s="21">
        <v>2</v>
      </c>
      <c r="D40" s="21">
        <v>3</v>
      </c>
      <c r="E40" s="21">
        <v>4</v>
      </c>
      <c r="F40" s="21">
        <v>5</v>
      </c>
      <c r="G40" s="21">
        <v>6</v>
      </c>
      <c r="H40" s="21">
        <v>7</v>
      </c>
      <c r="I40" s="21">
        <v>8</v>
      </c>
      <c r="J40" s="21">
        <v>9</v>
      </c>
      <c r="K40" s="21">
        <v>10</v>
      </c>
      <c r="L40" s="21">
        <v>11</v>
      </c>
      <c r="M40" s="21">
        <v>12</v>
      </c>
      <c r="N40" s="21">
        <v>13</v>
      </c>
      <c r="O40" s="21">
        <v>14</v>
      </c>
      <c r="P40" s="21">
        <v>15</v>
      </c>
      <c r="Q40" s="21">
        <v>16</v>
      </c>
      <c r="R40" s="21">
        <v>17</v>
      </c>
      <c r="S40" s="21">
        <v>18</v>
      </c>
      <c r="T40" s="21">
        <v>19</v>
      </c>
      <c r="U40" s="21">
        <v>20</v>
      </c>
      <c r="V40" s="21">
        <v>21</v>
      </c>
      <c r="W40" s="21">
        <v>22</v>
      </c>
      <c r="X40" s="21">
        <v>23</v>
      </c>
      <c r="Y40" s="21">
        <v>24</v>
      </c>
      <c r="Z40" s="21">
        <v>25</v>
      </c>
      <c r="AA40" s="21">
        <v>26</v>
      </c>
      <c r="AB40" s="21">
        <v>27</v>
      </c>
      <c r="AC40" s="21">
        <v>28</v>
      </c>
      <c r="AD40" s="21">
        <v>29</v>
      </c>
      <c r="AE40" s="21">
        <v>30</v>
      </c>
      <c r="AF40" s="21">
        <v>31</v>
      </c>
    </row>
    <row r="41" spans="1:32" ht="18" customHeight="1" x14ac:dyDescent="0.3">
      <c r="A41" s="22" t="str">
        <f>IF(Employees!F6="Yes",Employees!B6,"")</f>
        <v>Alex Morgan</v>
      </c>
      <c r="B41" s="23" t="str">
        <f>IF(A41="","",IF(IF(OR(DATE($B$3,2,1)&gt;EOMONTH(DATE($B$3,2,1),0),NETWORKDAYS.INTL(DATE($B$3,2,1),DATE($B$3,2,1),1,'Non-working days'!$A$6:$A$45)=0),"",IF(COUNTIFS('Leave log'!$A$7:$A$306,Employees!$A$6,'Leave log'!$B$7:$B$306,"&lt;="&amp;DATE($B$3,2,1),'Leave log'!$C$7:$C$306,"&gt;="&amp;DATE($B$3,2,1),'Leave log'!$F$7:$F$306,"Approved")&gt;0,"A",""))="A","A",IF(OR(DATE($B$3,2,1)&gt;EOMONTH(DATE($B$3,2,1),0),NETWORKDAYS.INTL(DATE($B$3,2,1),DATE($B$3,2,1),1,'Non-working days'!$A$6:$A$45)=0),"",IF(COUNTIFS('Leave log'!$A$7:$A$306,Employees!$A$6,'Leave log'!$B$7:$B$306,"&lt;="&amp;DATE($B$3,2,1),'Leave log'!$C$7:$C$306,"&gt;="&amp;DATE($B$3,2,1),'Leave log'!$F$7:$F$306,"Pending")&gt;0,"P",""))))</f>
        <v/>
      </c>
      <c r="C41" s="23" t="str">
        <f>IF(A41="","",IF(IF(OR(DATE($B$3,2,2)&gt;EOMONTH(DATE($B$3,2,1),0),NETWORKDAYS.INTL(DATE($B$3,2,2),DATE($B$3,2,2),1,'Non-working days'!$A$6:$A$45)=0),"",IF(COUNTIFS('Leave log'!$A$7:$A$306,Employees!$A$6,'Leave log'!$B$7:$B$306,"&lt;="&amp;DATE($B$3,2,2),'Leave log'!$C$7:$C$306,"&gt;="&amp;DATE($B$3,2,2),'Leave log'!$F$7:$F$306,"Approved")&gt;0,"A",""))="A","A",IF(OR(DATE($B$3,2,2)&gt;EOMONTH(DATE($B$3,2,1),0),NETWORKDAYS.INTL(DATE($B$3,2,2),DATE($B$3,2,2),1,'Non-working days'!$A$6:$A$45)=0),"",IF(COUNTIFS('Leave log'!$A$7:$A$306,Employees!$A$6,'Leave log'!$B$7:$B$306,"&lt;="&amp;DATE($B$3,2,2),'Leave log'!$C$7:$C$306,"&gt;="&amp;DATE($B$3,2,2),'Leave log'!$F$7:$F$306,"Pending")&gt;0,"P",""))))</f>
        <v/>
      </c>
      <c r="D41" s="23" t="str">
        <f>IF(A41="","",IF(IF(OR(DATE($B$3,2,3)&gt;EOMONTH(DATE($B$3,2,1),0),NETWORKDAYS.INTL(DATE($B$3,2,3),DATE($B$3,2,3),1,'Non-working days'!$A$6:$A$45)=0),"",IF(COUNTIFS('Leave log'!$A$7:$A$306,Employees!$A$6,'Leave log'!$B$7:$B$306,"&lt;="&amp;DATE($B$3,2,3),'Leave log'!$C$7:$C$306,"&gt;="&amp;DATE($B$3,2,3),'Leave log'!$F$7:$F$306,"Approved")&gt;0,"A",""))="A","A",IF(OR(DATE($B$3,2,3)&gt;EOMONTH(DATE($B$3,2,1),0),NETWORKDAYS.INTL(DATE($B$3,2,3),DATE($B$3,2,3),1,'Non-working days'!$A$6:$A$45)=0),"",IF(COUNTIFS('Leave log'!$A$7:$A$306,Employees!$A$6,'Leave log'!$B$7:$B$306,"&lt;="&amp;DATE($B$3,2,3),'Leave log'!$C$7:$C$306,"&gt;="&amp;DATE($B$3,2,3),'Leave log'!$F$7:$F$306,"Pending")&gt;0,"P",""))))</f>
        <v/>
      </c>
      <c r="E41" s="23" t="str">
        <f>IF(A41="","",IF(IF(OR(DATE($B$3,2,4)&gt;EOMONTH(DATE($B$3,2,1),0),NETWORKDAYS.INTL(DATE($B$3,2,4),DATE($B$3,2,4),1,'Non-working days'!$A$6:$A$45)=0),"",IF(COUNTIFS('Leave log'!$A$7:$A$306,Employees!$A$6,'Leave log'!$B$7:$B$306,"&lt;="&amp;DATE($B$3,2,4),'Leave log'!$C$7:$C$306,"&gt;="&amp;DATE($B$3,2,4),'Leave log'!$F$7:$F$306,"Approved")&gt;0,"A",""))="A","A",IF(OR(DATE($B$3,2,4)&gt;EOMONTH(DATE($B$3,2,1),0),NETWORKDAYS.INTL(DATE($B$3,2,4),DATE($B$3,2,4),1,'Non-working days'!$A$6:$A$45)=0),"",IF(COUNTIFS('Leave log'!$A$7:$A$306,Employees!$A$6,'Leave log'!$B$7:$B$306,"&lt;="&amp;DATE($B$3,2,4),'Leave log'!$C$7:$C$306,"&gt;="&amp;DATE($B$3,2,4),'Leave log'!$F$7:$F$306,"Pending")&gt;0,"P",""))))</f>
        <v/>
      </c>
      <c r="F41" s="23" t="str">
        <f>IF(A41="","",IF(IF(OR(DATE($B$3,2,5)&gt;EOMONTH(DATE($B$3,2,1),0),NETWORKDAYS.INTL(DATE($B$3,2,5),DATE($B$3,2,5),1,'Non-working days'!$A$6:$A$45)=0),"",IF(COUNTIFS('Leave log'!$A$7:$A$306,Employees!$A$6,'Leave log'!$B$7:$B$306,"&lt;="&amp;DATE($B$3,2,5),'Leave log'!$C$7:$C$306,"&gt;="&amp;DATE($B$3,2,5),'Leave log'!$F$7:$F$306,"Approved")&gt;0,"A",""))="A","A",IF(OR(DATE($B$3,2,5)&gt;EOMONTH(DATE($B$3,2,1),0),NETWORKDAYS.INTL(DATE($B$3,2,5),DATE($B$3,2,5),1,'Non-working days'!$A$6:$A$45)=0),"",IF(COUNTIFS('Leave log'!$A$7:$A$306,Employees!$A$6,'Leave log'!$B$7:$B$306,"&lt;="&amp;DATE($B$3,2,5),'Leave log'!$C$7:$C$306,"&gt;="&amp;DATE($B$3,2,5),'Leave log'!$F$7:$F$306,"Pending")&gt;0,"P",""))))</f>
        <v/>
      </c>
      <c r="G41" s="23" t="str">
        <f>IF(A41="","",IF(IF(OR(DATE($B$3,2,6)&gt;EOMONTH(DATE($B$3,2,1),0),NETWORKDAYS.INTL(DATE($B$3,2,6),DATE($B$3,2,6),1,'Non-working days'!$A$6:$A$45)=0),"",IF(COUNTIFS('Leave log'!$A$7:$A$306,Employees!$A$6,'Leave log'!$B$7:$B$306,"&lt;="&amp;DATE($B$3,2,6),'Leave log'!$C$7:$C$306,"&gt;="&amp;DATE($B$3,2,6),'Leave log'!$F$7:$F$306,"Approved")&gt;0,"A",""))="A","A",IF(OR(DATE($B$3,2,6)&gt;EOMONTH(DATE($B$3,2,1),0),NETWORKDAYS.INTL(DATE($B$3,2,6),DATE($B$3,2,6),1,'Non-working days'!$A$6:$A$45)=0),"",IF(COUNTIFS('Leave log'!$A$7:$A$306,Employees!$A$6,'Leave log'!$B$7:$B$306,"&lt;="&amp;DATE($B$3,2,6),'Leave log'!$C$7:$C$306,"&gt;="&amp;DATE($B$3,2,6),'Leave log'!$F$7:$F$306,"Pending")&gt;0,"P",""))))</f>
        <v/>
      </c>
      <c r="H41" s="23" t="str">
        <f>IF(A41="","",IF(IF(OR(DATE($B$3,2,7)&gt;EOMONTH(DATE($B$3,2,1),0),NETWORKDAYS.INTL(DATE($B$3,2,7),DATE($B$3,2,7),1,'Non-working days'!$A$6:$A$45)=0),"",IF(COUNTIFS('Leave log'!$A$7:$A$306,Employees!$A$6,'Leave log'!$B$7:$B$306,"&lt;="&amp;DATE($B$3,2,7),'Leave log'!$C$7:$C$306,"&gt;="&amp;DATE($B$3,2,7),'Leave log'!$F$7:$F$306,"Approved")&gt;0,"A",""))="A","A",IF(OR(DATE($B$3,2,7)&gt;EOMONTH(DATE($B$3,2,1),0),NETWORKDAYS.INTL(DATE($B$3,2,7),DATE($B$3,2,7),1,'Non-working days'!$A$6:$A$45)=0),"",IF(COUNTIFS('Leave log'!$A$7:$A$306,Employees!$A$6,'Leave log'!$B$7:$B$306,"&lt;="&amp;DATE($B$3,2,7),'Leave log'!$C$7:$C$306,"&gt;="&amp;DATE($B$3,2,7),'Leave log'!$F$7:$F$306,"Pending")&gt;0,"P",""))))</f>
        <v/>
      </c>
      <c r="I41" s="23" t="str">
        <f>IF(A41="","",IF(IF(OR(DATE($B$3,2,8)&gt;EOMONTH(DATE($B$3,2,1),0),NETWORKDAYS.INTL(DATE($B$3,2,8),DATE($B$3,2,8),1,'Non-working days'!$A$6:$A$45)=0),"",IF(COUNTIFS('Leave log'!$A$7:$A$306,Employees!$A$6,'Leave log'!$B$7:$B$306,"&lt;="&amp;DATE($B$3,2,8),'Leave log'!$C$7:$C$306,"&gt;="&amp;DATE($B$3,2,8),'Leave log'!$F$7:$F$306,"Approved")&gt;0,"A",""))="A","A",IF(OR(DATE($B$3,2,8)&gt;EOMONTH(DATE($B$3,2,1),0),NETWORKDAYS.INTL(DATE($B$3,2,8),DATE($B$3,2,8),1,'Non-working days'!$A$6:$A$45)=0),"",IF(COUNTIFS('Leave log'!$A$7:$A$306,Employees!$A$6,'Leave log'!$B$7:$B$306,"&lt;="&amp;DATE($B$3,2,8),'Leave log'!$C$7:$C$306,"&gt;="&amp;DATE($B$3,2,8),'Leave log'!$F$7:$F$306,"Pending")&gt;0,"P",""))))</f>
        <v/>
      </c>
      <c r="J41" s="23" t="str">
        <f>IF(A41="","",IF(IF(OR(DATE($B$3,2,9)&gt;EOMONTH(DATE($B$3,2,1),0),NETWORKDAYS.INTL(DATE($B$3,2,9),DATE($B$3,2,9),1,'Non-working days'!$A$6:$A$45)=0),"",IF(COUNTIFS('Leave log'!$A$7:$A$306,Employees!$A$6,'Leave log'!$B$7:$B$306,"&lt;="&amp;DATE($B$3,2,9),'Leave log'!$C$7:$C$306,"&gt;="&amp;DATE($B$3,2,9),'Leave log'!$F$7:$F$306,"Approved")&gt;0,"A",""))="A","A",IF(OR(DATE($B$3,2,9)&gt;EOMONTH(DATE($B$3,2,1),0),NETWORKDAYS.INTL(DATE($B$3,2,9),DATE($B$3,2,9),1,'Non-working days'!$A$6:$A$45)=0),"",IF(COUNTIFS('Leave log'!$A$7:$A$306,Employees!$A$6,'Leave log'!$B$7:$B$306,"&lt;="&amp;DATE($B$3,2,9),'Leave log'!$C$7:$C$306,"&gt;="&amp;DATE($B$3,2,9),'Leave log'!$F$7:$F$306,"Pending")&gt;0,"P",""))))</f>
        <v/>
      </c>
      <c r="K41" s="23" t="str">
        <f>IF(A41="","",IF(IF(OR(DATE($B$3,2,10)&gt;EOMONTH(DATE($B$3,2,1),0),NETWORKDAYS.INTL(DATE($B$3,2,10),DATE($B$3,2,10),1,'Non-working days'!$A$6:$A$45)=0),"",IF(COUNTIFS('Leave log'!$A$7:$A$306,Employees!$A$6,'Leave log'!$B$7:$B$306,"&lt;="&amp;DATE($B$3,2,10),'Leave log'!$C$7:$C$306,"&gt;="&amp;DATE($B$3,2,10),'Leave log'!$F$7:$F$306,"Approved")&gt;0,"A",""))="A","A",IF(OR(DATE($B$3,2,10)&gt;EOMONTH(DATE($B$3,2,1),0),NETWORKDAYS.INTL(DATE($B$3,2,10),DATE($B$3,2,10),1,'Non-working days'!$A$6:$A$45)=0),"",IF(COUNTIFS('Leave log'!$A$7:$A$306,Employees!$A$6,'Leave log'!$B$7:$B$306,"&lt;="&amp;DATE($B$3,2,10),'Leave log'!$C$7:$C$306,"&gt;="&amp;DATE($B$3,2,10),'Leave log'!$F$7:$F$306,"Pending")&gt;0,"P",""))))</f>
        <v/>
      </c>
      <c r="L41" s="23" t="str">
        <f>IF(A41="","",IF(IF(OR(DATE($B$3,2,11)&gt;EOMONTH(DATE($B$3,2,1),0),NETWORKDAYS.INTL(DATE($B$3,2,11),DATE($B$3,2,11),1,'Non-working days'!$A$6:$A$45)=0),"",IF(COUNTIFS('Leave log'!$A$7:$A$306,Employees!$A$6,'Leave log'!$B$7:$B$306,"&lt;="&amp;DATE($B$3,2,11),'Leave log'!$C$7:$C$306,"&gt;="&amp;DATE($B$3,2,11),'Leave log'!$F$7:$F$306,"Approved")&gt;0,"A",""))="A","A",IF(OR(DATE($B$3,2,11)&gt;EOMONTH(DATE($B$3,2,1),0),NETWORKDAYS.INTL(DATE($B$3,2,11),DATE($B$3,2,11),1,'Non-working days'!$A$6:$A$45)=0),"",IF(COUNTIFS('Leave log'!$A$7:$A$306,Employees!$A$6,'Leave log'!$B$7:$B$306,"&lt;="&amp;DATE($B$3,2,11),'Leave log'!$C$7:$C$306,"&gt;="&amp;DATE($B$3,2,11),'Leave log'!$F$7:$F$306,"Pending")&gt;0,"P",""))))</f>
        <v/>
      </c>
      <c r="M41" s="23" t="str">
        <f>IF(A41="","",IF(IF(OR(DATE($B$3,2,12)&gt;EOMONTH(DATE($B$3,2,1),0),NETWORKDAYS.INTL(DATE($B$3,2,12),DATE($B$3,2,12),1,'Non-working days'!$A$6:$A$45)=0),"",IF(COUNTIFS('Leave log'!$A$7:$A$306,Employees!$A$6,'Leave log'!$B$7:$B$306,"&lt;="&amp;DATE($B$3,2,12),'Leave log'!$C$7:$C$306,"&gt;="&amp;DATE($B$3,2,12),'Leave log'!$F$7:$F$306,"Approved")&gt;0,"A",""))="A","A",IF(OR(DATE($B$3,2,12)&gt;EOMONTH(DATE($B$3,2,1),0),NETWORKDAYS.INTL(DATE($B$3,2,12),DATE($B$3,2,12),1,'Non-working days'!$A$6:$A$45)=0),"",IF(COUNTIFS('Leave log'!$A$7:$A$306,Employees!$A$6,'Leave log'!$B$7:$B$306,"&lt;="&amp;DATE($B$3,2,12),'Leave log'!$C$7:$C$306,"&gt;="&amp;DATE($B$3,2,12),'Leave log'!$F$7:$F$306,"Pending")&gt;0,"P",""))))</f>
        <v/>
      </c>
      <c r="N41" s="23" t="str">
        <f>IF(A41="","",IF(IF(OR(DATE($B$3,2,13)&gt;EOMONTH(DATE($B$3,2,1),0),NETWORKDAYS.INTL(DATE($B$3,2,13),DATE($B$3,2,13),1,'Non-working days'!$A$6:$A$45)=0),"",IF(COUNTIFS('Leave log'!$A$7:$A$306,Employees!$A$6,'Leave log'!$B$7:$B$306,"&lt;="&amp;DATE($B$3,2,13),'Leave log'!$C$7:$C$306,"&gt;="&amp;DATE($B$3,2,13),'Leave log'!$F$7:$F$306,"Approved")&gt;0,"A",""))="A","A",IF(OR(DATE($B$3,2,13)&gt;EOMONTH(DATE($B$3,2,1),0),NETWORKDAYS.INTL(DATE($B$3,2,13),DATE($B$3,2,13),1,'Non-working days'!$A$6:$A$45)=0),"",IF(COUNTIFS('Leave log'!$A$7:$A$306,Employees!$A$6,'Leave log'!$B$7:$B$306,"&lt;="&amp;DATE($B$3,2,13),'Leave log'!$C$7:$C$306,"&gt;="&amp;DATE($B$3,2,13),'Leave log'!$F$7:$F$306,"Pending")&gt;0,"P",""))))</f>
        <v/>
      </c>
      <c r="O41" s="23" t="str">
        <f>IF(A41="","",IF(IF(OR(DATE($B$3,2,14)&gt;EOMONTH(DATE($B$3,2,1),0),NETWORKDAYS.INTL(DATE($B$3,2,14),DATE($B$3,2,14),1,'Non-working days'!$A$6:$A$45)=0),"",IF(COUNTIFS('Leave log'!$A$7:$A$306,Employees!$A$6,'Leave log'!$B$7:$B$306,"&lt;="&amp;DATE($B$3,2,14),'Leave log'!$C$7:$C$306,"&gt;="&amp;DATE($B$3,2,14),'Leave log'!$F$7:$F$306,"Approved")&gt;0,"A",""))="A","A",IF(OR(DATE($B$3,2,14)&gt;EOMONTH(DATE($B$3,2,1),0),NETWORKDAYS.INTL(DATE($B$3,2,14),DATE($B$3,2,14),1,'Non-working days'!$A$6:$A$45)=0),"",IF(COUNTIFS('Leave log'!$A$7:$A$306,Employees!$A$6,'Leave log'!$B$7:$B$306,"&lt;="&amp;DATE($B$3,2,14),'Leave log'!$C$7:$C$306,"&gt;="&amp;DATE($B$3,2,14),'Leave log'!$F$7:$F$306,"Pending")&gt;0,"P",""))))</f>
        <v/>
      </c>
      <c r="P41" s="23" t="str">
        <f>IF(A41="","",IF(IF(OR(DATE($B$3,2,15)&gt;EOMONTH(DATE($B$3,2,1),0),NETWORKDAYS.INTL(DATE($B$3,2,15),DATE($B$3,2,15),1,'Non-working days'!$A$6:$A$45)=0),"",IF(COUNTIFS('Leave log'!$A$7:$A$306,Employees!$A$6,'Leave log'!$B$7:$B$306,"&lt;="&amp;DATE($B$3,2,15),'Leave log'!$C$7:$C$306,"&gt;="&amp;DATE($B$3,2,15),'Leave log'!$F$7:$F$306,"Approved")&gt;0,"A",""))="A","A",IF(OR(DATE($B$3,2,15)&gt;EOMONTH(DATE($B$3,2,1),0),NETWORKDAYS.INTL(DATE($B$3,2,15),DATE($B$3,2,15),1,'Non-working days'!$A$6:$A$45)=0),"",IF(COUNTIFS('Leave log'!$A$7:$A$306,Employees!$A$6,'Leave log'!$B$7:$B$306,"&lt;="&amp;DATE($B$3,2,15),'Leave log'!$C$7:$C$306,"&gt;="&amp;DATE($B$3,2,15),'Leave log'!$F$7:$F$306,"Pending")&gt;0,"P",""))))</f>
        <v/>
      </c>
      <c r="Q41" s="23" t="str">
        <f>IF(A41="","",IF(IF(OR(DATE($B$3,2,16)&gt;EOMONTH(DATE($B$3,2,1),0),NETWORKDAYS.INTL(DATE($B$3,2,16),DATE($B$3,2,16),1,'Non-working days'!$A$6:$A$45)=0),"",IF(COUNTIFS('Leave log'!$A$7:$A$306,Employees!$A$6,'Leave log'!$B$7:$B$306,"&lt;="&amp;DATE($B$3,2,16),'Leave log'!$C$7:$C$306,"&gt;="&amp;DATE($B$3,2,16),'Leave log'!$F$7:$F$306,"Approved")&gt;0,"A",""))="A","A",IF(OR(DATE($B$3,2,16)&gt;EOMONTH(DATE($B$3,2,1),0),NETWORKDAYS.INTL(DATE($B$3,2,16),DATE($B$3,2,16),1,'Non-working days'!$A$6:$A$45)=0),"",IF(COUNTIFS('Leave log'!$A$7:$A$306,Employees!$A$6,'Leave log'!$B$7:$B$306,"&lt;="&amp;DATE($B$3,2,16),'Leave log'!$C$7:$C$306,"&gt;="&amp;DATE($B$3,2,16),'Leave log'!$F$7:$F$306,"Pending")&gt;0,"P",""))))</f>
        <v/>
      </c>
      <c r="R41" s="23" t="str">
        <f>IF(A41="","",IF(IF(OR(DATE($B$3,2,17)&gt;EOMONTH(DATE($B$3,2,1),0),NETWORKDAYS.INTL(DATE($B$3,2,17),DATE($B$3,2,17),1,'Non-working days'!$A$6:$A$45)=0),"",IF(COUNTIFS('Leave log'!$A$7:$A$306,Employees!$A$6,'Leave log'!$B$7:$B$306,"&lt;="&amp;DATE($B$3,2,17),'Leave log'!$C$7:$C$306,"&gt;="&amp;DATE($B$3,2,17),'Leave log'!$F$7:$F$306,"Approved")&gt;0,"A",""))="A","A",IF(OR(DATE($B$3,2,17)&gt;EOMONTH(DATE($B$3,2,1),0),NETWORKDAYS.INTL(DATE($B$3,2,17),DATE($B$3,2,17),1,'Non-working days'!$A$6:$A$45)=0),"",IF(COUNTIFS('Leave log'!$A$7:$A$306,Employees!$A$6,'Leave log'!$B$7:$B$306,"&lt;="&amp;DATE($B$3,2,17),'Leave log'!$C$7:$C$306,"&gt;="&amp;DATE($B$3,2,17),'Leave log'!$F$7:$F$306,"Pending")&gt;0,"P",""))))</f>
        <v/>
      </c>
      <c r="S41" s="23" t="str">
        <f>IF(A41="","",IF(IF(OR(DATE($B$3,2,18)&gt;EOMONTH(DATE($B$3,2,1),0),NETWORKDAYS.INTL(DATE($B$3,2,18),DATE($B$3,2,18),1,'Non-working days'!$A$6:$A$45)=0),"",IF(COUNTIFS('Leave log'!$A$7:$A$306,Employees!$A$6,'Leave log'!$B$7:$B$306,"&lt;="&amp;DATE($B$3,2,18),'Leave log'!$C$7:$C$306,"&gt;="&amp;DATE($B$3,2,18),'Leave log'!$F$7:$F$306,"Approved")&gt;0,"A",""))="A","A",IF(OR(DATE($B$3,2,18)&gt;EOMONTH(DATE($B$3,2,1),0),NETWORKDAYS.INTL(DATE($B$3,2,18),DATE($B$3,2,18),1,'Non-working days'!$A$6:$A$45)=0),"",IF(COUNTIFS('Leave log'!$A$7:$A$306,Employees!$A$6,'Leave log'!$B$7:$B$306,"&lt;="&amp;DATE($B$3,2,18),'Leave log'!$C$7:$C$306,"&gt;="&amp;DATE($B$3,2,18),'Leave log'!$F$7:$F$306,"Pending")&gt;0,"P",""))))</f>
        <v/>
      </c>
      <c r="T41" s="23" t="str">
        <f>IF(A41="","",IF(IF(OR(DATE($B$3,2,19)&gt;EOMONTH(DATE($B$3,2,1),0),NETWORKDAYS.INTL(DATE($B$3,2,19),DATE($B$3,2,19),1,'Non-working days'!$A$6:$A$45)=0),"",IF(COUNTIFS('Leave log'!$A$7:$A$306,Employees!$A$6,'Leave log'!$B$7:$B$306,"&lt;="&amp;DATE($B$3,2,19),'Leave log'!$C$7:$C$306,"&gt;="&amp;DATE($B$3,2,19),'Leave log'!$F$7:$F$306,"Approved")&gt;0,"A",""))="A","A",IF(OR(DATE($B$3,2,19)&gt;EOMONTH(DATE($B$3,2,1),0),NETWORKDAYS.INTL(DATE($B$3,2,19),DATE($B$3,2,19),1,'Non-working days'!$A$6:$A$45)=0),"",IF(COUNTIFS('Leave log'!$A$7:$A$306,Employees!$A$6,'Leave log'!$B$7:$B$306,"&lt;="&amp;DATE($B$3,2,19),'Leave log'!$C$7:$C$306,"&gt;="&amp;DATE($B$3,2,19),'Leave log'!$F$7:$F$306,"Pending")&gt;0,"P",""))))</f>
        <v/>
      </c>
      <c r="U41" s="23" t="str">
        <f>IF(A41="","",IF(IF(OR(DATE($B$3,2,20)&gt;EOMONTH(DATE($B$3,2,1),0),NETWORKDAYS.INTL(DATE($B$3,2,20),DATE($B$3,2,20),1,'Non-working days'!$A$6:$A$45)=0),"",IF(COUNTIFS('Leave log'!$A$7:$A$306,Employees!$A$6,'Leave log'!$B$7:$B$306,"&lt;="&amp;DATE($B$3,2,20),'Leave log'!$C$7:$C$306,"&gt;="&amp;DATE($B$3,2,20),'Leave log'!$F$7:$F$306,"Approved")&gt;0,"A",""))="A","A",IF(OR(DATE($B$3,2,20)&gt;EOMONTH(DATE($B$3,2,1),0),NETWORKDAYS.INTL(DATE($B$3,2,20),DATE($B$3,2,20),1,'Non-working days'!$A$6:$A$45)=0),"",IF(COUNTIFS('Leave log'!$A$7:$A$306,Employees!$A$6,'Leave log'!$B$7:$B$306,"&lt;="&amp;DATE($B$3,2,20),'Leave log'!$C$7:$C$306,"&gt;="&amp;DATE($B$3,2,20),'Leave log'!$F$7:$F$306,"Pending")&gt;0,"P",""))))</f>
        <v/>
      </c>
      <c r="V41" s="23" t="str">
        <f>IF(A41="","",IF(IF(OR(DATE($B$3,2,21)&gt;EOMONTH(DATE($B$3,2,1),0),NETWORKDAYS.INTL(DATE($B$3,2,21),DATE($B$3,2,21),1,'Non-working days'!$A$6:$A$45)=0),"",IF(COUNTIFS('Leave log'!$A$7:$A$306,Employees!$A$6,'Leave log'!$B$7:$B$306,"&lt;="&amp;DATE($B$3,2,21),'Leave log'!$C$7:$C$306,"&gt;="&amp;DATE($B$3,2,21),'Leave log'!$F$7:$F$306,"Approved")&gt;0,"A",""))="A","A",IF(OR(DATE($B$3,2,21)&gt;EOMONTH(DATE($B$3,2,1),0),NETWORKDAYS.INTL(DATE($B$3,2,21),DATE($B$3,2,21),1,'Non-working days'!$A$6:$A$45)=0),"",IF(COUNTIFS('Leave log'!$A$7:$A$306,Employees!$A$6,'Leave log'!$B$7:$B$306,"&lt;="&amp;DATE($B$3,2,21),'Leave log'!$C$7:$C$306,"&gt;="&amp;DATE($B$3,2,21),'Leave log'!$F$7:$F$306,"Pending")&gt;0,"P",""))))</f>
        <v/>
      </c>
      <c r="W41" s="23" t="str">
        <f>IF(A41="","",IF(IF(OR(DATE($B$3,2,22)&gt;EOMONTH(DATE($B$3,2,1),0),NETWORKDAYS.INTL(DATE($B$3,2,22),DATE($B$3,2,22),1,'Non-working days'!$A$6:$A$45)=0),"",IF(COUNTIFS('Leave log'!$A$7:$A$306,Employees!$A$6,'Leave log'!$B$7:$B$306,"&lt;="&amp;DATE($B$3,2,22),'Leave log'!$C$7:$C$306,"&gt;="&amp;DATE($B$3,2,22),'Leave log'!$F$7:$F$306,"Approved")&gt;0,"A",""))="A","A",IF(OR(DATE($B$3,2,22)&gt;EOMONTH(DATE($B$3,2,1),0),NETWORKDAYS.INTL(DATE($B$3,2,22),DATE($B$3,2,22),1,'Non-working days'!$A$6:$A$45)=0),"",IF(COUNTIFS('Leave log'!$A$7:$A$306,Employees!$A$6,'Leave log'!$B$7:$B$306,"&lt;="&amp;DATE($B$3,2,22),'Leave log'!$C$7:$C$306,"&gt;="&amp;DATE($B$3,2,22),'Leave log'!$F$7:$F$306,"Pending")&gt;0,"P",""))))</f>
        <v/>
      </c>
      <c r="X41" s="23" t="str">
        <f>IF(A41="","",IF(IF(OR(DATE($B$3,2,23)&gt;EOMONTH(DATE($B$3,2,1),0),NETWORKDAYS.INTL(DATE($B$3,2,23),DATE($B$3,2,23),1,'Non-working days'!$A$6:$A$45)=0),"",IF(COUNTIFS('Leave log'!$A$7:$A$306,Employees!$A$6,'Leave log'!$B$7:$B$306,"&lt;="&amp;DATE($B$3,2,23),'Leave log'!$C$7:$C$306,"&gt;="&amp;DATE($B$3,2,23),'Leave log'!$F$7:$F$306,"Approved")&gt;0,"A",""))="A","A",IF(OR(DATE($B$3,2,23)&gt;EOMONTH(DATE($B$3,2,1),0),NETWORKDAYS.INTL(DATE($B$3,2,23),DATE($B$3,2,23),1,'Non-working days'!$A$6:$A$45)=0),"",IF(COUNTIFS('Leave log'!$A$7:$A$306,Employees!$A$6,'Leave log'!$B$7:$B$306,"&lt;="&amp;DATE($B$3,2,23),'Leave log'!$C$7:$C$306,"&gt;="&amp;DATE($B$3,2,23),'Leave log'!$F$7:$F$306,"Pending")&gt;0,"P",""))))</f>
        <v/>
      </c>
      <c r="Y41" s="23" t="str">
        <f>IF(A41="","",IF(IF(OR(DATE($B$3,2,24)&gt;EOMONTH(DATE($B$3,2,1),0),NETWORKDAYS.INTL(DATE($B$3,2,24),DATE($B$3,2,24),1,'Non-working days'!$A$6:$A$45)=0),"",IF(COUNTIFS('Leave log'!$A$7:$A$306,Employees!$A$6,'Leave log'!$B$7:$B$306,"&lt;="&amp;DATE($B$3,2,24),'Leave log'!$C$7:$C$306,"&gt;="&amp;DATE($B$3,2,24),'Leave log'!$F$7:$F$306,"Approved")&gt;0,"A",""))="A","A",IF(OR(DATE($B$3,2,24)&gt;EOMONTH(DATE($B$3,2,1),0),NETWORKDAYS.INTL(DATE($B$3,2,24),DATE($B$3,2,24),1,'Non-working days'!$A$6:$A$45)=0),"",IF(COUNTIFS('Leave log'!$A$7:$A$306,Employees!$A$6,'Leave log'!$B$7:$B$306,"&lt;="&amp;DATE($B$3,2,24),'Leave log'!$C$7:$C$306,"&gt;="&amp;DATE($B$3,2,24),'Leave log'!$F$7:$F$306,"Pending")&gt;0,"P",""))))</f>
        <v/>
      </c>
      <c r="Z41" s="23" t="str">
        <f>IF(A41="","",IF(IF(OR(DATE($B$3,2,25)&gt;EOMONTH(DATE($B$3,2,1),0),NETWORKDAYS.INTL(DATE($B$3,2,25),DATE($B$3,2,25),1,'Non-working days'!$A$6:$A$45)=0),"",IF(COUNTIFS('Leave log'!$A$7:$A$306,Employees!$A$6,'Leave log'!$B$7:$B$306,"&lt;="&amp;DATE($B$3,2,25),'Leave log'!$C$7:$C$306,"&gt;="&amp;DATE($B$3,2,25),'Leave log'!$F$7:$F$306,"Approved")&gt;0,"A",""))="A","A",IF(OR(DATE($B$3,2,25)&gt;EOMONTH(DATE($B$3,2,1),0),NETWORKDAYS.INTL(DATE($B$3,2,25),DATE($B$3,2,25),1,'Non-working days'!$A$6:$A$45)=0),"",IF(COUNTIFS('Leave log'!$A$7:$A$306,Employees!$A$6,'Leave log'!$B$7:$B$306,"&lt;="&amp;DATE($B$3,2,25),'Leave log'!$C$7:$C$306,"&gt;="&amp;DATE($B$3,2,25),'Leave log'!$F$7:$F$306,"Pending")&gt;0,"P",""))))</f>
        <v/>
      </c>
      <c r="AA41" s="23" t="str">
        <f>IF(A41="","",IF(IF(OR(DATE($B$3,2,26)&gt;EOMONTH(DATE($B$3,2,1),0),NETWORKDAYS.INTL(DATE($B$3,2,26),DATE($B$3,2,26),1,'Non-working days'!$A$6:$A$45)=0),"",IF(COUNTIFS('Leave log'!$A$7:$A$306,Employees!$A$6,'Leave log'!$B$7:$B$306,"&lt;="&amp;DATE($B$3,2,26),'Leave log'!$C$7:$C$306,"&gt;="&amp;DATE($B$3,2,26),'Leave log'!$F$7:$F$306,"Approved")&gt;0,"A",""))="A","A",IF(OR(DATE($B$3,2,26)&gt;EOMONTH(DATE($B$3,2,1),0),NETWORKDAYS.INTL(DATE($B$3,2,26),DATE($B$3,2,26),1,'Non-working days'!$A$6:$A$45)=0),"",IF(COUNTIFS('Leave log'!$A$7:$A$306,Employees!$A$6,'Leave log'!$B$7:$B$306,"&lt;="&amp;DATE($B$3,2,26),'Leave log'!$C$7:$C$306,"&gt;="&amp;DATE($B$3,2,26),'Leave log'!$F$7:$F$306,"Pending")&gt;0,"P",""))))</f>
        <v/>
      </c>
      <c r="AB41" s="23" t="str">
        <f>IF(A41="","",IF(IF(OR(DATE($B$3,2,27)&gt;EOMONTH(DATE($B$3,2,1),0),NETWORKDAYS.INTL(DATE($B$3,2,27),DATE($B$3,2,27),1,'Non-working days'!$A$6:$A$45)=0),"",IF(COUNTIFS('Leave log'!$A$7:$A$306,Employees!$A$6,'Leave log'!$B$7:$B$306,"&lt;="&amp;DATE($B$3,2,27),'Leave log'!$C$7:$C$306,"&gt;="&amp;DATE($B$3,2,27),'Leave log'!$F$7:$F$306,"Approved")&gt;0,"A",""))="A","A",IF(OR(DATE($B$3,2,27)&gt;EOMONTH(DATE($B$3,2,1),0),NETWORKDAYS.INTL(DATE($B$3,2,27),DATE($B$3,2,27),1,'Non-working days'!$A$6:$A$45)=0),"",IF(COUNTIFS('Leave log'!$A$7:$A$306,Employees!$A$6,'Leave log'!$B$7:$B$306,"&lt;="&amp;DATE($B$3,2,27),'Leave log'!$C$7:$C$306,"&gt;="&amp;DATE($B$3,2,27),'Leave log'!$F$7:$F$306,"Pending")&gt;0,"P",""))))</f>
        <v/>
      </c>
      <c r="AC41" s="23" t="str">
        <f>IF(A41="","",IF(IF(OR(DATE($B$3,2,28)&gt;EOMONTH(DATE($B$3,2,1),0),NETWORKDAYS.INTL(DATE($B$3,2,28),DATE($B$3,2,28),1,'Non-working days'!$A$6:$A$45)=0),"",IF(COUNTIFS('Leave log'!$A$7:$A$306,Employees!$A$6,'Leave log'!$B$7:$B$306,"&lt;="&amp;DATE($B$3,2,28),'Leave log'!$C$7:$C$306,"&gt;="&amp;DATE($B$3,2,28),'Leave log'!$F$7:$F$306,"Approved")&gt;0,"A",""))="A","A",IF(OR(DATE($B$3,2,28)&gt;EOMONTH(DATE($B$3,2,1),0),NETWORKDAYS.INTL(DATE($B$3,2,28),DATE($B$3,2,28),1,'Non-working days'!$A$6:$A$45)=0),"",IF(COUNTIFS('Leave log'!$A$7:$A$306,Employees!$A$6,'Leave log'!$B$7:$B$306,"&lt;="&amp;DATE($B$3,2,28),'Leave log'!$C$7:$C$306,"&gt;="&amp;DATE($B$3,2,28),'Leave log'!$F$7:$F$306,"Pending")&gt;0,"P",""))))</f>
        <v/>
      </c>
      <c r="AD41" s="23" t="str">
        <f>IF(A41="","",IF(IF(OR(DATE($B$3,2,29)&gt;EOMONTH(DATE($B$3,2,1),0),NETWORKDAYS.INTL(DATE($B$3,2,29),DATE($B$3,2,29),1,'Non-working days'!$A$6:$A$45)=0),"",IF(COUNTIFS('Leave log'!$A$7:$A$306,Employees!$A$6,'Leave log'!$B$7:$B$306,"&lt;="&amp;DATE($B$3,2,29),'Leave log'!$C$7:$C$306,"&gt;="&amp;DATE($B$3,2,29),'Leave log'!$F$7:$F$306,"Approved")&gt;0,"A",""))="A","A",IF(OR(DATE($B$3,2,29)&gt;EOMONTH(DATE($B$3,2,1),0),NETWORKDAYS.INTL(DATE($B$3,2,29),DATE($B$3,2,29),1,'Non-working days'!$A$6:$A$45)=0),"",IF(COUNTIFS('Leave log'!$A$7:$A$306,Employees!$A$6,'Leave log'!$B$7:$B$306,"&lt;="&amp;DATE($B$3,2,29),'Leave log'!$C$7:$C$306,"&gt;="&amp;DATE($B$3,2,29),'Leave log'!$F$7:$F$306,"Pending")&gt;0,"P",""))))</f>
        <v/>
      </c>
      <c r="AE41" s="23" t="str">
        <f>IF(A41="","",IF(IF(OR(DATE($B$3,2,30)&gt;EOMONTH(DATE($B$3,2,1),0),NETWORKDAYS.INTL(DATE($B$3,2,30),DATE($B$3,2,30),1,'Non-working days'!$A$6:$A$45)=0),"",IF(COUNTIFS('Leave log'!$A$7:$A$306,Employees!$A$6,'Leave log'!$B$7:$B$306,"&lt;="&amp;DATE($B$3,2,30),'Leave log'!$C$7:$C$306,"&gt;="&amp;DATE($B$3,2,30),'Leave log'!$F$7:$F$306,"Approved")&gt;0,"A",""))="A","A",IF(OR(DATE($B$3,2,30)&gt;EOMONTH(DATE($B$3,2,1),0),NETWORKDAYS.INTL(DATE($B$3,2,30),DATE($B$3,2,30),1,'Non-working days'!$A$6:$A$45)=0),"",IF(COUNTIFS('Leave log'!$A$7:$A$306,Employees!$A$6,'Leave log'!$B$7:$B$306,"&lt;="&amp;DATE($B$3,2,30),'Leave log'!$C$7:$C$306,"&gt;="&amp;DATE($B$3,2,30),'Leave log'!$F$7:$F$306,"Pending")&gt;0,"P",""))))</f>
        <v/>
      </c>
      <c r="AF41" s="23" t="str">
        <f>IF(A41="","",IF(IF(OR(DATE($B$3,2,31)&gt;EOMONTH(DATE($B$3,2,1),0),NETWORKDAYS.INTL(DATE($B$3,2,31),DATE($B$3,2,31),1,'Non-working days'!$A$6:$A$45)=0),"",IF(COUNTIFS('Leave log'!$A$7:$A$306,Employees!$A$6,'Leave log'!$B$7:$B$306,"&lt;="&amp;DATE($B$3,2,31),'Leave log'!$C$7:$C$306,"&gt;="&amp;DATE($B$3,2,31),'Leave log'!$F$7:$F$306,"Approved")&gt;0,"A",""))="A","A",IF(OR(DATE($B$3,2,31)&gt;EOMONTH(DATE($B$3,2,1),0),NETWORKDAYS.INTL(DATE($B$3,2,31),DATE($B$3,2,31),1,'Non-working days'!$A$6:$A$45)=0),"",IF(COUNTIFS('Leave log'!$A$7:$A$306,Employees!$A$6,'Leave log'!$B$7:$B$306,"&lt;="&amp;DATE($B$3,2,31),'Leave log'!$C$7:$C$306,"&gt;="&amp;DATE($B$3,2,31),'Leave log'!$F$7:$F$306,"Pending")&gt;0,"P",""))))</f>
        <v/>
      </c>
    </row>
    <row r="42" spans="1:32" ht="18" customHeight="1" x14ac:dyDescent="0.3">
      <c r="A42" s="22" t="str">
        <f>IF(Employees!F7="Yes",Employees!B7,"")</f>
        <v/>
      </c>
      <c r="B42" s="23" t="str">
        <f>IF(A42="","",IF(IF(OR(DATE($B$3,2,1)&gt;EOMONTH(DATE($B$3,2,1),0),NETWORKDAYS.INTL(DATE($B$3,2,1),DATE($B$3,2,1),1,'Non-working days'!$A$6:$A$45)=0),"",IF(COUNTIFS('Leave log'!$A$7:$A$306,Employees!$A$7,'Leave log'!$B$7:$B$306,"&lt;="&amp;DATE($B$3,2,1),'Leave log'!$C$7:$C$306,"&gt;="&amp;DATE($B$3,2,1),'Leave log'!$F$7:$F$306,"Approved")&gt;0,"A",""))="A","A",IF(OR(DATE($B$3,2,1)&gt;EOMONTH(DATE($B$3,2,1),0),NETWORKDAYS.INTL(DATE($B$3,2,1),DATE($B$3,2,1),1,'Non-working days'!$A$6:$A$45)=0),"",IF(COUNTIFS('Leave log'!$A$7:$A$306,Employees!$A$7,'Leave log'!$B$7:$B$306,"&lt;="&amp;DATE($B$3,2,1),'Leave log'!$C$7:$C$306,"&gt;="&amp;DATE($B$3,2,1),'Leave log'!$F$7:$F$306,"Pending")&gt;0,"P",""))))</f>
        <v/>
      </c>
      <c r="C42" s="23" t="str">
        <f>IF(A42="","",IF(IF(OR(DATE($B$3,2,2)&gt;EOMONTH(DATE($B$3,2,1),0),NETWORKDAYS.INTL(DATE($B$3,2,2),DATE($B$3,2,2),1,'Non-working days'!$A$6:$A$45)=0),"",IF(COUNTIFS('Leave log'!$A$7:$A$306,Employees!$A$7,'Leave log'!$B$7:$B$306,"&lt;="&amp;DATE($B$3,2,2),'Leave log'!$C$7:$C$306,"&gt;="&amp;DATE($B$3,2,2),'Leave log'!$F$7:$F$306,"Approved")&gt;0,"A",""))="A","A",IF(OR(DATE($B$3,2,2)&gt;EOMONTH(DATE($B$3,2,1),0),NETWORKDAYS.INTL(DATE($B$3,2,2),DATE($B$3,2,2),1,'Non-working days'!$A$6:$A$45)=0),"",IF(COUNTIFS('Leave log'!$A$7:$A$306,Employees!$A$7,'Leave log'!$B$7:$B$306,"&lt;="&amp;DATE($B$3,2,2),'Leave log'!$C$7:$C$306,"&gt;="&amp;DATE($B$3,2,2),'Leave log'!$F$7:$F$306,"Pending")&gt;0,"P",""))))</f>
        <v/>
      </c>
      <c r="D42" s="23" t="str">
        <f>IF(A42="","",IF(IF(OR(DATE($B$3,2,3)&gt;EOMONTH(DATE($B$3,2,1),0),NETWORKDAYS.INTL(DATE($B$3,2,3),DATE($B$3,2,3),1,'Non-working days'!$A$6:$A$45)=0),"",IF(COUNTIFS('Leave log'!$A$7:$A$306,Employees!$A$7,'Leave log'!$B$7:$B$306,"&lt;="&amp;DATE($B$3,2,3),'Leave log'!$C$7:$C$306,"&gt;="&amp;DATE($B$3,2,3),'Leave log'!$F$7:$F$306,"Approved")&gt;0,"A",""))="A","A",IF(OR(DATE($B$3,2,3)&gt;EOMONTH(DATE($B$3,2,1),0),NETWORKDAYS.INTL(DATE($B$3,2,3),DATE($B$3,2,3),1,'Non-working days'!$A$6:$A$45)=0),"",IF(COUNTIFS('Leave log'!$A$7:$A$306,Employees!$A$7,'Leave log'!$B$7:$B$306,"&lt;="&amp;DATE($B$3,2,3),'Leave log'!$C$7:$C$306,"&gt;="&amp;DATE($B$3,2,3),'Leave log'!$F$7:$F$306,"Pending")&gt;0,"P",""))))</f>
        <v/>
      </c>
      <c r="E42" s="23" t="str">
        <f>IF(A42="","",IF(IF(OR(DATE($B$3,2,4)&gt;EOMONTH(DATE($B$3,2,1),0),NETWORKDAYS.INTL(DATE($B$3,2,4),DATE($B$3,2,4),1,'Non-working days'!$A$6:$A$45)=0),"",IF(COUNTIFS('Leave log'!$A$7:$A$306,Employees!$A$7,'Leave log'!$B$7:$B$306,"&lt;="&amp;DATE($B$3,2,4),'Leave log'!$C$7:$C$306,"&gt;="&amp;DATE($B$3,2,4),'Leave log'!$F$7:$F$306,"Approved")&gt;0,"A",""))="A","A",IF(OR(DATE($B$3,2,4)&gt;EOMONTH(DATE($B$3,2,1),0),NETWORKDAYS.INTL(DATE($B$3,2,4),DATE($B$3,2,4),1,'Non-working days'!$A$6:$A$45)=0),"",IF(COUNTIFS('Leave log'!$A$7:$A$306,Employees!$A$7,'Leave log'!$B$7:$B$306,"&lt;="&amp;DATE($B$3,2,4),'Leave log'!$C$7:$C$306,"&gt;="&amp;DATE($B$3,2,4),'Leave log'!$F$7:$F$306,"Pending")&gt;0,"P",""))))</f>
        <v/>
      </c>
      <c r="F42" s="23" t="str">
        <f>IF(A42="","",IF(IF(OR(DATE($B$3,2,5)&gt;EOMONTH(DATE($B$3,2,1),0),NETWORKDAYS.INTL(DATE($B$3,2,5),DATE($B$3,2,5),1,'Non-working days'!$A$6:$A$45)=0),"",IF(COUNTIFS('Leave log'!$A$7:$A$306,Employees!$A$7,'Leave log'!$B$7:$B$306,"&lt;="&amp;DATE($B$3,2,5),'Leave log'!$C$7:$C$306,"&gt;="&amp;DATE($B$3,2,5),'Leave log'!$F$7:$F$306,"Approved")&gt;0,"A",""))="A","A",IF(OR(DATE($B$3,2,5)&gt;EOMONTH(DATE($B$3,2,1),0),NETWORKDAYS.INTL(DATE($B$3,2,5),DATE($B$3,2,5),1,'Non-working days'!$A$6:$A$45)=0),"",IF(COUNTIFS('Leave log'!$A$7:$A$306,Employees!$A$7,'Leave log'!$B$7:$B$306,"&lt;="&amp;DATE($B$3,2,5),'Leave log'!$C$7:$C$306,"&gt;="&amp;DATE($B$3,2,5),'Leave log'!$F$7:$F$306,"Pending")&gt;0,"P",""))))</f>
        <v/>
      </c>
      <c r="G42" s="23" t="str">
        <f>IF(A42="","",IF(IF(OR(DATE($B$3,2,6)&gt;EOMONTH(DATE($B$3,2,1),0),NETWORKDAYS.INTL(DATE($B$3,2,6),DATE($B$3,2,6),1,'Non-working days'!$A$6:$A$45)=0),"",IF(COUNTIFS('Leave log'!$A$7:$A$306,Employees!$A$7,'Leave log'!$B$7:$B$306,"&lt;="&amp;DATE($B$3,2,6),'Leave log'!$C$7:$C$306,"&gt;="&amp;DATE($B$3,2,6),'Leave log'!$F$7:$F$306,"Approved")&gt;0,"A",""))="A","A",IF(OR(DATE($B$3,2,6)&gt;EOMONTH(DATE($B$3,2,1),0),NETWORKDAYS.INTL(DATE($B$3,2,6),DATE($B$3,2,6),1,'Non-working days'!$A$6:$A$45)=0),"",IF(COUNTIFS('Leave log'!$A$7:$A$306,Employees!$A$7,'Leave log'!$B$7:$B$306,"&lt;="&amp;DATE($B$3,2,6),'Leave log'!$C$7:$C$306,"&gt;="&amp;DATE($B$3,2,6),'Leave log'!$F$7:$F$306,"Pending")&gt;0,"P",""))))</f>
        <v/>
      </c>
      <c r="H42" s="23" t="str">
        <f>IF(A42="","",IF(IF(OR(DATE($B$3,2,7)&gt;EOMONTH(DATE($B$3,2,1),0),NETWORKDAYS.INTL(DATE($B$3,2,7),DATE($B$3,2,7),1,'Non-working days'!$A$6:$A$45)=0),"",IF(COUNTIFS('Leave log'!$A$7:$A$306,Employees!$A$7,'Leave log'!$B$7:$B$306,"&lt;="&amp;DATE($B$3,2,7),'Leave log'!$C$7:$C$306,"&gt;="&amp;DATE($B$3,2,7),'Leave log'!$F$7:$F$306,"Approved")&gt;0,"A",""))="A","A",IF(OR(DATE($B$3,2,7)&gt;EOMONTH(DATE($B$3,2,1),0),NETWORKDAYS.INTL(DATE($B$3,2,7),DATE($B$3,2,7),1,'Non-working days'!$A$6:$A$45)=0),"",IF(COUNTIFS('Leave log'!$A$7:$A$306,Employees!$A$7,'Leave log'!$B$7:$B$306,"&lt;="&amp;DATE($B$3,2,7),'Leave log'!$C$7:$C$306,"&gt;="&amp;DATE($B$3,2,7),'Leave log'!$F$7:$F$306,"Pending")&gt;0,"P",""))))</f>
        <v/>
      </c>
      <c r="I42" s="23" t="str">
        <f>IF(A42="","",IF(IF(OR(DATE($B$3,2,8)&gt;EOMONTH(DATE($B$3,2,1),0),NETWORKDAYS.INTL(DATE($B$3,2,8),DATE($B$3,2,8),1,'Non-working days'!$A$6:$A$45)=0),"",IF(COUNTIFS('Leave log'!$A$7:$A$306,Employees!$A$7,'Leave log'!$B$7:$B$306,"&lt;="&amp;DATE($B$3,2,8),'Leave log'!$C$7:$C$306,"&gt;="&amp;DATE($B$3,2,8),'Leave log'!$F$7:$F$306,"Approved")&gt;0,"A",""))="A","A",IF(OR(DATE($B$3,2,8)&gt;EOMONTH(DATE($B$3,2,1),0),NETWORKDAYS.INTL(DATE($B$3,2,8),DATE($B$3,2,8),1,'Non-working days'!$A$6:$A$45)=0),"",IF(COUNTIFS('Leave log'!$A$7:$A$306,Employees!$A$7,'Leave log'!$B$7:$B$306,"&lt;="&amp;DATE($B$3,2,8),'Leave log'!$C$7:$C$306,"&gt;="&amp;DATE($B$3,2,8),'Leave log'!$F$7:$F$306,"Pending")&gt;0,"P",""))))</f>
        <v/>
      </c>
      <c r="J42" s="23" t="str">
        <f>IF(A42="","",IF(IF(OR(DATE($B$3,2,9)&gt;EOMONTH(DATE($B$3,2,1),0),NETWORKDAYS.INTL(DATE($B$3,2,9),DATE($B$3,2,9),1,'Non-working days'!$A$6:$A$45)=0),"",IF(COUNTIFS('Leave log'!$A$7:$A$306,Employees!$A$7,'Leave log'!$B$7:$B$306,"&lt;="&amp;DATE($B$3,2,9),'Leave log'!$C$7:$C$306,"&gt;="&amp;DATE($B$3,2,9),'Leave log'!$F$7:$F$306,"Approved")&gt;0,"A",""))="A","A",IF(OR(DATE($B$3,2,9)&gt;EOMONTH(DATE($B$3,2,1),0),NETWORKDAYS.INTL(DATE($B$3,2,9),DATE($B$3,2,9),1,'Non-working days'!$A$6:$A$45)=0),"",IF(COUNTIFS('Leave log'!$A$7:$A$306,Employees!$A$7,'Leave log'!$B$7:$B$306,"&lt;="&amp;DATE($B$3,2,9),'Leave log'!$C$7:$C$306,"&gt;="&amp;DATE($B$3,2,9),'Leave log'!$F$7:$F$306,"Pending")&gt;0,"P",""))))</f>
        <v/>
      </c>
      <c r="K42" s="23" t="str">
        <f>IF(A42="","",IF(IF(OR(DATE($B$3,2,10)&gt;EOMONTH(DATE($B$3,2,1),0),NETWORKDAYS.INTL(DATE($B$3,2,10),DATE($B$3,2,10),1,'Non-working days'!$A$6:$A$45)=0),"",IF(COUNTIFS('Leave log'!$A$7:$A$306,Employees!$A$7,'Leave log'!$B$7:$B$306,"&lt;="&amp;DATE($B$3,2,10),'Leave log'!$C$7:$C$306,"&gt;="&amp;DATE($B$3,2,10),'Leave log'!$F$7:$F$306,"Approved")&gt;0,"A",""))="A","A",IF(OR(DATE($B$3,2,10)&gt;EOMONTH(DATE($B$3,2,1),0),NETWORKDAYS.INTL(DATE($B$3,2,10),DATE($B$3,2,10),1,'Non-working days'!$A$6:$A$45)=0),"",IF(COUNTIFS('Leave log'!$A$7:$A$306,Employees!$A$7,'Leave log'!$B$7:$B$306,"&lt;="&amp;DATE($B$3,2,10),'Leave log'!$C$7:$C$306,"&gt;="&amp;DATE($B$3,2,10),'Leave log'!$F$7:$F$306,"Pending")&gt;0,"P",""))))</f>
        <v/>
      </c>
      <c r="L42" s="23" t="str">
        <f>IF(A42="","",IF(IF(OR(DATE($B$3,2,11)&gt;EOMONTH(DATE($B$3,2,1),0),NETWORKDAYS.INTL(DATE($B$3,2,11),DATE($B$3,2,11),1,'Non-working days'!$A$6:$A$45)=0),"",IF(COUNTIFS('Leave log'!$A$7:$A$306,Employees!$A$7,'Leave log'!$B$7:$B$306,"&lt;="&amp;DATE($B$3,2,11),'Leave log'!$C$7:$C$306,"&gt;="&amp;DATE($B$3,2,11),'Leave log'!$F$7:$F$306,"Approved")&gt;0,"A",""))="A","A",IF(OR(DATE($B$3,2,11)&gt;EOMONTH(DATE($B$3,2,1),0),NETWORKDAYS.INTL(DATE($B$3,2,11),DATE($B$3,2,11),1,'Non-working days'!$A$6:$A$45)=0),"",IF(COUNTIFS('Leave log'!$A$7:$A$306,Employees!$A$7,'Leave log'!$B$7:$B$306,"&lt;="&amp;DATE($B$3,2,11),'Leave log'!$C$7:$C$306,"&gt;="&amp;DATE($B$3,2,11),'Leave log'!$F$7:$F$306,"Pending")&gt;0,"P",""))))</f>
        <v/>
      </c>
      <c r="M42" s="23" t="str">
        <f>IF(A42="","",IF(IF(OR(DATE($B$3,2,12)&gt;EOMONTH(DATE($B$3,2,1),0),NETWORKDAYS.INTL(DATE($B$3,2,12),DATE($B$3,2,12),1,'Non-working days'!$A$6:$A$45)=0),"",IF(COUNTIFS('Leave log'!$A$7:$A$306,Employees!$A$7,'Leave log'!$B$7:$B$306,"&lt;="&amp;DATE($B$3,2,12),'Leave log'!$C$7:$C$306,"&gt;="&amp;DATE($B$3,2,12),'Leave log'!$F$7:$F$306,"Approved")&gt;0,"A",""))="A","A",IF(OR(DATE($B$3,2,12)&gt;EOMONTH(DATE($B$3,2,1),0),NETWORKDAYS.INTL(DATE($B$3,2,12),DATE($B$3,2,12),1,'Non-working days'!$A$6:$A$45)=0),"",IF(COUNTIFS('Leave log'!$A$7:$A$306,Employees!$A$7,'Leave log'!$B$7:$B$306,"&lt;="&amp;DATE($B$3,2,12),'Leave log'!$C$7:$C$306,"&gt;="&amp;DATE($B$3,2,12),'Leave log'!$F$7:$F$306,"Pending")&gt;0,"P",""))))</f>
        <v/>
      </c>
      <c r="N42" s="23" t="str">
        <f>IF(A42="","",IF(IF(OR(DATE($B$3,2,13)&gt;EOMONTH(DATE($B$3,2,1),0),NETWORKDAYS.INTL(DATE($B$3,2,13),DATE($B$3,2,13),1,'Non-working days'!$A$6:$A$45)=0),"",IF(COUNTIFS('Leave log'!$A$7:$A$306,Employees!$A$7,'Leave log'!$B$7:$B$306,"&lt;="&amp;DATE($B$3,2,13),'Leave log'!$C$7:$C$306,"&gt;="&amp;DATE($B$3,2,13),'Leave log'!$F$7:$F$306,"Approved")&gt;0,"A",""))="A","A",IF(OR(DATE($B$3,2,13)&gt;EOMONTH(DATE($B$3,2,1),0),NETWORKDAYS.INTL(DATE($B$3,2,13),DATE($B$3,2,13),1,'Non-working days'!$A$6:$A$45)=0),"",IF(COUNTIFS('Leave log'!$A$7:$A$306,Employees!$A$7,'Leave log'!$B$7:$B$306,"&lt;="&amp;DATE($B$3,2,13),'Leave log'!$C$7:$C$306,"&gt;="&amp;DATE($B$3,2,13),'Leave log'!$F$7:$F$306,"Pending")&gt;0,"P",""))))</f>
        <v/>
      </c>
      <c r="O42" s="23" t="str">
        <f>IF(A42="","",IF(IF(OR(DATE($B$3,2,14)&gt;EOMONTH(DATE($B$3,2,1),0),NETWORKDAYS.INTL(DATE($B$3,2,14),DATE($B$3,2,14),1,'Non-working days'!$A$6:$A$45)=0),"",IF(COUNTIFS('Leave log'!$A$7:$A$306,Employees!$A$7,'Leave log'!$B$7:$B$306,"&lt;="&amp;DATE($B$3,2,14),'Leave log'!$C$7:$C$306,"&gt;="&amp;DATE($B$3,2,14),'Leave log'!$F$7:$F$306,"Approved")&gt;0,"A",""))="A","A",IF(OR(DATE($B$3,2,14)&gt;EOMONTH(DATE($B$3,2,1),0),NETWORKDAYS.INTL(DATE($B$3,2,14),DATE($B$3,2,14),1,'Non-working days'!$A$6:$A$45)=0),"",IF(COUNTIFS('Leave log'!$A$7:$A$306,Employees!$A$7,'Leave log'!$B$7:$B$306,"&lt;="&amp;DATE($B$3,2,14),'Leave log'!$C$7:$C$306,"&gt;="&amp;DATE($B$3,2,14),'Leave log'!$F$7:$F$306,"Pending")&gt;0,"P",""))))</f>
        <v/>
      </c>
      <c r="P42" s="23" t="str">
        <f>IF(A42="","",IF(IF(OR(DATE($B$3,2,15)&gt;EOMONTH(DATE($B$3,2,1),0),NETWORKDAYS.INTL(DATE($B$3,2,15),DATE($B$3,2,15),1,'Non-working days'!$A$6:$A$45)=0),"",IF(COUNTIFS('Leave log'!$A$7:$A$306,Employees!$A$7,'Leave log'!$B$7:$B$306,"&lt;="&amp;DATE($B$3,2,15),'Leave log'!$C$7:$C$306,"&gt;="&amp;DATE($B$3,2,15),'Leave log'!$F$7:$F$306,"Approved")&gt;0,"A",""))="A","A",IF(OR(DATE($B$3,2,15)&gt;EOMONTH(DATE($B$3,2,1),0),NETWORKDAYS.INTL(DATE($B$3,2,15),DATE($B$3,2,15),1,'Non-working days'!$A$6:$A$45)=0),"",IF(COUNTIFS('Leave log'!$A$7:$A$306,Employees!$A$7,'Leave log'!$B$7:$B$306,"&lt;="&amp;DATE($B$3,2,15),'Leave log'!$C$7:$C$306,"&gt;="&amp;DATE($B$3,2,15),'Leave log'!$F$7:$F$306,"Pending")&gt;0,"P",""))))</f>
        <v/>
      </c>
      <c r="Q42" s="23" t="str">
        <f>IF(A42="","",IF(IF(OR(DATE($B$3,2,16)&gt;EOMONTH(DATE($B$3,2,1),0),NETWORKDAYS.INTL(DATE($B$3,2,16),DATE($B$3,2,16),1,'Non-working days'!$A$6:$A$45)=0),"",IF(COUNTIFS('Leave log'!$A$7:$A$306,Employees!$A$7,'Leave log'!$B$7:$B$306,"&lt;="&amp;DATE($B$3,2,16),'Leave log'!$C$7:$C$306,"&gt;="&amp;DATE($B$3,2,16),'Leave log'!$F$7:$F$306,"Approved")&gt;0,"A",""))="A","A",IF(OR(DATE($B$3,2,16)&gt;EOMONTH(DATE($B$3,2,1),0),NETWORKDAYS.INTL(DATE($B$3,2,16),DATE($B$3,2,16),1,'Non-working days'!$A$6:$A$45)=0),"",IF(COUNTIFS('Leave log'!$A$7:$A$306,Employees!$A$7,'Leave log'!$B$7:$B$306,"&lt;="&amp;DATE($B$3,2,16),'Leave log'!$C$7:$C$306,"&gt;="&amp;DATE($B$3,2,16),'Leave log'!$F$7:$F$306,"Pending")&gt;0,"P",""))))</f>
        <v/>
      </c>
      <c r="R42" s="23" t="str">
        <f>IF(A42="","",IF(IF(OR(DATE($B$3,2,17)&gt;EOMONTH(DATE($B$3,2,1),0),NETWORKDAYS.INTL(DATE($B$3,2,17),DATE($B$3,2,17),1,'Non-working days'!$A$6:$A$45)=0),"",IF(COUNTIFS('Leave log'!$A$7:$A$306,Employees!$A$7,'Leave log'!$B$7:$B$306,"&lt;="&amp;DATE($B$3,2,17),'Leave log'!$C$7:$C$306,"&gt;="&amp;DATE($B$3,2,17),'Leave log'!$F$7:$F$306,"Approved")&gt;0,"A",""))="A","A",IF(OR(DATE($B$3,2,17)&gt;EOMONTH(DATE($B$3,2,1),0),NETWORKDAYS.INTL(DATE($B$3,2,17),DATE($B$3,2,17),1,'Non-working days'!$A$6:$A$45)=0),"",IF(COUNTIFS('Leave log'!$A$7:$A$306,Employees!$A$7,'Leave log'!$B$7:$B$306,"&lt;="&amp;DATE($B$3,2,17),'Leave log'!$C$7:$C$306,"&gt;="&amp;DATE($B$3,2,17),'Leave log'!$F$7:$F$306,"Pending")&gt;0,"P",""))))</f>
        <v/>
      </c>
      <c r="S42" s="23" t="str">
        <f>IF(A42="","",IF(IF(OR(DATE($B$3,2,18)&gt;EOMONTH(DATE($B$3,2,1),0),NETWORKDAYS.INTL(DATE($B$3,2,18),DATE($B$3,2,18),1,'Non-working days'!$A$6:$A$45)=0),"",IF(COUNTIFS('Leave log'!$A$7:$A$306,Employees!$A$7,'Leave log'!$B$7:$B$306,"&lt;="&amp;DATE($B$3,2,18),'Leave log'!$C$7:$C$306,"&gt;="&amp;DATE($B$3,2,18),'Leave log'!$F$7:$F$306,"Approved")&gt;0,"A",""))="A","A",IF(OR(DATE($B$3,2,18)&gt;EOMONTH(DATE($B$3,2,1),0),NETWORKDAYS.INTL(DATE($B$3,2,18),DATE($B$3,2,18),1,'Non-working days'!$A$6:$A$45)=0),"",IF(COUNTIFS('Leave log'!$A$7:$A$306,Employees!$A$7,'Leave log'!$B$7:$B$306,"&lt;="&amp;DATE($B$3,2,18),'Leave log'!$C$7:$C$306,"&gt;="&amp;DATE($B$3,2,18),'Leave log'!$F$7:$F$306,"Pending")&gt;0,"P",""))))</f>
        <v/>
      </c>
      <c r="T42" s="23" t="str">
        <f>IF(A42="","",IF(IF(OR(DATE($B$3,2,19)&gt;EOMONTH(DATE($B$3,2,1),0),NETWORKDAYS.INTL(DATE($B$3,2,19),DATE($B$3,2,19),1,'Non-working days'!$A$6:$A$45)=0),"",IF(COUNTIFS('Leave log'!$A$7:$A$306,Employees!$A$7,'Leave log'!$B$7:$B$306,"&lt;="&amp;DATE($B$3,2,19),'Leave log'!$C$7:$C$306,"&gt;="&amp;DATE($B$3,2,19),'Leave log'!$F$7:$F$306,"Approved")&gt;0,"A",""))="A","A",IF(OR(DATE($B$3,2,19)&gt;EOMONTH(DATE($B$3,2,1),0),NETWORKDAYS.INTL(DATE($B$3,2,19),DATE($B$3,2,19),1,'Non-working days'!$A$6:$A$45)=0),"",IF(COUNTIFS('Leave log'!$A$7:$A$306,Employees!$A$7,'Leave log'!$B$7:$B$306,"&lt;="&amp;DATE($B$3,2,19),'Leave log'!$C$7:$C$306,"&gt;="&amp;DATE($B$3,2,19),'Leave log'!$F$7:$F$306,"Pending")&gt;0,"P",""))))</f>
        <v/>
      </c>
      <c r="U42" s="23" t="str">
        <f>IF(A42="","",IF(IF(OR(DATE($B$3,2,20)&gt;EOMONTH(DATE($B$3,2,1),0),NETWORKDAYS.INTL(DATE($B$3,2,20),DATE($B$3,2,20),1,'Non-working days'!$A$6:$A$45)=0),"",IF(COUNTIFS('Leave log'!$A$7:$A$306,Employees!$A$7,'Leave log'!$B$7:$B$306,"&lt;="&amp;DATE($B$3,2,20),'Leave log'!$C$7:$C$306,"&gt;="&amp;DATE($B$3,2,20),'Leave log'!$F$7:$F$306,"Approved")&gt;0,"A",""))="A","A",IF(OR(DATE($B$3,2,20)&gt;EOMONTH(DATE($B$3,2,1),0),NETWORKDAYS.INTL(DATE($B$3,2,20),DATE($B$3,2,20),1,'Non-working days'!$A$6:$A$45)=0),"",IF(COUNTIFS('Leave log'!$A$7:$A$306,Employees!$A$7,'Leave log'!$B$7:$B$306,"&lt;="&amp;DATE($B$3,2,20),'Leave log'!$C$7:$C$306,"&gt;="&amp;DATE($B$3,2,20),'Leave log'!$F$7:$F$306,"Pending")&gt;0,"P",""))))</f>
        <v/>
      </c>
      <c r="V42" s="23" t="str">
        <f>IF(A42="","",IF(IF(OR(DATE($B$3,2,21)&gt;EOMONTH(DATE($B$3,2,1),0),NETWORKDAYS.INTL(DATE($B$3,2,21),DATE($B$3,2,21),1,'Non-working days'!$A$6:$A$45)=0),"",IF(COUNTIFS('Leave log'!$A$7:$A$306,Employees!$A$7,'Leave log'!$B$7:$B$306,"&lt;="&amp;DATE($B$3,2,21),'Leave log'!$C$7:$C$306,"&gt;="&amp;DATE($B$3,2,21),'Leave log'!$F$7:$F$306,"Approved")&gt;0,"A",""))="A","A",IF(OR(DATE($B$3,2,21)&gt;EOMONTH(DATE($B$3,2,1),0),NETWORKDAYS.INTL(DATE($B$3,2,21),DATE($B$3,2,21),1,'Non-working days'!$A$6:$A$45)=0),"",IF(COUNTIFS('Leave log'!$A$7:$A$306,Employees!$A$7,'Leave log'!$B$7:$B$306,"&lt;="&amp;DATE($B$3,2,21),'Leave log'!$C$7:$C$306,"&gt;="&amp;DATE($B$3,2,21),'Leave log'!$F$7:$F$306,"Pending")&gt;0,"P",""))))</f>
        <v/>
      </c>
      <c r="W42" s="23" t="str">
        <f>IF(A42="","",IF(IF(OR(DATE($B$3,2,22)&gt;EOMONTH(DATE($B$3,2,1),0),NETWORKDAYS.INTL(DATE($B$3,2,22),DATE($B$3,2,22),1,'Non-working days'!$A$6:$A$45)=0),"",IF(COUNTIFS('Leave log'!$A$7:$A$306,Employees!$A$7,'Leave log'!$B$7:$B$306,"&lt;="&amp;DATE($B$3,2,22),'Leave log'!$C$7:$C$306,"&gt;="&amp;DATE($B$3,2,22),'Leave log'!$F$7:$F$306,"Approved")&gt;0,"A",""))="A","A",IF(OR(DATE($B$3,2,22)&gt;EOMONTH(DATE($B$3,2,1),0),NETWORKDAYS.INTL(DATE($B$3,2,22),DATE($B$3,2,22),1,'Non-working days'!$A$6:$A$45)=0),"",IF(COUNTIFS('Leave log'!$A$7:$A$306,Employees!$A$7,'Leave log'!$B$7:$B$306,"&lt;="&amp;DATE($B$3,2,22),'Leave log'!$C$7:$C$306,"&gt;="&amp;DATE($B$3,2,22),'Leave log'!$F$7:$F$306,"Pending")&gt;0,"P",""))))</f>
        <v/>
      </c>
      <c r="X42" s="23" t="str">
        <f>IF(A42="","",IF(IF(OR(DATE($B$3,2,23)&gt;EOMONTH(DATE($B$3,2,1),0),NETWORKDAYS.INTL(DATE($B$3,2,23),DATE($B$3,2,23),1,'Non-working days'!$A$6:$A$45)=0),"",IF(COUNTIFS('Leave log'!$A$7:$A$306,Employees!$A$7,'Leave log'!$B$7:$B$306,"&lt;="&amp;DATE($B$3,2,23),'Leave log'!$C$7:$C$306,"&gt;="&amp;DATE($B$3,2,23),'Leave log'!$F$7:$F$306,"Approved")&gt;0,"A",""))="A","A",IF(OR(DATE($B$3,2,23)&gt;EOMONTH(DATE($B$3,2,1),0),NETWORKDAYS.INTL(DATE($B$3,2,23),DATE($B$3,2,23),1,'Non-working days'!$A$6:$A$45)=0),"",IF(COUNTIFS('Leave log'!$A$7:$A$306,Employees!$A$7,'Leave log'!$B$7:$B$306,"&lt;="&amp;DATE($B$3,2,23),'Leave log'!$C$7:$C$306,"&gt;="&amp;DATE($B$3,2,23),'Leave log'!$F$7:$F$306,"Pending")&gt;0,"P",""))))</f>
        <v/>
      </c>
      <c r="Y42" s="23" t="str">
        <f>IF(A42="","",IF(IF(OR(DATE($B$3,2,24)&gt;EOMONTH(DATE($B$3,2,1),0),NETWORKDAYS.INTL(DATE($B$3,2,24),DATE($B$3,2,24),1,'Non-working days'!$A$6:$A$45)=0),"",IF(COUNTIFS('Leave log'!$A$7:$A$306,Employees!$A$7,'Leave log'!$B$7:$B$306,"&lt;="&amp;DATE($B$3,2,24),'Leave log'!$C$7:$C$306,"&gt;="&amp;DATE($B$3,2,24),'Leave log'!$F$7:$F$306,"Approved")&gt;0,"A",""))="A","A",IF(OR(DATE($B$3,2,24)&gt;EOMONTH(DATE($B$3,2,1),0),NETWORKDAYS.INTL(DATE($B$3,2,24),DATE($B$3,2,24),1,'Non-working days'!$A$6:$A$45)=0),"",IF(COUNTIFS('Leave log'!$A$7:$A$306,Employees!$A$7,'Leave log'!$B$7:$B$306,"&lt;="&amp;DATE($B$3,2,24),'Leave log'!$C$7:$C$306,"&gt;="&amp;DATE($B$3,2,24),'Leave log'!$F$7:$F$306,"Pending")&gt;0,"P",""))))</f>
        <v/>
      </c>
      <c r="Z42" s="23" t="str">
        <f>IF(A42="","",IF(IF(OR(DATE($B$3,2,25)&gt;EOMONTH(DATE($B$3,2,1),0),NETWORKDAYS.INTL(DATE($B$3,2,25),DATE($B$3,2,25),1,'Non-working days'!$A$6:$A$45)=0),"",IF(COUNTIFS('Leave log'!$A$7:$A$306,Employees!$A$7,'Leave log'!$B$7:$B$306,"&lt;="&amp;DATE($B$3,2,25),'Leave log'!$C$7:$C$306,"&gt;="&amp;DATE($B$3,2,25),'Leave log'!$F$7:$F$306,"Approved")&gt;0,"A",""))="A","A",IF(OR(DATE($B$3,2,25)&gt;EOMONTH(DATE($B$3,2,1),0),NETWORKDAYS.INTL(DATE($B$3,2,25),DATE($B$3,2,25),1,'Non-working days'!$A$6:$A$45)=0),"",IF(COUNTIFS('Leave log'!$A$7:$A$306,Employees!$A$7,'Leave log'!$B$7:$B$306,"&lt;="&amp;DATE($B$3,2,25),'Leave log'!$C$7:$C$306,"&gt;="&amp;DATE($B$3,2,25),'Leave log'!$F$7:$F$306,"Pending")&gt;0,"P",""))))</f>
        <v/>
      </c>
      <c r="AA42" s="23" t="str">
        <f>IF(A42="","",IF(IF(OR(DATE($B$3,2,26)&gt;EOMONTH(DATE($B$3,2,1),0),NETWORKDAYS.INTL(DATE($B$3,2,26),DATE($B$3,2,26),1,'Non-working days'!$A$6:$A$45)=0),"",IF(COUNTIFS('Leave log'!$A$7:$A$306,Employees!$A$7,'Leave log'!$B$7:$B$306,"&lt;="&amp;DATE($B$3,2,26),'Leave log'!$C$7:$C$306,"&gt;="&amp;DATE($B$3,2,26),'Leave log'!$F$7:$F$306,"Approved")&gt;0,"A",""))="A","A",IF(OR(DATE($B$3,2,26)&gt;EOMONTH(DATE($B$3,2,1),0),NETWORKDAYS.INTL(DATE($B$3,2,26),DATE($B$3,2,26),1,'Non-working days'!$A$6:$A$45)=0),"",IF(COUNTIFS('Leave log'!$A$7:$A$306,Employees!$A$7,'Leave log'!$B$7:$B$306,"&lt;="&amp;DATE($B$3,2,26),'Leave log'!$C$7:$C$306,"&gt;="&amp;DATE($B$3,2,26),'Leave log'!$F$7:$F$306,"Pending")&gt;0,"P",""))))</f>
        <v/>
      </c>
      <c r="AB42" s="23" t="str">
        <f>IF(A42="","",IF(IF(OR(DATE($B$3,2,27)&gt;EOMONTH(DATE($B$3,2,1),0),NETWORKDAYS.INTL(DATE($B$3,2,27),DATE($B$3,2,27),1,'Non-working days'!$A$6:$A$45)=0),"",IF(COUNTIFS('Leave log'!$A$7:$A$306,Employees!$A$7,'Leave log'!$B$7:$B$306,"&lt;="&amp;DATE($B$3,2,27),'Leave log'!$C$7:$C$306,"&gt;="&amp;DATE($B$3,2,27),'Leave log'!$F$7:$F$306,"Approved")&gt;0,"A",""))="A","A",IF(OR(DATE($B$3,2,27)&gt;EOMONTH(DATE($B$3,2,1),0),NETWORKDAYS.INTL(DATE($B$3,2,27),DATE($B$3,2,27),1,'Non-working days'!$A$6:$A$45)=0),"",IF(COUNTIFS('Leave log'!$A$7:$A$306,Employees!$A$7,'Leave log'!$B$7:$B$306,"&lt;="&amp;DATE($B$3,2,27),'Leave log'!$C$7:$C$306,"&gt;="&amp;DATE($B$3,2,27),'Leave log'!$F$7:$F$306,"Pending")&gt;0,"P",""))))</f>
        <v/>
      </c>
      <c r="AC42" s="23" t="str">
        <f>IF(A42="","",IF(IF(OR(DATE($B$3,2,28)&gt;EOMONTH(DATE($B$3,2,1),0),NETWORKDAYS.INTL(DATE($B$3,2,28),DATE($B$3,2,28),1,'Non-working days'!$A$6:$A$45)=0),"",IF(COUNTIFS('Leave log'!$A$7:$A$306,Employees!$A$7,'Leave log'!$B$7:$B$306,"&lt;="&amp;DATE($B$3,2,28),'Leave log'!$C$7:$C$306,"&gt;="&amp;DATE($B$3,2,28),'Leave log'!$F$7:$F$306,"Approved")&gt;0,"A",""))="A","A",IF(OR(DATE($B$3,2,28)&gt;EOMONTH(DATE($B$3,2,1),0),NETWORKDAYS.INTL(DATE($B$3,2,28),DATE($B$3,2,28),1,'Non-working days'!$A$6:$A$45)=0),"",IF(COUNTIFS('Leave log'!$A$7:$A$306,Employees!$A$7,'Leave log'!$B$7:$B$306,"&lt;="&amp;DATE($B$3,2,28),'Leave log'!$C$7:$C$306,"&gt;="&amp;DATE($B$3,2,28),'Leave log'!$F$7:$F$306,"Pending")&gt;0,"P",""))))</f>
        <v/>
      </c>
      <c r="AD42" s="23" t="str">
        <f>IF(A42="","",IF(IF(OR(DATE($B$3,2,29)&gt;EOMONTH(DATE($B$3,2,1),0),NETWORKDAYS.INTL(DATE($B$3,2,29),DATE($B$3,2,29),1,'Non-working days'!$A$6:$A$45)=0),"",IF(COUNTIFS('Leave log'!$A$7:$A$306,Employees!$A$7,'Leave log'!$B$7:$B$306,"&lt;="&amp;DATE($B$3,2,29),'Leave log'!$C$7:$C$306,"&gt;="&amp;DATE($B$3,2,29),'Leave log'!$F$7:$F$306,"Approved")&gt;0,"A",""))="A","A",IF(OR(DATE($B$3,2,29)&gt;EOMONTH(DATE($B$3,2,1),0),NETWORKDAYS.INTL(DATE($B$3,2,29),DATE($B$3,2,29),1,'Non-working days'!$A$6:$A$45)=0),"",IF(COUNTIFS('Leave log'!$A$7:$A$306,Employees!$A$7,'Leave log'!$B$7:$B$306,"&lt;="&amp;DATE($B$3,2,29),'Leave log'!$C$7:$C$306,"&gt;="&amp;DATE($B$3,2,29),'Leave log'!$F$7:$F$306,"Pending")&gt;0,"P",""))))</f>
        <v/>
      </c>
      <c r="AE42" s="23" t="str">
        <f>IF(A42="","",IF(IF(OR(DATE($B$3,2,30)&gt;EOMONTH(DATE($B$3,2,1),0),NETWORKDAYS.INTL(DATE($B$3,2,30),DATE($B$3,2,30),1,'Non-working days'!$A$6:$A$45)=0),"",IF(COUNTIFS('Leave log'!$A$7:$A$306,Employees!$A$7,'Leave log'!$B$7:$B$306,"&lt;="&amp;DATE($B$3,2,30),'Leave log'!$C$7:$C$306,"&gt;="&amp;DATE($B$3,2,30),'Leave log'!$F$7:$F$306,"Approved")&gt;0,"A",""))="A","A",IF(OR(DATE($B$3,2,30)&gt;EOMONTH(DATE($B$3,2,1),0),NETWORKDAYS.INTL(DATE($B$3,2,30),DATE($B$3,2,30),1,'Non-working days'!$A$6:$A$45)=0),"",IF(COUNTIFS('Leave log'!$A$7:$A$306,Employees!$A$7,'Leave log'!$B$7:$B$306,"&lt;="&amp;DATE($B$3,2,30),'Leave log'!$C$7:$C$306,"&gt;="&amp;DATE($B$3,2,30),'Leave log'!$F$7:$F$306,"Pending")&gt;0,"P",""))))</f>
        <v/>
      </c>
      <c r="AF42" s="23" t="str">
        <f>IF(A42="","",IF(IF(OR(DATE($B$3,2,31)&gt;EOMONTH(DATE($B$3,2,1),0),NETWORKDAYS.INTL(DATE($B$3,2,31),DATE($B$3,2,31),1,'Non-working days'!$A$6:$A$45)=0),"",IF(COUNTIFS('Leave log'!$A$7:$A$306,Employees!$A$7,'Leave log'!$B$7:$B$306,"&lt;="&amp;DATE($B$3,2,31),'Leave log'!$C$7:$C$306,"&gt;="&amp;DATE($B$3,2,31),'Leave log'!$F$7:$F$306,"Approved")&gt;0,"A",""))="A","A",IF(OR(DATE($B$3,2,31)&gt;EOMONTH(DATE($B$3,2,1),0),NETWORKDAYS.INTL(DATE($B$3,2,31),DATE($B$3,2,31),1,'Non-working days'!$A$6:$A$45)=0),"",IF(COUNTIFS('Leave log'!$A$7:$A$306,Employees!$A$7,'Leave log'!$B$7:$B$306,"&lt;="&amp;DATE($B$3,2,31),'Leave log'!$C$7:$C$306,"&gt;="&amp;DATE($B$3,2,31),'Leave log'!$F$7:$F$306,"Pending")&gt;0,"P",""))))</f>
        <v/>
      </c>
    </row>
    <row r="43" spans="1:32" ht="18" customHeight="1" x14ac:dyDescent="0.3">
      <c r="A43" s="22" t="str">
        <f>IF(Employees!F8="Yes",Employees!B8,"")</f>
        <v/>
      </c>
      <c r="B43" s="23" t="str">
        <f>IF(A43="","",IF(IF(OR(DATE($B$3,2,1)&gt;EOMONTH(DATE($B$3,2,1),0),NETWORKDAYS.INTL(DATE($B$3,2,1),DATE($B$3,2,1),1,'Non-working days'!$A$6:$A$45)=0),"",IF(COUNTIFS('Leave log'!$A$7:$A$306,Employees!$A$8,'Leave log'!$B$7:$B$306,"&lt;="&amp;DATE($B$3,2,1),'Leave log'!$C$7:$C$306,"&gt;="&amp;DATE($B$3,2,1),'Leave log'!$F$7:$F$306,"Approved")&gt;0,"A",""))="A","A",IF(OR(DATE($B$3,2,1)&gt;EOMONTH(DATE($B$3,2,1),0),NETWORKDAYS.INTL(DATE($B$3,2,1),DATE($B$3,2,1),1,'Non-working days'!$A$6:$A$45)=0),"",IF(COUNTIFS('Leave log'!$A$7:$A$306,Employees!$A$8,'Leave log'!$B$7:$B$306,"&lt;="&amp;DATE($B$3,2,1),'Leave log'!$C$7:$C$306,"&gt;="&amp;DATE($B$3,2,1),'Leave log'!$F$7:$F$306,"Pending")&gt;0,"P",""))))</f>
        <v/>
      </c>
      <c r="C43" s="23" t="str">
        <f>IF(A43="","",IF(IF(OR(DATE($B$3,2,2)&gt;EOMONTH(DATE($B$3,2,1),0),NETWORKDAYS.INTL(DATE($B$3,2,2),DATE($B$3,2,2),1,'Non-working days'!$A$6:$A$45)=0),"",IF(COUNTIFS('Leave log'!$A$7:$A$306,Employees!$A$8,'Leave log'!$B$7:$B$306,"&lt;="&amp;DATE($B$3,2,2),'Leave log'!$C$7:$C$306,"&gt;="&amp;DATE($B$3,2,2),'Leave log'!$F$7:$F$306,"Approved")&gt;0,"A",""))="A","A",IF(OR(DATE($B$3,2,2)&gt;EOMONTH(DATE($B$3,2,1),0),NETWORKDAYS.INTL(DATE($B$3,2,2),DATE($B$3,2,2),1,'Non-working days'!$A$6:$A$45)=0),"",IF(COUNTIFS('Leave log'!$A$7:$A$306,Employees!$A$8,'Leave log'!$B$7:$B$306,"&lt;="&amp;DATE($B$3,2,2),'Leave log'!$C$7:$C$306,"&gt;="&amp;DATE($B$3,2,2),'Leave log'!$F$7:$F$306,"Pending")&gt;0,"P",""))))</f>
        <v/>
      </c>
      <c r="D43" s="23" t="str">
        <f>IF(A43="","",IF(IF(OR(DATE($B$3,2,3)&gt;EOMONTH(DATE($B$3,2,1),0),NETWORKDAYS.INTL(DATE($B$3,2,3),DATE($B$3,2,3),1,'Non-working days'!$A$6:$A$45)=0),"",IF(COUNTIFS('Leave log'!$A$7:$A$306,Employees!$A$8,'Leave log'!$B$7:$B$306,"&lt;="&amp;DATE($B$3,2,3),'Leave log'!$C$7:$C$306,"&gt;="&amp;DATE($B$3,2,3),'Leave log'!$F$7:$F$306,"Approved")&gt;0,"A",""))="A","A",IF(OR(DATE($B$3,2,3)&gt;EOMONTH(DATE($B$3,2,1),0),NETWORKDAYS.INTL(DATE($B$3,2,3),DATE($B$3,2,3),1,'Non-working days'!$A$6:$A$45)=0),"",IF(COUNTIFS('Leave log'!$A$7:$A$306,Employees!$A$8,'Leave log'!$B$7:$B$306,"&lt;="&amp;DATE($B$3,2,3),'Leave log'!$C$7:$C$306,"&gt;="&amp;DATE($B$3,2,3),'Leave log'!$F$7:$F$306,"Pending")&gt;0,"P",""))))</f>
        <v/>
      </c>
      <c r="E43" s="23" t="str">
        <f>IF(A43="","",IF(IF(OR(DATE($B$3,2,4)&gt;EOMONTH(DATE($B$3,2,1),0),NETWORKDAYS.INTL(DATE($B$3,2,4),DATE($B$3,2,4),1,'Non-working days'!$A$6:$A$45)=0),"",IF(COUNTIFS('Leave log'!$A$7:$A$306,Employees!$A$8,'Leave log'!$B$7:$B$306,"&lt;="&amp;DATE($B$3,2,4),'Leave log'!$C$7:$C$306,"&gt;="&amp;DATE($B$3,2,4),'Leave log'!$F$7:$F$306,"Approved")&gt;0,"A",""))="A","A",IF(OR(DATE($B$3,2,4)&gt;EOMONTH(DATE($B$3,2,1),0),NETWORKDAYS.INTL(DATE($B$3,2,4),DATE($B$3,2,4),1,'Non-working days'!$A$6:$A$45)=0),"",IF(COUNTIFS('Leave log'!$A$7:$A$306,Employees!$A$8,'Leave log'!$B$7:$B$306,"&lt;="&amp;DATE($B$3,2,4),'Leave log'!$C$7:$C$306,"&gt;="&amp;DATE($B$3,2,4),'Leave log'!$F$7:$F$306,"Pending")&gt;0,"P",""))))</f>
        <v/>
      </c>
      <c r="F43" s="23" t="str">
        <f>IF(A43="","",IF(IF(OR(DATE($B$3,2,5)&gt;EOMONTH(DATE($B$3,2,1),0),NETWORKDAYS.INTL(DATE($B$3,2,5),DATE($B$3,2,5),1,'Non-working days'!$A$6:$A$45)=0),"",IF(COUNTIFS('Leave log'!$A$7:$A$306,Employees!$A$8,'Leave log'!$B$7:$B$306,"&lt;="&amp;DATE($B$3,2,5),'Leave log'!$C$7:$C$306,"&gt;="&amp;DATE($B$3,2,5),'Leave log'!$F$7:$F$306,"Approved")&gt;0,"A",""))="A","A",IF(OR(DATE($B$3,2,5)&gt;EOMONTH(DATE($B$3,2,1),0),NETWORKDAYS.INTL(DATE($B$3,2,5),DATE($B$3,2,5),1,'Non-working days'!$A$6:$A$45)=0),"",IF(COUNTIFS('Leave log'!$A$7:$A$306,Employees!$A$8,'Leave log'!$B$7:$B$306,"&lt;="&amp;DATE($B$3,2,5),'Leave log'!$C$7:$C$306,"&gt;="&amp;DATE($B$3,2,5),'Leave log'!$F$7:$F$306,"Pending")&gt;0,"P",""))))</f>
        <v/>
      </c>
      <c r="G43" s="23" t="str">
        <f>IF(A43="","",IF(IF(OR(DATE($B$3,2,6)&gt;EOMONTH(DATE($B$3,2,1),0),NETWORKDAYS.INTL(DATE($B$3,2,6),DATE($B$3,2,6),1,'Non-working days'!$A$6:$A$45)=0),"",IF(COUNTIFS('Leave log'!$A$7:$A$306,Employees!$A$8,'Leave log'!$B$7:$B$306,"&lt;="&amp;DATE($B$3,2,6),'Leave log'!$C$7:$C$306,"&gt;="&amp;DATE($B$3,2,6),'Leave log'!$F$7:$F$306,"Approved")&gt;0,"A",""))="A","A",IF(OR(DATE($B$3,2,6)&gt;EOMONTH(DATE($B$3,2,1),0),NETWORKDAYS.INTL(DATE($B$3,2,6),DATE($B$3,2,6),1,'Non-working days'!$A$6:$A$45)=0),"",IF(COUNTIFS('Leave log'!$A$7:$A$306,Employees!$A$8,'Leave log'!$B$7:$B$306,"&lt;="&amp;DATE($B$3,2,6),'Leave log'!$C$7:$C$306,"&gt;="&amp;DATE($B$3,2,6),'Leave log'!$F$7:$F$306,"Pending")&gt;0,"P",""))))</f>
        <v/>
      </c>
      <c r="H43" s="23" t="str">
        <f>IF(A43="","",IF(IF(OR(DATE($B$3,2,7)&gt;EOMONTH(DATE($B$3,2,1),0),NETWORKDAYS.INTL(DATE($B$3,2,7),DATE($B$3,2,7),1,'Non-working days'!$A$6:$A$45)=0),"",IF(COUNTIFS('Leave log'!$A$7:$A$306,Employees!$A$8,'Leave log'!$B$7:$B$306,"&lt;="&amp;DATE($B$3,2,7),'Leave log'!$C$7:$C$306,"&gt;="&amp;DATE($B$3,2,7),'Leave log'!$F$7:$F$306,"Approved")&gt;0,"A",""))="A","A",IF(OR(DATE($B$3,2,7)&gt;EOMONTH(DATE($B$3,2,1),0),NETWORKDAYS.INTL(DATE($B$3,2,7),DATE($B$3,2,7),1,'Non-working days'!$A$6:$A$45)=0),"",IF(COUNTIFS('Leave log'!$A$7:$A$306,Employees!$A$8,'Leave log'!$B$7:$B$306,"&lt;="&amp;DATE($B$3,2,7),'Leave log'!$C$7:$C$306,"&gt;="&amp;DATE($B$3,2,7),'Leave log'!$F$7:$F$306,"Pending")&gt;0,"P",""))))</f>
        <v/>
      </c>
      <c r="I43" s="23" t="str">
        <f>IF(A43="","",IF(IF(OR(DATE($B$3,2,8)&gt;EOMONTH(DATE($B$3,2,1),0),NETWORKDAYS.INTL(DATE($B$3,2,8),DATE($B$3,2,8),1,'Non-working days'!$A$6:$A$45)=0),"",IF(COUNTIFS('Leave log'!$A$7:$A$306,Employees!$A$8,'Leave log'!$B$7:$B$306,"&lt;="&amp;DATE($B$3,2,8),'Leave log'!$C$7:$C$306,"&gt;="&amp;DATE($B$3,2,8),'Leave log'!$F$7:$F$306,"Approved")&gt;0,"A",""))="A","A",IF(OR(DATE($B$3,2,8)&gt;EOMONTH(DATE($B$3,2,1),0),NETWORKDAYS.INTL(DATE($B$3,2,8),DATE($B$3,2,8),1,'Non-working days'!$A$6:$A$45)=0),"",IF(COUNTIFS('Leave log'!$A$7:$A$306,Employees!$A$8,'Leave log'!$B$7:$B$306,"&lt;="&amp;DATE($B$3,2,8),'Leave log'!$C$7:$C$306,"&gt;="&amp;DATE($B$3,2,8),'Leave log'!$F$7:$F$306,"Pending")&gt;0,"P",""))))</f>
        <v/>
      </c>
      <c r="J43" s="23" t="str">
        <f>IF(A43="","",IF(IF(OR(DATE($B$3,2,9)&gt;EOMONTH(DATE($B$3,2,1),0),NETWORKDAYS.INTL(DATE($B$3,2,9),DATE($B$3,2,9),1,'Non-working days'!$A$6:$A$45)=0),"",IF(COUNTIFS('Leave log'!$A$7:$A$306,Employees!$A$8,'Leave log'!$B$7:$B$306,"&lt;="&amp;DATE($B$3,2,9),'Leave log'!$C$7:$C$306,"&gt;="&amp;DATE($B$3,2,9),'Leave log'!$F$7:$F$306,"Approved")&gt;0,"A",""))="A","A",IF(OR(DATE($B$3,2,9)&gt;EOMONTH(DATE($B$3,2,1),0),NETWORKDAYS.INTL(DATE($B$3,2,9),DATE($B$3,2,9),1,'Non-working days'!$A$6:$A$45)=0),"",IF(COUNTIFS('Leave log'!$A$7:$A$306,Employees!$A$8,'Leave log'!$B$7:$B$306,"&lt;="&amp;DATE($B$3,2,9),'Leave log'!$C$7:$C$306,"&gt;="&amp;DATE($B$3,2,9),'Leave log'!$F$7:$F$306,"Pending")&gt;0,"P",""))))</f>
        <v/>
      </c>
      <c r="K43" s="23" t="str">
        <f>IF(A43="","",IF(IF(OR(DATE($B$3,2,10)&gt;EOMONTH(DATE($B$3,2,1),0),NETWORKDAYS.INTL(DATE($B$3,2,10),DATE($B$3,2,10),1,'Non-working days'!$A$6:$A$45)=0),"",IF(COUNTIFS('Leave log'!$A$7:$A$306,Employees!$A$8,'Leave log'!$B$7:$B$306,"&lt;="&amp;DATE($B$3,2,10),'Leave log'!$C$7:$C$306,"&gt;="&amp;DATE($B$3,2,10),'Leave log'!$F$7:$F$306,"Approved")&gt;0,"A",""))="A","A",IF(OR(DATE($B$3,2,10)&gt;EOMONTH(DATE($B$3,2,1),0),NETWORKDAYS.INTL(DATE($B$3,2,10),DATE($B$3,2,10),1,'Non-working days'!$A$6:$A$45)=0),"",IF(COUNTIFS('Leave log'!$A$7:$A$306,Employees!$A$8,'Leave log'!$B$7:$B$306,"&lt;="&amp;DATE($B$3,2,10),'Leave log'!$C$7:$C$306,"&gt;="&amp;DATE($B$3,2,10),'Leave log'!$F$7:$F$306,"Pending")&gt;0,"P",""))))</f>
        <v/>
      </c>
      <c r="L43" s="23" t="str">
        <f>IF(A43="","",IF(IF(OR(DATE($B$3,2,11)&gt;EOMONTH(DATE($B$3,2,1),0),NETWORKDAYS.INTL(DATE($B$3,2,11),DATE($B$3,2,11),1,'Non-working days'!$A$6:$A$45)=0),"",IF(COUNTIFS('Leave log'!$A$7:$A$306,Employees!$A$8,'Leave log'!$B$7:$B$306,"&lt;="&amp;DATE($B$3,2,11),'Leave log'!$C$7:$C$306,"&gt;="&amp;DATE($B$3,2,11),'Leave log'!$F$7:$F$306,"Approved")&gt;0,"A",""))="A","A",IF(OR(DATE($B$3,2,11)&gt;EOMONTH(DATE($B$3,2,1),0),NETWORKDAYS.INTL(DATE($B$3,2,11),DATE($B$3,2,11),1,'Non-working days'!$A$6:$A$45)=0),"",IF(COUNTIFS('Leave log'!$A$7:$A$306,Employees!$A$8,'Leave log'!$B$7:$B$306,"&lt;="&amp;DATE($B$3,2,11),'Leave log'!$C$7:$C$306,"&gt;="&amp;DATE($B$3,2,11),'Leave log'!$F$7:$F$306,"Pending")&gt;0,"P",""))))</f>
        <v/>
      </c>
      <c r="M43" s="23" t="str">
        <f>IF(A43="","",IF(IF(OR(DATE($B$3,2,12)&gt;EOMONTH(DATE($B$3,2,1),0),NETWORKDAYS.INTL(DATE($B$3,2,12),DATE($B$3,2,12),1,'Non-working days'!$A$6:$A$45)=0),"",IF(COUNTIFS('Leave log'!$A$7:$A$306,Employees!$A$8,'Leave log'!$B$7:$B$306,"&lt;="&amp;DATE($B$3,2,12),'Leave log'!$C$7:$C$306,"&gt;="&amp;DATE($B$3,2,12),'Leave log'!$F$7:$F$306,"Approved")&gt;0,"A",""))="A","A",IF(OR(DATE($B$3,2,12)&gt;EOMONTH(DATE($B$3,2,1),0),NETWORKDAYS.INTL(DATE($B$3,2,12),DATE($B$3,2,12),1,'Non-working days'!$A$6:$A$45)=0),"",IF(COUNTIFS('Leave log'!$A$7:$A$306,Employees!$A$8,'Leave log'!$B$7:$B$306,"&lt;="&amp;DATE($B$3,2,12),'Leave log'!$C$7:$C$306,"&gt;="&amp;DATE($B$3,2,12),'Leave log'!$F$7:$F$306,"Pending")&gt;0,"P",""))))</f>
        <v/>
      </c>
      <c r="N43" s="23" t="str">
        <f>IF(A43="","",IF(IF(OR(DATE($B$3,2,13)&gt;EOMONTH(DATE($B$3,2,1),0),NETWORKDAYS.INTL(DATE($B$3,2,13),DATE($B$3,2,13),1,'Non-working days'!$A$6:$A$45)=0),"",IF(COUNTIFS('Leave log'!$A$7:$A$306,Employees!$A$8,'Leave log'!$B$7:$B$306,"&lt;="&amp;DATE($B$3,2,13),'Leave log'!$C$7:$C$306,"&gt;="&amp;DATE($B$3,2,13),'Leave log'!$F$7:$F$306,"Approved")&gt;0,"A",""))="A","A",IF(OR(DATE($B$3,2,13)&gt;EOMONTH(DATE($B$3,2,1),0),NETWORKDAYS.INTL(DATE($B$3,2,13),DATE($B$3,2,13),1,'Non-working days'!$A$6:$A$45)=0),"",IF(COUNTIFS('Leave log'!$A$7:$A$306,Employees!$A$8,'Leave log'!$B$7:$B$306,"&lt;="&amp;DATE($B$3,2,13),'Leave log'!$C$7:$C$306,"&gt;="&amp;DATE($B$3,2,13),'Leave log'!$F$7:$F$306,"Pending")&gt;0,"P",""))))</f>
        <v/>
      </c>
      <c r="O43" s="23" t="str">
        <f>IF(A43="","",IF(IF(OR(DATE($B$3,2,14)&gt;EOMONTH(DATE($B$3,2,1),0),NETWORKDAYS.INTL(DATE($B$3,2,14),DATE($B$3,2,14),1,'Non-working days'!$A$6:$A$45)=0),"",IF(COUNTIFS('Leave log'!$A$7:$A$306,Employees!$A$8,'Leave log'!$B$7:$B$306,"&lt;="&amp;DATE($B$3,2,14),'Leave log'!$C$7:$C$306,"&gt;="&amp;DATE($B$3,2,14),'Leave log'!$F$7:$F$306,"Approved")&gt;0,"A",""))="A","A",IF(OR(DATE($B$3,2,14)&gt;EOMONTH(DATE($B$3,2,1),0),NETWORKDAYS.INTL(DATE($B$3,2,14),DATE($B$3,2,14),1,'Non-working days'!$A$6:$A$45)=0),"",IF(COUNTIFS('Leave log'!$A$7:$A$306,Employees!$A$8,'Leave log'!$B$7:$B$306,"&lt;="&amp;DATE($B$3,2,14),'Leave log'!$C$7:$C$306,"&gt;="&amp;DATE($B$3,2,14),'Leave log'!$F$7:$F$306,"Pending")&gt;0,"P",""))))</f>
        <v/>
      </c>
      <c r="P43" s="23" t="str">
        <f>IF(A43="","",IF(IF(OR(DATE($B$3,2,15)&gt;EOMONTH(DATE($B$3,2,1),0),NETWORKDAYS.INTL(DATE($B$3,2,15),DATE($B$3,2,15),1,'Non-working days'!$A$6:$A$45)=0),"",IF(COUNTIFS('Leave log'!$A$7:$A$306,Employees!$A$8,'Leave log'!$B$7:$B$306,"&lt;="&amp;DATE($B$3,2,15),'Leave log'!$C$7:$C$306,"&gt;="&amp;DATE($B$3,2,15),'Leave log'!$F$7:$F$306,"Approved")&gt;0,"A",""))="A","A",IF(OR(DATE($B$3,2,15)&gt;EOMONTH(DATE($B$3,2,1),0),NETWORKDAYS.INTL(DATE($B$3,2,15),DATE($B$3,2,15),1,'Non-working days'!$A$6:$A$45)=0),"",IF(COUNTIFS('Leave log'!$A$7:$A$306,Employees!$A$8,'Leave log'!$B$7:$B$306,"&lt;="&amp;DATE($B$3,2,15),'Leave log'!$C$7:$C$306,"&gt;="&amp;DATE($B$3,2,15),'Leave log'!$F$7:$F$306,"Pending")&gt;0,"P",""))))</f>
        <v/>
      </c>
      <c r="Q43" s="23" t="str">
        <f>IF(A43="","",IF(IF(OR(DATE($B$3,2,16)&gt;EOMONTH(DATE($B$3,2,1),0),NETWORKDAYS.INTL(DATE($B$3,2,16),DATE($B$3,2,16),1,'Non-working days'!$A$6:$A$45)=0),"",IF(COUNTIFS('Leave log'!$A$7:$A$306,Employees!$A$8,'Leave log'!$B$7:$B$306,"&lt;="&amp;DATE($B$3,2,16),'Leave log'!$C$7:$C$306,"&gt;="&amp;DATE($B$3,2,16),'Leave log'!$F$7:$F$306,"Approved")&gt;0,"A",""))="A","A",IF(OR(DATE($B$3,2,16)&gt;EOMONTH(DATE($B$3,2,1),0),NETWORKDAYS.INTL(DATE($B$3,2,16),DATE($B$3,2,16),1,'Non-working days'!$A$6:$A$45)=0),"",IF(COUNTIFS('Leave log'!$A$7:$A$306,Employees!$A$8,'Leave log'!$B$7:$B$306,"&lt;="&amp;DATE($B$3,2,16),'Leave log'!$C$7:$C$306,"&gt;="&amp;DATE($B$3,2,16),'Leave log'!$F$7:$F$306,"Pending")&gt;0,"P",""))))</f>
        <v/>
      </c>
      <c r="R43" s="23" t="str">
        <f>IF(A43="","",IF(IF(OR(DATE($B$3,2,17)&gt;EOMONTH(DATE($B$3,2,1),0),NETWORKDAYS.INTL(DATE($B$3,2,17),DATE($B$3,2,17),1,'Non-working days'!$A$6:$A$45)=0),"",IF(COUNTIFS('Leave log'!$A$7:$A$306,Employees!$A$8,'Leave log'!$B$7:$B$306,"&lt;="&amp;DATE($B$3,2,17),'Leave log'!$C$7:$C$306,"&gt;="&amp;DATE($B$3,2,17),'Leave log'!$F$7:$F$306,"Approved")&gt;0,"A",""))="A","A",IF(OR(DATE($B$3,2,17)&gt;EOMONTH(DATE($B$3,2,1),0),NETWORKDAYS.INTL(DATE($B$3,2,17),DATE($B$3,2,17),1,'Non-working days'!$A$6:$A$45)=0),"",IF(COUNTIFS('Leave log'!$A$7:$A$306,Employees!$A$8,'Leave log'!$B$7:$B$306,"&lt;="&amp;DATE($B$3,2,17),'Leave log'!$C$7:$C$306,"&gt;="&amp;DATE($B$3,2,17),'Leave log'!$F$7:$F$306,"Pending")&gt;0,"P",""))))</f>
        <v/>
      </c>
      <c r="S43" s="23" t="str">
        <f>IF(A43="","",IF(IF(OR(DATE($B$3,2,18)&gt;EOMONTH(DATE($B$3,2,1),0),NETWORKDAYS.INTL(DATE($B$3,2,18),DATE($B$3,2,18),1,'Non-working days'!$A$6:$A$45)=0),"",IF(COUNTIFS('Leave log'!$A$7:$A$306,Employees!$A$8,'Leave log'!$B$7:$B$306,"&lt;="&amp;DATE($B$3,2,18),'Leave log'!$C$7:$C$306,"&gt;="&amp;DATE($B$3,2,18),'Leave log'!$F$7:$F$306,"Approved")&gt;0,"A",""))="A","A",IF(OR(DATE($B$3,2,18)&gt;EOMONTH(DATE($B$3,2,1),0),NETWORKDAYS.INTL(DATE($B$3,2,18),DATE($B$3,2,18),1,'Non-working days'!$A$6:$A$45)=0),"",IF(COUNTIFS('Leave log'!$A$7:$A$306,Employees!$A$8,'Leave log'!$B$7:$B$306,"&lt;="&amp;DATE($B$3,2,18),'Leave log'!$C$7:$C$306,"&gt;="&amp;DATE($B$3,2,18),'Leave log'!$F$7:$F$306,"Pending")&gt;0,"P",""))))</f>
        <v/>
      </c>
      <c r="T43" s="23" t="str">
        <f>IF(A43="","",IF(IF(OR(DATE($B$3,2,19)&gt;EOMONTH(DATE($B$3,2,1),0),NETWORKDAYS.INTL(DATE($B$3,2,19),DATE($B$3,2,19),1,'Non-working days'!$A$6:$A$45)=0),"",IF(COUNTIFS('Leave log'!$A$7:$A$306,Employees!$A$8,'Leave log'!$B$7:$B$306,"&lt;="&amp;DATE($B$3,2,19),'Leave log'!$C$7:$C$306,"&gt;="&amp;DATE($B$3,2,19),'Leave log'!$F$7:$F$306,"Approved")&gt;0,"A",""))="A","A",IF(OR(DATE($B$3,2,19)&gt;EOMONTH(DATE($B$3,2,1),0),NETWORKDAYS.INTL(DATE($B$3,2,19),DATE($B$3,2,19),1,'Non-working days'!$A$6:$A$45)=0),"",IF(COUNTIFS('Leave log'!$A$7:$A$306,Employees!$A$8,'Leave log'!$B$7:$B$306,"&lt;="&amp;DATE($B$3,2,19),'Leave log'!$C$7:$C$306,"&gt;="&amp;DATE($B$3,2,19),'Leave log'!$F$7:$F$306,"Pending")&gt;0,"P",""))))</f>
        <v/>
      </c>
      <c r="U43" s="23" t="str">
        <f>IF(A43="","",IF(IF(OR(DATE($B$3,2,20)&gt;EOMONTH(DATE($B$3,2,1),0),NETWORKDAYS.INTL(DATE($B$3,2,20),DATE($B$3,2,20),1,'Non-working days'!$A$6:$A$45)=0),"",IF(COUNTIFS('Leave log'!$A$7:$A$306,Employees!$A$8,'Leave log'!$B$7:$B$306,"&lt;="&amp;DATE($B$3,2,20),'Leave log'!$C$7:$C$306,"&gt;="&amp;DATE($B$3,2,20),'Leave log'!$F$7:$F$306,"Approved")&gt;0,"A",""))="A","A",IF(OR(DATE($B$3,2,20)&gt;EOMONTH(DATE($B$3,2,1),0),NETWORKDAYS.INTL(DATE($B$3,2,20),DATE($B$3,2,20),1,'Non-working days'!$A$6:$A$45)=0),"",IF(COUNTIFS('Leave log'!$A$7:$A$306,Employees!$A$8,'Leave log'!$B$7:$B$306,"&lt;="&amp;DATE($B$3,2,20),'Leave log'!$C$7:$C$306,"&gt;="&amp;DATE($B$3,2,20),'Leave log'!$F$7:$F$306,"Pending")&gt;0,"P",""))))</f>
        <v/>
      </c>
      <c r="V43" s="23" t="str">
        <f>IF(A43="","",IF(IF(OR(DATE($B$3,2,21)&gt;EOMONTH(DATE($B$3,2,1),0),NETWORKDAYS.INTL(DATE($B$3,2,21),DATE($B$3,2,21),1,'Non-working days'!$A$6:$A$45)=0),"",IF(COUNTIFS('Leave log'!$A$7:$A$306,Employees!$A$8,'Leave log'!$B$7:$B$306,"&lt;="&amp;DATE($B$3,2,21),'Leave log'!$C$7:$C$306,"&gt;="&amp;DATE($B$3,2,21),'Leave log'!$F$7:$F$306,"Approved")&gt;0,"A",""))="A","A",IF(OR(DATE($B$3,2,21)&gt;EOMONTH(DATE($B$3,2,1),0),NETWORKDAYS.INTL(DATE($B$3,2,21),DATE($B$3,2,21),1,'Non-working days'!$A$6:$A$45)=0),"",IF(COUNTIFS('Leave log'!$A$7:$A$306,Employees!$A$8,'Leave log'!$B$7:$B$306,"&lt;="&amp;DATE($B$3,2,21),'Leave log'!$C$7:$C$306,"&gt;="&amp;DATE($B$3,2,21),'Leave log'!$F$7:$F$306,"Pending")&gt;0,"P",""))))</f>
        <v/>
      </c>
      <c r="W43" s="23" t="str">
        <f>IF(A43="","",IF(IF(OR(DATE($B$3,2,22)&gt;EOMONTH(DATE($B$3,2,1),0),NETWORKDAYS.INTL(DATE($B$3,2,22),DATE($B$3,2,22),1,'Non-working days'!$A$6:$A$45)=0),"",IF(COUNTIFS('Leave log'!$A$7:$A$306,Employees!$A$8,'Leave log'!$B$7:$B$306,"&lt;="&amp;DATE($B$3,2,22),'Leave log'!$C$7:$C$306,"&gt;="&amp;DATE($B$3,2,22),'Leave log'!$F$7:$F$306,"Approved")&gt;0,"A",""))="A","A",IF(OR(DATE($B$3,2,22)&gt;EOMONTH(DATE($B$3,2,1),0),NETWORKDAYS.INTL(DATE($B$3,2,22),DATE($B$3,2,22),1,'Non-working days'!$A$6:$A$45)=0),"",IF(COUNTIFS('Leave log'!$A$7:$A$306,Employees!$A$8,'Leave log'!$B$7:$B$306,"&lt;="&amp;DATE($B$3,2,22),'Leave log'!$C$7:$C$306,"&gt;="&amp;DATE($B$3,2,22),'Leave log'!$F$7:$F$306,"Pending")&gt;0,"P",""))))</f>
        <v/>
      </c>
      <c r="X43" s="23" t="str">
        <f>IF(A43="","",IF(IF(OR(DATE($B$3,2,23)&gt;EOMONTH(DATE($B$3,2,1),0),NETWORKDAYS.INTL(DATE($B$3,2,23),DATE($B$3,2,23),1,'Non-working days'!$A$6:$A$45)=0),"",IF(COUNTIFS('Leave log'!$A$7:$A$306,Employees!$A$8,'Leave log'!$B$7:$B$306,"&lt;="&amp;DATE($B$3,2,23),'Leave log'!$C$7:$C$306,"&gt;="&amp;DATE($B$3,2,23),'Leave log'!$F$7:$F$306,"Approved")&gt;0,"A",""))="A","A",IF(OR(DATE($B$3,2,23)&gt;EOMONTH(DATE($B$3,2,1),0),NETWORKDAYS.INTL(DATE($B$3,2,23),DATE($B$3,2,23),1,'Non-working days'!$A$6:$A$45)=0),"",IF(COUNTIFS('Leave log'!$A$7:$A$306,Employees!$A$8,'Leave log'!$B$7:$B$306,"&lt;="&amp;DATE($B$3,2,23),'Leave log'!$C$7:$C$306,"&gt;="&amp;DATE($B$3,2,23),'Leave log'!$F$7:$F$306,"Pending")&gt;0,"P",""))))</f>
        <v/>
      </c>
      <c r="Y43" s="23" t="str">
        <f>IF(A43="","",IF(IF(OR(DATE($B$3,2,24)&gt;EOMONTH(DATE($B$3,2,1),0),NETWORKDAYS.INTL(DATE($B$3,2,24),DATE($B$3,2,24),1,'Non-working days'!$A$6:$A$45)=0),"",IF(COUNTIFS('Leave log'!$A$7:$A$306,Employees!$A$8,'Leave log'!$B$7:$B$306,"&lt;="&amp;DATE($B$3,2,24),'Leave log'!$C$7:$C$306,"&gt;="&amp;DATE($B$3,2,24),'Leave log'!$F$7:$F$306,"Approved")&gt;0,"A",""))="A","A",IF(OR(DATE($B$3,2,24)&gt;EOMONTH(DATE($B$3,2,1),0),NETWORKDAYS.INTL(DATE($B$3,2,24),DATE($B$3,2,24),1,'Non-working days'!$A$6:$A$45)=0),"",IF(COUNTIFS('Leave log'!$A$7:$A$306,Employees!$A$8,'Leave log'!$B$7:$B$306,"&lt;="&amp;DATE($B$3,2,24),'Leave log'!$C$7:$C$306,"&gt;="&amp;DATE($B$3,2,24),'Leave log'!$F$7:$F$306,"Pending")&gt;0,"P",""))))</f>
        <v/>
      </c>
      <c r="Z43" s="23" t="str">
        <f>IF(A43="","",IF(IF(OR(DATE($B$3,2,25)&gt;EOMONTH(DATE($B$3,2,1),0),NETWORKDAYS.INTL(DATE($B$3,2,25),DATE($B$3,2,25),1,'Non-working days'!$A$6:$A$45)=0),"",IF(COUNTIFS('Leave log'!$A$7:$A$306,Employees!$A$8,'Leave log'!$B$7:$B$306,"&lt;="&amp;DATE($B$3,2,25),'Leave log'!$C$7:$C$306,"&gt;="&amp;DATE($B$3,2,25),'Leave log'!$F$7:$F$306,"Approved")&gt;0,"A",""))="A","A",IF(OR(DATE($B$3,2,25)&gt;EOMONTH(DATE($B$3,2,1),0),NETWORKDAYS.INTL(DATE($B$3,2,25),DATE($B$3,2,25),1,'Non-working days'!$A$6:$A$45)=0),"",IF(COUNTIFS('Leave log'!$A$7:$A$306,Employees!$A$8,'Leave log'!$B$7:$B$306,"&lt;="&amp;DATE($B$3,2,25),'Leave log'!$C$7:$C$306,"&gt;="&amp;DATE($B$3,2,25),'Leave log'!$F$7:$F$306,"Pending")&gt;0,"P",""))))</f>
        <v/>
      </c>
      <c r="AA43" s="23" t="str">
        <f>IF(A43="","",IF(IF(OR(DATE($B$3,2,26)&gt;EOMONTH(DATE($B$3,2,1),0),NETWORKDAYS.INTL(DATE($B$3,2,26),DATE($B$3,2,26),1,'Non-working days'!$A$6:$A$45)=0),"",IF(COUNTIFS('Leave log'!$A$7:$A$306,Employees!$A$8,'Leave log'!$B$7:$B$306,"&lt;="&amp;DATE($B$3,2,26),'Leave log'!$C$7:$C$306,"&gt;="&amp;DATE($B$3,2,26),'Leave log'!$F$7:$F$306,"Approved")&gt;0,"A",""))="A","A",IF(OR(DATE($B$3,2,26)&gt;EOMONTH(DATE($B$3,2,1),0),NETWORKDAYS.INTL(DATE($B$3,2,26),DATE($B$3,2,26),1,'Non-working days'!$A$6:$A$45)=0),"",IF(COUNTIFS('Leave log'!$A$7:$A$306,Employees!$A$8,'Leave log'!$B$7:$B$306,"&lt;="&amp;DATE($B$3,2,26),'Leave log'!$C$7:$C$306,"&gt;="&amp;DATE($B$3,2,26),'Leave log'!$F$7:$F$306,"Pending")&gt;0,"P",""))))</f>
        <v/>
      </c>
      <c r="AB43" s="23" t="str">
        <f>IF(A43="","",IF(IF(OR(DATE($B$3,2,27)&gt;EOMONTH(DATE($B$3,2,1),0),NETWORKDAYS.INTL(DATE($B$3,2,27),DATE($B$3,2,27),1,'Non-working days'!$A$6:$A$45)=0),"",IF(COUNTIFS('Leave log'!$A$7:$A$306,Employees!$A$8,'Leave log'!$B$7:$B$306,"&lt;="&amp;DATE($B$3,2,27),'Leave log'!$C$7:$C$306,"&gt;="&amp;DATE($B$3,2,27),'Leave log'!$F$7:$F$306,"Approved")&gt;0,"A",""))="A","A",IF(OR(DATE($B$3,2,27)&gt;EOMONTH(DATE($B$3,2,1),0),NETWORKDAYS.INTL(DATE($B$3,2,27),DATE($B$3,2,27),1,'Non-working days'!$A$6:$A$45)=0),"",IF(COUNTIFS('Leave log'!$A$7:$A$306,Employees!$A$8,'Leave log'!$B$7:$B$306,"&lt;="&amp;DATE($B$3,2,27),'Leave log'!$C$7:$C$306,"&gt;="&amp;DATE($B$3,2,27),'Leave log'!$F$7:$F$306,"Pending")&gt;0,"P",""))))</f>
        <v/>
      </c>
      <c r="AC43" s="23" t="str">
        <f>IF(A43="","",IF(IF(OR(DATE($B$3,2,28)&gt;EOMONTH(DATE($B$3,2,1),0),NETWORKDAYS.INTL(DATE($B$3,2,28),DATE($B$3,2,28),1,'Non-working days'!$A$6:$A$45)=0),"",IF(COUNTIFS('Leave log'!$A$7:$A$306,Employees!$A$8,'Leave log'!$B$7:$B$306,"&lt;="&amp;DATE($B$3,2,28),'Leave log'!$C$7:$C$306,"&gt;="&amp;DATE($B$3,2,28),'Leave log'!$F$7:$F$306,"Approved")&gt;0,"A",""))="A","A",IF(OR(DATE($B$3,2,28)&gt;EOMONTH(DATE($B$3,2,1),0),NETWORKDAYS.INTL(DATE($B$3,2,28),DATE($B$3,2,28),1,'Non-working days'!$A$6:$A$45)=0),"",IF(COUNTIFS('Leave log'!$A$7:$A$306,Employees!$A$8,'Leave log'!$B$7:$B$306,"&lt;="&amp;DATE($B$3,2,28),'Leave log'!$C$7:$C$306,"&gt;="&amp;DATE($B$3,2,28),'Leave log'!$F$7:$F$306,"Pending")&gt;0,"P",""))))</f>
        <v/>
      </c>
      <c r="AD43" s="23" t="str">
        <f>IF(A43="","",IF(IF(OR(DATE($B$3,2,29)&gt;EOMONTH(DATE($B$3,2,1),0),NETWORKDAYS.INTL(DATE($B$3,2,29),DATE($B$3,2,29),1,'Non-working days'!$A$6:$A$45)=0),"",IF(COUNTIFS('Leave log'!$A$7:$A$306,Employees!$A$8,'Leave log'!$B$7:$B$306,"&lt;="&amp;DATE($B$3,2,29),'Leave log'!$C$7:$C$306,"&gt;="&amp;DATE($B$3,2,29),'Leave log'!$F$7:$F$306,"Approved")&gt;0,"A",""))="A","A",IF(OR(DATE($B$3,2,29)&gt;EOMONTH(DATE($B$3,2,1),0),NETWORKDAYS.INTL(DATE($B$3,2,29),DATE($B$3,2,29),1,'Non-working days'!$A$6:$A$45)=0),"",IF(COUNTIFS('Leave log'!$A$7:$A$306,Employees!$A$8,'Leave log'!$B$7:$B$306,"&lt;="&amp;DATE($B$3,2,29),'Leave log'!$C$7:$C$306,"&gt;="&amp;DATE($B$3,2,29),'Leave log'!$F$7:$F$306,"Pending")&gt;0,"P",""))))</f>
        <v/>
      </c>
      <c r="AE43" s="23" t="str">
        <f>IF(A43="","",IF(IF(OR(DATE($B$3,2,30)&gt;EOMONTH(DATE($B$3,2,1),0),NETWORKDAYS.INTL(DATE($B$3,2,30),DATE($B$3,2,30),1,'Non-working days'!$A$6:$A$45)=0),"",IF(COUNTIFS('Leave log'!$A$7:$A$306,Employees!$A$8,'Leave log'!$B$7:$B$306,"&lt;="&amp;DATE($B$3,2,30),'Leave log'!$C$7:$C$306,"&gt;="&amp;DATE($B$3,2,30),'Leave log'!$F$7:$F$306,"Approved")&gt;0,"A",""))="A","A",IF(OR(DATE($B$3,2,30)&gt;EOMONTH(DATE($B$3,2,1),0),NETWORKDAYS.INTL(DATE($B$3,2,30),DATE($B$3,2,30),1,'Non-working days'!$A$6:$A$45)=0),"",IF(COUNTIFS('Leave log'!$A$7:$A$306,Employees!$A$8,'Leave log'!$B$7:$B$306,"&lt;="&amp;DATE($B$3,2,30),'Leave log'!$C$7:$C$306,"&gt;="&amp;DATE($B$3,2,30),'Leave log'!$F$7:$F$306,"Pending")&gt;0,"P",""))))</f>
        <v/>
      </c>
      <c r="AF43" s="23" t="str">
        <f>IF(A43="","",IF(IF(OR(DATE($B$3,2,31)&gt;EOMONTH(DATE($B$3,2,1),0),NETWORKDAYS.INTL(DATE($B$3,2,31),DATE($B$3,2,31),1,'Non-working days'!$A$6:$A$45)=0),"",IF(COUNTIFS('Leave log'!$A$7:$A$306,Employees!$A$8,'Leave log'!$B$7:$B$306,"&lt;="&amp;DATE($B$3,2,31),'Leave log'!$C$7:$C$306,"&gt;="&amp;DATE($B$3,2,31),'Leave log'!$F$7:$F$306,"Approved")&gt;0,"A",""))="A","A",IF(OR(DATE($B$3,2,31)&gt;EOMONTH(DATE($B$3,2,1),0),NETWORKDAYS.INTL(DATE($B$3,2,31),DATE($B$3,2,31),1,'Non-working days'!$A$6:$A$45)=0),"",IF(COUNTIFS('Leave log'!$A$7:$A$306,Employees!$A$8,'Leave log'!$B$7:$B$306,"&lt;="&amp;DATE($B$3,2,31),'Leave log'!$C$7:$C$306,"&gt;="&amp;DATE($B$3,2,31),'Leave log'!$F$7:$F$306,"Pending")&gt;0,"P",""))))</f>
        <v/>
      </c>
    </row>
    <row r="44" spans="1:32" ht="18" customHeight="1" x14ac:dyDescent="0.3">
      <c r="A44" s="22" t="str">
        <f>IF(Employees!F9="Yes",Employees!B9,"")</f>
        <v/>
      </c>
      <c r="B44" s="23" t="str">
        <f>IF(A44="","",IF(IF(OR(DATE($B$3,2,1)&gt;EOMONTH(DATE($B$3,2,1),0),NETWORKDAYS.INTL(DATE($B$3,2,1),DATE($B$3,2,1),1,'Non-working days'!$A$6:$A$45)=0),"",IF(COUNTIFS('Leave log'!$A$7:$A$306,Employees!$A$9,'Leave log'!$B$7:$B$306,"&lt;="&amp;DATE($B$3,2,1),'Leave log'!$C$7:$C$306,"&gt;="&amp;DATE($B$3,2,1),'Leave log'!$F$7:$F$306,"Approved")&gt;0,"A",""))="A","A",IF(OR(DATE($B$3,2,1)&gt;EOMONTH(DATE($B$3,2,1),0),NETWORKDAYS.INTL(DATE($B$3,2,1),DATE($B$3,2,1),1,'Non-working days'!$A$6:$A$45)=0),"",IF(COUNTIFS('Leave log'!$A$7:$A$306,Employees!$A$9,'Leave log'!$B$7:$B$306,"&lt;="&amp;DATE($B$3,2,1),'Leave log'!$C$7:$C$306,"&gt;="&amp;DATE($B$3,2,1),'Leave log'!$F$7:$F$306,"Pending")&gt;0,"P",""))))</f>
        <v/>
      </c>
      <c r="C44" s="23" t="str">
        <f>IF(A44="","",IF(IF(OR(DATE($B$3,2,2)&gt;EOMONTH(DATE($B$3,2,1),0),NETWORKDAYS.INTL(DATE($B$3,2,2),DATE($B$3,2,2),1,'Non-working days'!$A$6:$A$45)=0),"",IF(COUNTIFS('Leave log'!$A$7:$A$306,Employees!$A$9,'Leave log'!$B$7:$B$306,"&lt;="&amp;DATE($B$3,2,2),'Leave log'!$C$7:$C$306,"&gt;="&amp;DATE($B$3,2,2),'Leave log'!$F$7:$F$306,"Approved")&gt;0,"A",""))="A","A",IF(OR(DATE($B$3,2,2)&gt;EOMONTH(DATE($B$3,2,1),0),NETWORKDAYS.INTL(DATE($B$3,2,2),DATE($B$3,2,2),1,'Non-working days'!$A$6:$A$45)=0),"",IF(COUNTIFS('Leave log'!$A$7:$A$306,Employees!$A$9,'Leave log'!$B$7:$B$306,"&lt;="&amp;DATE($B$3,2,2),'Leave log'!$C$7:$C$306,"&gt;="&amp;DATE($B$3,2,2),'Leave log'!$F$7:$F$306,"Pending")&gt;0,"P",""))))</f>
        <v/>
      </c>
      <c r="D44" s="23" t="str">
        <f>IF(A44="","",IF(IF(OR(DATE($B$3,2,3)&gt;EOMONTH(DATE($B$3,2,1),0),NETWORKDAYS.INTL(DATE($B$3,2,3),DATE($B$3,2,3),1,'Non-working days'!$A$6:$A$45)=0),"",IF(COUNTIFS('Leave log'!$A$7:$A$306,Employees!$A$9,'Leave log'!$B$7:$B$306,"&lt;="&amp;DATE($B$3,2,3),'Leave log'!$C$7:$C$306,"&gt;="&amp;DATE($B$3,2,3),'Leave log'!$F$7:$F$306,"Approved")&gt;0,"A",""))="A","A",IF(OR(DATE($B$3,2,3)&gt;EOMONTH(DATE($B$3,2,1),0),NETWORKDAYS.INTL(DATE($B$3,2,3),DATE($B$3,2,3),1,'Non-working days'!$A$6:$A$45)=0),"",IF(COUNTIFS('Leave log'!$A$7:$A$306,Employees!$A$9,'Leave log'!$B$7:$B$306,"&lt;="&amp;DATE($B$3,2,3),'Leave log'!$C$7:$C$306,"&gt;="&amp;DATE($B$3,2,3),'Leave log'!$F$7:$F$306,"Pending")&gt;0,"P",""))))</f>
        <v/>
      </c>
      <c r="E44" s="23" t="str">
        <f>IF(A44="","",IF(IF(OR(DATE($B$3,2,4)&gt;EOMONTH(DATE($B$3,2,1),0),NETWORKDAYS.INTL(DATE($B$3,2,4),DATE($B$3,2,4),1,'Non-working days'!$A$6:$A$45)=0),"",IF(COUNTIFS('Leave log'!$A$7:$A$306,Employees!$A$9,'Leave log'!$B$7:$B$306,"&lt;="&amp;DATE($B$3,2,4),'Leave log'!$C$7:$C$306,"&gt;="&amp;DATE($B$3,2,4),'Leave log'!$F$7:$F$306,"Approved")&gt;0,"A",""))="A","A",IF(OR(DATE($B$3,2,4)&gt;EOMONTH(DATE($B$3,2,1),0),NETWORKDAYS.INTL(DATE($B$3,2,4),DATE($B$3,2,4),1,'Non-working days'!$A$6:$A$45)=0),"",IF(COUNTIFS('Leave log'!$A$7:$A$306,Employees!$A$9,'Leave log'!$B$7:$B$306,"&lt;="&amp;DATE($B$3,2,4),'Leave log'!$C$7:$C$306,"&gt;="&amp;DATE($B$3,2,4),'Leave log'!$F$7:$F$306,"Pending")&gt;0,"P",""))))</f>
        <v/>
      </c>
      <c r="F44" s="23" t="str">
        <f>IF(A44="","",IF(IF(OR(DATE($B$3,2,5)&gt;EOMONTH(DATE($B$3,2,1),0),NETWORKDAYS.INTL(DATE($B$3,2,5),DATE($B$3,2,5),1,'Non-working days'!$A$6:$A$45)=0),"",IF(COUNTIFS('Leave log'!$A$7:$A$306,Employees!$A$9,'Leave log'!$B$7:$B$306,"&lt;="&amp;DATE($B$3,2,5),'Leave log'!$C$7:$C$306,"&gt;="&amp;DATE($B$3,2,5),'Leave log'!$F$7:$F$306,"Approved")&gt;0,"A",""))="A","A",IF(OR(DATE($B$3,2,5)&gt;EOMONTH(DATE($B$3,2,1),0),NETWORKDAYS.INTL(DATE($B$3,2,5),DATE($B$3,2,5),1,'Non-working days'!$A$6:$A$45)=0),"",IF(COUNTIFS('Leave log'!$A$7:$A$306,Employees!$A$9,'Leave log'!$B$7:$B$306,"&lt;="&amp;DATE($B$3,2,5),'Leave log'!$C$7:$C$306,"&gt;="&amp;DATE($B$3,2,5),'Leave log'!$F$7:$F$306,"Pending")&gt;0,"P",""))))</f>
        <v/>
      </c>
      <c r="G44" s="23" t="str">
        <f>IF(A44="","",IF(IF(OR(DATE($B$3,2,6)&gt;EOMONTH(DATE($B$3,2,1),0),NETWORKDAYS.INTL(DATE($B$3,2,6),DATE($B$3,2,6),1,'Non-working days'!$A$6:$A$45)=0),"",IF(COUNTIFS('Leave log'!$A$7:$A$306,Employees!$A$9,'Leave log'!$B$7:$B$306,"&lt;="&amp;DATE($B$3,2,6),'Leave log'!$C$7:$C$306,"&gt;="&amp;DATE($B$3,2,6),'Leave log'!$F$7:$F$306,"Approved")&gt;0,"A",""))="A","A",IF(OR(DATE($B$3,2,6)&gt;EOMONTH(DATE($B$3,2,1),0),NETWORKDAYS.INTL(DATE($B$3,2,6),DATE($B$3,2,6),1,'Non-working days'!$A$6:$A$45)=0),"",IF(COUNTIFS('Leave log'!$A$7:$A$306,Employees!$A$9,'Leave log'!$B$7:$B$306,"&lt;="&amp;DATE($B$3,2,6),'Leave log'!$C$7:$C$306,"&gt;="&amp;DATE($B$3,2,6),'Leave log'!$F$7:$F$306,"Pending")&gt;0,"P",""))))</f>
        <v/>
      </c>
      <c r="H44" s="23" t="str">
        <f>IF(A44="","",IF(IF(OR(DATE($B$3,2,7)&gt;EOMONTH(DATE($B$3,2,1),0),NETWORKDAYS.INTL(DATE($B$3,2,7),DATE($B$3,2,7),1,'Non-working days'!$A$6:$A$45)=0),"",IF(COUNTIFS('Leave log'!$A$7:$A$306,Employees!$A$9,'Leave log'!$B$7:$B$306,"&lt;="&amp;DATE($B$3,2,7),'Leave log'!$C$7:$C$306,"&gt;="&amp;DATE($B$3,2,7),'Leave log'!$F$7:$F$306,"Approved")&gt;0,"A",""))="A","A",IF(OR(DATE($B$3,2,7)&gt;EOMONTH(DATE($B$3,2,1),0),NETWORKDAYS.INTL(DATE($B$3,2,7),DATE($B$3,2,7),1,'Non-working days'!$A$6:$A$45)=0),"",IF(COUNTIFS('Leave log'!$A$7:$A$306,Employees!$A$9,'Leave log'!$B$7:$B$306,"&lt;="&amp;DATE($B$3,2,7),'Leave log'!$C$7:$C$306,"&gt;="&amp;DATE($B$3,2,7),'Leave log'!$F$7:$F$306,"Pending")&gt;0,"P",""))))</f>
        <v/>
      </c>
      <c r="I44" s="23" t="str">
        <f>IF(A44="","",IF(IF(OR(DATE($B$3,2,8)&gt;EOMONTH(DATE($B$3,2,1),0),NETWORKDAYS.INTL(DATE($B$3,2,8),DATE($B$3,2,8),1,'Non-working days'!$A$6:$A$45)=0),"",IF(COUNTIFS('Leave log'!$A$7:$A$306,Employees!$A$9,'Leave log'!$B$7:$B$306,"&lt;="&amp;DATE($B$3,2,8),'Leave log'!$C$7:$C$306,"&gt;="&amp;DATE($B$3,2,8),'Leave log'!$F$7:$F$306,"Approved")&gt;0,"A",""))="A","A",IF(OR(DATE($B$3,2,8)&gt;EOMONTH(DATE($B$3,2,1),0),NETWORKDAYS.INTL(DATE($B$3,2,8),DATE($B$3,2,8),1,'Non-working days'!$A$6:$A$45)=0),"",IF(COUNTIFS('Leave log'!$A$7:$A$306,Employees!$A$9,'Leave log'!$B$7:$B$306,"&lt;="&amp;DATE($B$3,2,8),'Leave log'!$C$7:$C$306,"&gt;="&amp;DATE($B$3,2,8),'Leave log'!$F$7:$F$306,"Pending")&gt;0,"P",""))))</f>
        <v/>
      </c>
      <c r="J44" s="23" t="str">
        <f>IF(A44="","",IF(IF(OR(DATE($B$3,2,9)&gt;EOMONTH(DATE($B$3,2,1),0),NETWORKDAYS.INTL(DATE($B$3,2,9),DATE($B$3,2,9),1,'Non-working days'!$A$6:$A$45)=0),"",IF(COUNTIFS('Leave log'!$A$7:$A$306,Employees!$A$9,'Leave log'!$B$7:$B$306,"&lt;="&amp;DATE($B$3,2,9),'Leave log'!$C$7:$C$306,"&gt;="&amp;DATE($B$3,2,9),'Leave log'!$F$7:$F$306,"Approved")&gt;0,"A",""))="A","A",IF(OR(DATE($B$3,2,9)&gt;EOMONTH(DATE($B$3,2,1),0),NETWORKDAYS.INTL(DATE($B$3,2,9),DATE($B$3,2,9),1,'Non-working days'!$A$6:$A$45)=0),"",IF(COUNTIFS('Leave log'!$A$7:$A$306,Employees!$A$9,'Leave log'!$B$7:$B$306,"&lt;="&amp;DATE($B$3,2,9),'Leave log'!$C$7:$C$306,"&gt;="&amp;DATE($B$3,2,9),'Leave log'!$F$7:$F$306,"Pending")&gt;0,"P",""))))</f>
        <v/>
      </c>
      <c r="K44" s="23" t="str">
        <f>IF(A44="","",IF(IF(OR(DATE($B$3,2,10)&gt;EOMONTH(DATE($B$3,2,1),0),NETWORKDAYS.INTL(DATE($B$3,2,10),DATE($B$3,2,10),1,'Non-working days'!$A$6:$A$45)=0),"",IF(COUNTIFS('Leave log'!$A$7:$A$306,Employees!$A$9,'Leave log'!$B$7:$B$306,"&lt;="&amp;DATE($B$3,2,10),'Leave log'!$C$7:$C$306,"&gt;="&amp;DATE($B$3,2,10),'Leave log'!$F$7:$F$306,"Approved")&gt;0,"A",""))="A","A",IF(OR(DATE($B$3,2,10)&gt;EOMONTH(DATE($B$3,2,1),0),NETWORKDAYS.INTL(DATE($B$3,2,10),DATE($B$3,2,10),1,'Non-working days'!$A$6:$A$45)=0),"",IF(COUNTIFS('Leave log'!$A$7:$A$306,Employees!$A$9,'Leave log'!$B$7:$B$306,"&lt;="&amp;DATE($B$3,2,10),'Leave log'!$C$7:$C$306,"&gt;="&amp;DATE($B$3,2,10),'Leave log'!$F$7:$F$306,"Pending")&gt;0,"P",""))))</f>
        <v/>
      </c>
      <c r="L44" s="23" t="str">
        <f>IF(A44="","",IF(IF(OR(DATE($B$3,2,11)&gt;EOMONTH(DATE($B$3,2,1),0),NETWORKDAYS.INTL(DATE($B$3,2,11),DATE($B$3,2,11),1,'Non-working days'!$A$6:$A$45)=0),"",IF(COUNTIFS('Leave log'!$A$7:$A$306,Employees!$A$9,'Leave log'!$B$7:$B$306,"&lt;="&amp;DATE($B$3,2,11),'Leave log'!$C$7:$C$306,"&gt;="&amp;DATE($B$3,2,11),'Leave log'!$F$7:$F$306,"Approved")&gt;0,"A",""))="A","A",IF(OR(DATE($B$3,2,11)&gt;EOMONTH(DATE($B$3,2,1),0),NETWORKDAYS.INTL(DATE($B$3,2,11),DATE($B$3,2,11),1,'Non-working days'!$A$6:$A$45)=0),"",IF(COUNTIFS('Leave log'!$A$7:$A$306,Employees!$A$9,'Leave log'!$B$7:$B$306,"&lt;="&amp;DATE($B$3,2,11),'Leave log'!$C$7:$C$306,"&gt;="&amp;DATE($B$3,2,11),'Leave log'!$F$7:$F$306,"Pending")&gt;0,"P",""))))</f>
        <v/>
      </c>
      <c r="M44" s="23" t="str">
        <f>IF(A44="","",IF(IF(OR(DATE($B$3,2,12)&gt;EOMONTH(DATE($B$3,2,1),0),NETWORKDAYS.INTL(DATE($B$3,2,12),DATE($B$3,2,12),1,'Non-working days'!$A$6:$A$45)=0),"",IF(COUNTIFS('Leave log'!$A$7:$A$306,Employees!$A$9,'Leave log'!$B$7:$B$306,"&lt;="&amp;DATE($B$3,2,12),'Leave log'!$C$7:$C$306,"&gt;="&amp;DATE($B$3,2,12),'Leave log'!$F$7:$F$306,"Approved")&gt;0,"A",""))="A","A",IF(OR(DATE($B$3,2,12)&gt;EOMONTH(DATE($B$3,2,1),0),NETWORKDAYS.INTL(DATE($B$3,2,12),DATE($B$3,2,12),1,'Non-working days'!$A$6:$A$45)=0),"",IF(COUNTIFS('Leave log'!$A$7:$A$306,Employees!$A$9,'Leave log'!$B$7:$B$306,"&lt;="&amp;DATE($B$3,2,12),'Leave log'!$C$7:$C$306,"&gt;="&amp;DATE($B$3,2,12),'Leave log'!$F$7:$F$306,"Pending")&gt;0,"P",""))))</f>
        <v/>
      </c>
      <c r="N44" s="23" t="str">
        <f>IF(A44="","",IF(IF(OR(DATE($B$3,2,13)&gt;EOMONTH(DATE($B$3,2,1),0),NETWORKDAYS.INTL(DATE($B$3,2,13),DATE($B$3,2,13),1,'Non-working days'!$A$6:$A$45)=0),"",IF(COUNTIFS('Leave log'!$A$7:$A$306,Employees!$A$9,'Leave log'!$B$7:$B$306,"&lt;="&amp;DATE($B$3,2,13),'Leave log'!$C$7:$C$306,"&gt;="&amp;DATE($B$3,2,13),'Leave log'!$F$7:$F$306,"Approved")&gt;0,"A",""))="A","A",IF(OR(DATE($B$3,2,13)&gt;EOMONTH(DATE($B$3,2,1),0),NETWORKDAYS.INTL(DATE($B$3,2,13),DATE($B$3,2,13),1,'Non-working days'!$A$6:$A$45)=0),"",IF(COUNTIFS('Leave log'!$A$7:$A$306,Employees!$A$9,'Leave log'!$B$7:$B$306,"&lt;="&amp;DATE($B$3,2,13),'Leave log'!$C$7:$C$306,"&gt;="&amp;DATE($B$3,2,13),'Leave log'!$F$7:$F$306,"Pending")&gt;0,"P",""))))</f>
        <v/>
      </c>
      <c r="O44" s="23" t="str">
        <f>IF(A44="","",IF(IF(OR(DATE($B$3,2,14)&gt;EOMONTH(DATE($B$3,2,1),0),NETWORKDAYS.INTL(DATE($B$3,2,14),DATE($B$3,2,14),1,'Non-working days'!$A$6:$A$45)=0),"",IF(COUNTIFS('Leave log'!$A$7:$A$306,Employees!$A$9,'Leave log'!$B$7:$B$306,"&lt;="&amp;DATE($B$3,2,14),'Leave log'!$C$7:$C$306,"&gt;="&amp;DATE($B$3,2,14),'Leave log'!$F$7:$F$306,"Approved")&gt;0,"A",""))="A","A",IF(OR(DATE($B$3,2,14)&gt;EOMONTH(DATE($B$3,2,1),0),NETWORKDAYS.INTL(DATE($B$3,2,14),DATE($B$3,2,14),1,'Non-working days'!$A$6:$A$45)=0),"",IF(COUNTIFS('Leave log'!$A$7:$A$306,Employees!$A$9,'Leave log'!$B$7:$B$306,"&lt;="&amp;DATE($B$3,2,14),'Leave log'!$C$7:$C$306,"&gt;="&amp;DATE($B$3,2,14),'Leave log'!$F$7:$F$306,"Pending")&gt;0,"P",""))))</f>
        <v/>
      </c>
      <c r="P44" s="23" t="str">
        <f>IF(A44="","",IF(IF(OR(DATE($B$3,2,15)&gt;EOMONTH(DATE($B$3,2,1),0),NETWORKDAYS.INTL(DATE($B$3,2,15),DATE($B$3,2,15),1,'Non-working days'!$A$6:$A$45)=0),"",IF(COUNTIFS('Leave log'!$A$7:$A$306,Employees!$A$9,'Leave log'!$B$7:$B$306,"&lt;="&amp;DATE($B$3,2,15),'Leave log'!$C$7:$C$306,"&gt;="&amp;DATE($B$3,2,15),'Leave log'!$F$7:$F$306,"Approved")&gt;0,"A",""))="A","A",IF(OR(DATE($B$3,2,15)&gt;EOMONTH(DATE($B$3,2,1),0),NETWORKDAYS.INTL(DATE($B$3,2,15),DATE($B$3,2,15),1,'Non-working days'!$A$6:$A$45)=0),"",IF(COUNTIFS('Leave log'!$A$7:$A$306,Employees!$A$9,'Leave log'!$B$7:$B$306,"&lt;="&amp;DATE($B$3,2,15),'Leave log'!$C$7:$C$306,"&gt;="&amp;DATE($B$3,2,15),'Leave log'!$F$7:$F$306,"Pending")&gt;0,"P",""))))</f>
        <v/>
      </c>
      <c r="Q44" s="23" t="str">
        <f>IF(A44="","",IF(IF(OR(DATE($B$3,2,16)&gt;EOMONTH(DATE($B$3,2,1),0),NETWORKDAYS.INTL(DATE($B$3,2,16),DATE($B$3,2,16),1,'Non-working days'!$A$6:$A$45)=0),"",IF(COUNTIFS('Leave log'!$A$7:$A$306,Employees!$A$9,'Leave log'!$B$7:$B$306,"&lt;="&amp;DATE($B$3,2,16),'Leave log'!$C$7:$C$306,"&gt;="&amp;DATE($B$3,2,16),'Leave log'!$F$7:$F$306,"Approved")&gt;0,"A",""))="A","A",IF(OR(DATE($B$3,2,16)&gt;EOMONTH(DATE($B$3,2,1),0),NETWORKDAYS.INTL(DATE($B$3,2,16),DATE($B$3,2,16),1,'Non-working days'!$A$6:$A$45)=0),"",IF(COUNTIFS('Leave log'!$A$7:$A$306,Employees!$A$9,'Leave log'!$B$7:$B$306,"&lt;="&amp;DATE($B$3,2,16),'Leave log'!$C$7:$C$306,"&gt;="&amp;DATE($B$3,2,16),'Leave log'!$F$7:$F$306,"Pending")&gt;0,"P",""))))</f>
        <v/>
      </c>
      <c r="R44" s="23" t="str">
        <f>IF(A44="","",IF(IF(OR(DATE($B$3,2,17)&gt;EOMONTH(DATE($B$3,2,1),0),NETWORKDAYS.INTL(DATE($B$3,2,17),DATE($B$3,2,17),1,'Non-working days'!$A$6:$A$45)=0),"",IF(COUNTIFS('Leave log'!$A$7:$A$306,Employees!$A$9,'Leave log'!$B$7:$B$306,"&lt;="&amp;DATE($B$3,2,17),'Leave log'!$C$7:$C$306,"&gt;="&amp;DATE($B$3,2,17),'Leave log'!$F$7:$F$306,"Approved")&gt;0,"A",""))="A","A",IF(OR(DATE($B$3,2,17)&gt;EOMONTH(DATE($B$3,2,1),0),NETWORKDAYS.INTL(DATE($B$3,2,17),DATE($B$3,2,17),1,'Non-working days'!$A$6:$A$45)=0),"",IF(COUNTIFS('Leave log'!$A$7:$A$306,Employees!$A$9,'Leave log'!$B$7:$B$306,"&lt;="&amp;DATE($B$3,2,17),'Leave log'!$C$7:$C$306,"&gt;="&amp;DATE($B$3,2,17),'Leave log'!$F$7:$F$306,"Pending")&gt;0,"P",""))))</f>
        <v/>
      </c>
      <c r="S44" s="23" t="str">
        <f>IF(A44="","",IF(IF(OR(DATE($B$3,2,18)&gt;EOMONTH(DATE($B$3,2,1),0),NETWORKDAYS.INTL(DATE($B$3,2,18),DATE($B$3,2,18),1,'Non-working days'!$A$6:$A$45)=0),"",IF(COUNTIFS('Leave log'!$A$7:$A$306,Employees!$A$9,'Leave log'!$B$7:$B$306,"&lt;="&amp;DATE($B$3,2,18),'Leave log'!$C$7:$C$306,"&gt;="&amp;DATE($B$3,2,18),'Leave log'!$F$7:$F$306,"Approved")&gt;0,"A",""))="A","A",IF(OR(DATE($B$3,2,18)&gt;EOMONTH(DATE($B$3,2,1),0),NETWORKDAYS.INTL(DATE($B$3,2,18),DATE($B$3,2,18),1,'Non-working days'!$A$6:$A$45)=0),"",IF(COUNTIFS('Leave log'!$A$7:$A$306,Employees!$A$9,'Leave log'!$B$7:$B$306,"&lt;="&amp;DATE($B$3,2,18),'Leave log'!$C$7:$C$306,"&gt;="&amp;DATE($B$3,2,18),'Leave log'!$F$7:$F$306,"Pending")&gt;0,"P",""))))</f>
        <v/>
      </c>
      <c r="T44" s="23" t="str">
        <f>IF(A44="","",IF(IF(OR(DATE($B$3,2,19)&gt;EOMONTH(DATE($B$3,2,1),0),NETWORKDAYS.INTL(DATE($B$3,2,19),DATE($B$3,2,19),1,'Non-working days'!$A$6:$A$45)=0),"",IF(COUNTIFS('Leave log'!$A$7:$A$306,Employees!$A$9,'Leave log'!$B$7:$B$306,"&lt;="&amp;DATE($B$3,2,19),'Leave log'!$C$7:$C$306,"&gt;="&amp;DATE($B$3,2,19),'Leave log'!$F$7:$F$306,"Approved")&gt;0,"A",""))="A","A",IF(OR(DATE($B$3,2,19)&gt;EOMONTH(DATE($B$3,2,1),0),NETWORKDAYS.INTL(DATE($B$3,2,19),DATE($B$3,2,19),1,'Non-working days'!$A$6:$A$45)=0),"",IF(COUNTIFS('Leave log'!$A$7:$A$306,Employees!$A$9,'Leave log'!$B$7:$B$306,"&lt;="&amp;DATE($B$3,2,19),'Leave log'!$C$7:$C$306,"&gt;="&amp;DATE($B$3,2,19),'Leave log'!$F$7:$F$306,"Pending")&gt;0,"P",""))))</f>
        <v/>
      </c>
      <c r="U44" s="23" t="str">
        <f>IF(A44="","",IF(IF(OR(DATE($B$3,2,20)&gt;EOMONTH(DATE($B$3,2,1),0),NETWORKDAYS.INTL(DATE($B$3,2,20),DATE($B$3,2,20),1,'Non-working days'!$A$6:$A$45)=0),"",IF(COUNTIFS('Leave log'!$A$7:$A$306,Employees!$A$9,'Leave log'!$B$7:$B$306,"&lt;="&amp;DATE($B$3,2,20),'Leave log'!$C$7:$C$306,"&gt;="&amp;DATE($B$3,2,20),'Leave log'!$F$7:$F$306,"Approved")&gt;0,"A",""))="A","A",IF(OR(DATE($B$3,2,20)&gt;EOMONTH(DATE($B$3,2,1),0),NETWORKDAYS.INTL(DATE($B$3,2,20),DATE($B$3,2,20),1,'Non-working days'!$A$6:$A$45)=0),"",IF(COUNTIFS('Leave log'!$A$7:$A$306,Employees!$A$9,'Leave log'!$B$7:$B$306,"&lt;="&amp;DATE($B$3,2,20),'Leave log'!$C$7:$C$306,"&gt;="&amp;DATE($B$3,2,20),'Leave log'!$F$7:$F$306,"Pending")&gt;0,"P",""))))</f>
        <v/>
      </c>
      <c r="V44" s="23" t="str">
        <f>IF(A44="","",IF(IF(OR(DATE($B$3,2,21)&gt;EOMONTH(DATE($B$3,2,1),0),NETWORKDAYS.INTL(DATE($B$3,2,21),DATE($B$3,2,21),1,'Non-working days'!$A$6:$A$45)=0),"",IF(COUNTIFS('Leave log'!$A$7:$A$306,Employees!$A$9,'Leave log'!$B$7:$B$306,"&lt;="&amp;DATE($B$3,2,21),'Leave log'!$C$7:$C$306,"&gt;="&amp;DATE($B$3,2,21),'Leave log'!$F$7:$F$306,"Approved")&gt;0,"A",""))="A","A",IF(OR(DATE($B$3,2,21)&gt;EOMONTH(DATE($B$3,2,1),0),NETWORKDAYS.INTL(DATE($B$3,2,21),DATE($B$3,2,21),1,'Non-working days'!$A$6:$A$45)=0),"",IF(COUNTIFS('Leave log'!$A$7:$A$306,Employees!$A$9,'Leave log'!$B$7:$B$306,"&lt;="&amp;DATE($B$3,2,21),'Leave log'!$C$7:$C$306,"&gt;="&amp;DATE($B$3,2,21),'Leave log'!$F$7:$F$306,"Pending")&gt;0,"P",""))))</f>
        <v/>
      </c>
      <c r="W44" s="23" t="str">
        <f>IF(A44="","",IF(IF(OR(DATE($B$3,2,22)&gt;EOMONTH(DATE($B$3,2,1),0),NETWORKDAYS.INTL(DATE($B$3,2,22),DATE($B$3,2,22),1,'Non-working days'!$A$6:$A$45)=0),"",IF(COUNTIFS('Leave log'!$A$7:$A$306,Employees!$A$9,'Leave log'!$B$7:$B$306,"&lt;="&amp;DATE($B$3,2,22),'Leave log'!$C$7:$C$306,"&gt;="&amp;DATE($B$3,2,22),'Leave log'!$F$7:$F$306,"Approved")&gt;0,"A",""))="A","A",IF(OR(DATE($B$3,2,22)&gt;EOMONTH(DATE($B$3,2,1),0),NETWORKDAYS.INTL(DATE($B$3,2,22),DATE($B$3,2,22),1,'Non-working days'!$A$6:$A$45)=0),"",IF(COUNTIFS('Leave log'!$A$7:$A$306,Employees!$A$9,'Leave log'!$B$7:$B$306,"&lt;="&amp;DATE($B$3,2,22),'Leave log'!$C$7:$C$306,"&gt;="&amp;DATE($B$3,2,22),'Leave log'!$F$7:$F$306,"Pending")&gt;0,"P",""))))</f>
        <v/>
      </c>
      <c r="X44" s="23" t="str">
        <f>IF(A44="","",IF(IF(OR(DATE($B$3,2,23)&gt;EOMONTH(DATE($B$3,2,1),0),NETWORKDAYS.INTL(DATE($B$3,2,23),DATE($B$3,2,23),1,'Non-working days'!$A$6:$A$45)=0),"",IF(COUNTIFS('Leave log'!$A$7:$A$306,Employees!$A$9,'Leave log'!$B$7:$B$306,"&lt;="&amp;DATE($B$3,2,23),'Leave log'!$C$7:$C$306,"&gt;="&amp;DATE($B$3,2,23),'Leave log'!$F$7:$F$306,"Approved")&gt;0,"A",""))="A","A",IF(OR(DATE($B$3,2,23)&gt;EOMONTH(DATE($B$3,2,1),0),NETWORKDAYS.INTL(DATE($B$3,2,23),DATE($B$3,2,23),1,'Non-working days'!$A$6:$A$45)=0),"",IF(COUNTIFS('Leave log'!$A$7:$A$306,Employees!$A$9,'Leave log'!$B$7:$B$306,"&lt;="&amp;DATE($B$3,2,23),'Leave log'!$C$7:$C$306,"&gt;="&amp;DATE($B$3,2,23),'Leave log'!$F$7:$F$306,"Pending")&gt;0,"P",""))))</f>
        <v/>
      </c>
      <c r="Y44" s="23" t="str">
        <f>IF(A44="","",IF(IF(OR(DATE($B$3,2,24)&gt;EOMONTH(DATE($B$3,2,1),0),NETWORKDAYS.INTL(DATE($B$3,2,24),DATE($B$3,2,24),1,'Non-working days'!$A$6:$A$45)=0),"",IF(COUNTIFS('Leave log'!$A$7:$A$306,Employees!$A$9,'Leave log'!$B$7:$B$306,"&lt;="&amp;DATE($B$3,2,24),'Leave log'!$C$7:$C$306,"&gt;="&amp;DATE($B$3,2,24),'Leave log'!$F$7:$F$306,"Approved")&gt;0,"A",""))="A","A",IF(OR(DATE($B$3,2,24)&gt;EOMONTH(DATE($B$3,2,1),0),NETWORKDAYS.INTL(DATE($B$3,2,24),DATE($B$3,2,24),1,'Non-working days'!$A$6:$A$45)=0),"",IF(COUNTIFS('Leave log'!$A$7:$A$306,Employees!$A$9,'Leave log'!$B$7:$B$306,"&lt;="&amp;DATE($B$3,2,24),'Leave log'!$C$7:$C$306,"&gt;="&amp;DATE($B$3,2,24),'Leave log'!$F$7:$F$306,"Pending")&gt;0,"P",""))))</f>
        <v/>
      </c>
      <c r="Z44" s="23" t="str">
        <f>IF(A44="","",IF(IF(OR(DATE($B$3,2,25)&gt;EOMONTH(DATE($B$3,2,1),0),NETWORKDAYS.INTL(DATE($B$3,2,25),DATE($B$3,2,25),1,'Non-working days'!$A$6:$A$45)=0),"",IF(COUNTIFS('Leave log'!$A$7:$A$306,Employees!$A$9,'Leave log'!$B$7:$B$306,"&lt;="&amp;DATE($B$3,2,25),'Leave log'!$C$7:$C$306,"&gt;="&amp;DATE($B$3,2,25),'Leave log'!$F$7:$F$306,"Approved")&gt;0,"A",""))="A","A",IF(OR(DATE($B$3,2,25)&gt;EOMONTH(DATE($B$3,2,1),0),NETWORKDAYS.INTL(DATE($B$3,2,25),DATE($B$3,2,25),1,'Non-working days'!$A$6:$A$45)=0),"",IF(COUNTIFS('Leave log'!$A$7:$A$306,Employees!$A$9,'Leave log'!$B$7:$B$306,"&lt;="&amp;DATE($B$3,2,25),'Leave log'!$C$7:$C$306,"&gt;="&amp;DATE($B$3,2,25),'Leave log'!$F$7:$F$306,"Pending")&gt;0,"P",""))))</f>
        <v/>
      </c>
      <c r="AA44" s="23" t="str">
        <f>IF(A44="","",IF(IF(OR(DATE($B$3,2,26)&gt;EOMONTH(DATE($B$3,2,1),0),NETWORKDAYS.INTL(DATE($B$3,2,26),DATE($B$3,2,26),1,'Non-working days'!$A$6:$A$45)=0),"",IF(COUNTIFS('Leave log'!$A$7:$A$306,Employees!$A$9,'Leave log'!$B$7:$B$306,"&lt;="&amp;DATE($B$3,2,26),'Leave log'!$C$7:$C$306,"&gt;="&amp;DATE($B$3,2,26),'Leave log'!$F$7:$F$306,"Approved")&gt;0,"A",""))="A","A",IF(OR(DATE($B$3,2,26)&gt;EOMONTH(DATE($B$3,2,1),0),NETWORKDAYS.INTL(DATE($B$3,2,26),DATE($B$3,2,26),1,'Non-working days'!$A$6:$A$45)=0),"",IF(COUNTIFS('Leave log'!$A$7:$A$306,Employees!$A$9,'Leave log'!$B$7:$B$306,"&lt;="&amp;DATE($B$3,2,26),'Leave log'!$C$7:$C$306,"&gt;="&amp;DATE($B$3,2,26),'Leave log'!$F$7:$F$306,"Pending")&gt;0,"P",""))))</f>
        <v/>
      </c>
      <c r="AB44" s="23" t="str">
        <f>IF(A44="","",IF(IF(OR(DATE($B$3,2,27)&gt;EOMONTH(DATE($B$3,2,1),0),NETWORKDAYS.INTL(DATE($B$3,2,27),DATE($B$3,2,27),1,'Non-working days'!$A$6:$A$45)=0),"",IF(COUNTIFS('Leave log'!$A$7:$A$306,Employees!$A$9,'Leave log'!$B$7:$B$306,"&lt;="&amp;DATE($B$3,2,27),'Leave log'!$C$7:$C$306,"&gt;="&amp;DATE($B$3,2,27),'Leave log'!$F$7:$F$306,"Approved")&gt;0,"A",""))="A","A",IF(OR(DATE($B$3,2,27)&gt;EOMONTH(DATE($B$3,2,1),0),NETWORKDAYS.INTL(DATE($B$3,2,27),DATE($B$3,2,27),1,'Non-working days'!$A$6:$A$45)=0),"",IF(COUNTIFS('Leave log'!$A$7:$A$306,Employees!$A$9,'Leave log'!$B$7:$B$306,"&lt;="&amp;DATE($B$3,2,27),'Leave log'!$C$7:$C$306,"&gt;="&amp;DATE($B$3,2,27),'Leave log'!$F$7:$F$306,"Pending")&gt;0,"P",""))))</f>
        <v/>
      </c>
      <c r="AC44" s="23" t="str">
        <f>IF(A44="","",IF(IF(OR(DATE($B$3,2,28)&gt;EOMONTH(DATE($B$3,2,1),0),NETWORKDAYS.INTL(DATE($B$3,2,28),DATE($B$3,2,28),1,'Non-working days'!$A$6:$A$45)=0),"",IF(COUNTIFS('Leave log'!$A$7:$A$306,Employees!$A$9,'Leave log'!$B$7:$B$306,"&lt;="&amp;DATE($B$3,2,28),'Leave log'!$C$7:$C$306,"&gt;="&amp;DATE($B$3,2,28),'Leave log'!$F$7:$F$306,"Approved")&gt;0,"A",""))="A","A",IF(OR(DATE($B$3,2,28)&gt;EOMONTH(DATE($B$3,2,1),0),NETWORKDAYS.INTL(DATE($B$3,2,28),DATE($B$3,2,28),1,'Non-working days'!$A$6:$A$45)=0),"",IF(COUNTIFS('Leave log'!$A$7:$A$306,Employees!$A$9,'Leave log'!$B$7:$B$306,"&lt;="&amp;DATE($B$3,2,28),'Leave log'!$C$7:$C$306,"&gt;="&amp;DATE($B$3,2,28),'Leave log'!$F$7:$F$306,"Pending")&gt;0,"P",""))))</f>
        <v/>
      </c>
      <c r="AD44" s="23" t="str">
        <f>IF(A44="","",IF(IF(OR(DATE($B$3,2,29)&gt;EOMONTH(DATE($B$3,2,1),0),NETWORKDAYS.INTL(DATE($B$3,2,29),DATE($B$3,2,29),1,'Non-working days'!$A$6:$A$45)=0),"",IF(COUNTIFS('Leave log'!$A$7:$A$306,Employees!$A$9,'Leave log'!$B$7:$B$306,"&lt;="&amp;DATE($B$3,2,29),'Leave log'!$C$7:$C$306,"&gt;="&amp;DATE($B$3,2,29),'Leave log'!$F$7:$F$306,"Approved")&gt;0,"A",""))="A","A",IF(OR(DATE($B$3,2,29)&gt;EOMONTH(DATE($B$3,2,1),0),NETWORKDAYS.INTL(DATE($B$3,2,29),DATE($B$3,2,29),1,'Non-working days'!$A$6:$A$45)=0),"",IF(COUNTIFS('Leave log'!$A$7:$A$306,Employees!$A$9,'Leave log'!$B$7:$B$306,"&lt;="&amp;DATE($B$3,2,29),'Leave log'!$C$7:$C$306,"&gt;="&amp;DATE($B$3,2,29),'Leave log'!$F$7:$F$306,"Pending")&gt;0,"P",""))))</f>
        <v/>
      </c>
      <c r="AE44" s="23" t="str">
        <f>IF(A44="","",IF(IF(OR(DATE($B$3,2,30)&gt;EOMONTH(DATE($B$3,2,1),0),NETWORKDAYS.INTL(DATE($B$3,2,30),DATE($B$3,2,30),1,'Non-working days'!$A$6:$A$45)=0),"",IF(COUNTIFS('Leave log'!$A$7:$A$306,Employees!$A$9,'Leave log'!$B$7:$B$306,"&lt;="&amp;DATE($B$3,2,30),'Leave log'!$C$7:$C$306,"&gt;="&amp;DATE($B$3,2,30),'Leave log'!$F$7:$F$306,"Approved")&gt;0,"A",""))="A","A",IF(OR(DATE($B$3,2,30)&gt;EOMONTH(DATE($B$3,2,1),0),NETWORKDAYS.INTL(DATE($B$3,2,30),DATE($B$3,2,30),1,'Non-working days'!$A$6:$A$45)=0),"",IF(COUNTIFS('Leave log'!$A$7:$A$306,Employees!$A$9,'Leave log'!$B$7:$B$306,"&lt;="&amp;DATE($B$3,2,30),'Leave log'!$C$7:$C$306,"&gt;="&amp;DATE($B$3,2,30),'Leave log'!$F$7:$F$306,"Pending")&gt;0,"P",""))))</f>
        <v/>
      </c>
      <c r="AF44" s="23" t="str">
        <f>IF(A44="","",IF(IF(OR(DATE($B$3,2,31)&gt;EOMONTH(DATE($B$3,2,1),0),NETWORKDAYS.INTL(DATE($B$3,2,31),DATE($B$3,2,31),1,'Non-working days'!$A$6:$A$45)=0),"",IF(COUNTIFS('Leave log'!$A$7:$A$306,Employees!$A$9,'Leave log'!$B$7:$B$306,"&lt;="&amp;DATE($B$3,2,31),'Leave log'!$C$7:$C$306,"&gt;="&amp;DATE($B$3,2,31),'Leave log'!$F$7:$F$306,"Approved")&gt;0,"A",""))="A","A",IF(OR(DATE($B$3,2,31)&gt;EOMONTH(DATE($B$3,2,1),0),NETWORKDAYS.INTL(DATE($B$3,2,31),DATE($B$3,2,31),1,'Non-working days'!$A$6:$A$45)=0),"",IF(COUNTIFS('Leave log'!$A$7:$A$306,Employees!$A$9,'Leave log'!$B$7:$B$306,"&lt;="&amp;DATE($B$3,2,31),'Leave log'!$C$7:$C$306,"&gt;="&amp;DATE($B$3,2,31),'Leave log'!$F$7:$F$306,"Pending")&gt;0,"P",""))))</f>
        <v/>
      </c>
    </row>
    <row r="45" spans="1:32" ht="18" customHeight="1" x14ac:dyDescent="0.3">
      <c r="A45" s="22" t="str">
        <f>IF(Employees!F10="Yes",Employees!B10,"")</f>
        <v/>
      </c>
      <c r="B45" s="23" t="str">
        <f>IF(A45="","",IF(IF(OR(DATE($B$3,2,1)&gt;EOMONTH(DATE($B$3,2,1),0),NETWORKDAYS.INTL(DATE($B$3,2,1),DATE($B$3,2,1),1,'Non-working days'!$A$6:$A$45)=0),"",IF(COUNTIFS('Leave log'!$A$7:$A$306,Employees!$A$10,'Leave log'!$B$7:$B$306,"&lt;="&amp;DATE($B$3,2,1),'Leave log'!$C$7:$C$306,"&gt;="&amp;DATE($B$3,2,1),'Leave log'!$F$7:$F$306,"Approved")&gt;0,"A",""))="A","A",IF(OR(DATE($B$3,2,1)&gt;EOMONTH(DATE($B$3,2,1),0),NETWORKDAYS.INTL(DATE($B$3,2,1),DATE($B$3,2,1),1,'Non-working days'!$A$6:$A$45)=0),"",IF(COUNTIFS('Leave log'!$A$7:$A$306,Employees!$A$10,'Leave log'!$B$7:$B$306,"&lt;="&amp;DATE($B$3,2,1),'Leave log'!$C$7:$C$306,"&gt;="&amp;DATE($B$3,2,1),'Leave log'!$F$7:$F$306,"Pending")&gt;0,"P",""))))</f>
        <v/>
      </c>
      <c r="C45" s="23" t="str">
        <f>IF(A45="","",IF(IF(OR(DATE($B$3,2,2)&gt;EOMONTH(DATE($B$3,2,1),0),NETWORKDAYS.INTL(DATE($B$3,2,2),DATE($B$3,2,2),1,'Non-working days'!$A$6:$A$45)=0),"",IF(COUNTIFS('Leave log'!$A$7:$A$306,Employees!$A$10,'Leave log'!$B$7:$B$306,"&lt;="&amp;DATE($B$3,2,2),'Leave log'!$C$7:$C$306,"&gt;="&amp;DATE($B$3,2,2),'Leave log'!$F$7:$F$306,"Approved")&gt;0,"A",""))="A","A",IF(OR(DATE($B$3,2,2)&gt;EOMONTH(DATE($B$3,2,1),0),NETWORKDAYS.INTL(DATE($B$3,2,2),DATE($B$3,2,2),1,'Non-working days'!$A$6:$A$45)=0),"",IF(COUNTIFS('Leave log'!$A$7:$A$306,Employees!$A$10,'Leave log'!$B$7:$B$306,"&lt;="&amp;DATE($B$3,2,2),'Leave log'!$C$7:$C$306,"&gt;="&amp;DATE($B$3,2,2),'Leave log'!$F$7:$F$306,"Pending")&gt;0,"P",""))))</f>
        <v/>
      </c>
      <c r="D45" s="23" t="str">
        <f>IF(A45="","",IF(IF(OR(DATE($B$3,2,3)&gt;EOMONTH(DATE($B$3,2,1),0),NETWORKDAYS.INTL(DATE($B$3,2,3),DATE($B$3,2,3),1,'Non-working days'!$A$6:$A$45)=0),"",IF(COUNTIFS('Leave log'!$A$7:$A$306,Employees!$A$10,'Leave log'!$B$7:$B$306,"&lt;="&amp;DATE($B$3,2,3),'Leave log'!$C$7:$C$306,"&gt;="&amp;DATE($B$3,2,3),'Leave log'!$F$7:$F$306,"Approved")&gt;0,"A",""))="A","A",IF(OR(DATE($B$3,2,3)&gt;EOMONTH(DATE($B$3,2,1),0),NETWORKDAYS.INTL(DATE($B$3,2,3),DATE($B$3,2,3),1,'Non-working days'!$A$6:$A$45)=0),"",IF(COUNTIFS('Leave log'!$A$7:$A$306,Employees!$A$10,'Leave log'!$B$7:$B$306,"&lt;="&amp;DATE($B$3,2,3),'Leave log'!$C$7:$C$306,"&gt;="&amp;DATE($B$3,2,3),'Leave log'!$F$7:$F$306,"Pending")&gt;0,"P",""))))</f>
        <v/>
      </c>
      <c r="E45" s="23" t="str">
        <f>IF(A45="","",IF(IF(OR(DATE($B$3,2,4)&gt;EOMONTH(DATE($B$3,2,1),0),NETWORKDAYS.INTL(DATE($B$3,2,4),DATE($B$3,2,4),1,'Non-working days'!$A$6:$A$45)=0),"",IF(COUNTIFS('Leave log'!$A$7:$A$306,Employees!$A$10,'Leave log'!$B$7:$B$306,"&lt;="&amp;DATE($B$3,2,4),'Leave log'!$C$7:$C$306,"&gt;="&amp;DATE($B$3,2,4),'Leave log'!$F$7:$F$306,"Approved")&gt;0,"A",""))="A","A",IF(OR(DATE($B$3,2,4)&gt;EOMONTH(DATE($B$3,2,1),0),NETWORKDAYS.INTL(DATE($B$3,2,4),DATE($B$3,2,4),1,'Non-working days'!$A$6:$A$45)=0),"",IF(COUNTIFS('Leave log'!$A$7:$A$306,Employees!$A$10,'Leave log'!$B$7:$B$306,"&lt;="&amp;DATE($B$3,2,4),'Leave log'!$C$7:$C$306,"&gt;="&amp;DATE($B$3,2,4),'Leave log'!$F$7:$F$306,"Pending")&gt;0,"P",""))))</f>
        <v/>
      </c>
      <c r="F45" s="23" t="str">
        <f>IF(A45="","",IF(IF(OR(DATE($B$3,2,5)&gt;EOMONTH(DATE($B$3,2,1),0),NETWORKDAYS.INTL(DATE($B$3,2,5),DATE($B$3,2,5),1,'Non-working days'!$A$6:$A$45)=0),"",IF(COUNTIFS('Leave log'!$A$7:$A$306,Employees!$A$10,'Leave log'!$B$7:$B$306,"&lt;="&amp;DATE($B$3,2,5),'Leave log'!$C$7:$C$306,"&gt;="&amp;DATE($B$3,2,5),'Leave log'!$F$7:$F$306,"Approved")&gt;0,"A",""))="A","A",IF(OR(DATE($B$3,2,5)&gt;EOMONTH(DATE($B$3,2,1),0),NETWORKDAYS.INTL(DATE($B$3,2,5),DATE($B$3,2,5),1,'Non-working days'!$A$6:$A$45)=0),"",IF(COUNTIFS('Leave log'!$A$7:$A$306,Employees!$A$10,'Leave log'!$B$7:$B$306,"&lt;="&amp;DATE($B$3,2,5),'Leave log'!$C$7:$C$306,"&gt;="&amp;DATE($B$3,2,5),'Leave log'!$F$7:$F$306,"Pending")&gt;0,"P",""))))</f>
        <v/>
      </c>
      <c r="G45" s="23" t="str">
        <f>IF(A45="","",IF(IF(OR(DATE($B$3,2,6)&gt;EOMONTH(DATE($B$3,2,1),0),NETWORKDAYS.INTL(DATE($B$3,2,6),DATE($B$3,2,6),1,'Non-working days'!$A$6:$A$45)=0),"",IF(COUNTIFS('Leave log'!$A$7:$A$306,Employees!$A$10,'Leave log'!$B$7:$B$306,"&lt;="&amp;DATE($B$3,2,6),'Leave log'!$C$7:$C$306,"&gt;="&amp;DATE($B$3,2,6),'Leave log'!$F$7:$F$306,"Approved")&gt;0,"A",""))="A","A",IF(OR(DATE($B$3,2,6)&gt;EOMONTH(DATE($B$3,2,1),0),NETWORKDAYS.INTL(DATE($B$3,2,6),DATE($B$3,2,6),1,'Non-working days'!$A$6:$A$45)=0),"",IF(COUNTIFS('Leave log'!$A$7:$A$306,Employees!$A$10,'Leave log'!$B$7:$B$306,"&lt;="&amp;DATE($B$3,2,6),'Leave log'!$C$7:$C$306,"&gt;="&amp;DATE($B$3,2,6),'Leave log'!$F$7:$F$306,"Pending")&gt;0,"P",""))))</f>
        <v/>
      </c>
      <c r="H45" s="23" t="str">
        <f>IF(A45="","",IF(IF(OR(DATE($B$3,2,7)&gt;EOMONTH(DATE($B$3,2,1),0),NETWORKDAYS.INTL(DATE($B$3,2,7),DATE($B$3,2,7),1,'Non-working days'!$A$6:$A$45)=0),"",IF(COUNTIFS('Leave log'!$A$7:$A$306,Employees!$A$10,'Leave log'!$B$7:$B$306,"&lt;="&amp;DATE($B$3,2,7),'Leave log'!$C$7:$C$306,"&gt;="&amp;DATE($B$3,2,7),'Leave log'!$F$7:$F$306,"Approved")&gt;0,"A",""))="A","A",IF(OR(DATE($B$3,2,7)&gt;EOMONTH(DATE($B$3,2,1),0),NETWORKDAYS.INTL(DATE($B$3,2,7),DATE($B$3,2,7),1,'Non-working days'!$A$6:$A$45)=0),"",IF(COUNTIFS('Leave log'!$A$7:$A$306,Employees!$A$10,'Leave log'!$B$7:$B$306,"&lt;="&amp;DATE($B$3,2,7),'Leave log'!$C$7:$C$306,"&gt;="&amp;DATE($B$3,2,7),'Leave log'!$F$7:$F$306,"Pending")&gt;0,"P",""))))</f>
        <v/>
      </c>
      <c r="I45" s="23" t="str">
        <f>IF(A45="","",IF(IF(OR(DATE($B$3,2,8)&gt;EOMONTH(DATE($B$3,2,1),0),NETWORKDAYS.INTL(DATE($B$3,2,8),DATE($B$3,2,8),1,'Non-working days'!$A$6:$A$45)=0),"",IF(COUNTIFS('Leave log'!$A$7:$A$306,Employees!$A$10,'Leave log'!$B$7:$B$306,"&lt;="&amp;DATE($B$3,2,8),'Leave log'!$C$7:$C$306,"&gt;="&amp;DATE($B$3,2,8),'Leave log'!$F$7:$F$306,"Approved")&gt;0,"A",""))="A","A",IF(OR(DATE($B$3,2,8)&gt;EOMONTH(DATE($B$3,2,1),0),NETWORKDAYS.INTL(DATE($B$3,2,8),DATE($B$3,2,8),1,'Non-working days'!$A$6:$A$45)=0),"",IF(COUNTIFS('Leave log'!$A$7:$A$306,Employees!$A$10,'Leave log'!$B$7:$B$306,"&lt;="&amp;DATE($B$3,2,8),'Leave log'!$C$7:$C$306,"&gt;="&amp;DATE($B$3,2,8),'Leave log'!$F$7:$F$306,"Pending")&gt;0,"P",""))))</f>
        <v/>
      </c>
      <c r="J45" s="23" t="str">
        <f>IF(A45="","",IF(IF(OR(DATE($B$3,2,9)&gt;EOMONTH(DATE($B$3,2,1),0),NETWORKDAYS.INTL(DATE($B$3,2,9),DATE($B$3,2,9),1,'Non-working days'!$A$6:$A$45)=0),"",IF(COUNTIFS('Leave log'!$A$7:$A$306,Employees!$A$10,'Leave log'!$B$7:$B$306,"&lt;="&amp;DATE($B$3,2,9),'Leave log'!$C$7:$C$306,"&gt;="&amp;DATE($B$3,2,9),'Leave log'!$F$7:$F$306,"Approved")&gt;0,"A",""))="A","A",IF(OR(DATE($B$3,2,9)&gt;EOMONTH(DATE($B$3,2,1),0),NETWORKDAYS.INTL(DATE($B$3,2,9),DATE($B$3,2,9),1,'Non-working days'!$A$6:$A$45)=0),"",IF(COUNTIFS('Leave log'!$A$7:$A$306,Employees!$A$10,'Leave log'!$B$7:$B$306,"&lt;="&amp;DATE($B$3,2,9),'Leave log'!$C$7:$C$306,"&gt;="&amp;DATE($B$3,2,9),'Leave log'!$F$7:$F$306,"Pending")&gt;0,"P",""))))</f>
        <v/>
      </c>
      <c r="K45" s="23" t="str">
        <f>IF(A45="","",IF(IF(OR(DATE($B$3,2,10)&gt;EOMONTH(DATE($B$3,2,1),0),NETWORKDAYS.INTL(DATE($B$3,2,10),DATE($B$3,2,10),1,'Non-working days'!$A$6:$A$45)=0),"",IF(COUNTIFS('Leave log'!$A$7:$A$306,Employees!$A$10,'Leave log'!$B$7:$B$306,"&lt;="&amp;DATE($B$3,2,10),'Leave log'!$C$7:$C$306,"&gt;="&amp;DATE($B$3,2,10),'Leave log'!$F$7:$F$306,"Approved")&gt;0,"A",""))="A","A",IF(OR(DATE($B$3,2,10)&gt;EOMONTH(DATE($B$3,2,1),0),NETWORKDAYS.INTL(DATE($B$3,2,10),DATE($B$3,2,10),1,'Non-working days'!$A$6:$A$45)=0),"",IF(COUNTIFS('Leave log'!$A$7:$A$306,Employees!$A$10,'Leave log'!$B$7:$B$306,"&lt;="&amp;DATE($B$3,2,10),'Leave log'!$C$7:$C$306,"&gt;="&amp;DATE($B$3,2,10),'Leave log'!$F$7:$F$306,"Pending")&gt;0,"P",""))))</f>
        <v/>
      </c>
      <c r="L45" s="23" t="str">
        <f>IF(A45="","",IF(IF(OR(DATE($B$3,2,11)&gt;EOMONTH(DATE($B$3,2,1),0),NETWORKDAYS.INTL(DATE($B$3,2,11),DATE($B$3,2,11),1,'Non-working days'!$A$6:$A$45)=0),"",IF(COUNTIFS('Leave log'!$A$7:$A$306,Employees!$A$10,'Leave log'!$B$7:$B$306,"&lt;="&amp;DATE($B$3,2,11),'Leave log'!$C$7:$C$306,"&gt;="&amp;DATE($B$3,2,11),'Leave log'!$F$7:$F$306,"Approved")&gt;0,"A",""))="A","A",IF(OR(DATE($B$3,2,11)&gt;EOMONTH(DATE($B$3,2,1),0),NETWORKDAYS.INTL(DATE($B$3,2,11),DATE($B$3,2,11),1,'Non-working days'!$A$6:$A$45)=0),"",IF(COUNTIFS('Leave log'!$A$7:$A$306,Employees!$A$10,'Leave log'!$B$7:$B$306,"&lt;="&amp;DATE($B$3,2,11),'Leave log'!$C$7:$C$306,"&gt;="&amp;DATE($B$3,2,11),'Leave log'!$F$7:$F$306,"Pending")&gt;0,"P",""))))</f>
        <v/>
      </c>
      <c r="M45" s="23" t="str">
        <f>IF(A45="","",IF(IF(OR(DATE($B$3,2,12)&gt;EOMONTH(DATE($B$3,2,1),0),NETWORKDAYS.INTL(DATE($B$3,2,12),DATE($B$3,2,12),1,'Non-working days'!$A$6:$A$45)=0),"",IF(COUNTIFS('Leave log'!$A$7:$A$306,Employees!$A$10,'Leave log'!$B$7:$B$306,"&lt;="&amp;DATE($B$3,2,12),'Leave log'!$C$7:$C$306,"&gt;="&amp;DATE($B$3,2,12),'Leave log'!$F$7:$F$306,"Approved")&gt;0,"A",""))="A","A",IF(OR(DATE($B$3,2,12)&gt;EOMONTH(DATE($B$3,2,1),0),NETWORKDAYS.INTL(DATE($B$3,2,12),DATE($B$3,2,12),1,'Non-working days'!$A$6:$A$45)=0),"",IF(COUNTIFS('Leave log'!$A$7:$A$306,Employees!$A$10,'Leave log'!$B$7:$B$306,"&lt;="&amp;DATE($B$3,2,12),'Leave log'!$C$7:$C$306,"&gt;="&amp;DATE($B$3,2,12),'Leave log'!$F$7:$F$306,"Pending")&gt;0,"P",""))))</f>
        <v/>
      </c>
      <c r="N45" s="23" t="str">
        <f>IF(A45="","",IF(IF(OR(DATE($B$3,2,13)&gt;EOMONTH(DATE($B$3,2,1),0),NETWORKDAYS.INTL(DATE($B$3,2,13),DATE($B$3,2,13),1,'Non-working days'!$A$6:$A$45)=0),"",IF(COUNTIFS('Leave log'!$A$7:$A$306,Employees!$A$10,'Leave log'!$B$7:$B$306,"&lt;="&amp;DATE($B$3,2,13),'Leave log'!$C$7:$C$306,"&gt;="&amp;DATE($B$3,2,13),'Leave log'!$F$7:$F$306,"Approved")&gt;0,"A",""))="A","A",IF(OR(DATE($B$3,2,13)&gt;EOMONTH(DATE($B$3,2,1),0),NETWORKDAYS.INTL(DATE($B$3,2,13),DATE($B$3,2,13),1,'Non-working days'!$A$6:$A$45)=0),"",IF(COUNTIFS('Leave log'!$A$7:$A$306,Employees!$A$10,'Leave log'!$B$7:$B$306,"&lt;="&amp;DATE($B$3,2,13),'Leave log'!$C$7:$C$306,"&gt;="&amp;DATE($B$3,2,13),'Leave log'!$F$7:$F$306,"Pending")&gt;0,"P",""))))</f>
        <v/>
      </c>
      <c r="O45" s="23" t="str">
        <f>IF(A45="","",IF(IF(OR(DATE($B$3,2,14)&gt;EOMONTH(DATE($B$3,2,1),0),NETWORKDAYS.INTL(DATE($B$3,2,14),DATE($B$3,2,14),1,'Non-working days'!$A$6:$A$45)=0),"",IF(COUNTIFS('Leave log'!$A$7:$A$306,Employees!$A$10,'Leave log'!$B$7:$B$306,"&lt;="&amp;DATE($B$3,2,14),'Leave log'!$C$7:$C$306,"&gt;="&amp;DATE($B$3,2,14),'Leave log'!$F$7:$F$306,"Approved")&gt;0,"A",""))="A","A",IF(OR(DATE($B$3,2,14)&gt;EOMONTH(DATE($B$3,2,1),0),NETWORKDAYS.INTL(DATE($B$3,2,14),DATE($B$3,2,14),1,'Non-working days'!$A$6:$A$45)=0),"",IF(COUNTIFS('Leave log'!$A$7:$A$306,Employees!$A$10,'Leave log'!$B$7:$B$306,"&lt;="&amp;DATE($B$3,2,14),'Leave log'!$C$7:$C$306,"&gt;="&amp;DATE($B$3,2,14),'Leave log'!$F$7:$F$306,"Pending")&gt;0,"P",""))))</f>
        <v/>
      </c>
      <c r="P45" s="23" t="str">
        <f>IF(A45="","",IF(IF(OR(DATE($B$3,2,15)&gt;EOMONTH(DATE($B$3,2,1),0),NETWORKDAYS.INTL(DATE($B$3,2,15),DATE($B$3,2,15),1,'Non-working days'!$A$6:$A$45)=0),"",IF(COUNTIFS('Leave log'!$A$7:$A$306,Employees!$A$10,'Leave log'!$B$7:$B$306,"&lt;="&amp;DATE($B$3,2,15),'Leave log'!$C$7:$C$306,"&gt;="&amp;DATE($B$3,2,15),'Leave log'!$F$7:$F$306,"Approved")&gt;0,"A",""))="A","A",IF(OR(DATE($B$3,2,15)&gt;EOMONTH(DATE($B$3,2,1),0),NETWORKDAYS.INTL(DATE($B$3,2,15),DATE($B$3,2,15),1,'Non-working days'!$A$6:$A$45)=0),"",IF(COUNTIFS('Leave log'!$A$7:$A$306,Employees!$A$10,'Leave log'!$B$7:$B$306,"&lt;="&amp;DATE($B$3,2,15),'Leave log'!$C$7:$C$306,"&gt;="&amp;DATE($B$3,2,15),'Leave log'!$F$7:$F$306,"Pending")&gt;0,"P",""))))</f>
        <v/>
      </c>
      <c r="Q45" s="23" t="str">
        <f>IF(A45="","",IF(IF(OR(DATE($B$3,2,16)&gt;EOMONTH(DATE($B$3,2,1),0),NETWORKDAYS.INTL(DATE($B$3,2,16),DATE($B$3,2,16),1,'Non-working days'!$A$6:$A$45)=0),"",IF(COUNTIFS('Leave log'!$A$7:$A$306,Employees!$A$10,'Leave log'!$B$7:$B$306,"&lt;="&amp;DATE($B$3,2,16),'Leave log'!$C$7:$C$306,"&gt;="&amp;DATE($B$3,2,16),'Leave log'!$F$7:$F$306,"Approved")&gt;0,"A",""))="A","A",IF(OR(DATE($B$3,2,16)&gt;EOMONTH(DATE($B$3,2,1),0),NETWORKDAYS.INTL(DATE($B$3,2,16),DATE($B$3,2,16),1,'Non-working days'!$A$6:$A$45)=0),"",IF(COUNTIFS('Leave log'!$A$7:$A$306,Employees!$A$10,'Leave log'!$B$7:$B$306,"&lt;="&amp;DATE($B$3,2,16),'Leave log'!$C$7:$C$306,"&gt;="&amp;DATE($B$3,2,16),'Leave log'!$F$7:$F$306,"Pending")&gt;0,"P",""))))</f>
        <v/>
      </c>
      <c r="R45" s="23" t="str">
        <f>IF(A45="","",IF(IF(OR(DATE($B$3,2,17)&gt;EOMONTH(DATE($B$3,2,1),0),NETWORKDAYS.INTL(DATE($B$3,2,17),DATE($B$3,2,17),1,'Non-working days'!$A$6:$A$45)=0),"",IF(COUNTIFS('Leave log'!$A$7:$A$306,Employees!$A$10,'Leave log'!$B$7:$B$306,"&lt;="&amp;DATE($B$3,2,17),'Leave log'!$C$7:$C$306,"&gt;="&amp;DATE($B$3,2,17),'Leave log'!$F$7:$F$306,"Approved")&gt;0,"A",""))="A","A",IF(OR(DATE($B$3,2,17)&gt;EOMONTH(DATE($B$3,2,1),0),NETWORKDAYS.INTL(DATE($B$3,2,17),DATE($B$3,2,17),1,'Non-working days'!$A$6:$A$45)=0),"",IF(COUNTIFS('Leave log'!$A$7:$A$306,Employees!$A$10,'Leave log'!$B$7:$B$306,"&lt;="&amp;DATE($B$3,2,17),'Leave log'!$C$7:$C$306,"&gt;="&amp;DATE($B$3,2,17),'Leave log'!$F$7:$F$306,"Pending")&gt;0,"P",""))))</f>
        <v/>
      </c>
      <c r="S45" s="23" t="str">
        <f>IF(A45="","",IF(IF(OR(DATE($B$3,2,18)&gt;EOMONTH(DATE($B$3,2,1),0),NETWORKDAYS.INTL(DATE($B$3,2,18),DATE($B$3,2,18),1,'Non-working days'!$A$6:$A$45)=0),"",IF(COUNTIFS('Leave log'!$A$7:$A$306,Employees!$A$10,'Leave log'!$B$7:$B$306,"&lt;="&amp;DATE($B$3,2,18),'Leave log'!$C$7:$C$306,"&gt;="&amp;DATE($B$3,2,18),'Leave log'!$F$7:$F$306,"Approved")&gt;0,"A",""))="A","A",IF(OR(DATE($B$3,2,18)&gt;EOMONTH(DATE($B$3,2,1),0),NETWORKDAYS.INTL(DATE($B$3,2,18),DATE($B$3,2,18),1,'Non-working days'!$A$6:$A$45)=0),"",IF(COUNTIFS('Leave log'!$A$7:$A$306,Employees!$A$10,'Leave log'!$B$7:$B$306,"&lt;="&amp;DATE($B$3,2,18),'Leave log'!$C$7:$C$306,"&gt;="&amp;DATE($B$3,2,18),'Leave log'!$F$7:$F$306,"Pending")&gt;0,"P",""))))</f>
        <v/>
      </c>
      <c r="T45" s="23" t="str">
        <f>IF(A45="","",IF(IF(OR(DATE($B$3,2,19)&gt;EOMONTH(DATE($B$3,2,1),0),NETWORKDAYS.INTL(DATE($B$3,2,19),DATE($B$3,2,19),1,'Non-working days'!$A$6:$A$45)=0),"",IF(COUNTIFS('Leave log'!$A$7:$A$306,Employees!$A$10,'Leave log'!$B$7:$B$306,"&lt;="&amp;DATE($B$3,2,19),'Leave log'!$C$7:$C$306,"&gt;="&amp;DATE($B$3,2,19),'Leave log'!$F$7:$F$306,"Approved")&gt;0,"A",""))="A","A",IF(OR(DATE($B$3,2,19)&gt;EOMONTH(DATE($B$3,2,1),0),NETWORKDAYS.INTL(DATE($B$3,2,19),DATE($B$3,2,19),1,'Non-working days'!$A$6:$A$45)=0),"",IF(COUNTIFS('Leave log'!$A$7:$A$306,Employees!$A$10,'Leave log'!$B$7:$B$306,"&lt;="&amp;DATE($B$3,2,19),'Leave log'!$C$7:$C$306,"&gt;="&amp;DATE($B$3,2,19),'Leave log'!$F$7:$F$306,"Pending")&gt;0,"P",""))))</f>
        <v/>
      </c>
      <c r="U45" s="23" t="str">
        <f>IF(A45="","",IF(IF(OR(DATE($B$3,2,20)&gt;EOMONTH(DATE($B$3,2,1),0),NETWORKDAYS.INTL(DATE($B$3,2,20),DATE($B$3,2,20),1,'Non-working days'!$A$6:$A$45)=0),"",IF(COUNTIFS('Leave log'!$A$7:$A$306,Employees!$A$10,'Leave log'!$B$7:$B$306,"&lt;="&amp;DATE($B$3,2,20),'Leave log'!$C$7:$C$306,"&gt;="&amp;DATE($B$3,2,20),'Leave log'!$F$7:$F$306,"Approved")&gt;0,"A",""))="A","A",IF(OR(DATE($B$3,2,20)&gt;EOMONTH(DATE($B$3,2,1),0),NETWORKDAYS.INTL(DATE($B$3,2,20),DATE($B$3,2,20),1,'Non-working days'!$A$6:$A$45)=0),"",IF(COUNTIFS('Leave log'!$A$7:$A$306,Employees!$A$10,'Leave log'!$B$7:$B$306,"&lt;="&amp;DATE($B$3,2,20),'Leave log'!$C$7:$C$306,"&gt;="&amp;DATE($B$3,2,20),'Leave log'!$F$7:$F$306,"Pending")&gt;0,"P",""))))</f>
        <v/>
      </c>
      <c r="V45" s="23" t="str">
        <f>IF(A45="","",IF(IF(OR(DATE($B$3,2,21)&gt;EOMONTH(DATE($B$3,2,1),0),NETWORKDAYS.INTL(DATE($B$3,2,21),DATE($B$3,2,21),1,'Non-working days'!$A$6:$A$45)=0),"",IF(COUNTIFS('Leave log'!$A$7:$A$306,Employees!$A$10,'Leave log'!$B$7:$B$306,"&lt;="&amp;DATE($B$3,2,21),'Leave log'!$C$7:$C$306,"&gt;="&amp;DATE($B$3,2,21),'Leave log'!$F$7:$F$306,"Approved")&gt;0,"A",""))="A","A",IF(OR(DATE($B$3,2,21)&gt;EOMONTH(DATE($B$3,2,1),0),NETWORKDAYS.INTL(DATE($B$3,2,21),DATE($B$3,2,21),1,'Non-working days'!$A$6:$A$45)=0),"",IF(COUNTIFS('Leave log'!$A$7:$A$306,Employees!$A$10,'Leave log'!$B$7:$B$306,"&lt;="&amp;DATE($B$3,2,21),'Leave log'!$C$7:$C$306,"&gt;="&amp;DATE($B$3,2,21),'Leave log'!$F$7:$F$306,"Pending")&gt;0,"P",""))))</f>
        <v/>
      </c>
      <c r="W45" s="23" t="str">
        <f>IF(A45="","",IF(IF(OR(DATE($B$3,2,22)&gt;EOMONTH(DATE($B$3,2,1),0),NETWORKDAYS.INTL(DATE($B$3,2,22),DATE($B$3,2,22),1,'Non-working days'!$A$6:$A$45)=0),"",IF(COUNTIFS('Leave log'!$A$7:$A$306,Employees!$A$10,'Leave log'!$B$7:$B$306,"&lt;="&amp;DATE($B$3,2,22),'Leave log'!$C$7:$C$306,"&gt;="&amp;DATE($B$3,2,22),'Leave log'!$F$7:$F$306,"Approved")&gt;0,"A",""))="A","A",IF(OR(DATE($B$3,2,22)&gt;EOMONTH(DATE($B$3,2,1),0),NETWORKDAYS.INTL(DATE($B$3,2,22),DATE($B$3,2,22),1,'Non-working days'!$A$6:$A$45)=0),"",IF(COUNTIFS('Leave log'!$A$7:$A$306,Employees!$A$10,'Leave log'!$B$7:$B$306,"&lt;="&amp;DATE($B$3,2,22),'Leave log'!$C$7:$C$306,"&gt;="&amp;DATE($B$3,2,22),'Leave log'!$F$7:$F$306,"Pending")&gt;0,"P",""))))</f>
        <v/>
      </c>
      <c r="X45" s="23" t="str">
        <f>IF(A45="","",IF(IF(OR(DATE($B$3,2,23)&gt;EOMONTH(DATE($B$3,2,1),0),NETWORKDAYS.INTL(DATE($B$3,2,23),DATE($B$3,2,23),1,'Non-working days'!$A$6:$A$45)=0),"",IF(COUNTIFS('Leave log'!$A$7:$A$306,Employees!$A$10,'Leave log'!$B$7:$B$306,"&lt;="&amp;DATE($B$3,2,23),'Leave log'!$C$7:$C$306,"&gt;="&amp;DATE($B$3,2,23),'Leave log'!$F$7:$F$306,"Approved")&gt;0,"A",""))="A","A",IF(OR(DATE($B$3,2,23)&gt;EOMONTH(DATE($B$3,2,1),0),NETWORKDAYS.INTL(DATE($B$3,2,23),DATE($B$3,2,23),1,'Non-working days'!$A$6:$A$45)=0),"",IF(COUNTIFS('Leave log'!$A$7:$A$306,Employees!$A$10,'Leave log'!$B$7:$B$306,"&lt;="&amp;DATE($B$3,2,23),'Leave log'!$C$7:$C$306,"&gt;="&amp;DATE($B$3,2,23),'Leave log'!$F$7:$F$306,"Pending")&gt;0,"P",""))))</f>
        <v/>
      </c>
      <c r="Y45" s="23" t="str">
        <f>IF(A45="","",IF(IF(OR(DATE($B$3,2,24)&gt;EOMONTH(DATE($B$3,2,1),0),NETWORKDAYS.INTL(DATE($B$3,2,24),DATE($B$3,2,24),1,'Non-working days'!$A$6:$A$45)=0),"",IF(COUNTIFS('Leave log'!$A$7:$A$306,Employees!$A$10,'Leave log'!$B$7:$B$306,"&lt;="&amp;DATE($B$3,2,24),'Leave log'!$C$7:$C$306,"&gt;="&amp;DATE($B$3,2,24),'Leave log'!$F$7:$F$306,"Approved")&gt;0,"A",""))="A","A",IF(OR(DATE($B$3,2,24)&gt;EOMONTH(DATE($B$3,2,1),0),NETWORKDAYS.INTL(DATE($B$3,2,24),DATE($B$3,2,24),1,'Non-working days'!$A$6:$A$45)=0),"",IF(COUNTIFS('Leave log'!$A$7:$A$306,Employees!$A$10,'Leave log'!$B$7:$B$306,"&lt;="&amp;DATE($B$3,2,24),'Leave log'!$C$7:$C$306,"&gt;="&amp;DATE($B$3,2,24),'Leave log'!$F$7:$F$306,"Pending")&gt;0,"P",""))))</f>
        <v/>
      </c>
      <c r="Z45" s="23" t="str">
        <f>IF(A45="","",IF(IF(OR(DATE($B$3,2,25)&gt;EOMONTH(DATE($B$3,2,1),0),NETWORKDAYS.INTL(DATE($B$3,2,25),DATE($B$3,2,25),1,'Non-working days'!$A$6:$A$45)=0),"",IF(COUNTIFS('Leave log'!$A$7:$A$306,Employees!$A$10,'Leave log'!$B$7:$B$306,"&lt;="&amp;DATE($B$3,2,25),'Leave log'!$C$7:$C$306,"&gt;="&amp;DATE($B$3,2,25),'Leave log'!$F$7:$F$306,"Approved")&gt;0,"A",""))="A","A",IF(OR(DATE($B$3,2,25)&gt;EOMONTH(DATE($B$3,2,1),0),NETWORKDAYS.INTL(DATE($B$3,2,25),DATE($B$3,2,25),1,'Non-working days'!$A$6:$A$45)=0),"",IF(COUNTIFS('Leave log'!$A$7:$A$306,Employees!$A$10,'Leave log'!$B$7:$B$306,"&lt;="&amp;DATE($B$3,2,25),'Leave log'!$C$7:$C$306,"&gt;="&amp;DATE($B$3,2,25),'Leave log'!$F$7:$F$306,"Pending")&gt;0,"P",""))))</f>
        <v/>
      </c>
      <c r="AA45" s="23" t="str">
        <f>IF(A45="","",IF(IF(OR(DATE($B$3,2,26)&gt;EOMONTH(DATE($B$3,2,1),0),NETWORKDAYS.INTL(DATE($B$3,2,26),DATE($B$3,2,26),1,'Non-working days'!$A$6:$A$45)=0),"",IF(COUNTIFS('Leave log'!$A$7:$A$306,Employees!$A$10,'Leave log'!$B$7:$B$306,"&lt;="&amp;DATE($B$3,2,26),'Leave log'!$C$7:$C$306,"&gt;="&amp;DATE($B$3,2,26),'Leave log'!$F$7:$F$306,"Approved")&gt;0,"A",""))="A","A",IF(OR(DATE($B$3,2,26)&gt;EOMONTH(DATE($B$3,2,1),0),NETWORKDAYS.INTL(DATE($B$3,2,26),DATE($B$3,2,26),1,'Non-working days'!$A$6:$A$45)=0),"",IF(COUNTIFS('Leave log'!$A$7:$A$306,Employees!$A$10,'Leave log'!$B$7:$B$306,"&lt;="&amp;DATE($B$3,2,26),'Leave log'!$C$7:$C$306,"&gt;="&amp;DATE($B$3,2,26),'Leave log'!$F$7:$F$306,"Pending")&gt;0,"P",""))))</f>
        <v/>
      </c>
      <c r="AB45" s="23" t="str">
        <f>IF(A45="","",IF(IF(OR(DATE($B$3,2,27)&gt;EOMONTH(DATE($B$3,2,1),0),NETWORKDAYS.INTL(DATE($B$3,2,27),DATE($B$3,2,27),1,'Non-working days'!$A$6:$A$45)=0),"",IF(COUNTIFS('Leave log'!$A$7:$A$306,Employees!$A$10,'Leave log'!$B$7:$B$306,"&lt;="&amp;DATE($B$3,2,27),'Leave log'!$C$7:$C$306,"&gt;="&amp;DATE($B$3,2,27),'Leave log'!$F$7:$F$306,"Approved")&gt;0,"A",""))="A","A",IF(OR(DATE($B$3,2,27)&gt;EOMONTH(DATE($B$3,2,1),0),NETWORKDAYS.INTL(DATE($B$3,2,27),DATE($B$3,2,27),1,'Non-working days'!$A$6:$A$45)=0),"",IF(COUNTIFS('Leave log'!$A$7:$A$306,Employees!$A$10,'Leave log'!$B$7:$B$306,"&lt;="&amp;DATE($B$3,2,27),'Leave log'!$C$7:$C$306,"&gt;="&amp;DATE($B$3,2,27),'Leave log'!$F$7:$F$306,"Pending")&gt;0,"P",""))))</f>
        <v/>
      </c>
      <c r="AC45" s="23" t="str">
        <f>IF(A45="","",IF(IF(OR(DATE($B$3,2,28)&gt;EOMONTH(DATE($B$3,2,1),0),NETWORKDAYS.INTL(DATE($B$3,2,28),DATE($B$3,2,28),1,'Non-working days'!$A$6:$A$45)=0),"",IF(COUNTIFS('Leave log'!$A$7:$A$306,Employees!$A$10,'Leave log'!$B$7:$B$306,"&lt;="&amp;DATE($B$3,2,28),'Leave log'!$C$7:$C$306,"&gt;="&amp;DATE($B$3,2,28),'Leave log'!$F$7:$F$306,"Approved")&gt;0,"A",""))="A","A",IF(OR(DATE($B$3,2,28)&gt;EOMONTH(DATE($B$3,2,1),0),NETWORKDAYS.INTL(DATE($B$3,2,28),DATE($B$3,2,28),1,'Non-working days'!$A$6:$A$45)=0),"",IF(COUNTIFS('Leave log'!$A$7:$A$306,Employees!$A$10,'Leave log'!$B$7:$B$306,"&lt;="&amp;DATE($B$3,2,28),'Leave log'!$C$7:$C$306,"&gt;="&amp;DATE($B$3,2,28),'Leave log'!$F$7:$F$306,"Pending")&gt;0,"P",""))))</f>
        <v/>
      </c>
      <c r="AD45" s="23" t="str">
        <f>IF(A45="","",IF(IF(OR(DATE($B$3,2,29)&gt;EOMONTH(DATE($B$3,2,1),0),NETWORKDAYS.INTL(DATE($B$3,2,29),DATE($B$3,2,29),1,'Non-working days'!$A$6:$A$45)=0),"",IF(COUNTIFS('Leave log'!$A$7:$A$306,Employees!$A$10,'Leave log'!$B$7:$B$306,"&lt;="&amp;DATE($B$3,2,29),'Leave log'!$C$7:$C$306,"&gt;="&amp;DATE($B$3,2,29),'Leave log'!$F$7:$F$306,"Approved")&gt;0,"A",""))="A","A",IF(OR(DATE($B$3,2,29)&gt;EOMONTH(DATE($B$3,2,1),0),NETWORKDAYS.INTL(DATE($B$3,2,29),DATE($B$3,2,29),1,'Non-working days'!$A$6:$A$45)=0),"",IF(COUNTIFS('Leave log'!$A$7:$A$306,Employees!$A$10,'Leave log'!$B$7:$B$306,"&lt;="&amp;DATE($B$3,2,29),'Leave log'!$C$7:$C$306,"&gt;="&amp;DATE($B$3,2,29),'Leave log'!$F$7:$F$306,"Pending")&gt;0,"P",""))))</f>
        <v/>
      </c>
      <c r="AE45" s="23" t="str">
        <f>IF(A45="","",IF(IF(OR(DATE($B$3,2,30)&gt;EOMONTH(DATE($B$3,2,1),0),NETWORKDAYS.INTL(DATE($B$3,2,30),DATE($B$3,2,30),1,'Non-working days'!$A$6:$A$45)=0),"",IF(COUNTIFS('Leave log'!$A$7:$A$306,Employees!$A$10,'Leave log'!$B$7:$B$306,"&lt;="&amp;DATE($B$3,2,30),'Leave log'!$C$7:$C$306,"&gt;="&amp;DATE($B$3,2,30),'Leave log'!$F$7:$F$306,"Approved")&gt;0,"A",""))="A","A",IF(OR(DATE($B$3,2,30)&gt;EOMONTH(DATE($B$3,2,1),0),NETWORKDAYS.INTL(DATE($B$3,2,30),DATE($B$3,2,30),1,'Non-working days'!$A$6:$A$45)=0),"",IF(COUNTIFS('Leave log'!$A$7:$A$306,Employees!$A$10,'Leave log'!$B$7:$B$306,"&lt;="&amp;DATE($B$3,2,30),'Leave log'!$C$7:$C$306,"&gt;="&amp;DATE($B$3,2,30),'Leave log'!$F$7:$F$306,"Pending")&gt;0,"P",""))))</f>
        <v/>
      </c>
      <c r="AF45" s="23" t="str">
        <f>IF(A45="","",IF(IF(OR(DATE($B$3,2,31)&gt;EOMONTH(DATE($B$3,2,1),0),NETWORKDAYS.INTL(DATE($B$3,2,31),DATE($B$3,2,31),1,'Non-working days'!$A$6:$A$45)=0),"",IF(COUNTIFS('Leave log'!$A$7:$A$306,Employees!$A$10,'Leave log'!$B$7:$B$306,"&lt;="&amp;DATE($B$3,2,31),'Leave log'!$C$7:$C$306,"&gt;="&amp;DATE($B$3,2,31),'Leave log'!$F$7:$F$306,"Approved")&gt;0,"A",""))="A","A",IF(OR(DATE($B$3,2,31)&gt;EOMONTH(DATE($B$3,2,1),0),NETWORKDAYS.INTL(DATE($B$3,2,31),DATE($B$3,2,31),1,'Non-working days'!$A$6:$A$45)=0),"",IF(COUNTIFS('Leave log'!$A$7:$A$306,Employees!$A$10,'Leave log'!$B$7:$B$306,"&lt;="&amp;DATE($B$3,2,31),'Leave log'!$C$7:$C$306,"&gt;="&amp;DATE($B$3,2,31),'Leave log'!$F$7:$F$306,"Pending")&gt;0,"P",""))))</f>
        <v/>
      </c>
    </row>
    <row r="46" spans="1:32" ht="18" customHeight="1" x14ac:dyDescent="0.3">
      <c r="A46" s="22" t="str">
        <f>IF(Employees!F11="Yes",Employees!B11,"")</f>
        <v/>
      </c>
      <c r="B46" s="23" t="str">
        <f>IF(A46="","",IF(IF(OR(DATE($B$3,2,1)&gt;EOMONTH(DATE($B$3,2,1),0),NETWORKDAYS.INTL(DATE($B$3,2,1),DATE($B$3,2,1),1,'Non-working days'!$A$6:$A$45)=0),"",IF(COUNTIFS('Leave log'!$A$7:$A$306,Employees!$A$11,'Leave log'!$B$7:$B$306,"&lt;="&amp;DATE($B$3,2,1),'Leave log'!$C$7:$C$306,"&gt;="&amp;DATE($B$3,2,1),'Leave log'!$F$7:$F$306,"Approved")&gt;0,"A",""))="A","A",IF(OR(DATE($B$3,2,1)&gt;EOMONTH(DATE($B$3,2,1),0),NETWORKDAYS.INTL(DATE($B$3,2,1),DATE($B$3,2,1),1,'Non-working days'!$A$6:$A$45)=0),"",IF(COUNTIFS('Leave log'!$A$7:$A$306,Employees!$A$11,'Leave log'!$B$7:$B$306,"&lt;="&amp;DATE($B$3,2,1),'Leave log'!$C$7:$C$306,"&gt;="&amp;DATE($B$3,2,1),'Leave log'!$F$7:$F$306,"Pending")&gt;0,"P",""))))</f>
        <v/>
      </c>
      <c r="C46" s="23" t="str">
        <f>IF(A46="","",IF(IF(OR(DATE($B$3,2,2)&gt;EOMONTH(DATE($B$3,2,1),0),NETWORKDAYS.INTL(DATE($B$3,2,2),DATE($B$3,2,2),1,'Non-working days'!$A$6:$A$45)=0),"",IF(COUNTIFS('Leave log'!$A$7:$A$306,Employees!$A$11,'Leave log'!$B$7:$B$306,"&lt;="&amp;DATE($B$3,2,2),'Leave log'!$C$7:$C$306,"&gt;="&amp;DATE($B$3,2,2),'Leave log'!$F$7:$F$306,"Approved")&gt;0,"A",""))="A","A",IF(OR(DATE($B$3,2,2)&gt;EOMONTH(DATE($B$3,2,1),0),NETWORKDAYS.INTL(DATE($B$3,2,2),DATE($B$3,2,2),1,'Non-working days'!$A$6:$A$45)=0),"",IF(COUNTIFS('Leave log'!$A$7:$A$306,Employees!$A$11,'Leave log'!$B$7:$B$306,"&lt;="&amp;DATE($B$3,2,2),'Leave log'!$C$7:$C$306,"&gt;="&amp;DATE($B$3,2,2),'Leave log'!$F$7:$F$306,"Pending")&gt;0,"P",""))))</f>
        <v/>
      </c>
      <c r="D46" s="23" t="str">
        <f>IF(A46="","",IF(IF(OR(DATE($B$3,2,3)&gt;EOMONTH(DATE($B$3,2,1),0),NETWORKDAYS.INTL(DATE($B$3,2,3),DATE($B$3,2,3),1,'Non-working days'!$A$6:$A$45)=0),"",IF(COUNTIFS('Leave log'!$A$7:$A$306,Employees!$A$11,'Leave log'!$B$7:$B$306,"&lt;="&amp;DATE($B$3,2,3),'Leave log'!$C$7:$C$306,"&gt;="&amp;DATE($B$3,2,3),'Leave log'!$F$7:$F$306,"Approved")&gt;0,"A",""))="A","A",IF(OR(DATE($B$3,2,3)&gt;EOMONTH(DATE($B$3,2,1),0),NETWORKDAYS.INTL(DATE($B$3,2,3),DATE($B$3,2,3),1,'Non-working days'!$A$6:$A$45)=0),"",IF(COUNTIFS('Leave log'!$A$7:$A$306,Employees!$A$11,'Leave log'!$B$7:$B$306,"&lt;="&amp;DATE($B$3,2,3),'Leave log'!$C$7:$C$306,"&gt;="&amp;DATE($B$3,2,3),'Leave log'!$F$7:$F$306,"Pending")&gt;0,"P",""))))</f>
        <v/>
      </c>
      <c r="E46" s="23" t="str">
        <f>IF(A46="","",IF(IF(OR(DATE($B$3,2,4)&gt;EOMONTH(DATE($B$3,2,1),0),NETWORKDAYS.INTL(DATE($B$3,2,4),DATE($B$3,2,4),1,'Non-working days'!$A$6:$A$45)=0),"",IF(COUNTIFS('Leave log'!$A$7:$A$306,Employees!$A$11,'Leave log'!$B$7:$B$306,"&lt;="&amp;DATE($B$3,2,4),'Leave log'!$C$7:$C$306,"&gt;="&amp;DATE($B$3,2,4),'Leave log'!$F$7:$F$306,"Approved")&gt;0,"A",""))="A","A",IF(OR(DATE($B$3,2,4)&gt;EOMONTH(DATE($B$3,2,1),0),NETWORKDAYS.INTL(DATE($B$3,2,4),DATE($B$3,2,4),1,'Non-working days'!$A$6:$A$45)=0),"",IF(COUNTIFS('Leave log'!$A$7:$A$306,Employees!$A$11,'Leave log'!$B$7:$B$306,"&lt;="&amp;DATE($B$3,2,4),'Leave log'!$C$7:$C$306,"&gt;="&amp;DATE($B$3,2,4),'Leave log'!$F$7:$F$306,"Pending")&gt;0,"P",""))))</f>
        <v/>
      </c>
      <c r="F46" s="23" t="str">
        <f>IF(A46="","",IF(IF(OR(DATE($B$3,2,5)&gt;EOMONTH(DATE($B$3,2,1),0),NETWORKDAYS.INTL(DATE($B$3,2,5),DATE($B$3,2,5),1,'Non-working days'!$A$6:$A$45)=0),"",IF(COUNTIFS('Leave log'!$A$7:$A$306,Employees!$A$11,'Leave log'!$B$7:$B$306,"&lt;="&amp;DATE($B$3,2,5),'Leave log'!$C$7:$C$306,"&gt;="&amp;DATE($B$3,2,5),'Leave log'!$F$7:$F$306,"Approved")&gt;0,"A",""))="A","A",IF(OR(DATE($B$3,2,5)&gt;EOMONTH(DATE($B$3,2,1),0),NETWORKDAYS.INTL(DATE($B$3,2,5),DATE($B$3,2,5),1,'Non-working days'!$A$6:$A$45)=0),"",IF(COUNTIFS('Leave log'!$A$7:$A$306,Employees!$A$11,'Leave log'!$B$7:$B$306,"&lt;="&amp;DATE($B$3,2,5),'Leave log'!$C$7:$C$306,"&gt;="&amp;DATE($B$3,2,5),'Leave log'!$F$7:$F$306,"Pending")&gt;0,"P",""))))</f>
        <v/>
      </c>
      <c r="G46" s="23" t="str">
        <f>IF(A46="","",IF(IF(OR(DATE($B$3,2,6)&gt;EOMONTH(DATE($B$3,2,1),0),NETWORKDAYS.INTL(DATE($B$3,2,6),DATE($B$3,2,6),1,'Non-working days'!$A$6:$A$45)=0),"",IF(COUNTIFS('Leave log'!$A$7:$A$306,Employees!$A$11,'Leave log'!$B$7:$B$306,"&lt;="&amp;DATE($B$3,2,6),'Leave log'!$C$7:$C$306,"&gt;="&amp;DATE($B$3,2,6),'Leave log'!$F$7:$F$306,"Approved")&gt;0,"A",""))="A","A",IF(OR(DATE($B$3,2,6)&gt;EOMONTH(DATE($B$3,2,1),0),NETWORKDAYS.INTL(DATE($B$3,2,6),DATE($B$3,2,6),1,'Non-working days'!$A$6:$A$45)=0),"",IF(COUNTIFS('Leave log'!$A$7:$A$306,Employees!$A$11,'Leave log'!$B$7:$B$306,"&lt;="&amp;DATE($B$3,2,6),'Leave log'!$C$7:$C$306,"&gt;="&amp;DATE($B$3,2,6),'Leave log'!$F$7:$F$306,"Pending")&gt;0,"P",""))))</f>
        <v/>
      </c>
      <c r="H46" s="23" t="str">
        <f>IF(A46="","",IF(IF(OR(DATE($B$3,2,7)&gt;EOMONTH(DATE($B$3,2,1),0),NETWORKDAYS.INTL(DATE($B$3,2,7),DATE($B$3,2,7),1,'Non-working days'!$A$6:$A$45)=0),"",IF(COUNTIFS('Leave log'!$A$7:$A$306,Employees!$A$11,'Leave log'!$B$7:$B$306,"&lt;="&amp;DATE($B$3,2,7),'Leave log'!$C$7:$C$306,"&gt;="&amp;DATE($B$3,2,7),'Leave log'!$F$7:$F$306,"Approved")&gt;0,"A",""))="A","A",IF(OR(DATE($B$3,2,7)&gt;EOMONTH(DATE($B$3,2,1),0),NETWORKDAYS.INTL(DATE($B$3,2,7),DATE($B$3,2,7),1,'Non-working days'!$A$6:$A$45)=0),"",IF(COUNTIFS('Leave log'!$A$7:$A$306,Employees!$A$11,'Leave log'!$B$7:$B$306,"&lt;="&amp;DATE($B$3,2,7),'Leave log'!$C$7:$C$306,"&gt;="&amp;DATE($B$3,2,7),'Leave log'!$F$7:$F$306,"Pending")&gt;0,"P",""))))</f>
        <v/>
      </c>
      <c r="I46" s="23" t="str">
        <f>IF(A46="","",IF(IF(OR(DATE($B$3,2,8)&gt;EOMONTH(DATE($B$3,2,1),0),NETWORKDAYS.INTL(DATE($B$3,2,8),DATE($B$3,2,8),1,'Non-working days'!$A$6:$A$45)=0),"",IF(COUNTIFS('Leave log'!$A$7:$A$306,Employees!$A$11,'Leave log'!$B$7:$B$306,"&lt;="&amp;DATE($B$3,2,8),'Leave log'!$C$7:$C$306,"&gt;="&amp;DATE($B$3,2,8),'Leave log'!$F$7:$F$306,"Approved")&gt;0,"A",""))="A","A",IF(OR(DATE($B$3,2,8)&gt;EOMONTH(DATE($B$3,2,1),0),NETWORKDAYS.INTL(DATE($B$3,2,8),DATE($B$3,2,8),1,'Non-working days'!$A$6:$A$45)=0),"",IF(COUNTIFS('Leave log'!$A$7:$A$306,Employees!$A$11,'Leave log'!$B$7:$B$306,"&lt;="&amp;DATE($B$3,2,8),'Leave log'!$C$7:$C$306,"&gt;="&amp;DATE($B$3,2,8),'Leave log'!$F$7:$F$306,"Pending")&gt;0,"P",""))))</f>
        <v/>
      </c>
      <c r="J46" s="23" t="str">
        <f>IF(A46="","",IF(IF(OR(DATE($B$3,2,9)&gt;EOMONTH(DATE($B$3,2,1),0),NETWORKDAYS.INTL(DATE($B$3,2,9),DATE($B$3,2,9),1,'Non-working days'!$A$6:$A$45)=0),"",IF(COUNTIFS('Leave log'!$A$7:$A$306,Employees!$A$11,'Leave log'!$B$7:$B$306,"&lt;="&amp;DATE($B$3,2,9),'Leave log'!$C$7:$C$306,"&gt;="&amp;DATE($B$3,2,9),'Leave log'!$F$7:$F$306,"Approved")&gt;0,"A",""))="A","A",IF(OR(DATE($B$3,2,9)&gt;EOMONTH(DATE($B$3,2,1),0),NETWORKDAYS.INTL(DATE($B$3,2,9),DATE($B$3,2,9),1,'Non-working days'!$A$6:$A$45)=0),"",IF(COUNTIFS('Leave log'!$A$7:$A$306,Employees!$A$11,'Leave log'!$B$7:$B$306,"&lt;="&amp;DATE($B$3,2,9),'Leave log'!$C$7:$C$306,"&gt;="&amp;DATE($B$3,2,9),'Leave log'!$F$7:$F$306,"Pending")&gt;0,"P",""))))</f>
        <v/>
      </c>
      <c r="K46" s="23" t="str">
        <f>IF(A46="","",IF(IF(OR(DATE($B$3,2,10)&gt;EOMONTH(DATE($B$3,2,1),0),NETWORKDAYS.INTL(DATE($B$3,2,10),DATE($B$3,2,10),1,'Non-working days'!$A$6:$A$45)=0),"",IF(COUNTIFS('Leave log'!$A$7:$A$306,Employees!$A$11,'Leave log'!$B$7:$B$306,"&lt;="&amp;DATE($B$3,2,10),'Leave log'!$C$7:$C$306,"&gt;="&amp;DATE($B$3,2,10),'Leave log'!$F$7:$F$306,"Approved")&gt;0,"A",""))="A","A",IF(OR(DATE($B$3,2,10)&gt;EOMONTH(DATE($B$3,2,1),0),NETWORKDAYS.INTL(DATE($B$3,2,10),DATE($B$3,2,10),1,'Non-working days'!$A$6:$A$45)=0),"",IF(COUNTIFS('Leave log'!$A$7:$A$306,Employees!$A$11,'Leave log'!$B$7:$B$306,"&lt;="&amp;DATE($B$3,2,10),'Leave log'!$C$7:$C$306,"&gt;="&amp;DATE($B$3,2,10),'Leave log'!$F$7:$F$306,"Pending")&gt;0,"P",""))))</f>
        <v/>
      </c>
      <c r="L46" s="23" t="str">
        <f>IF(A46="","",IF(IF(OR(DATE($B$3,2,11)&gt;EOMONTH(DATE($B$3,2,1),0),NETWORKDAYS.INTL(DATE($B$3,2,11),DATE($B$3,2,11),1,'Non-working days'!$A$6:$A$45)=0),"",IF(COUNTIFS('Leave log'!$A$7:$A$306,Employees!$A$11,'Leave log'!$B$7:$B$306,"&lt;="&amp;DATE($B$3,2,11),'Leave log'!$C$7:$C$306,"&gt;="&amp;DATE($B$3,2,11),'Leave log'!$F$7:$F$306,"Approved")&gt;0,"A",""))="A","A",IF(OR(DATE($B$3,2,11)&gt;EOMONTH(DATE($B$3,2,1),0),NETWORKDAYS.INTL(DATE($B$3,2,11),DATE($B$3,2,11),1,'Non-working days'!$A$6:$A$45)=0),"",IF(COUNTIFS('Leave log'!$A$7:$A$306,Employees!$A$11,'Leave log'!$B$7:$B$306,"&lt;="&amp;DATE($B$3,2,11),'Leave log'!$C$7:$C$306,"&gt;="&amp;DATE($B$3,2,11),'Leave log'!$F$7:$F$306,"Pending")&gt;0,"P",""))))</f>
        <v/>
      </c>
      <c r="M46" s="23" t="str">
        <f>IF(A46="","",IF(IF(OR(DATE($B$3,2,12)&gt;EOMONTH(DATE($B$3,2,1),0),NETWORKDAYS.INTL(DATE($B$3,2,12),DATE($B$3,2,12),1,'Non-working days'!$A$6:$A$45)=0),"",IF(COUNTIFS('Leave log'!$A$7:$A$306,Employees!$A$11,'Leave log'!$B$7:$B$306,"&lt;="&amp;DATE($B$3,2,12),'Leave log'!$C$7:$C$306,"&gt;="&amp;DATE($B$3,2,12),'Leave log'!$F$7:$F$306,"Approved")&gt;0,"A",""))="A","A",IF(OR(DATE($B$3,2,12)&gt;EOMONTH(DATE($B$3,2,1),0),NETWORKDAYS.INTL(DATE($B$3,2,12),DATE($B$3,2,12),1,'Non-working days'!$A$6:$A$45)=0),"",IF(COUNTIFS('Leave log'!$A$7:$A$306,Employees!$A$11,'Leave log'!$B$7:$B$306,"&lt;="&amp;DATE($B$3,2,12),'Leave log'!$C$7:$C$306,"&gt;="&amp;DATE($B$3,2,12),'Leave log'!$F$7:$F$306,"Pending")&gt;0,"P",""))))</f>
        <v/>
      </c>
      <c r="N46" s="23" t="str">
        <f>IF(A46="","",IF(IF(OR(DATE($B$3,2,13)&gt;EOMONTH(DATE($B$3,2,1),0),NETWORKDAYS.INTL(DATE($B$3,2,13),DATE($B$3,2,13),1,'Non-working days'!$A$6:$A$45)=0),"",IF(COUNTIFS('Leave log'!$A$7:$A$306,Employees!$A$11,'Leave log'!$B$7:$B$306,"&lt;="&amp;DATE($B$3,2,13),'Leave log'!$C$7:$C$306,"&gt;="&amp;DATE($B$3,2,13),'Leave log'!$F$7:$F$306,"Approved")&gt;0,"A",""))="A","A",IF(OR(DATE($B$3,2,13)&gt;EOMONTH(DATE($B$3,2,1),0),NETWORKDAYS.INTL(DATE($B$3,2,13),DATE($B$3,2,13),1,'Non-working days'!$A$6:$A$45)=0),"",IF(COUNTIFS('Leave log'!$A$7:$A$306,Employees!$A$11,'Leave log'!$B$7:$B$306,"&lt;="&amp;DATE($B$3,2,13),'Leave log'!$C$7:$C$306,"&gt;="&amp;DATE($B$3,2,13),'Leave log'!$F$7:$F$306,"Pending")&gt;0,"P",""))))</f>
        <v/>
      </c>
      <c r="O46" s="23" t="str">
        <f>IF(A46="","",IF(IF(OR(DATE($B$3,2,14)&gt;EOMONTH(DATE($B$3,2,1),0),NETWORKDAYS.INTL(DATE($B$3,2,14),DATE($B$3,2,14),1,'Non-working days'!$A$6:$A$45)=0),"",IF(COUNTIFS('Leave log'!$A$7:$A$306,Employees!$A$11,'Leave log'!$B$7:$B$306,"&lt;="&amp;DATE($B$3,2,14),'Leave log'!$C$7:$C$306,"&gt;="&amp;DATE($B$3,2,14),'Leave log'!$F$7:$F$306,"Approved")&gt;0,"A",""))="A","A",IF(OR(DATE($B$3,2,14)&gt;EOMONTH(DATE($B$3,2,1),0),NETWORKDAYS.INTL(DATE($B$3,2,14),DATE($B$3,2,14),1,'Non-working days'!$A$6:$A$45)=0),"",IF(COUNTIFS('Leave log'!$A$7:$A$306,Employees!$A$11,'Leave log'!$B$7:$B$306,"&lt;="&amp;DATE($B$3,2,14),'Leave log'!$C$7:$C$306,"&gt;="&amp;DATE($B$3,2,14),'Leave log'!$F$7:$F$306,"Pending")&gt;0,"P",""))))</f>
        <v/>
      </c>
      <c r="P46" s="23" t="str">
        <f>IF(A46="","",IF(IF(OR(DATE($B$3,2,15)&gt;EOMONTH(DATE($B$3,2,1),0),NETWORKDAYS.INTL(DATE($B$3,2,15),DATE($B$3,2,15),1,'Non-working days'!$A$6:$A$45)=0),"",IF(COUNTIFS('Leave log'!$A$7:$A$306,Employees!$A$11,'Leave log'!$B$7:$B$306,"&lt;="&amp;DATE($B$3,2,15),'Leave log'!$C$7:$C$306,"&gt;="&amp;DATE($B$3,2,15),'Leave log'!$F$7:$F$306,"Approved")&gt;0,"A",""))="A","A",IF(OR(DATE($B$3,2,15)&gt;EOMONTH(DATE($B$3,2,1),0),NETWORKDAYS.INTL(DATE($B$3,2,15),DATE($B$3,2,15),1,'Non-working days'!$A$6:$A$45)=0),"",IF(COUNTIFS('Leave log'!$A$7:$A$306,Employees!$A$11,'Leave log'!$B$7:$B$306,"&lt;="&amp;DATE($B$3,2,15),'Leave log'!$C$7:$C$306,"&gt;="&amp;DATE($B$3,2,15),'Leave log'!$F$7:$F$306,"Pending")&gt;0,"P",""))))</f>
        <v/>
      </c>
      <c r="Q46" s="23" t="str">
        <f>IF(A46="","",IF(IF(OR(DATE($B$3,2,16)&gt;EOMONTH(DATE($B$3,2,1),0),NETWORKDAYS.INTL(DATE($B$3,2,16),DATE($B$3,2,16),1,'Non-working days'!$A$6:$A$45)=0),"",IF(COUNTIFS('Leave log'!$A$7:$A$306,Employees!$A$11,'Leave log'!$B$7:$B$306,"&lt;="&amp;DATE($B$3,2,16),'Leave log'!$C$7:$C$306,"&gt;="&amp;DATE($B$3,2,16),'Leave log'!$F$7:$F$306,"Approved")&gt;0,"A",""))="A","A",IF(OR(DATE($B$3,2,16)&gt;EOMONTH(DATE($B$3,2,1),0),NETWORKDAYS.INTL(DATE($B$3,2,16),DATE($B$3,2,16),1,'Non-working days'!$A$6:$A$45)=0),"",IF(COUNTIFS('Leave log'!$A$7:$A$306,Employees!$A$11,'Leave log'!$B$7:$B$306,"&lt;="&amp;DATE($B$3,2,16),'Leave log'!$C$7:$C$306,"&gt;="&amp;DATE($B$3,2,16),'Leave log'!$F$7:$F$306,"Pending")&gt;0,"P",""))))</f>
        <v/>
      </c>
      <c r="R46" s="23" t="str">
        <f>IF(A46="","",IF(IF(OR(DATE($B$3,2,17)&gt;EOMONTH(DATE($B$3,2,1),0),NETWORKDAYS.INTL(DATE($B$3,2,17),DATE($B$3,2,17),1,'Non-working days'!$A$6:$A$45)=0),"",IF(COUNTIFS('Leave log'!$A$7:$A$306,Employees!$A$11,'Leave log'!$B$7:$B$306,"&lt;="&amp;DATE($B$3,2,17),'Leave log'!$C$7:$C$306,"&gt;="&amp;DATE($B$3,2,17),'Leave log'!$F$7:$F$306,"Approved")&gt;0,"A",""))="A","A",IF(OR(DATE($B$3,2,17)&gt;EOMONTH(DATE($B$3,2,1),0),NETWORKDAYS.INTL(DATE($B$3,2,17),DATE($B$3,2,17),1,'Non-working days'!$A$6:$A$45)=0),"",IF(COUNTIFS('Leave log'!$A$7:$A$306,Employees!$A$11,'Leave log'!$B$7:$B$306,"&lt;="&amp;DATE($B$3,2,17),'Leave log'!$C$7:$C$306,"&gt;="&amp;DATE($B$3,2,17),'Leave log'!$F$7:$F$306,"Pending")&gt;0,"P",""))))</f>
        <v/>
      </c>
      <c r="S46" s="23" t="str">
        <f>IF(A46="","",IF(IF(OR(DATE($B$3,2,18)&gt;EOMONTH(DATE($B$3,2,1),0),NETWORKDAYS.INTL(DATE($B$3,2,18),DATE($B$3,2,18),1,'Non-working days'!$A$6:$A$45)=0),"",IF(COUNTIFS('Leave log'!$A$7:$A$306,Employees!$A$11,'Leave log'!$B$7:$B$306,"&lt;="&amp;DATE($B$3,2,18),'Leave log'!$C$7:$C$306,"&gt;="&amp;DATE($B$3,2,18),'Leave log'!$F$7:$F$306,"Approved")&gt;0,"A",""))="A","A",IF(OR(DATE($B$3,2,18)&gt;EOMONTH(DATE($B$3,2,1),0),NETWORKDAYS.INTL(DATE($B$3,2,18),DATE($B$3,2,18),1,'Non-working days'!$A$6:$A$45)=0),"",IF(COUNTIFS('Leave log'!$A$7:$A$306,Employees!$A$11,'Leave log'!$B$7:$B$306,"&lt;="&amp;DATE($B$3,2,18),'Leave log'!$C$7:$C$306,"&gt;="&amp;DATE($B$3,2,18),'Leave log'!$F$7:$F$306,"Pending")&gt;0,"P",""))))</f>
        <v/>
      </c>
      <c r="T46" s="23" t="str">
        <f>IF(A46="","",IF(IF(OR(DATE($B$3,2,19)&gt;EOMONTH(DATE($B$3,2,1),0),NETWORKDAYS.INTL(DATE($B$3,2,19),DATE($B$3,2,19),1,'Non-working days'!$A$6:$A$45)=0),"",IF(COUNTIFS('Leave log'!$A$7:$A$306,Employees!$A$11,'Leave log'!$B$7:$B$306,"&lt;="&amp;DATE($B$3,2,19),'Leave log'!$C$7:$C$306,"&gt;="&amp;DATE($B$3,2,19),'Leave log'!$F$7:$F$306,"Approved")&gt;0,"A",""))="A","A",IF(OR(DATE($B$3,2,19)&gt;EOMONTH(DATE($B$3,2,1),0),NETWORKDAYS.INTL(DATE($B$3,2,19),DATE($B$3,2,19),1,'Non-working days'!$A$6:$A$45)=0),"",IF(COUNTIFS('Leave log'!$A$7:$A$306,Employees!$A$11,'Leave log'!$B$7:$B$306,"&lt;="&amp;DATE($B$3,2,19),'Leave log'!$C$7:$C$306,"&gt;="&amp;DATE($B$3,2,19),'Leave log'!$F$7:$F$306,"Pending")&gt;0,"P",""))))</f>
        <v/>
      </c>
      <c r="U46" s="23" t="str">
        <f>IF(A46="","",IF(IF(OR(DATE($B$3,2,20)&gt;EOMONTH(DATE($B$3,2,1),0),NETWORKDAYS.INTL(DATE($B$3,2,20),DATE($B$3,2,20),1,'Non-working days'!$A$6:$A$45)=0),"",IF(COUNTIFS('Leave log'!$A$7:$A$306,Employees!$A$11,'Leave log'!$B$7:$B$306,"&lt;="&amp;DATE($B$3,2,20),'Leave log'!$C$7:$C$306,"&gt;="&amp;DATE($B$3,2,20),'Leave log'!$F$7:$F$306,"Approved")&gt;0,"A",""))="A","A",IF(OR(DATE($B$3,2,20)&gt;EOMONTH(DATE($B$3,2,1),0),NETWORKDAYS.INTL(DATE($B$3,2,20),DATE($B$3,2,20),1,'Non-working days'!$A$6:$A$45)=0),"",IF(COUNTIFS('Leave log'!$A$7:$A$306,Employees!$A$11,'Leave log'!$B$7:$B$306,"&lt;="&amp;DATE($B$3,2,20),'Leave log'!$C$7:$C$306,"&gt;="&amp;DATE($B$3,2,20),'Leave log'!$F$7:$F$306,"Pending")&gt;0,"P",""))))</f>
        <v/>
      </c>
      <c r="V46" s="23" t="str">
        <f>IF(A46="","",IF(IF(OR(DATE($B$3,2,21)&gt;EOMONTH(DATE($B$3,2,1),0),NETWORKDAYS.INTL(DATE($B$3,2,21),DATE($B$3,2,21),1,'Non-working days'!$A$6:$A$45)=0),"",IF(COUNTIFS('Leave log'!$A$7:$A$306,Employees!$A$11,'Leave log'!$B$7:$B$306,"&lt;="&amp;DATE($B$3,2,21),'Leave log'!$C$7:$C$306,"&gt;="&amp;DATE($B$3,2,21),'Leave log'!$F$7:$F$306,"Approved")&gt;0,"A",""))="A","A",IF(OR(DATE($B$3,2,21)&gt;EOMONTH(DATE($B$3,2,1),0),NETWORKDAYS.INTL(DATE($B$3,2,21),DATE($B$3,2,21),1,'Non-working days'!$A$6:$A$45)=0),"",IF(COUNTIFS('Leave log'!$A$7:$A$306,Employees!$A$11,'Leave log'!$B$7:$B$306,"&lt;="&amp;DATE($B$3,2,21),'Leave log'!$C$7:$C$306,"&gt;="&amp;DATE($B$3,2,21),'Leave log'!$F$7:$F$306,"Pending")&gt;0,"P",""))))</f>
        <v/>
      </c>
      <c r="W46" s="23" t="str">
        <f>IF(A46="","",IF(IF(OR(DATE($B$3,2,22)&gt;EOMONTH(DATE($B$3,2,1),0),NETWORKDAYS.INTL(DATE($B$3,2,22),DATE($B$3,2,22),1,'Non-working days'!$A$6:$A$45)=0),"",IF(COUNTIFS('Leave log'!$A$7:$A$306,Employees!$A$11,'Leave log'!$B$7:$B$306,"&lt;="&amp;DATE($B$3,2,22),'Leave log'!$C$7:$C$306,"&gt;="&amp;DATE($B$3,2,22),'Leave log'!$F$7:$F$306,"Approved")&gt;0,"A",""))="A","A",IF(OR(DATE($B$3,2,22)&gt;EOMONTH(DATE($B$3,2,1),0),NETWORKDAYS.INTL(DATE($B$3,2,22),DATE($B$3,2,22),1,'Non-working days'!$A$6:$A$45)=0),"",IF(COUNTIFS('Leave log'!$A$7:$A$306,Employees!$A$11,'Leave log'!$B$7:$B$306,"&lt;="&amp;DATE($B$3,2,22),'Leave log'!$C$7:$C$306,"&gt;="&amp;DATE($B$3,2,22),'Leave log'!$F$7:$F$306,"Pending")&gt;0,"P",""))))</f>
        <v/>
      </c>
      <c r="X46" s="23" t="str">
        <f>IF(A46="","",IF(IF(OR(DATE($B$3,2,23)&gt;EOMONTH(DATE($B$3,2,1),0),NETWORKDAYS.INTL(DATE($B$3,2,23),DATE($B$3,2,23),1,'Non-working days'!$A$6:$A$45)=0),"",IF(COUNTIFS('Leave log'!$A$7:$A$306,Employees!$A$11,'Leave log'!$B$7:$B$306,"&lt;="&amp;DATE($B$3,2,23),'Leave log'!$C$7:$C$306,"&gt;="&amp;DATE($B$3,2,23),'Leave log'!$F$7:$F$306,"Approved")&gt;0,"A",""))="A","A",IF(OR(DATE($B$3,2,23)&gt;EOMONTH(DATE($B$3,2,1),0),NETWORKDAYS.INTL(DATE($B$3,2,23),DATE($B$3,2,23),1,'Non-working days'!$A$6:$A$45)=0),"",IF(COUNTIFS('Leave log'!$A$7:$A$306,Employees!$A$11,'Leave log'!$B$7:$B$306,"&lt;="&amp;DATE($B$3,2,23),'Leave log'!$C$7:$C$306,"&gt;="&amp;DATE($B$3,2,23),'Leave log'!$F$7:$F$306,"Pending")&gt;0,"P",""))))</f>
        <v/>
      </c>
      <c r="Y46" s="23" t="str">
        <f>IF(A46="","",IF(IF(OR(DATE($B$3,2,24)&gt;EOMONTH(DATE($B$3,2,1),0),NETWORKDAYS.INTL(DATE($B$3,2,24),DATE($B$3,2,24),1,'Non-working days'!$A$6:$A$45)=0),"",IF(COUNTIFS('Leave log'!$A$7:$A$306,Employees!$A$11,'Leave log'!$B$7:$B$306,"&lt;="&amp;DATE($B$3,2,24),'Leave log'!$C$7:$C$306,"&gt;="&amp;DATE($B$3,2,24),'Leave log'!$F$7:$F$306,"Approved")&gt;0,"A",""))="A","A",IF(OR(DATE($B$3,2,24)&gt;EOMONTH(DATE($B$3,2,1),0),NETWORKDAYS.INTL(DATE($B$3,2,24),DATE($B$3,2,24),1,'Non-working days'!$A$6:$A$45)=0),"",IF(COUNTIFS('Leave log'!$A$7:$A$306,Employees!$A$11,'Leave log'!$B$7:$B$306,"&lt;="&amp;DATE($B$3,2,24),'Leave log'!$C$7:$C$306,"&gt;="&amp;DATE($B$3,2,24),'Leave log'!$F$7:$F$306,"Pending")&gt;0,"P",""))))</f>
        <v/>
      </c>
      <c r="Z46" s="23" t="str">
        <f>IF(A46="","",IF(IF(OR(DATE($B$3,2,25)&gt;EOMONTH(DATE($B$3,2,1),0),NETWORKDAYS.INTL(DATE($B$3,2,25),DATE($B$3,2,25),1,'Non-working days'!$A$6:$A$45)=0),"",IF(COUNTIFS('Leave log'!$A$7:$A$306,Employees!$A$11,'Leave log'!$B$7:$B$306,"&lt;="&amp;DATE($B$3,2,25),'Leave log'!$C$7:$C$306,"&gt;="&amp;DATE($B$3,2,25),'Leave log'!$F$7:$F$306,"Approved")&gt;0,"A",""))="A","A",IF(OR(DATE($B$3,2,25)&gt;EOMONTH(DATE($B$3,2,1),0),NETWORKDAYS.INTL(DATE($B$3,2,25),DATE($B$3,2,25),1,'Non-working days'!$A$6:$A$45)=0),"",IF(COUNTIFS('Leave log'!$A$7:$A$306,Employees!$A$11,'Leave log'!$B$7:$B$306,"&lt;="&amp;DATE($B$3,2,25),'Leave log'!$C$7:$C$306,"&gt;="&amp;DATE($B$3,2,25),'Leave log'!$F$7:$F$306,"Pending")&gt;0,"P",""))))</f>
        <v/>
      </c>
      <c r="AA46" s="23" t="str">
        <f>IF(A46="","",IF(IF(OR(DATE($B$3,2,26)&gt;EOMONTH(DATE($B$3,2,1),0),NETWORKDAYS.INTL(DATE($B$3,2,26),DATE($B$3,2,26),1,'Non-working days'!$A$6:$A$45)=0),"",IF(COUNTIFS('Leave log'!$A$7:$A$306,Employees!$A$11,'Leave log'!$B$7:$B$306,"&lt;="&amp;DATE($B$3,2,26),'Leave log'!$C$7:$C$306,"&gt;="&amp;DATE($B$3,2,26),'Leave log'!$F$7:$F$306,"Approved")&gt;0,"A",""))="A","A",IF(OR(DATE($B$3,2,26)&gt;EOMONTH(DATE($B$3,2,1),0),NETWORKDAYS.INTL(DATE($B$3,2,26),DATE($B$3,2,26),1,'Non-working days'!$A$6:$A$45)=0),"",IF(COUNTIFS('Leave log'!$A$7:$A$306,Employees!$A$11,'Leave log'!$B$7:$B$306,"&lt;="&amp;DATE($B$3,2,26),'Leave log'!$C$7:$C$306,"&gt;="&amp;DATE($B$3,2,26),'Leave log'!$F$7:$F$306,"Pending")&gt;0,"P",""))))</f>
        <v/>
      </c>
      <c r="AB46" s="23" t="str">
        <f>IF(A46="","",IF(IF(OR(DATE($B$3,2,27)&gt;EOMONTH(DATE($B$3,2,1),0),NETWORKDAYS.INTL(DATE($B$3,2,27),DATE($B$3,2,27),1,'Non-working days'!$A$6:$A$45)=0),"",IF(COUNTIFS('Leave log'!$A$7:$A$306,Employees!$A$11,'Leave log'!$B$7:$B$306,"&lt;="&amp;DATE($B$3,2,27),'Leave log'!$C$7:$C$306,"&gt;="&amp;DATE($B$3,2,27),'Leave log'!$F$7:$F$306,"Approved")&gt;0,"A",""))="A","A",IF(OR(DATE($B$3,2,27)&gt;EOMONTH(DATE($B$3,2,1),0),NETWORKDAYS.INTL(DATE($B$3,2,27),DATE($B$3,2,27),1,'Non-working days'!$A$6:$A$45)=0),"",IF(COUNTIFS('Leave log'!$A$7:$A$306,Employees!$A$11,'Leave log'!$B$7:$B$306,"&lt;="&amp;DATE($B$3,2,27),'Leave log'!$C$7:$C$306,"&gt;="&amp;DATE($B$3,2,27),'Leave log'!$F$7:$F$306,"Pending")&gt;0,"P",""))))</f>
        <v/>
      </c>
      <c r="AC46" s="23" t="str">
        <f>IF(A46="","",IF(IF(OR(DATE($B$3,2,28)&gt;EOMONTH(DATE($B$3,2,1),0),NETWORKDAYS.INTL(DATE($B$3,2,28),DATE($B$3,2,28),1,'Non-working days'!$A$6:$A$45)=0),"",IF(COUNTIFS('Leave log'!$A$7:$A$306,Employees!$A$11,'Leave log'!$B$7:$B$306,"&lt;="&amp;DATE($B$3,2,28),'Leave log'!$C$7:$C$306,"&gt;="&amp;DATE($B$3,2,28),'Leave log'!$F$7:$F$306,"Approved")&gt;0,"A",""))="A","A",IF(OR(DATE($B$3,2,28)&gt;EOMONTH(DATE($B$3,2,1),0),NETWORKDAYS.INTL(DATE($B$3,2,28),DATE($B$3,2,28),1,'Non-working days'!$A$6:$A$45)=0),"",IF(COUNTIFS('Leave log'!$A$7:$A$306,Employees!$A$11,'Leave log'!$B$7:$B$306,"&lt;="&amp;DATE($B$3,2,28),'Leave log'!$C$7:$C$306,"&gt;="&amp;DATE($B$3,2,28),'Leave log'!$F$7:$F$306,"Pending")&gt;0,"P",""))))</f>
        <v/>
      </c>
      <c r="AD46" s="23" t="str">
        <f>IF(A46="","",IF(IF(OR(DATE($B$3,2,29)&gt;EOMONTH(DATE($B$3,2,1),0),NETWORKDAYS.INTL(DATE($B$3,2,29),DATE($B$3,2,29),1,'Non-working days'!$A$6:$A$45)=0),"",IF(COUNTIFS('Leave log'!$A$7:$A$306,Employees!$A$11,'Leave log'!$B$7:$B$306,"&lt;="&amp;DATE($B$3,2,29),'Leave log'!$C$7:$C$306,"&gt;="&amp;DATE($B$3,2,29),'Leave log'!$F$7:$F$306,"Approved")&gt;0,"A",""))="A","A",IF(OR(DATE($B$3,2,29)&gt;EOMONTH(DATE($B$3,2,1),0),NETWORKDAYS.INTL(DATE($B$3,2,29),DATE($B$3,2,29),1,'Non-working days'!$A$6:$A$45)=0),"",IF(COUNTIFS('Leave log'!$A$7:$A$306,Employees!$A$11,'Leave log'!$B$7:$B$306,"&lt;="&amp;DATE($B$3,2,29),'Leave log'!$C$7:$C$306,"&gt;="&amp;DATE($B$3,2,29),'Leave log'!$F$7:$F$306,"Pending")&gt;0,"P",""))))</f>
        <v/>
      </c>
      <c r="AE46" s="23" t="str">
        <f>IF(A46="","",IF(IF(OR(DATE($B$3,2,30)&gt;EOMONTH(DATE($B$3,2,1),0),NETWORKDAYS.INTL(DATE($B$3,2,30),DATE($B$3,2,30),1,'Non-working days'!$A$6:$A$45)=0),"",IF(COUNTIFS('Leave log'!$A$7:$A$306,Employees!$A$11,'Leave log'!$B$7:$B$306,"&lt;="&amp;DATE($B$3,2,30),'Leave log'!$C$7:$C$306,"&gt;="&amp;DATE($B$3,2,30),'Leave log'!$F$7:$F$306,"Approved")&gt;0,"A",""))="A","A",IF(OR(DATE($B$3,2,30)&gt;EOMONTH(DATE($B$3,2,1),0),NETWORKDAYS.INTL(DATE($B$3,2,30),DATE($B$3,2,30),1,'Non-working days'!$A$6:$A$45)=0),"",IF(COUNTIFS('Leave log'!$A$7:$A$306,Employees!$A$11,'Leave log'!$B$7:$B$306,"&lt;="&amp;DATE($B$3,2,30),'Leave log'!$C$7:$C$306,"&gt;="&amp;DATE($B$3,2,30),'Leave log'!$F$7:$F$306,"Pending")&gt;0,"P",""))))</f>
        <v/>
      </c>
      <c r="AF46" s="23" t="str">
        <f>IF(A46="","",IF(IF(OR(DATE($B$3,2,31)&gt;EOMONTH(DATE($B$3,2,1),0),NETWORKDAYS.INTL(DATE($B$3,2,31),DATE($B$3,2,31),1,'Non-working days'!$A$6:$A$45)=0),"",IF(COUNTIFS('Leave log'!$A$7:$A$306,Employees!$A$11,'Leave log'!$B$7:$B$306,"&lt;="&amp;DATE($B$3,2,31),'Leave log'!$C$7:$C$306,"&gt;="&amp;DATE($B$3,2,31),'Leave log'!$F$7:$F$306,"Approved")&gt;0,"A",""))="A","A",IF(OR(DATE($B$3,2,31)&gt;EOMONTH(DATE($B$3,2,1),0),NETWORKDAYS.INTL(DATE($B$3,2,31),DATE($B$3,2,31),1,'Non-working days'!$A$6:$A$45)=0),"",IF(COUNTIFS('Leave log'!$A$7:$A$306,Employees!$A$11,'Leave log'!$B$7:$B$306,"&lt;="&amp;DATE($B$3,2,31),'Leave log'!$C$7:$C$306,"&gt;="&amp;DATE($B$3,2,31),'Leave log'!$F$7:$F$306,"Pending")&gt;0,"P",""))))</f>
        <v/>
      </c>
    </row>
    <row r="47" spans="1:32" ht="18" customHeight="1" x14ac:dyDescent="0.3">
      <c r="A47" s="22" t="str">
        <f>IF(Employees!F12="Yes",Employees!B12,"")</f>
        <v/>
      </c>
      <c r="B47" s="23" t="str">
        <f>IF(A47="","",IF(IF(OR(DATE($B$3,2,1)&gt;EOMONTH(DATE($B$3,2,1),0),NETWORKDAYS.INTL(DATE($B$3,2,1),DATE($B$3,2,1),1,'Non-working days'!$A$6:$A$45)=0),"",IF(COUNTIFS('Leave log'!$A$7:$A$306,Employees!$A$12,'Leave log'!$B$7:$B$306,"&lt;="&amp;DATE($B$3,2,1),'Leave log'!$C$7:$C$306,"&gt;="&amp;DATE($B$3,2,1),'Leave log'!$F$7:$F$306,"Approved")&gt;0,"A",""))="A","A",IF(OR(DATE($B$3,2,1)&gt;EOMONTH(DATE($B$3,2,1),0),NETWORKDAYS.INTL(DATE($B$3,2,1),DATE($B$3,2,1),1,'Non-working days'!$A$6:$A$45)=0),"",IF(COUNTIFS('Leave log'!$A$7:$A$306,Employees!$A$12,'Leave log'!$B$7:$B$306,"&lt;="&amp;DATE($B$3,2,1),'Leave log'!$C$7:$C$306,"&gt;="&amp;DATE($B$3,2,1),'Leave log'!$F$7:$F$306,"Pending")&gt;0,"P",""))))</f>
        <v/>
      </c>
      <c r="C47" s="23" t="str">
        <f>IF(A47="","",IF(IF(OR(DATE($B$3,2,2)&gt;EOMONTH(DATE($B$3,2,1),0),NETWORKDAYS.INTL(DATE($B$3,2,2),DATE($B$3,2,2),1,'Non-working days'!$A$6:$A$45)=0),"",IF(COUNTIFS('Leave log'!$A$7:$A$306,Employees!$A$12,'Leave log'!$B$7:$B$306,"&lt;="&amp;DATE($B$3,2,2),'Leave log'!$C$7:$C$306,"&gt;="&amp;DATE($B$3,2,2),'Leave log'!$F$7:$F$306,"Approved")&gt;0,"A",""))="A","A",IF(OR(DATE($B$3,2,2)&gt;EOMONTH(DATE($B$3,2,1),0),NETWORKDAYS.INTL(DATE($B$3,2,2),DATE($B$3,2,2),1,'Non-working days'!$A$6:$A$45)=0),"",IF(COUNTIFS('Leave log'!$A$7:$A$306,Employees!$A$12,'Leave log'!$B$7:$B$306,"&lt;="&amp;DATE($B$3,2,2),'Leave log'!$C$7:$C$306,"&gt;="&amp;DATE($B$3,2,2),'Leave log'!$F$7:$F$306,"Pending")&gt;0,"P",""))))</f>
        <v/>
      </c>
      <c r="D47" s="23" t="str">
        <f>IF(A47="","",IF(IF(OR(DATE($B$3,2,3)&gt;EOMONTH(DATE($B$3,2,1),0),NETWORKDAYS.INTL(DATE($B$3,2,3),DATE($B$3,2,3),1,'Non-working days'!$A$6:$A$45)=0),"",IF(COUNTIFS('Leave log'!$A$7:$A$306,Employees!$A$12,'Leave log'!$B$7:$B$306,"&lt;="&amp;DATE($B$3,2,3),'Leave log'!$C$7:$C$306,"&gt;="&amp;DATE($B$3,2,3),'Leave log'!$F$7:$F$306,"Approved")&gt;0,"A",""))="A","A",IF(OR(DATE($B$3,2,3)&gt;EOMONTH(DATE($B$3,2,1),0),NETWORKDAYS.INTL(DATE($B$3,2,3),DATE($B$3,2,3),1,'Non-working days'!$A$6:$A$45)=0),"",IF(COUNTIFS('Leave log'!$A$7:$A$306,Employees!$A$12,'Leave log'!$B$7:$B$306,"&lt;="&amp;DATE($B$3,2,3),'Leave log'!$C$7:$C$306,"&gt;="&amp;DATE($B$3,2,3),'Leave log'!$F$7:$F$306,"Pending")&gt;0,"P",""))))</f>
        <v/>
      </c>
      <c r="E47" s="23" t="str">
        <f>IF(A47="","",IF(IF(OR(DATE($B$3,2,4)&gt;EOMONTH(DATE($B$3,2,1),0),NETWORKDAYS.INTL(DATE($B$3,2,4),DATE($B$3,2,4),1,'Non-working days'!$A$6:$A$45)=0),"",IF(COUNTIFS('Leave log'!$A$7:$A$306,Employees!$A$12,'Leave log'!$B$7:$B$306,"&lt;="&amp;DATE($B$3,2,4),'Leave log'!$C$7:$C$306,"&gt;="&amp;DATE($B$3,2,4),'Leave log'!$F$7:$F$306,"Approved")&gt;0,"A",""))="A","A",IF(OR(DATE($B$3,2,4)&gt;EOMONTH(DATE($B$3,2,1),0),NETWORKDAYS.INTL(DATE($B$3,2,4),DATE($B$3,2,4),1,'Non-working days'!$A$6:$A$45)=0),"",IF(COUNTIFS('Leave log'!$A$7:$A$306,Employees!$A$12,'Leave log'!$B$7:$B$306,"&lt;="&amp;DATE($B$3,2,4),'Leave log'!$C$7:$C$306,"&gt;="&amp;DATE($B$3,2,4),'Leave log'!$F$7:$F$306,"Pending")&gt;0,"P",""))))</f>
        <v/>
      </c>
      <c r="F47" s="23" t="str">
        <f>IF(A47="","",IF(IF(OR(DATE($B$3,2,5)&gt;EOMONTH(DATE($B$3,2,1),0),NETWORKDAYS.INTL(DATE($B$3,2,5),DATE($B$3,2,5),1,'Non-working days'!$A$6:$A$45)=0),"",IF(COUNTIFS('Leave log'!$A$7:$A$306,Employees!$A$12,'Leave log'!$B$7:$B$306,"&lt;="&amp;DATE($B$3,2,5),'Leave log'!$C$7:$C$306,"&gt;="&amp;DATE($B$3,2,5),'Leave log'!$F$7:$F$306,"Approved")&gt;0,"A",""))="A","A",IF(OR(DATE($B$3,2,5)&gt;EOMONTH(DATE($B$3,2,1),0),NETWORKDAYS.INTL(DATE($B$3,2,5),DATE($B$3,2,5),1,'Non-working days'!$A$6:$A$45)=0),"",IF(COUNTIFS('Leave log'!$A$7:$A$306,Employees!$A$12,'Leave log'!$B$7:$B$306,"&lt;="&amp;DATE($B$3,2,5),'Leave log'!$C$7:$C$306,"&gt;="&amp;DATE($B$3,2,5),'Leave log'!$F$7:$F$306,"Pending")&gt;0,"P",""))))</f>
        <v/>
      </c>
      <c r="G47" s="23" t="str">
        <f>IF(A47="","",IF(IF(OR(DATE($B$3,2,6)&gt;EOMONTH(DATE($B$3,2,1),0),NETWORKDAYS.INTL(DATE($B$3,2,6),DATE($B$3,2,6),1,'Non-working days'!$A$6:$A$45)=0),"",IF(COUNTIFS('Leave log'!$A$7:$A$306,Employees!$A$12,'Leave log'!$B$7:$B$306,"&lt;="&amp;DATE($B$3,2,6),'Leave log'!$C$7:$C$306,"&gt;="&amp;DATE($B$3,2,6),'Leave log'!$F$7:$F$306,"Approved")&gt;0,"A",""))="A","A",IF(OR(DATE($B$3,2,6)&gt;EOMONTH(DATE($B$3,2,1),0),NETWORKDAYS.INTL(DATE($B$3,2,6),DATE($B$3,2,6),1,'Non-working days'!$A$6:$A$45)=0),"",IF(COUNTIFS('Leave log'!$A$7:$A$306,Employees!$A$12,'Leave log'!$B$7:$B$306,"&lt;="&amp;DATE($B$3,2,6),'Leave log'!$C$7:$C$306,"&gt;="&amp;DATE($B$3,2,6),'Leave log'!$F$7:$F$306,"Pending")&gt;0,"P",""))))</f>
        <v/>
      </c>
      <c r="H47" s="23" t="str">
        <f>IF(A47="","",IF(IF(OR(DATE($B$3,2,7)&gt;EOMONTH(DATE($B$3,2,1),0),NETWORKDAYS.INTL(DATE($B$3,2,7),DATE($B$3,2,7),1,'Non-working days'!$A$6:$A$45)=0),"",IF(COUNTIFS('Leave log'!$A$7:$A$306,Employees!$A$12,'Leave log'!$B$7:$B$306,"&lt;="&amp;DATE($B$3,2,7),'Leave log'!$C$7:$C$306,"&gt;="&amp;DATE($B$3,2,7),'Leave log'!$F$7:$F$306,"Approved")&gt;0,"A",""))="A","A",IF(OR(DATE($B$3,2,7)&gt;EOMONTH(DATE($B$3,2,1),0),NETWORKDAYS.INTL(DATE($B$3,2,7),DATE($B$3,2,7),1,'Non-working days'!$A$6:$A$45)=0),"",IF(COUNTIFS('Leave log'!$A$7:$A$306,Employees!$A$12,'Leave log'!$B$7:$B$306,"&lt;="&amp;DATE($B$3,2,7),'Leave log'!$C$7:$C$306,"&gt;="&amp;DATE($B$3,2,7),'Leave log'!$F$7:$F$306,"Pending")&gt;0,"P",""))))</f>
        <v/>
      </c>
      <c r="I47" s="23" t="str">
        <f>IF(A47="","",IF(IF(OR(DATE($B$3,2,8)&gt;EOMONTH(DATE($B$3,2,1),0),NETWORKDAYS.INTL(DATE($B$3,2,8),DATE($B$3,2,8),1,'Non-working days'!$A$6:$A$45)=0),"",IF(COUNTIFS('Leave log'!$A$7:$A$306,Employees!$A$12,'Leave log'!$B$7:$B$306,"&lt;="&amp;DATE($B$3,2,8),'Leave log'!$C$7:$C$306,"&gt;="&amp;DATE($B$3,2,8),'Leave log'!$F$7:$F$306,"Approved")&gt;0,"A",""))="A","A",IF(OR(DATE($B$3,2,8)&gt;EOMONTH(DATE($B$3,2,1),0),NETWORKDAYS.INTL(DATE($B$3,2,8),DATE($B$3,2,8),1,'Non-working days'!$A$6:$A$45)=0),"",IF(COUNTIFS('Leave log'!$A$7:$A$306,Employees!$A$12,'Leave log'!$B$7:$B$306,"&lt;="&amp;DATE($B$3,2,8),'Leave log'!$C$7:$C$306,"&gt;="&amp;DATE($B$3,2,8),'Leave log'!$F$7:$F$306,"Pending")&gt;0,"P",""))))</f>
        <v/>
      </c>
      <c r="J47" s="23" t="str">
        <f>IF(A47="","",IF(IF(OR(DATE($B$3,2,9)&gt;EOMONTH(DATE($B$3,2,1),0),NETWORKDAYS.INTL(DATE($B$3,2,9),DATE($B$3,2,9),1,'Non-working days'!$A$6:$A$45)=0),"",IF(COUNTIFS('Leave log'!$A$7:$A$306,Employees!$A$12,'Leave log'!$B$7:$B$306,"&lt;="&amp;DATE($B$3,2,9),'Leave log'!$C$7:$C$306,"&gt;="&amp;DATE($B$3,2,9),'Leave log'!$F$7:$F$306,"Approved")&gt;0,"A",""))="A","A",IF(OR(DATE($B$3,2,9)&gt;EOMONTH(DATE($B$3,2,1),0),NETWORKDAYS.INTL(DATE($B$3,2,9),DATE($B$3,2,9),1,'Non-working days'!$A$6:$A$45)=0),"",IF(COUNTIFS('Leave log'!$A$7:$A$306,Employees!$A$12,'Leave log'!$B$7:$B$306,"&lt;="&amp;DATE($B$3,2,9),'Leave log'!$C$7:$C$306,"&gt;="&amp;DATE($B$3,2,9),'Leave log'!$F$7:$F$306,"Pending")&gt;0,"P",""))))</f>
        <v/>
      </c>
      <c r="K47" s="23" t="str">
        <f>IF(A47="","",IF(IF(OR(DATE($B$3,2,10)&gt;EOMONTH(DATE($B$3,2,1),0),NETWORKDAYS.INTL(DATE($B$3,2,10),DATE($B$3,2,10),1,'Non-working days'!$A$6:$A$45)=0),"",IF(COUNTIFS('Leave log'!$A$7:$A$306,Employees!$A$12,'Leave log'!$B$7:$B$306,"&lt;="&amp;DATE($B$3,2,10),'Leave log'!$C$7:$C$306,"&gt;="&amp;DATE($B$3,2,10),'Leave log'!$F$7:$F$306,"Approved")&gt;0,"A",""))="A","A",IF(OR(DATE($B$3,2,10)&gt;EOMONTH(DATE($B$3,2,1),0),NETWORKDAYS.INTL(DATE($B$3,2,10),DATE($B$3,2,10),1,'Non-working days'!$A$6:$A$45)=0),"",IF(COUNTIFS('Leave log'!$A$7:$A$306,Employees!$A$12,'Leave log'!$B$7:$B$306,"&lt;="&amp;DATE($B$3,2,10),'Leave log'!$C$7:$C$306,"&gt;="&amp;DATE($B$3,2,10),'Leave log'!$F$7:$F$306,"Pending")&gt;0,"P",""))))</f>
        <v/>
      </c>
      <c r="L47" s="23" t="str">
        <f>IF(A47="","",IF(IF(OR(DATE($B$3,2,11)&gt;EOMONTH(DATE($B$3,2,1),0),NETWORKDAYS.INTL(DATE($B$3,2,11),DATE($B$3,2,11),1,'Non-working days'!$A$6:$A$45)=0),"",IF(COUNTIFS('Leave log'!$A$7:$A$306,Employees!$A$12,'Leave log'!$B$7:$B$306,"&lt;="&amp;DATE($B$3,2,11),'Leave log'!$C$7:$C$306,"&gt;="&amp;DATE($B$3,2,11),'Leave log'!$F$7:$F$306,"Approved")&gt;0,"A",""))="A","A",IF(OR(DATE($B$3,2,11)&gt;EOMONTH(DATE($B$3,2,1),0),NETWORKDAYS.INTL(DATE($B$3,2,11),DATE($B$3,2,11),1,'Non-working days'!$A$6:$A$45)=0),"",IF(COUNTIFS('Leave log'!$A$7:$A$306,Employees!$A$12,'Leave log'!$B$7:$B$306,"&lt;="&amp;DATE($B$3,2,11),'Leave log'!$C$7:$C$306,"&gt;="&amp;DATE($B$3,2,11),'Leave log'!$F$7:$F$306,"Pending")&gt;0,"P",""))))</f>
        <v/>
      </c>
      <c r="M47" s="23" t="str">
        <f>IF(A47="","",IF(IF(OR(DATE($B$3,2,12)&gt;EOMONTH(DATE($B$3,2,1),0),NETWORKDAYS.INTL(DATE($B$3,2,12),DATE($B$3,2,12),1,'Non-working days'!$A$6:$A$45)=0),"",IF(COUNTIFS('Leave log'!$A$7:$A$306,Employees!$A$12,'Leave log'!$B$7:$B$306,"&lt;="&amp;DATE($B$3,2,12),'Leave log'!$C$7:$C$306,"&gt;="&amp;DATE($B$3,2,12),'Leave log'!$F$7:$F$306,"Approved")&gt;0,"A",""))="A","A",IF(OR(DATE($B$3,2,12)&gt;EOMONTH(DATE($B$3,2,1),0),NETWORKDAYS.INTL(DATE($B$3,2,12),DATE($B$3,2,12),1,'Non-working days'!$A$6:$A$45)=0),"",IF(COUNTIFS('Leave log'!$A$7:$A$306,Employees!$A$12,'Leave log'!$B$7:$B$306,"&lt;="&amp;DATE($B$3,2,12),'Leave log'!$C$7:$C$306,"&gt;="&amp;DATE($B$3,2,12),'Leave log'!$F$7:$F$306,"Pending")&gt;0,"P",""))))</f>
        <v/>
      </c>
      <c r="N47" s="23" t="str">
        <f>IF(A47="","",IF(IF(OR(DATE($B$3,2,13)&gt;EOMONTH(DATE($B$3,2,1),0),NETWORKDAYS.INTL(DATE($B$3,2,13),DATE($B$3,2,13),1,'Non-working days'!$A$6:$A$45)=0),"",IF(COUNTIFS('Leave log'!$A$7:$A$306,Employees!$A$12,'Leave log'!$B$7:$B$306,"&lt;="&amp;DATE($B$3,2,13),'Leave log'!$C$7:$C$306,"&gt;="&amp;DATE($B$3,2,13),'Leave log'!$F$7:$F$306,"Approved")&gt;0,"A",""))="A","A",IF(OR(DATE($B$3,2,13)&gt;EOMONTH(DATE($B$3,2,1),0),NETWORKDAYS.INTL(DATE($B$3,2,13),DATE($B$3,2,13),1,'Non-working days'!$A$6:$A$45)=0),"",IF(COUNTIFS('Leave log'!$A$7:$A$306,Employees!$A$12,'Leave log'!$B$7:$B$306,"&lt;="&amp;DATE($B$3,2,13),'Leave log'!$C$7:$C$306,"&gt;="&amp;DATE($B$3,2,13),'Leave log'!$F$7:$F$306,"Pending")&gt;0,"P",""))))</f>
        <v/>
      </c>
      <c r="O47" s="23" t="str">
        <f>IF(A47="","",IF(IF(OR(DATE($B$3,2,14)&gt;EOMONTH(DATE($B$3,2,1),0),NETWORKDAYS.INTL(DATE($B$3,2,14),DATE($B$3,2,14),1,'Non-working days'!$A$6:$A$45)=0),"",IF(COUNTIFS('Leave log'!$A$7:$A$306,Employees!$A$12,'Leave log'!$B$7:$B$306,"&lt;="&amp;DATE($B$3,2,14),'Leave log'!$C$7:$C$306,"&gt;="&amp;DATE($B$3,2,14),'Leave log'!$F$7:$F$306,"Approved")&gt;0,"A",""))="A","A",IF(OR(DATE($B$3,2,14)&gt;EOMONTH(DATE($B$3,2,1),0),NETWORKDAYS.INTL(DATE($B$3,2,14),DATE($B$3,2,14),1,'Non-working days'!$A$6:$A$45)=0),"",IF(COUNTIFS('Leave log'!$A$7:$A$306,Employees!$A$12,'Leave log'!$B$7:$B$306,"&lt;="&amp;DATE($B$3,2,14),'Leave log'!$C$7:$C$306,"&gt;="&amp;DATE($B$3,2,14),'Leave log'!$F$7:$F$306,"Pending")&gt;0,"P",""))))</f>
        <v/>
      </c>
      <c r="P47" s="23" t="str">
        <f>IF(A47="","",IF(IF(OR(DATE($B$3,2,15)&gt;EOMONTH(DATE($B$3,2,1),0),NETWORKDAYS.INTL(DATE($B$3,2,15),DATE($B$3,2,15),1,'Non-working days'!$A$6:$A$45)=0),"",IF(COUNTIFS('Leave log'!$A$7:$A$306,Employees!$A$12,'Leave log'!$B$7:$B$306,"&lt;="&amp;DATE($B$3,2,15),'Leave log'!$C$7:$C$306,"&gt;="&amp;DATE($B$3,2,15),'Leave log'!$F$7:$F$306,"Approved")&gt;0,"A",""))="A","A",IF(OR(DATE($B$3,2,15)&gt;EOMONTH(DATE($B$3,2,1),0),NETWORKDAYS.INTL(DATE($B$3,2,15),DATE($B$3,2,15),1,'Non-working days'!$A$6:$A$45)=0),"",IF(COUNTIFS('Leave log'!$A$7:$A$306,Employees!$A$12,'Leave log'!$B$7:$B$306,"&lt;="&amp;DATE($B$3,2,15),'Leave log'!$C$7:$C$306,"&gt;="&amp;DATE($B$3,2,15),'Leave log'!$F$7:$F$306,"Pending")&gt;0,"P",""))))</f>
        <v/>
      </c>
      <c r="Q47" s="23" t="str">
        <f>IF(A47="","",IF(IF(OR(DATE($B$3,2,16)&gt;EOMONTH(DATE($B$3,2,1),0),NETWORKDAYS.INTL(DATE($B$3,2,16),DATE($B$3,2,16),1,'Non-working days'!$A$6:$A$45)=0),"",IF(COUNTIFS('Leave log'!$A$7:$A$306,Employees!$A$12,'Leave log'!$B$7:$B$306,"&lt;="&amp;DATE($B$3,2,16),'Leave log'!$C$7:$C$306,"&gt;="&amp;DATE($B$3,2,16),'Leave log'!$F$7:$F$306,"Approved")&gt;0,"A",""))="A","A",IF(OR(DATE($B$3,2,16)&gt;EOMONTH(DATE($B$3,2,1),0),NETWORKDAYS.INTL(DATE($B$3,2,16),DATE($B$3,2,16),1,'Non-working days'!$A$6:$A$45)=0),"",IF(COUNTIFS('Leave log'!$A$7:$A$306,Employees!$A$12,'Leave log'!$B$7:$B$306,"&lt;="&amp;DATE($B$3,2,16),'Leave log'!$C$7:$C$306,"&gt;="&amp;DATE($B$3,2,16),'Leave log'!$F$7:$F$306,"Pending")&gt;0,"P",""))))</f>
        <v/>
      </c>
      <c r="R47" s="23" t="str">
        <f>IF(A47="","",IF(IF(OR(DATE($B$3,2,17)&gt;EOMONTH(DATE($B$3,2,1),0),NETWORKDAYS.INTL(DATE($B$3,2,17),DATE($B$3,2,17),1,'Non-working days'!$A$6:$A$45)=0),"",IF(COUNTIFS('Leave log'!$A$7:$A$306,Employees!$A$12,'Leave log'!$B$7:$B$306,"&lt;="&amp;DATE($B$3,2,17),'Leave log'!$C$7:$C$306,"&gt;="&amp;DATE($B$3,2,17),'Leave log'!$F$7:$F$306,"Approved")&gt;0,"A",""))="A","A",IF(OR(DATE($B$3,2,17)&gt;EOMONTH(DATE($B$3,2,1),0),NETWORKDAYS.INTL(DATE($B$3,2,17),DATE($B$3,2,17),1,'Non-working days'!$A$6:$A$45)=0),"",IF(COUNTIFS('Leave log'!$A$7:$A$306,Employees!$A$12,'Leave log'!$B$7:$B$306,"&lt;="&amp;DATE($B$3,2,17),'Leave log'!$C$7:$C$306,"&gt;="&amp;DATE($B$3,2,17),'Leave log'!$F$7:$F$306,"Pending")&gt;0,"P",""))))</f>
        <v/>
      </c>
      <c r="S47" s="23" t="str">
        <f>IF(A47="","",IF(IF(OR(DATE($B$3,2,18)&gt;EOMONTH(DATE($B$3,2,1),0),NETWORKDAYS.INTL(DATE($B$3,2,18),DATE($B$3,2,18),1,'Non-working days'!$A$6:$A$45)=0),"",IF(COUNTIFS('Leave log'!$A$7:$A$306,Employees!$A$12,'Leave log'!$B$7:$B$306,"&lt;="&amp;DATE($B$3,2,18),'Leave log'!$C$7:$C$306,"&gt;="&amp;DATE($B$3,2,18),'Leave log'!$F$7:$F$306,"Approved")&gt;0,"A",""))="A","A",IF(OR(DATE($B$3,2,18)&gt;EOMONTH(DATE($B$3,2,1),0),NETWORKDAYS.INTL(DATE($B$3,2,18),DATE($B$3,2,18),1,'Non-working days'!$A$6:$A$45)=0),"",IF(COUNTIFS('Leave log'!$A$7:$A$306,Employees!$A$12,'Leave log'!$B$7:$B$306,"&lt;="&amp;DATE($B$3,2,18),'Leave log'!$C$7:$C$306,"&gt;="&amp;DATE($B$3,2,18),'Leave log'!$F$7:$F$306,"Pending")&gt;0,"P",""))))</f>
        <v/>
      </c>
      <c r="T47" s="23" t="str">
        <f>IF(A47="","",IF(IF(OR(DATE($B$3,2,19)&gt;EOMONTH(DATE($B$3,2,1),0),NETWORKDAYS.INTL(DATE($B$3,2,19),DATE($B$3,2,19),1,'Non-working days'!$A$6:$A$45)=0),"",IF(COUNTIFS('Leave log'!$A$7:$A$306,Employees!$A$12,'Leave log'!$B$7:$B$306,"&lt;="&amp;DATE($B$3,2,19),'Leave log'!$C$7:$C$306,"&gt;="&amp;DATE($B$3,2,19),'Leave log'!$F$7:$F$306,"Approved")&gt;0,"A",""))="A","A",IF(OR(DATE($B$3,2,19)&gt;EOMONTH(DATE($B$3,2,1),0),NETWORKDAYS.INTL(DATE($B$3,2,19),DATE($B$3,2,19),1,'Non-working days'!$A$6:$A$45)=0),"",IF(COUNTIFS('Leave log'!$A$7:$A$306,Employees!$A$12,'Leave log'!$B$7:$B$306,"&lt;="&amp;DATE($B$3,2,19),'Leave log'!$C$7:$C$306,"&gt;="&amp;DATE($B$3,2,19),'Leave log'!$F$7:$F$306,"Pending")&gt;0,"P",""))))</f>
        <v/>
      </c>
      <c r="U47" s="23" t="str">
        <f>IF(A47="","",IF(IF(OR(DATE($B$3,2,20)&gt;EOMONTH(DATE($B$3,2,1),0),NETWORKDAYS.INTL(DATE($B$3,2,20),DATE($B$3,2,20),1,'Non-working days'!$A$6:$A$45)=0),"",IF(COUNTIFS('Leave log'!$A$7:$A$306,Employees!$A$12,'Leave log'!$B$7:$B$306,"&lt;="&amp;DATE($B$3,2,20),'Leave log'!$C$7:$C$306,"&gt;="&amp;DATE($B$3,2,20),'Leave log'!$F$7:$F$306,"Approved")&gt;0,"A",""))="A","A",IF(OR(DATE($B$3,2,20)&gt;EOMONTH(DATE($B$3,2,1),0),NETWORKDAYS.INTL(DATE($B$3,2,20),DATE($B$3,2,20),1,'Non-working days'!$A$6:$A$45)=0),"",IF(COUNTIFS('Leave log'!$A$7:$A$306,Employees!$A$12,'Leave log'!$B$7:$B$306,"&lt;="&amp;DATE($B$3,2,20),'Leave log'!$C$7:$C$306,"&gt;="&amp;DATE($B$3,2,20),'Leave log'!$F$7:$F$306,"Pending")&gt;0,"P",""))))</f>
        <v/>
      </c>
      <c r="V47" s="23" t="str">
        <f>IF(A47="","",IF(IF(OR(DATE($B$3,2,21)&gt;EOMONTH(DATE($B$3,2,1),0),NETWORKDAYS.INTL(DATE($B$3,2,21),DATE($B$3,2,21),1,'Non-working days'!$A$6:$A$45)=0),"",IF(COUNTIFS('Leave log'!$A$7:$A$306,Employees!$A$12,'Leave log'!$B$7:$B$306,"&lt;="&amp;DATE($B$3,2,21),'Leave log'!$C$7:$C$306,"&gt;="&amp;DATE($B$3,2,21),'Leave log'!$F$7:$F$306,"Approved")&gt;0,"A",""))="A","A",IF(OR(DATE($B$3,2,21)&gt;EOMONTH(DATE($B$3,2,1),0),NETWORKDAYS.INTL(DATE($B$3,2,21),DATE($B$3,2,21),1,'Non-working days'!$A$6:$A$45)=0),"",IF(COUNTIFS('Leave log'!$A$7:$A$306,Employees!$A$12,'Leave log'!$B$7:$B$306,"&lt;="&amp;DATE($B$3,2,21),'Leave log'!$C$7:$C$306,"&gt;="&amp;DATE($B$3,2,21),'Leave log'!$F$7:$F$306,"Pending")&gt;0,"P",""))))</f>
        <v/>
      </c>
      <c r="W47" s="23" t="str">
        <f>IF(A47="","",IF(IF(OR(DATE($B$3,2,22)&gt;EOMONTH(DATE($B$3,2,1),0),NETWORKDAYS.INTL(DATE($B$3,2,22),DATE($B$3,2,22),1,'Non-working days'!$A$6:$A$45)=0),"",IF(COUNTIFS('Leave log'!$A$7:$A$306,Employees!$A$12,'Leave log'!$B$7:$B$306,"&lt;="&amp;DATE($B$3,2,22),'Leave log'!$C$7:$C$306,"&gt;="&amp;DATE($B$3,2,22),'Leave log'!$F$7:$F$306,"Approved")&gt;0,"A",""))="A","A",IF(OR(DATE($B$3,2,22)&gt;EOMONTH(DATE($B$3,2,1),0),NETWORKDAYS.INTL(DATE($B$3,2,22),DATE($B$3,2,22),1,'Non-working days'!$A$6:$A$45)=0),"",IF(COUNTIFS('Leave log'!$A$7:$A$306,Employees!$A$12,'Leave log'!$B$7:$B$306,"&lt;="&amp;DATE($B$3,2,22),'Leave log'!$C$7:$C$306,"&gt;="&amp;DATE($B$3,2,22),'Leave log'!$F$7:$F$306,"Pending")&gt;0,"P",""))))</f>
        <v/>
      </c>
      <c r="X47" s="23" t="str">
        <f>IF(A47="","",IF(IF(OR(DATE($B$3,2,23)&gt;EOMONTH(DATE($B$3,2,1),0),NETWORKDAYS.INTL(DATE($B$3,2,23),DATE($B$3,2,23),1,'Non-working days'!$A$6:$A$45)=0),"",IF(COUNTIFS('Leave log'!$A$7:$A$306,Employees!$A$12,'Leave log'!$B$7:$B$306,"&lt;="&amp;DATE($B$3,2,23),'Leave log'!$C$7:$C$306,"&gt;="&amp;DATE($B$3,2,23),'Leave log'!$F$7:$F$306,"Approved")&gt;0,"A",""))="A","A",IF(OR(DATE($B$3,2,23)&gt;EOMONTH(DATE($B$3,2,1),0),NETWORKDAYS.INTL(DATE($B$3,2,23),DATE($B$3,2,23),1,'Non-working days'!$A$6:$A$45)=0),"",IF(COUNTIFS('Leave log'!$A$7:$A$306,Employees!$A$12,'Leave log'!$B$7:$B$306,"&lt;="&amp;DATE($B$3,2,23),'Leave log'!$C$7:$C$306,"&gt;="&amp;DATE($B$3,2,23),'Leave log'!$F$7:$F$306,"Pending")&gt;0,"P",""))))</f>
        <v/>
      </c>
      <c r="Y47" s="23" t="str">
        <f>IF(A47="","",IF(IF(OR(DATE($B$3,2,24)&gt;EOMONTH(DATE($B$3,2,1),0),NETWORKDAYS.INTL(DATE($B$3,2,24),DATE($B$3,2,24),1,'Non-working days'!$A$6:$A$45)=0),"",IF(COUNTIFS('Leave log'!$A$7:$A$306,Employees!$A$12,'Leave log'!$B$7:$B$306,"&lt;="&amp;DATE($B$3,2,24),'Leave log'!$C$7:$C$306,"&gt;="&amp;DATE($B$3,2,24),'Leave log'!$F$7:$F$306,"Approved")&gt;0,"A",""))="A","A",IF(OR(DATE($B$3,2,24)&gt;EOMONTH(DATE($B$3,2,1),0),NETWORKDAYS.INTL(DATE($B$3,2,24),DATE($B$3,2,24),1,'Non-working days'!$A$6:$A$45)=0),"",IF(COUNTIFS('Leave log'!$A$7:$A$306,Employees!$A$12,'Leave log'!$B$7:$B$306,"&lt;="&amp;DATE($B$3,2,24),'Leave log'!$C$7:$C$306,"&gt;="&amp;DATE($B$3,2,24),'Leave log'!$F$7:$F$306,"Pending")&gt;0,"P",""))))</f>
        <v/>
      </c>
      <c r="Z47" s="23" t="str">
        <f>IF(A47="","",IF(IF(OR(DATE($B$3,2,25)&gt;EOMONTH(DATE($B$3,2,1),0),NETWORKDAYS.INTL(DATE($B$3,2,25),DATE($B$3,2,25),1,'Non-working days'!$A$6:$A$45)=0),"",IF(COUNTIFS('Leave log'!$A$7:$A$306,Employees!$A$12,'Leave log'!$B$7:$B$306,"&lt;="&amp;DATE($B$3,2,25),'Leave log'!$C$7:$C$306,"&gt;="&amp;DATE($B$3,2,25),'Leave log'!$F$7:$F$306,"Approved")&gt;0,"A",""))="A","A",IF(OR(DATE($B$3,2,25)&gt;EOMONTH(DATE($B$3,2,1),0),NETWORKDAYS.INTL(DATE($B$3,2,25),DATE($B$3,2,25),1,'Non-working days'!$A$6:$A$45)=0),"",IF(COUNTIFS('Leave log'!$A$7:$A$306,Employees!$A$12,'Leave log'!$B$7:$B$306,"&lt;="&amp;DATE($B$3,2,25),'Leave log'!$C$7:$C$306,"&gt;="&amp;DATE($B$3,2,25),'Leave log'!$F$7:$F$306,"Pending")&gt;0,"P",""))))</f>
        <v/>
      </c>
      <c r="AA47" s="23" t="str">
        <f>IF(A47="","",IF(IF(OR(DATE($B$3,2,26)&gt;EOMONTH(DATE($B$3,2,1),0),NETWORKDAYS.INTL(DATE($B$3,2,26),DATE($B$3,2,26),1,'Non-working days'!$A$6:$A$45)=0),"",IF(COUNTIFS('Leave log'!$A$7:$A$306,Employees!$A$12,'Leave log'!$B$7:$B$306,"&lt;="&amp;DATE($B$3,2,26),'Leave log'!$C$7:$C$306,"&gt;="&amp;DATE($B$3,2,26),'Leave log'!$F$7:$F$306,"Approved")&gt;0,"A",""))="A","A",IF(OR(DATE($B$3,2,26)&gt;EOMONTH(DATE($B$3,2,1),0),NETWORKDAYS.INTL(DATE($B$3,2,26),DATE($B$3,2,26),1,'Non-working days'!$A$6:$A$45)=0),"",IF(COUNTIFS('Leave log'!$A$7:$A$306,Employees!$A$12,'Leave log'!$B$7:$B$306,"&lt;="&amp;DATE($B$3,2,26),'Leave log'!$C$7:$C$306,"&gt;="&amp;DATE($B$3,2,26),'Leave log'!$F$7:$F$306,"Pending")&gt;0,"P",""))))</f>
        <v/>
      </c>
      <c r="AB47" s="23" t="str">
        <f>IF(A47="","",IF(IF(OR(DATE($B$3,2,27)&gt;EOMONTH(DATE($B$3,2,1),0),NETWORKDAYS.INTL(DATE($B$3,2,27),DATE($B$3,2,27),1,'Non-working days'!$A$6:$A$45)=0),"",IF(COUNTIFS('Leave log'!$A$7:$A$306,Employees!$A$12,'Leave log'!$B$7:$B$306,"&lt;="&amp;DATE($B$3,2,27),'Leave log'!$C$7:$C$306,"&gt;="&amp;DATE($B$3,2,27),'Leave log'!$F$7:$F$306,"Approved")&gt;0,"A",""))="A","A",IF(OR(DATE($B$3,2,27)&gt;EOMONTH(DATE($B$3,2,1),0),NETWORKDAYS.INTL(DATE($B$3,2,27),DATE($B$3,2,27),1,'Non-working days'!$A$6:$A$45)=0),"",IF(COUNTIFS('Leave log'!$A$7:$A$306,Employees!$A$12,'Leave log'!$B$7:$B$306,"&lt;="&amp;DATE($B$3,2,27),'Leave log'!$C$7:$C$306,"&gt;="&amp;DATE($B$3,2,27),'Leave log'!$F$7:$F$306,"Pending")&gt;0,"P",""))))</f>
        <v/>
      </c>
      <c r="AC47" s="23" t="str">
        <f>IF(A47="","",IF(IF(OR(DATE($B$3,2,28)&gt;EOMONTH(DATE($B$3,2,1),0),NETWORKDAYS.INTL(DATE($B$3,2,28),DATE($B$3,2,28),1,'Non-working days'!$A$6:$A$45)=0),"",IF(COUNTIFS('Leave log'!$A$7:$A$306,Employees!$A$12,'Leave log'!$B$7:$B$306,"&lt;="&amp;DATE($B$3,2,28),'Leave log'!$C$7:$C$306,"&gt;="&amp;DATE($B$3,2,28),'Leave log'!$F$7:$F$306,"Approved")&gt;0,"A",""))="A","A",IF(OR(DATE($B$3,2,28)&gt;EOMONTH(DATE($B$3,2,1),0),NETWORKDAYS.INTL(DATE($B$3,2,28),DATE($B$3,2,28),1,'Non-working days'!$A$6:$A$45)=0),"",IF(COUNTIFS('Leave log'!$A$7:$A$306,Employees!$A$12,'Leave log'!$B$7:$B$306,"&lt;="&amp;DATE($B$3,2,28),'Leave log'!$C$7:$C$306,"&gt;="&amp;DATE($B$3,2,28),'Leave log'!$F$7:$F$306,"Pending")&gt;0,"P",""))))</f>
        <v/>
      </c>
      <c r="AD47" s="23" t="str">
        <f>IF(A47="","",IF(IF(OR(DATE($B$3,2,29)&gt;EOMONTH(DATE($B$3,2,1),0),NETWORKDAYS.INTL(DATE($B$3,2,29),DATE($B$3,2,29),1,'Non-working days'!$A$6:$A$45)=0),"",IF(COUNTIFS('Leave log'!$A$7:$A$306,Employees!$A$12,'Leave log'!$B$7:$B$306,"&lt;="&amp;DATE($B$3,2,29),'Leave log'!$C$7:$C$306,"&gt;="&amp;DATE($B$3,2,29),'Leave log'!$F$7:$F$306,"Approved")&gt;0,"A",""))="A","A",IF(OR(DATE($B$3,2,29)&gt;EOMONTH(DATE($B$3,2,1),0),NETWORKDAYS.INTL(DATE($B$3,2,29),DATE($B$3,2,29),1,'Non-working days'!$A$6:$A$45)=0),"",IF(COUNTIFS('Leave log'!$A$7:$A$306,Employees!$A$12,'Leave log'!$B$7:$B$306,"&lt;="&amp;DATE($B$3,2,29),'Leave log'!$C$7:$C$306,"&gt;="&amp;DATE($B$3,2,29),'Leave log'!$F$7:$F$306,"Pending")&gt;0,"P",""))))</f>
        <v/>
      </c>
      <c r="AE47" s="23" t="str">
        <f>IF(A47="","",IF(IF(OR(DATE($B$3,2,30)&gt;EOMONTH(DATE($B$3,2,1),0),NETWORKDAYS.INTL(DATE($B$3,2,30),DATE($B$3,2,30),1,'Non-working days'!$A$6:$A$45)=0),"",IF(COUNTIFS('Leave log'!$A$7:$A$306,Employees!$A$12,'Leave log'!$B$7:$B$306,"&lt;="&amp;DATE($B$3,2,30),'Leave log'!$C$7:$C$306,"&gt;="&amp;DATE($B$3,2,30),'Leave log'!$F$7:$F$306,"Approved")&gt;0,"A",""))="A","A",IF(OR(DATE($B$3,2,30)&gt;EOMONTH(DATE($B$3,2,1),0),NETWORKDAYS.INTL(DATE($B$3,2,30),DATE($B$3,2,30),1,'Non-working days'!$A$6:$A$45)=0),"",IF(COUNTIFS('Leave log'!$A$7:$A$306,Employees!$A$12,'Leave log'!$B$7:$B$306,"&lt;="&amp;DATE($B$3,2,30),'Leave log'!$C$7:$C$306,"&gt;="&amp;DATE($B$3,2,30),'Leave log'!$F$7:$F$306,"Pending")&gt;0,"P",""))))</f>
        <v/>
      </c>
      <c r="AF47" s="23" t="str">
        <f>IF(A47="","",IF(IF(OR(DATE($B$3,2,31)&gt;EOMONTH(DATE($B$3,2,1),0),NETWORKDAYS.INTL(DATE($B$3,2,31),DATE($B$3,2,31),1,'Non-working days'!$A$6:$A$45)=0),"",IF(COUNTIFS('Leave log'!$A$7:$A$306,Employees!$A$12,'Leave log'!$B$7:$B$306,"&lt;="&amp;DATE($B$3,2,31),'Leave log'!$C$7:$C$306,"&gt;="&amp;DATE($B$3,2,31),'Leave log'!$F$7:$F$306,"Approved")&gt;0,"A",""))="A","A",IF(OR(DATE($B$3,2,31)&gt;EOMONTH(DATE($B$3,2,1),0),NETWORKDAYS.INTL(DATE($B$3,2,31),DATE($B$3,2,31),1,'Non-working days'!$A$6:$A$45)=0),"",IF(COUNTIFS('Leave log'!$A$7:$A$306,Employees!$A$12,'Leave log'!$B$7:$B$306,"&lt;="&amp;DATE($B$3,2,31),'Leave log'!$C$7:$C$306,"&gt;="&amp;DATE($B$3,2,31),'Leave log'!$F$7:$F$306,"Pending")&gt;0,"P",""))))</f>
        <v/>
      </c>
    </row>
    <row r="48" spans="1:32" ht="18" customHeight="1" x14ac:dyDescent="0.3">
      <c r="A48" s="22" t="str">
        <f>IF(Employees!F13="Yes",Employees!B13,"")</f>
        <v/>
      </c>
      <c r="B48" s="23" t="str">
        <f>IF(A48="","",IF(IF(OR(DATE($B$3,2,1)&gt;EOMONTH(DATE($B$3,2,1),0),NETWORKDAYS.INTL(DATE($B$3,2,1),DATE($B$3,2,1),1,'Non-working days'!$A$6:$A$45)=0),"",IF(COUNTIFS('Leave log'!$A$7:$A$306,Employees!$A$13,'Leave log'!$B$7:$B$306,"&lt;="&amp;DATE($B$3,2,1),'Leave log'!$C$7:$C$306,"&gt;="&amp;DATE($B$3,2,1),'Leave log'!$F$7:$F$306,"Approved")&gt;0,"A",""))="A","A",IF(OR(DATE($B$3,2,1)&gt;EOMONTH(DATE($B$3,2,1),0),NETWORKDAYS.INTL(DATE($B$3,2,1),DATE($B$3,2,1),1,'Non-working days'!$A$6:$A$45)=0),"",IF(COUNTIFS('Leave log'!$A$7:$A$306,Employees!$A$13,'Leave log'!$B$7:$B$306,"&lt;="&amp;DATE($B$3,2,1),'Leave log'!$C$7:$C$306,"&gt;="&amp;DATE($B$3,2,1),'Leave log'!$F$7:$F$306,"Pending")&gt;0,"P",""))))</f>
        <v/>
      </c>
      <c r="C48" s="23" t="str">
        <f>IF(A48="","",IF(IF(OR(DATE($B$3,2,2)&gt;EOMONTH(DATE($B$3,2,1),0),NETWORKDAYS.INTL(DATE($B$3,2,2),DATE($B$3,2,2),1,'Non-working days'!$A$6:$A$45)=0),"",IF(COUNTIFS('Leave log'!$A$7:$A$306,Employees!$A$13,'Leave log'!$B$7:$B$306,"&lt;="&amp;DATE($B$3,2,2),'Leave log'!$C$7:$C$306,"&gt;="&amp;DATE($B$3,2,2),'Leave log'!$F$7:$F$306,"Approved")&gt;0,"A",""))="A","A",IF(OR(DATE($B$3,2,2)&gt;EOMONTH(DATE($B$3,2,1),0),NETWORKDAYS.INTL(DATE($B$3,2,2),DATE($B$3,2,2),1,'Non-working days'!$A$6:$A$45)=0),"",IF(COUNTIFS('Leave log'!$A$7:$A$306,Employees!$A$13,'Leave log'!$B$7:$B$306,"&lt;="&amp;DATE($B$3,2,2),'Leave log'!$C$7:$C$306,"&gt;="&amp;DATE($B$3,2,2),'Leave log'!$F$7:$F$306,"Pending")&gt;0,"P",""))))</f>
        <v/>
      </c>
      <c r="D48" s="23" t="str">
        <f>IF(A48="","",IF(IF(OR(DATE($B$3,2,3)&gt;EOMONTH(DATE($B$3,2,1),0),NETWORKDAYS.INTL(DATE($B$3,2,3),DATE($B$3,2,3),1,'Non-working days'!$A$6:$A$45)=0),"",IF(COUNTIFS('Leave log'!$A$7:$A$306,Employees!$A$13,'Leave log'!$B$7:$B$306,"&lt;="&amp;DATE($B$3,2,3),'Leave log'!$C$7:$C$306,"&gt;="&amp;DATE($B$3,2,3),'Leave log'!$F$7:$F$306,"Approved")&gt;0,"A",""))="A","A",IF(OR(DATE($B$3,2,3)&gt;EOMONTH(DATE($B$3,2,1),0),NETWORKDAYS.INTL(DATE($B$3,2,3),DATE($B$3,2,3),1,'Non-working days'!$A$6:$A$45)=0),"",IF(COUNTIFS('Leave log'!$A$7:$A$306,Employees!$A$13,'Leave log'!$B$7:$B$306,"&lt;="&amp;DATE($B$3,2,3),'Leave log'!$C$7:$C$306,"&gt;="&amp;DATE($B$3,2,3),'Leave log'!$F$7:$F$306,"Pending")&gt;0,"P",""))))</f>
        <v/>
      </c>
      <c r="E48" s="23" t="str">
        <f>IF(A48="","",IF(IF(OR(DATE($B$3,2,4)&gt;EOMONTH(DATE($B$3,2,1),0),NETWORKDAYS.INTL(DATE($B$3,2,4),DATE($B$3,2,4),1,'Non-working days'!$A$6:$A$45)=0),"",IF(COUNTIFS('Leave log'!$A$7:$A$306,Employees!$A$13,'Leave log'!$B$7:$B$306,"&lt;="&amp;DATE($B$3,2,4),'Leave log'!$C$7:$C$306,"&gt;="&amp;DATE($B$3,2,4),'Leave log'!$F$7:$F$306,"Approved")&gt;0,"A",""))="A","A",IF(OR(DATE($B$3,2,4)&gt;EOMONTH(DATE($B$3,2,1),0),NETWORKDAYS.INTL(DATE($B$3,2,4),DATE($B$3,2,4),1,'Non-working days'!$A$6:$A$45)=0),"",IF(COUNTIFS('Leave log'!$A$7:$A$306,Employees!$A$13,'Leave log'!$B$7:$B$306,"&lt;="&amp;DATE($B$3,2,4),'Leave log'!$C$7:$C$306,"&gt;="&amp;DATE($B$3,2,4),'Leave log'!$F$7:$F$306,"Pending")&gt;0,"P",""))))</f>
        <v/>
      </c>
      <c r="F48" s="23" t="str">
        <f>IF(A48="","",IF(IF(OR(DATE($B$3,2,5)&gt;EOMONTH(DATE($B$3,2,1),0),NETWORKDAYS.INTL(DATE($B$3,2,5),DATE($B$3,2,5),1,'Non-working days'!$A$6:$A$45)=0),"",IF(COUNTIFS('Leave log'!$A$7:$A$306,Employees!$A$13,'Leave log'!$B$7:$B$306,"&lt;="&amp;DATE($B$3,2,5),'Leave log'!$C$7:$C$306,"&gt;="&amp;DATE($B$3,2,5),'Leave log'!$F$7:$F$306,"Approved")&gt;0,"A",""))="A","A",IF(OR(DATE($B$3,2,5)&gt;EOMONTH(DATE($B$3,2,1),0),NETWORKDAYS.INTL(DATE($B$3,2,5),DATE($B$3,2,5),1,'Non-working days'!$A$6:$A$45)=0),"",IF(COUNTIFS('Leave log'!$A$7:$A$306,Employees!$A$13,'Leave log'!$B$7:$B$306,"&lt;="&amp;DATE($B$3,2,5),'Leave log'!$C$7:$C$306,"&gt;="&amp;DATE($B$3,2,5),'Leave log'!$F$7:$F$306,"Pending")&gt;0,"P",""))))</f>
        <v/>
      </c>
      <c r="G48" s="23" t="str">
        <f>IF(A48="","",IF(IF(OR(DATE($B$3,2,6)&gt;EOMONTH(DATE($B$3,2,1),0),NETWORKDAYS.INTL(DATE($B$3,2,6),DATE($B$3,2,6),1,'Non-working days'!$A$6:$A$45)=0),"",IF(COUNTIFS('Leave log'!$A$7:$A$306,Employees!$A$13,'Leave log'!$B$7:$B$306,"&lt;="&amp;DATE($B$3,2,6),'Leave log'!$C$7:$C$306,"&gt;="&amp;DATE($B$3,2,6),'Leave log'!$F$7:$F$306,"Approved")&gt;0,"A",""))="A","A",IF(OR(DATE($B$3,2,6)&gt;EOMONTH(DATE($B$3,2,1),0),NETWORKDAYS.INTL(DATE($B$3,2,6),DATE($B$3,2,6),1,'Non-working days'!$A$6:$A$45)=0),"",IF(COUNTIFS('Leave log'!$A$7:$A$306,Employees!$A$13,'Leave log'!$B$7:$B$306,"&lt;="&amp;DATE($B$3,2,6),'Leave log'!$C$7:$C$306,"&gt;="&amp;DATE($B$3,2,6),'Leave log'!$F$7:$F$306,"Pending")&gt;0,"P",""))))</f>
        <v/>
      </c>
      <c r="H48" s="23" t="str">
        <f>IF(A48="","",IF(IF(OR(DATE($B$3,2,7)&gt;EOMONTH(DATE($B$3,2,1),0),NETWORKDAYS.INTL(DATE($B$3,2,7),DATE($B$3,2,7),1,'Non-working days'!$A$6:$A$45)=0),"",IF(COUNTIFS('Leave log'!$A$7:$A$306,Employees!$A$13,'Leave log'!$B$7:$B$306,"&lt;="&amp;DATE($B$3,2,7),'Leave log'!$C$7:$C$306,"&gt;="&amp;DATE($B$3,2,7),'Leave log'!$F$7:$F$306,"Approved")&gt;0,"A",""))="A","A",IF(OR(DATE($B$3,2,7)&gt;EOMONTH(DATE($B$3,2,1),0),NETWORKDAYS.INTL(DATE($B$3,2,7),DATE($B$3,2,7),1,'Non-working days'!$A$6:$A$45)=0),"",IF(COUNTIFS('Leave log'!$A$7:$A$306,Employees!$A$13,'Leave log'!$B$7:$B$306,"&lt;="&amp;DATE($B$3,2,7),'Leave log'!$C$7:$C$306,"&gt;="&amp;DATE($B$3,2,7),'Leave log'!$F$7:$F$306,"Pending")&gt;0,"P",""))))</f>
        <v/>
      </c>
      <c r="I48" s="23" t="str">
        <f>IF(A48="","",IF(IF(OR(DATE($B$3,2,8)&gt;EOMONTH(DATE($B$3,2,1),0),NETWORKDAYS.INTL(DATE($B$3,2,8),DATE($B$3,2,8),1,'Non-working days'!$A$6:$A$45)=0),"",IF(COUNTIFS('Leave log'!$A$7:$A$306,Employees!$A$13,'Leave log'!$B$7:$B$306,"&lt;="&amp;DATE($B$3,2,8),'Leave log'!$C$7:$C$306,"&gt;="&amp;DATE($B$3,2,8),'Leave log'!$F$7:$F$306,"Approved")&gt;0,"A",""))="A","A",IF(OR(DATE($B$3,2,8)&gt;EOMONTH(DATE($B$3,2,1),0),NETWORKDAYS.INTL(DATE($B$3,2,8),DATE($B$3,2,8),1,'Non-working days'!$A$6:$A$45)=0),"",IF(COUNTIFS('Leave log'!$A$7:$A$306,Employees!$A$13,'Leave log'!$B$7:$B$306,"&lt;="&amp;DATE($B$3,2,8),'Leave log'!$C$7:$C$306,"&gt;="&amp;DATE($B$3,2,8),'Leave log'!$F$7:$F$306,"Pending")&gt;0,"P",""))))</f>
        <v/>
      </c>
      <c r="J48" s="23" t="str">
        <f>IF(A48="","",IF(IF(OR(DATE($B$3,2,9)&gt;EOMONTH(DATE($B$3,2,1),0),NETWORKDAYS.INTL(DATE($B$3,2,9),DATE($B$3,2,9),1,'Non-working days'!$A$6:$A$45)=0),"",IF(COUNTIFS('Leave log'!$A$7:$A$306,Employees!$A$13,'Leave log'!$B$7:$B$306,"&lt;="&amp;DATE($B$3,2,9),'Leave log'!$C$7:$C$306,"&gt;="&amp;DATE($B$3,2,9),'Leave log'!$F$7:$F$306,"Approved")&gt;0,"A",""))="A","A",IF(OR(DATE($B$3,2,9)&gt;EOMONTH(DATE($B$3,2,1),0),NETWORKDAYS.INTL(DATE($B$3,2,9),DATE($B$3,2,9),1,'Non-working days'!$A$6:$A$45)=0),"",IF(COUNTIFS('Leave log'!$A$7:$A$306,Employees!$A$13,'Leave log'!$B$7:$B$306,"&lt;="&amp;DATE($B$3,2,9),'Leave log'!$C$7:$C$306,"&gt;="&amp;DATE($B$3,2,9),'Leave log'!$F$7:$F$306,"Pending")&gt;0,"P",""))))</f>
        <v/>
      </c>
      <c r="K48" s="23" t="str">
        <f>IF(A48="","",IF(IF(OR(DATE($B$3,2,10)&gt;EOMONTH(DATE($B$3,2,1),0),NETWORKDAYS.INTL(DATE($B$3,2,10),DATE($B$3,2,10),1,'Non-working days'!$A$6:$A$45)=0),"",IF(COUNTIFS('Leave log'!$A$7:$A$306,Employees!$A$13,'Leave log'!$B$7:$B$306,"&lt;="&amp;DATE($B$3,2,10),'Leave log'!$C$7:$C$306,"&gt;="&amp;DATE($B$3,2,10),'Leave log'!$F$7:$F$306,"Approved")&gt;0,"A",""))="A","A",IF(OR(DATE($B$3,2,10)&gt;EOMONTH(DATE($B$3,2,1),0),NETWORKDAYS.INTL(DATE($B$3,2,10),DATE($B$3,2,10),1,'Non-working days'!$A$6:$A$45)=0),"",IF(COUNTIFS('Leave log'!$A$7:$A$306,Employees!$A$13,'Leave log'!$B$7:$B$306,"&lt;="&amp;DATE($B$3,2,10),'Leave log'!$C$7:$C$306,"&gt;="&amp;DATE($B$3,2,10),'Leave log'!$F$7:$F$306,"Pending")&gt;0,"P",""))))</f>
        <v/>
      </c>
      <c r="L48" s="23" t="str">
        <f>IF(A48="","",IF(IF(OR(DATE($B$3,2,11)&gt;EOMONTH(DATE($B$3,2,1),0),NETWORKDAYS.INTL(DATE($B$3,2,11),DATE($B$3,2,11),1,'Non-working days'!$A$6:$A$45)=0),"",IF(COUNTIFS('Leave log'!$A$7:$A$306,Employees!$A$13,'Leave log'!$B$7:$B$306,"&lt;="&amp;DATE($B$3,2,11),'Leave log'!$C$7:$C$306,"&gt;="&amp;DATE($B$3,2,11),'Leave log'!$F$7:$F$306,"Approved")&gt;0,"A",""))="A","A",IF(OR(DATE($B$3,2,11)&gt;EOMONTH(DATE($B$3,2,1),0),NETWORKDAYS.INTL(DATE($B$3,2,11),DATE($B$3,2,11),1,'Non-working days'!$A$6:$A$45)=0),"",IF(COUNTIFS('Leave log'!$A$7:$A$306,Employees!$A$13,'Leave log'!$B$7:$B$306,"&lt;="&amp;DATE($B$3,2,11),'Leave log'!$C$7:$C$306,"&gt;="&amp;DATE($B$3,2,11),'Leave log'!$F$7:$F$306,"Pending")&gt;0,"P",""))))</f>
        <v/>
      </c>
      <c r="M48" s="23" t="str">
        <f>IF(A48="","",IF(IF(OR(DATE($B$3,2,12)&gt;EOMONTH(DATE($B$3,2,1),0),NETWORKDAYS.INTL(DATE($B$3,2,12),DATE($B$3,2,12),1,'Non-working days'!$A$6:$A$45)=0),"",IF(COUNTIFS('Leave log'!$A$7:$A$306,Employees!$A$13,'Leave log'!$B$7:$B$306,"&lt;="&amp;DATE($B$3,2,12),'Leave log'!$C$7:$C$306,"&gt;="&amp;DATE($B$3,2,12),'Leave log'!$F$7:$F$306,"Approved")&gt;0,"A",""))="A","A",IF(OR(DATE($B$3,2,12)&gt;EOMONTH(DATE($B$3,2,1),0),NETWORKDAYS.INTL(DATE($B$3,2,12),DATE($B$3,2,12),1,'Non-working days'!$A$6:$A$45)=0),"",IF(COUNTIFS('Leave log'!$A$7:$A$306,Employees!$A$13,'Leave log'!$B$7:$B$306,"&lt;="&amp;DATE($B$3,2,12),'Leave log'!$C$7:$C$306,"&gt;="&amp;DATE($B$3,2,12),'Leave log'!$F$7:$F$306,"Pending")&gt;0,"P",""))))</f>
        <v/>
      </c>
      <c r="N48" s="23" t="str">
        <f>IF(A48="","",IF(IF(OR(DATE($B$3,2,13)&gt;EOMONTH(DATE($B$3,2,1),0),NETWORKDAYS.INTL(DATE($B$3,2,13),DATE($B$3,2,13),1,'Non-working days'!$A$6:$A$45)=0),"",IF(COUNTIFS('Leave log'!$A$7:$A$306,Employees!$A$13,'Leave log'!$B$7:$B$306,"&lt;="&amp;DATE($B$3,2,13),'Leave log'!$C$7:$C$306,"&gt;="&amp;DATE($B$3,2,13),'Leave log'!$F$7:$F$306,"Approved")&gt;0,"A",""))="A","A",IF(OR(DATE($B$3,2,13)&gt;EOMONTH(DATE($B$3,2,1),0),NETWORKDAYS.INTL(DATE($B$3,2,13),DATE($B$3,2,13),1,'Non-working days'!$A$6:$A$45)=0),"",IF(COUNTIFS('Leave log'!$A$7:$A$306,Employees!$A$13,'Leave log'!$B$7:$B$306,"&lt;="&amp;DATE($B$3,2,13),'Leave log'!$C$7:$C$306,"&gt;="&amp;DATE($B$3,2,13),'Leave log'!$F$7:$F$306,"Pending")&gt;0,"P",""))))</f>
        <v/>
      </c>
      <c r="O48" s="23" t="str">
        <f>IF(A48="","",IF(IF(OR(DATE($B$3,2,14)&gt;EOMONTH(DATE($B$3,2,1),0),NETWORKDAYS.INTL(DATE($B$3,2,14),DATE($B$3,2,14),1,'Non-working days'!$A$6:$A$45)=0),"",IF(COUNTIFS('Leave log'!$A$7:$A$306,Employees!$A$13,'Leave log'!$B$7:$B$306,"&lt;="&amp;DATE($B$3,2,14),'Leave log'!$C$7:$C$306,"&gt;="&amp;DATE($B$3,2,14),'Leave log'!$F$7:$F$306,"Approved")&gt;0,"A",""))="A","A",IF(OR(DATE($B$3,2,14)&gt;EOMONTH(DATE($B$3,2,1),0),NETWORKDAYS.INTL(DATE($B$3,2,14),DATE($B$3,2,14),1,'Non-working days'!$A$6:$A$45)=0),"",IF(COUNTIFS('Leave log'!$A$7:$A$306,Employees!$A$13,'Leave log'!$B$7:$B$306,"&lt;="&amp;DATE($B$3,2,14),'Leave log'!$C$7:$C$306,"&gt;="&amp;DATE($B$3,2,14),'Leave log'!$F$7:$F$306,"Pending")&gt;0,"P",""))))</f>
        <v/>
      </c>
      <c r="P48" s="23" t="str">
        <f>IF(A48="","",IF(IF(OR(DATE($B$3,2,15)&gt;EOMONTH(DATE($B$3,2,1),0),NETWORKDAYS.INTL(DATE($B$3,2,15),DATE($B$3,2,15),1,'Non-working days'!$A$6:$A$45)=0),"",IF(COUNTIFS('Leave log'!$A$7:$A$306,Employees!$A$13,'Leave log'!$B$7:$B$306,"&lt;="&amp;DATE($B$3,2,15),'Leave log'!$C$7:$C$306,"&gt;="&amp;DATE($B$3,2,15),'Leave log'!$F$7:$F$306,"Approved")&gt;0,"A",""))="A","A",IF(OR(DATE($B$3,2,15)&gt;EOMONTH(DATE($B$3,2,1),0),NETWORKDAYS.INTL(DATE($B$3,2,15),DATE($B$3,2,15),1,'Non-working days'!$A$6:$A$45)=0),"",IF(COUNTIFS('Leave log'!$A$7:$A$306,Employees!$A$13,'Leave log'!$B$7:$B$306,"&lt;="&amp;DATE($B$3,2,15),'Leave log'!$C$7:$C$306,"&gt;="&amp;DATE($B$3,2,15),'Leave log'!$F$7:$F$306,"Pending")&gt;0,"P",""))))</f>
        <v/>
      </c>
      <c r="Q48" s="23" t="str">
        <f>IF(A48="","",IF(IF(OR(DATE($B$3,2,16)&gt;EOMONTH(DATE($B$3,2,1),0),NETWORKDAYS.INTL(DATE($B$3,2,16),DATE($B$3,2,16),1,'Non-working days'!$A$6:$A$45)=0),"",IF(COUNTIFS('Leave log'!$A$7:$A$306,Employees!$A$13,'Leave log'!$B$7:$B$306,"&lt;="&amp;DATE($B$3,2,16),'Leave log'!$C$7:$C$306,"&gt;="&amp;DATE($B$3,2,16),'Leave log'!$F$7:$F$306,"Approved")&gt;0,"A",""))="A","A",IF(OR(DATE($B$3,2,16)&gt;EOMONTH(DATE($B$3,2,1),0),NETWORKDAYS.INTL(DATE($B$3,2,16),DATE($B$3,2,16),1,'Non-working days'!$A$6:$A$45)=0),"",IF(COUNTIFS('Leave log'!$A$7:$A$306,Employees!$A$13,'Leave log'!$B$7:$B$306,"&lt;="&amp;DATE($B$3,2,16),'Leave log'!$C$7:$C$306,"&gt;="&amp;DATE($B$3,2,16),'Leave log'!$F$7:$F$306,"Pending")&gt;0,"P",""))))</f>
        <v/>
      </c>
      <c r="R48" s="23" t="str">
        <f>IF(A48="","",IF(IF(OR(DATE($B$3,2,17)&gt;EOMONTH(DATE($B$3,2,1),0),NETWORKDAYS.INTL(DATE($B$3,2,17),DATE($B$3,2,17),1,'Non-working days'!$A$6:$A$45)=0),"",IF(COUNTIFS('Leave log'!$A$7:$A$306,Employees!$A$13,'Leave log'!$B$7:$B$306,"&lt;="&amp;DATE($B$3,2,17),'Leave log'!$C$7:$C$306,"&gt;="&amp;DATE($B$3,2,17),'Leave log'!$F$7:$F$306,"Approved")&gt;0,"A",""))="A","A",IF(OR(DATE($B$3,2,17)&gt;EOMONTH(DATE($B$3,2,1),0),NETWORKDAYS.INTL(DATE($B$3,2,17),DATE($B$3,2,17),1,'Non-working days'!$A$6:$A$45)=0),"",IF(COUNTIFS('Leave log'!$A$7:$A$306,Employees!$A$13,'Leave log'!$B$7:$B$306,"&lt;="&amp;DATE($B$3,2,17),'Leave log'!$C$7:$C$306,"&gt;="&amp;DATE($B$3,2,17),'Leave log'!$F$7:$F$306,"Pending")&gt;0,"P",""))))</f>
        <v/>
      </c>
      <c r="S48" s="23" t="str">
        <f>IF(A48="","",IF(IF(OR(DATE($B$3,2,18)&gt;EOMONTH(DATE($B$3,2,1),0),NETWORKDAYS.INTL(DATE($B$3,2,18),DATE($B$3,2,18),1,'Non-working days'!$A$6:$A$45)=0),"",IF(COUNTIFS('Leave log'!$A$7:$A$306,Employees!$A$13,'Leave log'!$B$7:$B$306,"&lt;="&amp;DATE($B$3,2,18),'Leave log'!$C$7:$C$306,"&gt;="&amp;DATE($B$3,2,18),'Leave log'!$F$7:$F$306,"Approved")&gt;0,"A",""))="A","A",IF(OR(DATE($B$3,2,18)&gt;EOMONTH(DATE($B$3,2,1),0),NETWORKDAYS.INTL(DATE($B$3,2,18),DATE($B$3,2,18),1,'Non-working days'!$A$6:$A$45)=0),"",IF(COUNTIFS('Leave log'!$A$7:$A$306,Employees!$A$13,'Leave log'!$B$7:$B$306,"&lt;="&amp;DATE($B$3,2,18),'Leave log'!$C$7:$C$306,"&gt;="&amp;DATE($B$3,2,18),'Leave log'!$F$7:$F$306,"Pending")&gt;0,"P",""))))</f>
        <v/>
      </c>
      <c r="T48" s="23" t="str">
        <f>IF(A48="","",IF(IF(OR(DATE($B$3,2,19)&gt;EOMONTH(DATE($B$3,2,1),0),NETWORKDAYS.INTL(DATE($B$3,2,19),DATE($B$3,2,19),1,'Non-working days'!$A$6:$A$45)=0),"",IF(COUNTIFS('Leave log'!$A$7:$A$306,Employees!$A$13,'Leave log'!$B$7:$B$306,"&lt;="&amp;DATE($B$3,2,19),'Leave log'!$C$7:$C$306,"&gt;="&amp;DATE($B$3,2,19),'Leave log'!$F$7:$F$306,"Approved")&gt;0,"A",""))="A","A",IF(OR(DATE($B$3,2,19)&gt;EOMONTH(DATE($B$3,2,1),0),NETWORKDAYS.INTL(DATE($B$3,2,19),DATE($B$3,2,19),1,'Non-working days'!$A$6:$A$45)=0),"",IF(COUNTIFS('Leave log'!$A$7:$A$306,Employees!$A$13,'Leave log'!$B$7:$B$306,"&lt;="&amp;DATE($B$3,2,19),'Leave log'!$C$7:$C$306,"&gt;="&amp;DATE($B$3,2,19),'Leave log'!$F$7:$F$306,"Pending")&gt;0,"P",""))))</f>
        <v/>
      </c>
      <c r="U48" s="23" t="str">
        <f>IF(A48="","",IF(IF(OR(DATE($B$3,2,20)&gt;EOMONTH(DATE($B$3,2,1),0),NETWORKDAYS.INTL(DATE($B$3,2,20),DATE($B$3,2,20),1,'Non-working days'!$A$6:$A$45)=0),"",IF(COUNTIFS('Leave log'!$A$7:$A$306,Employees!$A$13,'Leave log'!$B$7:$B$306,"&lt;="&amp;DATE($B$3,2,20),'Leave log'!$C$7:$C$306,"&gt;="&amp;DATE($B$3,2,20),'Leave log'!$F$7:$F$306,"Approved")&gt;0,"A",""))="A","A",IF(OR(DATE($B$3,2,20)&gt;EOMONTH(DATE($B$3,2,1),0),NETWORKDAYS.INTL(DATE($B$3,2,20),DATE($B$3,2,20),1,'Non-working days'!$A$6:$A$45)=0),"",IF(COUNTIFS('Leave log'!$A$7:$A$306,Employees!$A$13,'Leave log'!$B$7:$B$306,"&lt;="&amp;DATE($B$3,2,20),'Leave log'!$C$7:$C$306,"&gt;="&amp;DATE($B$3,2,20),'Leave log'!$F$7:$F$306,"Pending")&gt;0,"P",""))))</f>
        <v/>
      </c>
      <c r="V48" s="23" t="str">
        <f>IF(A48="","",IF(IF(OR(DATE($B$3,2,21)&gt;EOMONTH(DATE($B$3,2,1),0),NETWORKDAYS.INTL(DATE($B$3,2,21),DATE($B$3,2,21),1,'Non-working days'!$A$6:$A$45)=0),"",IF(COUNTIFS('Leave log'!$A$7:$A$306,Employees!$A$13,'Leave log'!$B$7:$B$306,"&lt;="&amp;DATE($B$3,2,21),'Leave log'!$C$7:$C$306,"&gt;="&amp;DATE($B$3,2,21),'Leave log'!$F$7:$F$306,"Approved")&gt;0,"A",""))="A","A",IF(OR(DATE($B$3,2,21)&gt;EOMONTH(DATE($B$3,2,1),0),NETWORKDAYS.INTL(DATE($B$3,2,21),DATE($B$3,2,21),1,'Non-working days'!$A$6:$A$45)=0),"",IF(COUNTIFS('Leave log'!$A$7:$A$306,Employees!$A$13,'Leave log'!$B$7:$B$306,"&lt;="&amp;DATE($B$3,2,21),'Leave log'!$C$7:$C$306,"&gt;="&amp;DATE($B$3,2,21),'Leave log'!$F$7:$F$306,"Pending")&gt;0,"P",""))))</f>
        <v/>
      </c>
      <c r="W48" s="23" t="str">
        <f>IF(A48="","",IF(IF(OR(DATE($B$3,2,22)&gt;EOMONTH(DATE($B$3,2,1),0),NETWORKDAYS.INTL(DATE($B$3,2,22),DATE($B$3,2,22),1,'Non-working days'!$A$6:$A$45)=0),"",IF(COUNTIFS('Leave log'!$A$7:$A$306,Employees!$A$13,'Leave log'!$B$7:$B$306,"&lt;="&amp;DATE($B$3,2,22),'Leave log'!$C$7:$C$306,"&gt;="&amp;DATE($B$3,2,22),'Leave log'!$F$7:$F$306,"Approved")&gt;0,"A",""))="A","A",IF(OR(DATE($B$3,2,22)&gt;EOMONTH(DATE($B$3,2,1),0),NETWORKDAYS.INTL(DATE($B$3,2,22),DATE($B$3,2,22),1,'Non-working days'!$A$6:$A$45)=0),"",IF(COUNTIFS('Leave log'!$A$7:$A$306,Employees!$A$13,'Leave log'!$B$7:$B$306,"&lt;="&amp;DATE($B$3,2,22),'Leave log'!$C$7:$C$306,"&gt;="&amp;DATE($B$3,2,22),'Leave log'!$F$7:$F$306,"Pending")&gt;0,"P",""))))</f>
        <v/>
      </c>
      <c r="X48" s="23" t="str">
        <f>IF(A48="","",IF(IF(OR(DATE($B$3,2,23)&gt;EOMONTH(DATE($B$3,2,1),0),NETWORKDAYS.INTL(DATE($B$3,2,23),DATE($B$3,2,23),1,'Non-working days'!$A$6:$A$45)=0),"",IF(COUNTIFS('Leave log'!$A$7:$A$306,Employees!$A$13,'Leave log'!$B$7:$B$306,"&lt;="&amp;DATE($B$3,2,23),'Leave log'!$C$7:$C$306,"&gt;="&amp;DATE($B$3,2,23),'Leave log'!$F$7:$F$306,"Approved")&gt;0,"A",""))="A","A",IF(OR(DATE($B$3,2,23)&gt;EOMONTH(DATE($B$3,2,1),0),NETWORKDAYS.INTL(DATE($B$3,2,23),DATE($B$3,2,23),1,'Non-working days'!$A$6:$A$45)=0),"",IF(COUNTIFS('Leave log'!$A$7:$A$306,Employees!$A$13,'Leave log'!$B$7:$B$306,"&lt;="&amp;DATE($B$3,2,23),'Leave log'!$C$7:$C$306,"&gt;="&amp;DATE($B$3,2,23),'Leave log'!$F$7:$F$306,"Pending")&gt;0,"P",""))))</f>
        <v/>
      </c>
      <c r="Y48" s="23" t="str">
        <f>IF(A48="","",IF(IF(OR(DATE($B$3,2,24)&gt;EOMONTH(DATE($B$3,2,1),0),NETWORKDAYS.INTL(DATE($B$3,2,24),DATE($B$3,2,24),1,'Non-working days'!$A$6:$A$45)=0),"",IF(COUNTIFS('Leave log'!$A$7:$A$306,Employees!$A$13,'Leave log'!$B$7:$B$306,"&lt;="&amp;DATE($B$3,2,24),'Leave log'!$C$7:$C$306,"&gt;="&amp;DATE($B$3,2,24),'Leave log'!$F$7:$F$306,"Approved")&gt;0,"A",""))="A","A",IF(OR(DATE($B$3,2,24)&gt;EOMONTH(DATE($B$3,2,1),0),NETWORKDAYS.INTL(DATE($B$3,2,24),DATE($B$3,2,24),1,'Non-working days'!$A$6:$A$45)=0),"",IF(COUNTIFS('Leave log'!$A$7:$A$306,Employees!$A$13,'Leave log'!$B$7:$B$306,"&lt;="&amp;DATE($B$3,2,24),'Leave log'!$C$7:$C$306,"&gt;="&amp;DATE($B$3,2,24),'Leave log'!$F$7:$F$306,"Pending")&gt;0,"P",""))))</f>
        <v/>
      </c>
      <c r="Z48" s="23" t="str">
        <f>IF(A48="","",IF(IF(OR(DATE($B$3,2,25)&gt;EOMONTH(DATE($B$3,2,1),0),NETWORKDAYS.INTL(DATE($B$3,2,25),DATE($B$3,2,25),1,'Non-working days'!$A$6:$A$45)=0),"",IF(COUNTIFS('Leave log'!$A$7:$A$306,Employees!$A$13,'Leave log'!$B$7:$B$306,"&lt;="&amp;DATE($B$3,2,25),'Leave log'!$C$7:$C$306,"&gt;="&amp;DATE($B$3,2,25),'Leave log'!$F$7:$F$306,"Approved")&gt;0,"A",""))="A","A",IF(OR(DATE($B$3,2,25)&gt;EOMONTH(DATE($B$3,2,1),0),NETWORKDAYS.INTL(DATE($B$3,2,25),DATE($B$3,2,25),1,'Non-working days'!$A$6:$A$45)=0),"",IF(COUNTIFS('Leave log'!$A$7:$A$306,Employees!$A$13,'Leave log'!$B$7:$B$306,"&lt;="&amp;DATE($B$3,2,25),'Leave log'!$C$7:$C$306,"&gt;="&amp;DATE($B$3,2,25),'Leave log'!$F$7:$F$306,"Pending")&gt;0,"P",""))))</f>
        <v/>
      </c>
      <c r="AA48" s="23" t="str">
        <f>IF(A48="","",IF(IF(OR(DATE($B$3,2,26)&gt;EOMONTH(DATE($B$3,2,1),0),NETWORKDAYS.INTL(DATE($B$3,2,26),DATE($B$3,2,26),1,'Non-working days'!$A$6:$A$45)=0),"",IF(COUNTIFS('Leave log'!$A$7:$A$306,Employees!$A$13,'Leave log'!$B$7:$B$306,"&lt;="&amp;DATE($B$3,2,26),'Leave log'!$C$7:$C$306,"&gt;="&amp;DATE($B$3,2,26),'Leave log'!$F$7:$F$306,"Approved")&gt;0,"A",""))="A","A",IF(OR(DATE($B$3,2,26)&gt;EOMONTH(DATE($B$3,2,1),0),NETWORKDAYS.INTL(DATE($B$3,2,26),DATE($B$3,2,26),1,'Non-working days'!$A$6:$A$45)=0),"",IF(COUNTIFS('Leave log'!$A$7:$A$306,Employees!$A$13,'Leave log'!$B$7:$B$306,"&lt;="&amp;DATE($B$3,2,26),'Leave log'!$C$7:$C$306,"&gt;="&amp;DATE($B$3,2,26),'Leave log'!$F$7:$F$306,"Pending")&gt;0,"P",""))))</f>
        <v/>
      </c>
      <c r="AB48" s="23" t="str">
        <f>IF(A48="","",IF(IF(OR(DATE($B$3,2,27)&gt;EOMONTH(DATE($B$3,2,1),0),NETWORKDAYS.INTL(DATE($B$3,2,27),DATE($B$3,2,27),1,'Non-working days'!$A$6:$A$45)=0),"",IF(COUNTIFS('Leave log'!$A$7:$A$306,Employees!$A$13,'Leave log'!$B$7:$B$306,"&lt;="&amp;DATE($B$3,2,27),'Leave log'!$C$7:$C$306,"&gt;="&amp;DATE($B$3,2,27),'Leave log'!$F$7:$F$306,"Approved")&gt;0,"A",""))="A","A",IF(OR(DATE($B$3,2,27)&gt;EOMONTH(DATE($B$3,2,1),0),NETWORKDAYS.INTL(DATE($B$3,2,27),DATE($B$3,2,27),1,'Non-working days'!$A$6:$A$45)=0),"",IF(COUNTIFS('Leave log'!$A$7:$A$306,Employees!$A$13,'Leave log'!$B$7:$B$306,"&lt;="&amp;DATE($B$3,2,27),'Leave log'!$C$7:$C$306,"&gt;="&amp;DATE($B$3,2,27),'Leave log'!$F$7:$F$306,"Pending")&gt;0,"P",""))))</f>
        <v/>
      </c>
      <c r="AC48" s="23" t="str">
        <f>IF(A48="","",IF(IF(OR(DATE($B$3,2,28)&gt;EOMONTH(DATE($B$3,2,1),0),NETWORKDAYS.INTL(DATE($B$3,2,28),DATE($B$3,2,28),1,'Non-working days'!$A$6:$A$45)=0),"",IF(COUNTIFS('Leave log'!$A$7:$A$306,Employees!$A$13,'Leave log'!$B$7:$B$306,"&lt;="&amp;DATE($B$3,2,28),'Leave log'!$C$7:$C$306,"&gt;="&amp;DATE($B$3,2,28),'Leave log'!$F$7:$F$306,"Approved")&gt;0,"A",""))="A","A",IF(OR(DATE($B$3,2,28)&gt;EOMONTH(DATE($B$3,2,1),0),NETWORKDAYS.INTL(DATE($B$3,2,28),DATE($B$3,2,28),1,'Non-working days'!$A$6:$A$45)=0),"",IF(COUNTIFS('Leave log'!$A$7:$A$306,Employees!$A$13,'Leave log'!$B$7:$B$306,"&lt;="&amp;DATE($B$3,2,28),'Leave log'!$C$7:$C$306,"&gt;="&amp;DATE($B$3,2,28),'Leave log'!$F$7:$F$306,"Pending")&gt;0,"P",""))))</f>
        <v/>
      </c>
      <c r="AD48" s="23" t="str">
        <f>IF(A48="","",IF(IF(OR(DATE($B$3,2,29)&gt;EOMONTH(DATE($B$3,2,1),0),NETWORKDAYS.INTL(DATE($B$3,2,29),DATE($B$3,2,29),1,'Non-working days'!$A$6:$A$45)=0),"",IF(COUNTIFS('Leave log'!$A$7:$A$306,Employees!$A$13,'Leave log'!$B$7:$B$306,"&lt;="&amp;DATE($B$3,2,29),'Leave log'!$C$7:$C$306,"&gt;="&amp;DATE($B$3,2,29),'Leave log'!$F$7:$F$306,"Approved")&gt;0,"A",""))="A","A",IF(OR(DATE($B$3,2,29)&gt;EOMONTH(DATE($B$3,2,1),0),NETWORKDAYS.INTL(DATE($B$3,2,29),DATE($B$3,2,29),1,'Non-working days'!$A$6:$A$45)=0),"",IF(COUNTIFS('Leave log'!$A$7:$A$306,Employees!$A$13,'Leave log'!$B$7:$B$306,"&lt;="&amp;DATE($B$3,2,29),'Leave log'!$C$7:$C$306,"&gt;="&amp;DATE($B$3,2,29),'Leave log'!$F$7:$F$306,"Pending")&gt;0,"P",""))))</f>
        <v/>
      </c>
      <c r="AE48" s="23" t="str">
        <f>IF(A48="","",IF(IF(OR(DATE($B$3,2,30)&gt;EOMONTH(DATE($B$3,2,1),0),NETWORKDAYS.INTL(DATE($B$3,2,30),DATE($B$3,2,30),1,'Non-working days'!$A$6:$A$45)=0),"",IF(COUNTIFS('Leave log'!$A$7:$A$306,Employees!$A$13,'Leave log'!$B$7:$B$306,"&lt;="&amp;DATE($B$3,2,30),'Leave log'!$C$7:$C$306,"&gt;="&amp;DATE($B$3,2,30),'Leave log'!$F$7:$F$306,"Approved")&gt;0,"A",""))="A","A",IF(OR(DATE($B$3,2,30)&gt;EOMONTH(DATE($B$3,2,1),0),NETWORKDAYS.INTL(DATE($B$3,2,30),DATE($B$3,2,30),1,'Non-working days'!$A$6:$A$45)=0),"",IF(COUNTIFS('Leave log'!$A$7:$A$306,Employees!$A$13,'Leave log'!$B$7:$B$306,"&lt;="&amp;DATE($B$3,2,30),'Leave log'!$C$7:$C$306,"&gt;="&amp;DATE($B$3,2,30),'Leave log'!$F$7:$F$306,"Pending")&gt;0,"P",""))))</f>
        <v/>
      </c>
      <c r="AF48" s="23" t="str">
        <f>IF(A48="","",IF(IF(OR(DATE($B$3,2,31)&gt;EOMONTH(DATE($B$3,2,1),0),NETWORKDAYS.INTL(DATE($B$3,2,31),DATE($B$3,2,31),1,'Non-working days'!$A$6:$A$45)=0),"",IF(COUNTIFS('Leave log'!$A$7:$A$306,Employees!$A$13,'Leave log'!$B$7:$B$306,"&lt;="&amp;DATE($B$3,2,31),'Leave log'!$C$7:$C$306,"&gt;="&amp;DATE($B$3,2,31),'Leave log'!$F$7:$F$306,"Approved")&gt;0,"A",""))="A","A",IF(OR(DATE($B$3,2,31)&gt;EOMONTH(DATE($B$3,2,1),0),NETWORKDAYS.INTL(DATE($B$3,2,31),DATE($B$3,2,31),1,'Non-working days'!$A$6:$A$45)=0),"",IF(COUNTIFS('Leave log'!$A$7:$A$306,Employees!$A$13,'Leave log'!$B$7:$B$306,"&lt;="&amp;DATE($B$3,2,31),'Leave log'!$C$7:$C$306,"&gt;="&amp;DATE($B$3,2,31),'Leave log'!$F$7:$F$306,"Pending")&gt;0,"P",""))))</f>
        <v/>
      </c>
    </row>
    <row r="49" spans="1:32" ht="18" customHeight="1" x14ac:dyDescent="0.3">
      <c r="A49" s="22" t="str">
        <f>IF(Employees!F14="Yes",Employees!B14,"")</f>
        <v/>
      </c>
      <c r="B49" s="23" t="str">
        <f>IF(A49="","",IF(IF(OR(DATE($B$3,2,1)&gt;EOMONTH(DATE($B$3,2,1),0),NETWORKDAYS.INTL(DATE($B$3,2,1),DATE($B$3,2,1),1,'Non-working days'!$A$6:$A$45)=0),"",IF(COUNTIFS('Leave log'!$A$7:$A$306,Employees!$A$14,'Leave log'!$B$7:$B$306,"&lt;="&amp;DATE($B$3,2,1),'Leave log'!$C$7:$C$306,"&gt;="&amp;DATE($B$3,2,1),'Leave log'!$F$7:$F$306,"Approved")&gt;0,"A",""))="A","A",IF(OR(DATE($B$3,2,1)&gt;EOMONTH(DATE($B$3,2,1),0),NETWORKDAYS.INTL(DATE($B$3,2,1),DATE($B$3,2,1),1,'Non-working days'!$A$6:$A$45)=0),"",IF(COUNTIFS('Leave log'!$A$7:$A$306,Employees!$A$14,'Leave log'!$B$7:$B$306,"&lt;="&amp;DATE($B$3,2,1),'Leave log'!$C$7:$C$306,"&gt;="&amp;DATE($B$3,2,1),'Leave log'!$F$7:$F$306,"Pending")&gt;0,"P",""))))</f>
        <v/>
      </c>
      <c r="C49" s="23" t="str">
        <f>IF(A49="","",IF(IF(OR(DATE($B$3,2,2)&gt;EOMONTH(DATE($B$3,2,1),0),NETWORKDAYS.INTL(DATE($B$3,2,2),DATE($B$3,2,2),1,'Non-working days'!$A$6:$A$45)=0),"",IF(COUNTIFS('Leave log'!$A$7:$A$306,Employees!$A$14,'Leave log'!$B$7:$B$306,"&lt;="&amp;DATE($B$3,2,2),'Leave log'!$C$7:$C$306,"&gt;="&amp;DATE($B$3,2,2),'Leave log'!$F$7:$F$306,"Approved")&gt;0,"A",""))="A","A",IF(OR(DATE($B$3,2,2)&gt;EOMONTH(DATE($B$3,2,1),0),NETWORKDAYS.INTL(DATE($B$3,2,2),DATE($B$3,2,2),1,'Non-working days'!$A$6:$A$45)=0),"",IF(COUNTIFS('Leave log'!$A$7:$A$306,Employees!$A$14,'Leave log'!$B$7:$B$306,"&lt;="&amp;DATE($B$3,2,2),'Leave log'!$C$7:$C$306,"&gt;="&amp;DATE($B$3,2,2),'Leave log'!$F$7:$F$306,"Pending")&gt;0,"P",""))))</f>
        <v/>
      </c>
      <c r="D49" s="23" t="str">
        <f>IF(A49="","",IF(IF(OR(DATE($B$3,2,3)&gt;EOMONTH(DATE($B$3,2,1),0),NETWORKDAYS.INTL(DATE($B$3,2,3),DATE($B$3,2,3),1,'Non-working days'!$A$6:$A$45)=0),"",IF(COUNTIFS('Leave log'!$A$7:$A$306,Employees!$A$14,'Leave log'!$B$7:$B$306,"&lt;="&amp;DATE($B$3,2,3),'Leave log'!$C$7:$C$306,"&gt;="&amp;DATE($B$3,2,3),'Leave log'!$F$7:$F$306,"Approved")&gt;0,"A",""))="A","A",IF(OR(DATE($B$3,2,3)&gt;EOMONTH(DATE($B$3,2,1),0),NETWORKDAYS.INTL(DATE($B$3,2,3),DATE($B$3,2,3),1,'Non-working days'!$A$6:$A$45)=0),"",IF(COUNTIFS('Leave log'!$A$7:$A$306,Employees!$A$14,'Leave log'!$B$7:$B$306,"&lt;="&amp;DATE($B$3,2,3),'Leave log'!$C$7:$C$306,"&gt;="&amp;DATE($B$3,2,3),'Leave log'!$F$7:$F$306,"Pending")&gt;0,"P",""))))</f>
        <v/>
      </c>
      <c r="E49" s="23" t="str">
        <f>IF(A49="","",IF(IF(OR(DATE($B$3,2,4)&gt;EOMONTH(DATE($B$3,2,1),0),NETWORKDAYS.INTL(DATE($B$3,2,4),DATE($B$3,2,4),1,'Non-working days'!$A$6:$A$45)=0),"",IF(COUNTIFS('Leave log'!$A$7:$A$306,Employees!$A$14,'Leave log'!$B$7:$B$306,"&lt;="&amp;DATE($B$3,2,4),'Leave log'!$C$7:$C$306,"&gt;="&amp;DATE($B$3,2,4),'Leave log'!$F$7:$F$306,"Approved")&gt;0,"A",""))="A","A",IF(OR(DATE($B$3,2,4)&gt;EOMONTH(DATE($B$3,2,1),0),NETWORKDAYS.INTL(DATE($B$3,2,4),DATE($B$3,2,4),1,'Non-working days'!$A$6:$A$45)=0),"",IF(COUNTIFS('Leave log'!$A$7:$A$306,Employees!$A$14,'Leave log'!$B$7:$B$306,"&lt;="&amp;DATE($B$3,2,4),'Leave log'!$C$7:$C$306,"&gt;="&amp;DATE($B$3,2,4),'Leave log'!$F$7:$F$306,"Pending")&gt;0,"P",""))))</f>
        <v/>
      </c>
      <c r="F49" s="23" t="str">
        <f>IF(A49="","",IF(IF(OR(DATE($B$3,2,5)&gt;EOMONTH(DATE($B$3,2,1),0),NETWORKDAYS.INTL(DATE($B$3,2,5),DATE($B$3,2,5),1,'Non-working days'!$A$6:$A$45)=0),"",IF(COUNTIFS('Leave log'!$A$7:$A$306,Employees!$A$14,'Leave log'!$B$7:$B$306,"&lt;="&amp;DATE($B$3,2,5),'Leave log'!$C$7:$C$306,"&gt;="&amp;DATE($B$3,2,5),'Leave log'!$F$7:$F$306,"Approved")&gt;0,"A",""))="A","A",IF(OR(DATE($B$3,2,5)&gt;EOMONTH(DATE($B$3,2,1),0),NETWORKDAYS.INTL(DATE($B$3,2,5),DATE($B$3,2,5),1,'Non-working days'!$A$6:$A$45)=0),"",IF(COUNTIFS('Leave log'!$A$7:$A$306,Employees!$A$14,'Leave log'!$B$7:$B$306,"&lt;="&amp;DATE($B$3,2,5),'Leave log'!$C$7:$C$306,"&gt;="&amp;DATE($B$3,2,5),'Leave log'!$F$7:$F$306,"Pending")&gt;0,"P",""))))</f>
        <v/>
      </c>
      <c r="G49" s="23" t="str">
        <f>IF(A49="","",IF(IF(OR(DATE($B$3,2,6)&gt;EOMONTH(DATE($B$3,2,1),0),NETWORKDAYS.INTL(DATE($B$3,2,6),DATE($B$3,2,6),1,'Non-working days'!$A$6:$A$45)=0),"",IF(COUNTIFS('Leave log'!$A$7:$A$306,Employees!$A$14,'Leave log'!$B$7:$B$306,"&lt;="&amp;DATE($B$3,2,6),'Leave log'!$C$7:$C$306,"&gt;="&amp;DATE($B$3,2,6),'Leave log'!$F$7:$F$306,"Approved")&gt;0,"A",""))="A","A",IF(OR(DATE($B$3,2,6)&gt;EOMONTH(DATE($B$3,2,1),0),NETWORKDAYS.INTL(DATE($B$3,2,6),DATE($B$3,2,6),1,'Non-working days'!$A$6:$A$45)=0),"",IF(COUNTIFS('Leave log'!$A$7:$A$306,Employees!$A$14,'Leave log'!$B$7:$B$306,"&lt;="&amp;DATE($B$3,2,6),'Leave log'!$C$7:$C$306,"&gt;="&amp;DATE($B$3,2,6),'Leave log'!$F$7:$F$306,"Pending")&gt;0,"P",""))))</f>
        <v/>
      </c>
      <c r="H49" s="23" t="str">
        <f>IF(A49="","",IF(IF(OR(DATE($B$3,2,7)&gt;EOMONTH(DATE($B$3,2,1),0),NETWORKDAYS.INTL(DATE($B$3,2,7),DATE($B$3,2,7),1,'Non-working days'!$A$6:$A$45)=0),"",IF(COUNTIFS('Leave log'!$A$7:$A$306,Employees!$A$14,'Leave log'!$B$7:$B$306,"&lt;="&amp;DATE($B$3,2,7),'Leave log'!$C$7:$C$306,"&gt;="&amp;DATE($B$3,2,7),'Leave log'!$F$7:$F$306,"Approved")&gt;0,"A",""))="A","A",IF(OR(DATE($B$3,2,7)&gt;EOMONTH(DATE($B$3,2,1),0),NETWORKDAYS.INTL(DATE($B$3,2,7),DATE($B$3,2,7),1,'Non-working days'!$A$6:$A$45)=0),"",IF(COUNTIFS('Leave log'!$A$7:$A$306,Employees!$A$14,'Leave log'!$B$7:$B$306,"&lt;="&amp;DATE($B$3,2,7),'Leave log'!$C$7:$C$306,"&gt;="&amp;DATE($B$3,2,7),'Leave log'!$F$7:$F$306,"Pending")&gt;0,"P",""))))</f>
        <v/>
      </c>
      <c r="I49" s="23" t="str">
        <f>IF(A49="","",IF(IF(OR(DATE($B$3,2,8)&gt;EOMONTH(DATE($B$3,2,1),0),NETWORKDAYS.INTL(DATE($B$3,2,8),DATE($B$3,2,8),1,'Non-working days'!$A$6:$A$45)=0),"",IF(COUNTIFS('Leave log'!$A$7:$A$306,Employees!$A$14,'Leave log'!$B$7:$B$306,"&lt;="&amp;DATE($B$3,2,8),'Leave log'!$C$7:$C$306,"&gt;="&amp;DATE($B$3,2,8),'Leave log'!$F$7:$F$306,"Approved")&gt;0,"A",""))="A","A",IF(OR(DATE($B$3,2,8)&gt;EOMONTH(DATE($B$3,2,1),0),NETWORKDAYS.INTL(DATE($B$3,2,8),DATE($B$3,2,8),1,'Non-working days'!$A$6:$A$45)=0),"",IF(COUNTIFS('Leave log'!$A$7:$A$306,Employees!$A$14,'Leave log'!$B$7:$B$306,"&lt;="&amp;DATE($B$3,2,8),'Leave log'!$C$7:$C$306,"&gt;="&amp;DATE($B$3,2,8),'Leave log'!$F$7:$F$306,"Pending")&gt;0,"P",""))))</f>
        <v/>
      </c>
      <c r="J49" s="23" t="str">
        <f>IF(A49="","",IF(IF(OR(DATE($B$3,2,9)&gt;EOMONTH(DATE($B$3,2,1),0),NETWORKDAYS.INTL(DATE($B$3,2,9),DATE($B$3,2,9),1,'Non-working days'!$A$6:$A$45)=0),"",IF(COUNTIFS('Leave log'!$A$7:$A$306,Employees!$A$14,'Leave log'!$B$7:$B$306,"&lt;="&amp;DATE($B$3,2,9),'Leave log'!$C$7:$C$306,"&gt;="&amp;DATE($B$3,2,9),'Leave log'!$F$7:$F$306,"Approved")&gt;0,"A",""))="A","A",IF(OR(DATE($B$3,2,9)&gt;EOMONTH(DATE($B$3,2,1),0),NETWORKDAYS.INTL(DATE($B$3,2,9),DATE($B$3,2,9),1,'Non-working days'!$A$6:$A$45)=0),"",IF(COUNTIFS('Leave log'!$A$7:$A$306,Employees!$A$14,'Leave log'!$B$7:$B$306,"&lt;="&amp;DATE($B$3,2,9),'Leave log'!$C$7:$C$306,"&gt;="&amp;DATE($B$3,2,9),'Leave log'!$F$7:$F$306,"Pending")&gt;0,"P",""))))</f>
        <v/>
      </c>
      <c r="K49" s="23" t="str">
        <f>IF(A49="","",IF(IF(OR(DATE($B$3,2,10)&gt;EOMONTH(DATE($B$3,2,1),0),NETWORKDAYS.INTL(DATE($B$3,2,10),DATE($B$3,2,10),1,'Non-working days'!$A$6:$A$45)=0),"",IF(COUNTIFS('Leave log'!$A$7:$A$306,Employees!$A$14,'Leave log'!$B$7:$B$306,"&lt;="&amp;DATE($B$3,2,10),'Leave log'!$C$7:$C$306,"&gt;="&amp;DATE($B$3,2,10),'Leave log'!$F$7:$F$306,"Approved")&gt;0,"A",""))="A","A",IF(OR(DATE($B$3,2,10)&gt;EOMONTH(DATE($B$3,2,1),0),NETWORKDAYS.INTL(DATE($B$3,2,10),DATE($B$3,2,10),1,'Non-working days'!$A$6:$A$45)=0),"",IF(COUNTIFS('Leave log'!$A$7:$A$306,Employees!$A$14,'Leave log'!$B$7:$B$306,"&lt;="&amp;DATE($B$3,2,10),'Leave log'!$C$7:$C$306,"&gt;="&amp;DATE($B$3,2,10),'Leave log'!$F$7:$F$306,"Pending")&gt;0,"P",""))))</f>
        <v/>
      </c>
      <c r="L49" s="23" t="str">
        <f>IF(A49="","",IF(IF(OR(DATE($B$3,2,11)&gt;EOMONTH(DATE($B$3,2,1),0),NETWORKDAYS.INTL(DATE($B$3,2,11),DATE($B$3,2,11),1,'Non-working days'!$A$6:$A$45)=0),"",IF(COUNTIFS('Leave log'!$A$7:$A$306,Employees!$A$14,'Leave log'!$B$7:$B$306,"&lt;="&amp;DATE($B$3,2,11),'Leave log'!$C$7:$C$306,"&gt;="&amp;DATE($B$3,2,11),'Leave log'!$F$7:$F$306,"Approved")&gt;0,"A",""))="A","A",IF(OR(DATE($B$3,2,11)&gt;EOMONTH(DATE($B$3,2,1),0),NETWORKDAYS.INTL(DATE($B$3,2,11),DATE($B$3,2,11),1,'Non-working days'!$A$6:$A$45)=0),"",IF(COUNTIFS('Leave log'!$A$7:$A$306,Employees!$A$14,'Leave log'!$B$7:$B$306,"&lt;="&amp;DATE($B$3,2,11),'Leave log'!$C$7:$C$306,"&gt;="&amp;DATE($B$3,2,11),'Leave log'!$F$7:$F$306,"Pending")&gt;0,"P",""))))</f>
        <v/>
      </c>
      <c r="M49" s="23" t="str">
        <f>IF(A49="","",IF(IF(OR(DATE($B$3,2,12)&gt;EOMONTH(DATE($B$3,2,1),0),NETWORKDAYS.INTL(DATE($B$3,2,12),DATE($B$3,2,12),1,'Non-working days'!$A$6:$A$45)=0),"",IF(COUNTIFS('Leave log'!$A$7:$A$306,Employees!$A$14,'Leave log'!$B$7:$B$306,"&lt;="&amp;DATE($B$3,2,12),'Leave log'!$C$7:$C$306,"&gt;="&amp;DATE($B$3,2,12),'Leave log'!$F$7:$F$306,"Approved")&gt;0,"A",""))="A","A",IF(OR(DATE($B$3,2,12)&gt;EOMONTH(DATE($B$3,2,1),0),NETWORKDAYS.INTL(DATE($B$3,2,12),DATE($B$3,2,12),1,'Non-working days'!$A$6:$A$45)=0),"",IF(COUNTIFS('Leave log'!$A$7:$A$306,Employees!$A$14,'Leave log'!$B$7:$B$306,"&lt;="&amp;DATE($B$3,2,12),'Leave log'!$C$7:$C$306,"&gt;="&amp;DATE($B$3,2,12),'Leave log'!$F$7:$F$306,"Pending")&gt;0,"P",""))))</f>
        <v/>
      </c>
      <c r="N49" s="23" t="str">
        <f>IF(A49="","",IF(IF(OR(DATE($B$3,2,13)&gt;EOMONTH(DATE($B$3,2,1),0),NETWORKDAYS.INTL(DATE($B$3,2,13),DATE($B$3,2,13),1,'Non-working days'!$A$6:$A$45)=0),"",IF(COUNTIFS('Leave log'!$A$7:$A$306,Employees!$A$14,'Leave log'!$B$7:$B$306,"&lt;="&amp;DATE($B$3,2,13),'Leave log'!$C$7:$C$306,"&gt;="&amp;DATE($B$3,2,13),'Leave log'!$F$7:$F$306,"Approved")&gt;0,"A",""))="A","A",IF(OR(DATE($B$3,2,13)&gt;EOMONTH(DATE($B$3,2,1),0),NETWORKDAYS.INTL(DATE($B$3,2,13),DATE($B$3,2,13),1,'Non-working days'!$A$6:$A$45)=0),"",IF(COUNTIFS('Leave log'!$A$7:$A$306,Employees!$A$14,'Leave log'!$B$7:$B$306,"&lt;="&amp;DATE($B$3,2,13),'Leave log'!$C$7:$C$306,"&gt;="&amp;DATE($B$3,2,13),'Leave log'!$F$7:$F$306,"Pending")&gt;0,"P",""))))</f>
        <v/>
      </c>
      <c r="O49" s="23" t="str">
        <f>IF(A49="","",IF(IF(OR(DATE($B$3,2,14)&gt;EOMONTH(DATE($B$3,2,1),0),NETWORKDAYS.INTL(DATE($B$3,2,14),DATE($B$3,2,14),1,'Non-working days'!$A$6:$A$45)=0),"",IF(COUNTIFS('Leave log'!$A$7:$A$306,Employees!$A$14,'Leave log'!$B$7:$B$306,"&lt;="&amp;DATE($B$3,2,14),'Leave log'!$C$7:$C$306,"&gt;="&amp;DATE($B$3,2,14),'Leave log'!$F$7:$F$306,"Approved")&gt;0,"A",""))="A","A",IF(OR(DATE($B$3,2,14)&gt;EOMONTH(DATE($B$3,2,1),0),NETWORKDAYS.INTL(DATE($B$3,2,14),DATE($B$3,2,14),1,'Non-working days'!$A$6:$A$45)=0),"",IF(COUNTIFS('Leave log'!$A$7:$A$306,Employees!$A$14,'Leave log'!$B$7:$B$306,"&lt;="&amp;DATE($B$3,2,14),'Leave log'!$C$7:$C$306,"&gt;="&amp;DATE($B$3,2,14),'Leave log'!$F$7:$F$306,"Pending")&gt;0,"P",""))))</f>
        <v/>
      </c>
      <c r="P49" s="23" t="str">
        <f>IF(A49="","",IF(IF(OR(DATE($B$3,2,15)&gt;EOMONTH(DATE($B$3,2,1),0),NETWORKDAYS.INTL(DATE($B$3,2,15),DATE($B$3,2,15),1,'Non-working days'!$A$6:$A$45)=0),"",IF(COUNTIFS('Leave log'!$A$7:$A$306,Employees!$A$14,'Leave log'!$B$7:$B$306,"&lt;="&amp;DATE($B$3,2,15),'Leave log'!$C$7:$C$306,"&gt;="&amp;DATE($B$3,2,15),'Leave log'!$F$7:$F$306,"Approved")&gt;0,"A",""))="A","A",IF(OR(DATE($B$3,2,15)&gt;EOMONTH(DATE($B$3,2,1),0),NETWORKDAYS.INTL(DATE($B$3,2,15),DATE($B$3,2,15),1,'Non-working days'!$A$6:$A$45)=0),"",IF(COUNTIFS('Leave log'!$A$7:$A$306,Employees!$A$14,'Leave log'!$B$7:$B$306,"&lt;="&amp;DATE($B$3,2,15),'Leave log'!$C$7:$C$306,"&gt;="&amp;DATE($B$3,2,15),'Leave log'!$F$7:$F$306,"Pending")&gt;0,"P",""))))</f>
        <v/>
      </c>
      <c r="Q49" s="23" t="str">
        <f>IF(A49="","",IF(IF(OR(DATE($B$3,2,16)&gt;EOMONTH(DATE($B$3,2,1),0),NETWORKDAYS.INTL(DATE($B$3,2,16),DATE($B$3,2,16),1,'Non-working days'!$A$6:$A$45)=0),"",IF(COUNTIFS('Leave log'!$A$7:$A$306,Employees!$A$14,'Leave log'!$B$7:$B$306,"&lt;="&amp;DATE($B$3,2,16),'Leave log'!$C$7:$C$306,"&gt;="&amp;DATE($B$3,2,16),'Leave log'!$F$7:$F$306,"Approved")&gt;0,"A",""))="A","A",IF(OR(DATE($B$3,2,16)&gt;EOMONTH(DATE($B$3,2,1),0),NETWORKDAYS.INTL(DATE($B$3,2,16),DATE($B$3,2,16),1,'Non-working days'!$A$6:$A$45)=0),"",IF(COUNTIFS('Leave log'!$A$7:$A$306,Employees!$A$14,'Leave log'!$B$7:$B$306,"&lt;="&amp;DATE($B$3,2,16),'Leave log'!$C$7:$C$306,"&gt;="&amp;DATE($B$3,2,16),'Leave log'!$F$7:$F$306,"Pending")&gt;0,"P",""))))</f>
        <v/>
      </c>
      <c r="R49" s="23" t="str">
        <f>IF(A49="","",IF(IF(OR(DATE($B$3,2,17)&gt;EOMONTH(DATE($B$3,2,1),0),NETWORKDAYS.INTL(DATE($B$3,2,17),DATE($B$3,2,17),1,'Non-working days'!$A$6:$A$45)=0),"",IF(COUNTIFS('Leave log'!$A$7:$A$306,Employees!$A$14,'Leave log'!$B$7:$B$306,"&lt;="&amp;DATE($B$3,2,17),'Leave log'!$C$7:$C$306,"&gt;="&amp;DATE($B$3,2,17),'Leave log'!$F$7:$F$306,"Approved")&gt;0,"A",""))="A","A",IF(OR(DATE($B$3,2,17)&gt;EOMONTH(DATE($B$3,2,1),0),NETWORKDAYS.INTL(DATE($B$3,2,17),DATE($B$3,2,17),1,'Non-working days'!$A$6:$A$45)=0),"",IF(COUNTIFS('Leave log'!$A$7:$A$306,Employees!$A$14,'Leave log'!$B$7:$B$306,"&lt;="&amp;DATE($B$3,2,17),'Leave log'!$C$7:$C$306,"&gt;="&amp;DATE($B$3,2,17),'Leave log'!$F$7:$F$306,"Pending")&gt;0,"P",""))))</f>
        <v/>
      </c>
      <c r="S49" s="23" t="str">
        <f>IF(A49="","",IF(IF(OR(DATE($B$3,2,18)&gt;EOMONTH(DATE($B$3,2,1),0),NETWORKDAYS.INTL(DATE($B$3,2,18),DATE($B$3,2,18),1,'Non-working days'!$A$6:$A$45)=0),"",IF(COUNTIFS('Leave log'!$A$7:$A$306,Employees!$A$14,'Leave log'!$B$7:$B$306,"&lt;="&amp;DATE($B$3,2,18),'Leave log'!$C$7:$C$306,"&gt;="&amp;DATE($B$3,2,18),'Leave log'!$F$7:$F$306,"Approved")&gt;0,"A",""))="A","A",IF(OR(DATE($B$3,2,18)&gt;EOMONTH(DATE($B$3,2,1),0),NETWORKDAYS.INTL(DATE($B$3,2,18),DATE($B$3,2,18),1,'Non-working days'!$A$6:$A$45)=0),"",IF(COUNTIFS('Leave log'!$A$7:$A$306,Employees!$A$14,'Leave log'!$B$7:$B$306,"&lt;="&amp;DATE($B$3,2,18),'Leave log'!$C$7:$C$306,"&gt;="&amp;DATE($B$3,2,18),'Leave log'!$F$7:$F$306,"Pending")&gt;0,"P",""))))</f>
        <v/>
      </c>
      <c r="T49" s="23" t="str">
        <f>IF(A49="","",IF(IF(OR(DATE($B$3,2,19)&gt;EOMONTH(DATE($B$3,2,1),0),NETWORKDAYS.INTL(DATE($B$3,2,19),DATE($B$3,2,19),1,'Non-working days'!$A$6:$A$45)=0),"",IF(COUNTIFS('Leave log'!$A$7:$A$306,Employees!$A$14,'Leave log'!$B$7:$B$306,"&lt;="&amp;DATE($B$3,2,19),'Leave log'!$C$7:$C$306,"&gt;="&amp;DATE($B$3,2,19),'Leave log'!$F$7:$F$306,"Approved")&gt;0,"A",""))="A","A",IF(OR(DATE($B$3,2,19)&gt;EOMONTH(DATE($B$3,2,1),0),NETWORKDAYS.INTL(DATE($B$3,2,19),DATE($B$3,2,19),1,'Non-working days'!$A$6:$A$45)=0),"",IF(COUNTIFS('Leave log'!$A$7:$A$306,Employees!$A$14,'Leave log'!$B$7:$B$306,"&lt;="&amp;DATE($B$3,2,19),'Leave log'!$C$7:$C$306,"&gt;="&amp;DATE($B$3,2,19),'Leave log'!$F$7:$F$306,"Pending")&gt;0,"P",""))))</f>
        <v/>
      </c>
      <c r="U49" s="23" t="str">
        <f>IF(A49="","",IF(IF(OR(DATE($B$3,2,20)&gt;EOMONTH(DATE($B$3,2,1),0),NETWORKDAYS.INTL(DATE($B$3,2,20),DATE($B$3,2,20),1,'Non-working days'!$A$6:$A$45)=0),"",IF(COUNTIFS('Leave log'!$A$7:$A$306,Employees!$A$14,'Leave log'!$B$7:$B$306,"&lt;="&amp;DATE($B$3,2,20),'Leave log'!$C$7:$C$306,"&gt;="&amp;DATE($B$3,2,20),'Leave log'!$F$7:$F$306,"Approved")&gt;0,"A",""))="A","A",IF(OR(DATE($B$3,2,20)&gt;EOMONTH(DATE($B$3,2,1),0),NETWORKDAYS.INTL(DATE($B$3,2,20),DATE($B$3,2,20),1,'Non-working days'!$A$6:$A$45)=0),"",IF(COUNTIFS('Leave log'!$A$7:$A$306,Employees!$A$14,'Leave log'!$B$7:$B$306,"&lt;="&amp;DATE($B$3,2,20),'Leave log'!$C$7:$C$306,"&gt;="&amp;DATE($B$3,2,20),'Leave log'!$F$7:$F$306,"Pending")&gt;0,"P",""))))</f>
        <v/>
      </c>
      <c r="V49" s="23" t="str">
        <f>IF(A49="","",IF(IF(OR(DATE($B$3,2,21)&gt;EOMONTH(DATE($B$3,2,1),0),NETWORKDAYS.INTL(DATE($B$3,2,21),DATE($B$3,2,21),1,'Non-working days'!$A$6:$A$45)=0),"",IF(COUNTIFS('Leave log'!$A$7:$A$306,Employees!$A$14,'Leave log'!$B$7:$B$306,"&lt;="&amp;DATE($B$3,2,21),'Leave log'!$C$7:$C$306,"&gt;="&amp;DATE($B$3,2,21),'Leave log'!$F$7:$F$306,"Approved")&gt;0,"A",""))="A","A",IF(OR(DATE($B$3,2,21)&gt;EOMONTH(DATE($B$3,2,1),0),NETWORKDAYS.INTL(DATE($B$3,2,21),DATE($B$3,2,21),1,'Non-working days'!$A$6:$A$45)=0),"",IF(COUNTIFS('Leave log'!$A$7:$A$306,Employees!$A$14,'Leave log'!$B$7:$B$306,"&lt;="&amp;DATE($B$3,2,21),'Leave log'!$C$7:$C$306,"&gt;="&amp;DATE($B$3,2,21),'Leave log'!$F$7:$F$306,"Pending")&gt;0,"P",""))))</f>
        <v/>
      </c>
      <c r="W49" s="23" t="str">
        <f>IF(A49="","",IF(IF(OR(DATE($B$3,2,22)&gt;EOMONTH(DATE($B$3,2,1),0),NETWORKDAYS.INTL(DATE($B$3,2,22),DATE($B$3,2,22),1,'Non-working days'!$A$6:$A$45)=0),"",IF(COUNTIFS('Leave log'!$A$7:$A$306,Employees!$A$14,'Leave log'!$B$7:$B$306,"&lt;="&amp;DATE($B$3,2,22),'Leave log'!$C$7:$C$306,"&gt;="&amp;DATE($B$3,2,22),'Leave log'!$F$7:$F$306,"Approved")&gt;0,"A",""))="A","A",IF(OR(DATE($B$3,2,22)&gt;EOMONTH(DATE($B$3,2,1),0),NETWORKDAYS.INTL(DATE($B$3,2,22),DATE($B$3,2,22),1,'Non-working days'!$A$6:$A$45)=0),"",IF(COUNTIFS('Leave log'!$A$7:$A$306,Employees!$A$14,'Leave log'!$B$7:$B$306,"&lt;="&amp;DATE($B$3,2,22),'Leave log'!$C$7:$C$306,"&gt;="&amp;DATE($B$3,2,22),'Leave log'!$F$7:$F$306,"Pending")&gt;0,"P",""))))</f>
        <v/>
      </c>
      <c r="X49" s="23" t="str">
        <f>IF(A49="","",IF(IF(OR(DATE($B$3,2,23)&gt;EOMONTH(DATE($B$3,2,1),0),NETWORKDAYS.INTL(DATE($B$3,2,23),DATE($B$3,2,23),1,'Non-working days'!$A$6:$A$45)=0),"",IF(COUNTIFS('Leave log'!$A$7:$A$306,Employees!$A$14,'Leave log'!$B$7:$B$306,"&lt;="&amp;DATE($B$3,2,23),'Leave log'!$C$7:$C$306,"&gt;="&amp;DATE($B$3,2,23),'Leave log'!$F$7:$F$306,"Approved")&gt;0,"A",""))="A","A",IF(OR(DATE($B$3,2,23)&gt;EOMONTH(DATE($B$3,2,1),0),NETWORKDAYS.INTL(DATE($B$3,2,23),DATE($B$3,2,23),1,'Non-working days'!$A$6:$A$45)=0),"",IF(COUNTIFS('Leave log'!$A$7:$A$306,Employees!$A$14,'Leave log'!$B$7:$B$306,"&lt;="&amp;DATE($B$3,2,23),'Leave log'!$C$7:$C$306,"&gt;="&amp;DATE($B$3,2,23),'Leave log'!$F$7:$F$306,"Pending")&gt;0,"P",""))))</f>
        <v/>
      </c>
      <c r="Y49" s="23" t="str">
        <f>IF(A49="","",IF(IF(OR(DATE($B$3,2,24)&gt;EOMONTH(DATE($B$3,2,1),0),NETWORKDAYS.INTL(DATE($B$3,2,24),DATE($B$3,2,24),1,'Non-working days'!$A$6:$A$45)=0),"",IF(COUNTIFS('Leave log'!$A$7:$A$306,Employees!$A$14,'Leave log'!$B$7:$B$306,"&lt;="&amp;DATE($B$3,2,24),'Leave log'!$C$7:$C$306,"&gt;="&amp;DATE($B$3,2,24),'Leave log'!$F$7:$F$306,"Approved")&gt;0,"A",""))="A","A",IF(OR(DATE($B$3,2,24)&gt;EOMONTH(DATE($B$3,2,1),0),NETWORKDAYS.INTL(DATE($B$3,2,24),DATE($B$3,2,24),1,'Non-working days'!$A$6:$A$45)=0),"",IF(COUNTIFS('Leave log'!$A$7:$A$306,Employees!$A$14,'Leave log'!$B$7:$B$306,"&lt;="&amp;DATE($B$3,2,24),'Leave log'!$C$7:$C$306,"&gt;="&amp;DATE($B$3,2,24),'Leave log'!$F$7:$F$306,"Pending")&gt;0,"P",""))))</f>
        <v/>
      </c>
      <c r="Z49" s="23" t="str">
        <f>IF(A49="","",IF(IF(OR(DATE($B$3,2,25)&gt;EOMONTH(DATE($B$3,2,1),0),NETWORKDAYS.INTL(DATE($B$3,2,25),DATE($B$3,2,25),1,'Non-working days'!$A$6:$A$45)=0),"",IF(COUNTIFS('Leave log'!$A$7:$A$306,Employees!$A$14,'Leave log'!$B$7:$B$306,"&lt;="&amp;DATE($B$3,2,25),'Leave log'!$C$7:$C$306,"&gt;="&amp;DATE($B$3,2,25),'Leave log'!$F$7:$F$306,"Approved")&gt;0,"A",""))="A","A",IF(OR(DATE($B$3,2,25)&gt;EOMONTH(DATE($B$3,2,1),0),NETWORKDAYS.INTL(DATE($B$3,2,25),DATE($B$3,2,25),1,'Non-working days'!$A$6:$A$45)=0),"",IF(COUNTIFS('Leave log'!$A$7:$A$306,Employees!$A$14,'Leave log'!$B$7:$B$306,"&lt;="&amp;DATE($B$3,2,25),'Leave log'!$C$7:$C$306,"&gt;="&amp;DATE($B$3,2,25),'Leave log'!$F$7:$F$306,"Pending")&gt;0,"P",""))))</f>
        <v/>
      </c>
      <c r="AA49" s="23" t="str">
        <f>IF(A49="","",IF(IF(OR(DATE($B$3,2,26)&gt;EOMONTH(DATE($B$3,2,1),0),NETWORKDAYS.INTL(DATE($B$3,2,26),DATE($B$3,2,26),1,'Non-working days'!$A$6:$A$45)=0),"",IF(COUNTIFS('Leave log'!$A$7:$A$306,Employees!$A$14,'Leave log'!$B$7:$B$306,"&lt;="&amp;DATE($B$3,2,26),'Leave log'!$C$7:$C$306,"&gt;="&amp;DATE($B$3,2,26),'Leave log'!$F$7:$F$306,"Approved")&gt;0,"A",""))="A","A",IF(OR(DATE($B$3,2,26)&gt;EOMONTH(DATE($B$3,2,1),0),NETWORKDAYS.INTL(DATE($B$3,2,26),DATE($B$3,2,26),1,'Non-working days'!$A$6:$A$45)=0),"",IF(COUNTIFS('Leave log'!$A$7:$A$306,Employees!$A$14,'Leave log'!$B$7:$B$306,"&lt;="&amp;DATE($B$3,2,26),'Leave log'!$C$7:$C$306,"&gt;="&amp;DATE($B$3,2,26),'Leave log'!$F$7:$F$306,"Pending")&gt;0,"P",""))))</f>
        <v/>
      </c>
      <c r="AB49" s="23" t="str">
        <f>IF(A49="","",IF(IF(OR(DATE($B$3,2,27)&gt;EOMONTH(DATE($B$3,2,1),0),NETWORKDAYS.INTL(DATE($B$3,2,27),DATE($B$3,2,27),1,'Non-working days'!$A$6:$A$45)=0),"",IF(COUNTIFS('Leave log'!$A$7:$A$306,Employees!$A$14,'Leave log'!$B$7:$B$306,"&lt;="&amp;DATE($B$3,2,27),'Leave log'!$C$7:$C$306,"&gt;="&amp;DATE($B$3,2,27),'Leave log'!$F$7:$F$306,"Approved")&gt;0,"A",""))="A","A",IF(OR(DATE($B$3,2,27)&gt;EOMONTH(DATE($B$3,2,1),0),NETWORKDAYS.INTL(DATE($B$3,2,27),DATE($B$3,2,27),1,'Non-working days'!$A$6:$A$45)=0),"",IF(COUNTIFS('Leave log'!$A$7:$A$306,Employees!$A$14,'Leave log'!$B$7:$B$306,"&lt;="&amp;DATE($B$3,2,27),'Leave log'!$C$7:$C$306,"&gt;="&amp;DATE($B$3,2,27),'Leave log'!$F$7:$F$306,"Pending")&gt;0,"P",""))))</f>
        <v/>
      </c>
      <c r="AC49" s="23" t="str">
        <f>IF(A49="","",IF(IF(OR(DATE($B$3,2,28)&gt;EOMONTH(DATE($B$3,2,1),0),NETWORKDAYS.INTL(DATE($B$3,2,28),DATE($B$3,2,28),1,'Non-working days'!$A$6:$A$45)=0),"",IF(COUNTIFS('Leave log'!$A$7:$A$306,Employees!$A$14,'Leave log'!$B$7:$B$306,"&lt;="&amp;DATE($B$3,2,28),'Leave log'!$C$7:$C$306,"&gt;="&amp;DATE($B$3,2,28),'Leave log'!$F$7:$F$306,"Approved")&gt;0,"A",""))="A","A",IF(OR(DATE($B$3,2,28)&gt;EOMONTH(DATE($B$3,2,1),0),NETWORKDAYS.INTL(DATE($B$3,2,28),DATE($B$3,2,28),1,'Non-working days'!$A$6:$A$45)=0),"",IF(COUNTIFS('Leave log'!$A$7:$A$306,Employees!$A$14,'Leave log'!$B$7:$B$306,"&lt;="&amp;DATE($B$3,2,28),'Leave log'!$C$7:$C$306,"&gt;="&amp;DATE($B$3,2,28),'Leave log'!$F$7:$F$306,"Pending")&gt;0,"P",""))))</f>
        <v/>
      </c>
      <c r="AD49" s="23" t="str">
        <f>IF(A49="","",IF(IF(OR(DATE($B$3,2,29)&gt;EOMONTH(DATE($B$3,2,1),0),NETWORKDAYS.INTL(DATE($B$3,2,29),DATE($B$3,2,29),1,'Non-working days'!$A$6:$A$45)=0),"",IF(COUNTIFS('Leave log'!$A$7:$A$306,Employees!$A$14,'Leave log'!$B$7:$B$306,"&lt;="&amp;DATE($B$3,2,29),'Leave log'!$C$7:$C$306,"&gt;="&amp;DATE($B$3,2,29),'Leave log'!$F$7:$F$306,"Approved")&gt;0,"A",""))="A","A",IF(OR(DATE($B$3,2,29)&gt;EOMONTH(DATE($B$3,2,1),0),NETWORKDAYS.INTL(DATE($B$3,2,29),DATE($B$3,2,29),1,'Non-working days'!$A$6:$A$45)=0),"",IF(COUNTIFS('Leave log'!$A$7:$A$306,Employees!$A$14,'Leave log'!$B$7:$B$306,"&lt;="&amp;DATE($B$3,2,29),'Leave log'!$C$7:$C$306,"&gt;="&amp;DATE($B$3,2,29),'Leave log'!$F$7:$F$306,"Pending")&gt;0,"P",""))))</f>
        <v/>
      </c>
      <c r="AE49" s="23" t="str">
        <f>IF(A49="","",IF(IF(OR(DATE($B$3,2,30)&gt;EOMONTH(DATE($B$3,2,1),0),NETWORKDAYS.INTL(DATE($B$3,2,30),DATE($B$3,2,30),1,'Non-working days'!$A$6:$A$45)=0),"",IF(COUNTIFS('Leave log'!$A$7:$A$306,Employees!$A$14,'Leave log'!$B$7:$B$306,"&lt;="&amp;DATE($B$3,2,30),'Leave log'!$C$7:$C$306,"&gt;="&amp;DATE($B$3,2,30),'Leave log'!$F$7:$F$306,"Approved")&gt;0,"A",""))="A","A",IF(OR(DATE($B$3,2,30)&gt;EOMONTH(DATE($B$3,2,1),0),NETWORKDAYS.INTL(DATE($B$3,2,30),DATE($B$3,2,30),1,'Non-working days'!$A$6:$A$45)=0),"",IF(COUNTIFS('Leave log'!$A$7:$A$306,Employees!$A$14,'Leave log'!$B$7:$B$306,"&lt;="&amp;DATE($B$3,2,30),'Leave log'!$C$7:$C$306,"&gt;="&amp;DATE($B$3,2,30),'Leave log'!$F$7:$F$306,"Pending")&gt;0,"P",""))))</f>
        <v/>
      </c>
      <c r="AF49" s="23" t="str">
        <f>IF(A49="","",IF(IF(OR(DATE($B$3,2,31)&gt;EOMONTH(DATE($B$3,2,1),0),NETWORKDAYS.INTL(DATE($B$3,2,31),DATE($B$3,2,31),1,'Non-working days'!$A$6:$A$45)=0),"",IF(COUNTIFS('Leave log'!$A$7:$A$306,Employees!$A$14,'Leave log'!$B$7:$B$306,"&lt;="&amp;DATE($B$3,2,31),'Leave log'!$C$7:$C$306,"&gt;="&amp;DATE($B$3,2,31),'Leave log'!$F$7:$F$306,"Approved")&gt;0,"A",""))="A","A",IF(OR(DATE($B$3,2,31)&gt;EOMONTH(DATE($B$3,2,1),0),NETWORKDAYS.INTL(DATE($B$3,2,31),DATE($B$3,2,31),1,'Non-working days'!$A$6:$A$45)=0),"",IF(COUNTIFS('Leave log'!$A$7:$A$306,Employees!$A$14,'Leave log'!$B$7:$B$306,"&lt;="&amp;DATE($B$3,2,31),'Leave log'!$C$7:$C$306,"&gt;="&amp;DATE($B$3,2,31),'Leave log'!$F$7:$F$306,"Pending")&gt;0,"P",""))))</f>
        <v/>
      </c>
    </row>
    <row r="50" spans="1:32" ht="18" customHeight="1" x14ac:dyDescent="0.3">
      <c r="A50" s="22" t="str">
        <f>IF(Employees!F15="Yes",Employees!B15,"")</f>
        <v/>
      </c>
      <c r="B50" s="23" t="str">
        <f>IF(A50="","",IF(IF(OR(DATE($B$3,2,1)&gt;EOMONTH(DATE($B$3,2,1),0),NETWORKDAYS.INTL(DATE($B$3,2,1),DATE($B$3,2,1),1,'Non-working days'!$A$6:$A$45)=0),"",IF(COUNTIFS('Leave log'!$A$7:$A$306,Employees!$A$15,'Leave log'!$B$7:$B$306,"&lt;="&amp;DATE($B$3,2,1),'Leave log'!$C$7:$C$306,"&gt;="&amp;DATE($B$3,2,1),'Leave log'!$F$7:$F$306,"Approved")&gt;0,"A",""))="A","A",IF(OR(DATE($B$3,2,1)&gt;EOMONTH(DATE($B$3,2,1),0),NETWORKDAYS.INTL(DATE($B$3,2,1),DATE($B$3,2,1),1,'Non-working days'!$A$6:$A$45)=0),"",IF(COUNTIFS('Leave log'!$A$7:$A$306,Employees!$A$15,'Leave log'!$B$7:$B$306,"&lt;="&amp;DATE($B$3,2,1),'Leave log'!$C$7:$C$306,"&gt;="&amp;DATE($B$3,2,1),'Leave log'!$F$7:$F$306,"Pending")&gt;0,"P",""))))</f>
        <v/>
      </c>
      <c r="C50" s="23" t="str">
        <f>IF(A50="","",IF(IF(OR(DATE($B$3,2,2)&gt;EOMONTH(DATE($B$3,2,1),0),NETWORKDAYS.INTL(DATE($B$3,2,2),DATE($B$3,2,2),1,'Non-working days'!$A$6:$A$45)=0),"",IF(COUNTIFS('Leave log'!$A$7:$A$306,Employees!$A$15,'Leave log'!$B$7:$B$306,"&lt;="&amp;DATE($B$3,2,2),'Leave log'!$C$7:$C$306,"&gt;="&amp;DATE($B$3,2,2),'Leave log'!$F$7:$F$306,"Approved")&gt;0,"A",""))="A","A",IF(OR(DATE($B$3,2,2)&gt;EOMONTH(DATE($B$3,2,1),0),NETWORKDAYS.INTL(DATE($B$3,2,2),DATE($B$3,2,2),1,'Non-working days'!$A$6:$A$45)=0),"",IF(COUNTIFS('Leave log'!$A$7:$A$306,Employees!$A$15,'Leave log'!$B$7:$B$306,"&lt;="&amp;DATE($B$3,2,2),'Leave log'!$C$7:$C$306,"&gt;="&amp;DATE($B$3,2,2),'Leave log'!$F$7:$F$306,"Pending")&gt;0,"P",""))))</f>
        <v/>
      </c>
      <c r="D50" s="23" t="str">
        <f>IF(A50="","",IF(IF(OR(DATE($B$3,2,3)&gt;EOMONTH(DATE($B$3,2,1),0),NETWORKDAYS.INTL(DATE($B$3,2,3),DATE($B$3,2,3),1,'Non-working days'!$A$6:$A$45)=0),"",IF(COUNTIFS('Leave log'!$A$7:$A$306,Employees!$A$15,'Leave log'!$B$7:$B$306,"&lt;="&amp;DATE($B$3,2,3),'Leave log'!$C$7:$C$306,"&gt;="&amp;DATE($B$3,2,3),'Leave log'!$F$7:$F$306,"Approved")&gt;0,"A",""))="A","A",IF(OR(DATE($B$3,2,3)&gt;EOMONTH(DATE($B$3,2,1),0),NETWORKDAYS.INTL(DATE($B$3,2,3),DATE($B$3,2,3),1,'Non-working days'!$A$6:$A$45)=0),"",IF(COUNTIFS('Leave log'!$A$7:$A$306,Employees!$A$15,'Leave log'!$B$7:$B$306,"&lt;="&amp;DATE($B$3,2,3),'Leave log'!$C$7:$C$306,"&gt;="&amp;DATE($B$3,2,3),'Leave log'!$F$7:$F$306,"Pending")&gt;0,"P",""))))</f>
        <v/>
      </c>
      <c r="E50" s="23" t="str">
        <f>IF(A50="","",IF(IF(OR(DATE($B$3,2,4)&gt;EOMONTH(DATE($B$3,2,1),0),NETWORKDAYS.INTL(DATE($B$3,2,4),DATE($B$3,2,4),1,'Non-working days'!$A$6:$A$45)=0),"",IF(COUNTIFS('Leave log'!$A$7:$A$306,Employees!$A$15,'Leave log'!$B$7:$B$306,"&lt;="&amp;DATE($B$3,2,4),'Leave log'!$C$7:$C$306,"&gt;="&amp;DATE($B$3,2,4),'Leave log'!$F$7:$F$306,"Approved")&gt;0,"A",""))="A","A",IF(OR(DATE($B$3,2,4)&gt;EOMONTH(DATE($B$3,2,1),0),NETWORKDAYS.INTL(DATE($B$3,2,4),DATE($B$3,2,4),1,'Non-working days'!$A$6:$A$45)=0),"",IF(COUNTIFS('Leave log'!$A$7:$A$306,Employees!$A$15,'Leave log'!$B$7:$B$306,"&lt;="&amp;DATE($B$3,2,4),'Leave log'!$C$7:$C$306,"&gt;="&amp;DATE($B$3,2,4),'Leave log'!$F$7:$F$306,"Pending")&gt;0,"P",""))))</f>
        <v/>
      </c>
      <c r="F50" s="23" t="str">
        <f>IF(A50="","",IF(IF(OR(DATE($B$3,2,5)&gt;EOMONTH(DATE($B$3,2,1),0),NETWORKDAYS.INTL(DATE($B$3,2,5),DATE($B$3,2,5),1,'Non-working days'!$A$6:$A$45)=0),"",IF(COUNTIFS('Leave log'!$A$7:$A$306,Employees!$A$15,'Leave log'!$B$7:$B$306,"&lt;="&amp;DATE($B$3,2,5),'Leave log'!$C$7:$C$306,"&gt;="&amp;DATE($B$3,2,5),'Leave log'!$F$7:$F$306,"Approved")&gt;0,"A",""))="A","A",IF(OR(DATE($B$3,2,5)&gt;EOMONTH(DATE($B$3,2,1),0),NETWORKDAYS.INTL(DATE($B$3,2,5),DATE($B$3,2,5),1,'Non-working days'!$A$6:$A$45)=0),"",IF(COUNTIFS('Leave log'!$A$7:$A$306,Employees!$A$15,'Leave log'!$B$7:$B$306,"&lt;="&amp;DATE($B$3,2,5),'Leave log'!$C$7:$C$306,"&gt;="&amp;DATE($B$3,2,5),'Leave log'!$F$7:$F$306,"Pending")&gt;0,"P",""))))</f>
        <v/>
      </c>
      <c r="G50" s="23" t="str">
        <f>IF(A50="","",IF(IF(OR(DATE($B$3,2,6)&gt;EOMONTH(DATE($B$3,2,1),0),NETWORKDAYS.INTL(DATE($B$3,2,6),DATE($B$3,2,6),1,'Non-working days'!$A$6:$A$45)=0),"",IF(COUNTIFS('Leave log'!$A$7:$A$306,Employees!$A$15,'Leave log'!$B$7:$B$306,"&lt;="&amp;DATE($B$3,2,6),'Leave log'!$C$7:$C$306,"&gt;="&amp;DATE($B$3,2,6),'Leave log'!$F$7:$F$306,"Approved")&gt;0,"A",""))="A","A",IF(OR(DATE($B$3,2,6)&gt;EOMONTH(DATE($B$3,2,1),0),NETWORKDAYS.INTL(DATE($B$3,2,6),DATE($B$3,2,6),1,'Non-working days'!$A$6:$A$45)=0),"",IF(COUNTIFS('Leave log'!$A$7:$A$306,Employees!$A$15,'Leave log'!$B$7:$B$306,"&lt;="&amp;DATE($B$3,2,6),'Leave log'!$C$7:$C$306,"&gt;="&amp;DATE($B$3,2,6),'Leave log'!$F$7:$F$306,"Pending")&gt;0,"P",""))))</f>
        <v/>
      </c>
      <c r="H50" s="23" t="str">
        <f>IF(A50="","",IF(IF(OR(DATE($B$3,2,7)&gt;EOMONTH(DATE($B$3,2,1),0),NETWORKDAYS.INTL(DATE($B$3,2,7),DATE($B$3,2,7),1,'Non-working days'!$A$6:$A$45)=0),"",IF(COUNTIFS('Leave log'!$A$7:$A$306,Employees!$A$15,'Leave log'!$B$7:$B$306,"&lt;="&amp;DATE($B$3,2,7),'Leave log'!$C$7:$C$306,"&gt;="&amp;DATE($B$3,2,7),'Leave log'!$F$7:$F$306,"Approved")&gt;0,"A",""))="A","A",IF(OR(DATE($B$3,2,7)&gt;EOMONTH(DATE($B$3,2,1),0),NETWORKDAYS.INTL(DATE($B$3,2,7),DATE($B$3,2,7),1,'Non-working days'!$A$6:$A$45)=0),"",IF(COUNTIFS('Leave log'!$A$7:$A$306,Employees!$A$15,'Leave log'!$B$7:$B$306,"&lt;="&amp;DATE($B$3,2,7),'Leave log'!$C$7:$C$306,"&gt;="&amp;DATE($B$3,2,7),'Leave log'!$F$7:$F$306,"Pending")&gt;0,"P",""))))</f>
        <v/>
      </c>
      <c r="I50" s="23" t="str">
        <f>IF(A50="","",IF(IF(OR(DATE($B$3,2,8)&gt;EOMONTH(DATE($B$3,2,1),0),NETWORKDAYS.INTL(DATE($B$3,2,8),DATE($B$3,2,8),1,'Non-working days'!$A$6:$A$45)=0),"",IF(COUNTIFS('Leave log'!$A$7:$A$306,Employees!$A$15,'Leave log'!$B$7:$B$306,"&lt;="&amp;DATE($B$3,2,8),'Leave log'!$C$7:$C$306,"&gt;="&amp;DATE($B$3,2,8),'Leave log'!$F$7:$F$306,"Approved")&gt;0,"A",""))="A","A",IF(OR(DATE($B$3,2,8)&gt;EOMONTH(DATE($B$3,2,1),0),NETWORKDAYS.INTL(DATE($B$3,2,8),DATE($B$3,2,8),1,'Non-working days'!$A$6:$A$45)=0),"",IF(COUNTIFS('Leave log'!$A$7:$A$306,Employees!$A$15,'Leave log'!$B$7:$B$306,"&lt;="&amp;DATE($B$3,2,8),'Leave log'!$C$7:$C$306,"&gt;="&amp;DATE($B$3,2,8),'Leave log'!$F$7:$F$306,"Pending")&gt;0,"P",""))))</f>
        <v/>
      </c>
      <c r="J50" s="23" t="str">
        <f>IF(A50="","",IF(IF(OR(DATE($B$3,2,9)&gt;EOMONTH(DATE($B$3,2,1),0),NETWORKDAYS.INTL(DATE($B$3,2,9),DATE($B$3,2,9),1,'Non-working days'!$A$6:$A$45)=0),"",IF(COUNTIFS('Leave log'!$A$7:$A$306,Employees!$A$15,'Leave log'!$B$7:$B$306,"&lt;="&amp;DATE($B$3,2,9),'Leave log'!$C$7:$C$306,"&gt;="&amp;DATE($B$3,2,9),'Leave log'!$F$7:$F$306,"Approved")&gt;0,"A",""))="A","A",IF(OR(DATE($B$3,2,9)&gt;EOMONTH(DATE($B$3,2,1),0),NETWORKDAYS.INTL(DATE($B$3,2,9),DATE($B$3,2,9),1,'Non-working days'!$A$6:$A$45)=0),"",IF(COUNTIFS('Leave log'!$A$7:$A$306,Employees!$A$15,'Leave log'!$B$7:$B$306,"&lt;="&amp;DATE($B$3,2,9),'Leave log'!$C$7:$C$306,"&gt;="&amp;DATE($B$3,2,9),'Leave log'!$F$7:$F$306,"Pending")&gt;0,"P",""))))</f>
        <v/>
      </c>
      <c r="K50" s="23" t="str">
        <f>IF(A50="","",IF(IF(OR(DATE($B$3,2,10)&gt;EOMONTH(DATE($B$3,2,1),0),NETWORKDAYS.INTL(DATE($B$3,2,10),DATE($B$3,2,10),1,'Non-working days'!$A$6:$A$45)=0),"",IF(COUNTIFS('Leave log'!$A$7:$A$306,Employees!$A$15,'Leave log'!$B$7:$B$306,"&lt;="&amp;DATE($B$3,2,10),'Leave log'!$C$7:$C$306,"&gt;="&amp;DATE($B$3,2,10),'Leave log'!$F$7:$F$306,"Approved")&gt;0,"A",""))="A","A",IF(OR(DATE($B$3,2,10)&gt;EOMONTH(DATE($B$3,2,1),0),NETWORKDAYS.INTL(DATE($B$3,2,10),DATE($B$3,2,10),1,'Non-working days'!$A$6:$A$45)=0),"",IF(COUNTIFS('Leave log'!$A$7:$A$306,Employees!$A$15,'Leave log'!$B$7:$B$306,"&lt;="&amp;DATE($B$3,2,10),'Leave log'!$C$7:$C$306,"&gt;="&amp;DATE($B$3,2,10),'Leave log'!$F$7:$F$306,"Pending")&gt;0,"P",""))))</f>
        <v/>
      </c>
      <c r="L50" s="23" t="str">
        <f>IF(A50="","",IF(IF(OR(DATE($B$3,2,11)&gt;EOMONTH(DATE($B$3,2,1),0),NETWORKDAYS.INTL(DATE($B$3,2,11),DATE($B$3,2,11),1,'Non-working days'!$A$6:$A$45)=0),"",IF(COUNTIFS('Leave log'!$A$7:$A$306,Employees!$A$15,'Leave log'!$B$7:$B$306,"&lt;="&amp;DATE($B$3,2,11),'Leave log'!$C$7:$C$306,"&gt;="&amp;DATE($B$3,2,11),'Leave log'!$F$7:$F$306,"Approved")&gt;0,"A",""))="A","A",IF(OR(DATE($B$3,2,11)&gt;EOMONTH(DATE($B$3,2,1),0),NETWORKDAYS.INTL(DATE($B$3,2,11),DATE($B$3,2,11),1,'Non-working days'!$A$6:$A$45)=0),"",IF(COUNTIFS('Leave log'!$A$7:$A$306,Employees!$A$15,'Leave log'!$B$7:$B$306,"&lt;="&amp;DATE($B$3,2,11),'Leave log'!$C$7:$C$306,"&gt;="&amp;DATE($B$3,2,11),'Leave log'!$F$7:$F$306,"Pending")&gt;0,"P",""))))</f>
        <v/>
      </c>
      <c r="M50" s="23" t="str">
        <f>IF(A50="","",IF(IF(OR(DATE($B$3,2,12)&gt;EOMONTH(DATE($B$3,2,1),0),NETWORKDAYS.INTL(DATE($B$3,2,12),DATE($B$3,2,12),1,'Non-working days'!$A$6:$A$45)=0),"",IF(COUNTIFS('Leave log'!$A$7:$A$306,Employees!$A$15,'Leave log'!$B$7:$B$306,"&lt;="&amp;DATE($B$3,2,12),'Leave log'!$C$7:$C$306,"&gt;="&amp;DATE($B$3,2,12),'Leave log'!$F$7:$F$306,"Approved")&gt;0,"A",""))="A","A",IF(OR(DATE($B$3,2,12)&gt;EOMONTH(DATE($B$3,2,1),0),NETWORKDAYS.INTL(DATE($B$3,2,12),DATE($B$3,2,12),1,'Non-working days'!$A$6:$A$45)=0),"",IF(COUNTIFS('Leave log'!$A$7:$A$306,Employees!$A$15,'Leave log'!$B$7:$B$306,"&lt;="&amp;DATE($B$3,2,12),'Leave log'!$C$7:$C$306,"&gt;="&amp;DATE($B$3,2,12),'Leave log'!$F$7:$F$306,"Pending")&gt;0,"P",""))))</f>
        <v/>
      </c>
      <c r="N50" s="23" t="str">
        <f>IF(A50="","",IF(IF(OR(DATE($B$3,2,13)&gt;EOMONTH(DATE($B$3,2,1),0),NETWORKDAYS.INTL(DATE($B$3,2,13),DATE($B$3,2,13),1,'Non-working days'!$A$6:$A$45)=0),"",IF(COUNTIFS('Leave log'!$A$7:$A$306,Employees!$A$15,'Leave log'!$B$7:$B$306,"&lt;="&amp;DATE($B$3,2,13),'Leave log'!$C$7:$C$306,"&gt;="&amp;DATE($B$3,2,13),'Leave log'!$F$7:$F$306,"Approved")&gt;0,"A",""))="A","A",IF(OR(DATE($B$3,2,13)&gt;EOMONTH(DATE($B$3,2,1),0),NETWORKDAYS.INTL(DATE($B$3,2,13),DATE($B$3,2,13),1,'Non-working days'!$A$6:$A$45)=0),"",IF(COUNTIFS('Leave log'!$A$7:$A$306,Employees!$A$15,'Leave log'!$B$7:$B$306,"&lt;="&amp;DATE($B$3,2,13),'Leave log'!$C$7:$C$306,"&gt;="&amp;DATE($B$3,2,13),'Leave log'!$F$7:$F$306,"Pending")&gt;0,"P",""))))</f>
        <v/>
      </c>
      <c r="O50" s="23" t="str">
        <f>IF(A50="","",IF(IF(OR(DATE($B$3,2,14)&gt;EOMONTH(DATE($B$3,2,1),0),NETWORKDAYS.INTL(DATE($B$3,2,14),DATE($B$3,2,14),1,'Non-working days'!$A$6:$A$45)=0),"",IF(COUNTIFS('Leave log'!$A$7:$A$306,Employees!$A$15,'Leave log'!$B$7:$B$306,"&lt;="&amp;DATE($B$3,2,14),'Leave log'!$C$7:$C$306,"&gt;="&amp;DATE($B$3,2,14),'Leave log'!$F$7:$F$306,"Approved")&gt;0,"A",""))="A","A",IF(OR(DATE($B$3,2,14)&gt;EOMONTH(DATE($B$3,2,1),0),NETWORKDAYS.INTL(DATE($B$3,2,14),DATE($B$3,2,14),1,'Non-working days'!$A$6:$A$45)=0),"",IF(COUNTIFS('Leave log'!$A$7:$A$306,Employees!$A$15,'Leave log'!$B$7:$B$306,"&lt;="&amp;DATE($B$3,2,14),'Leave log'!$C$7:$C$306,"&gt;="&amp;DATE($B$3,2,14),'Leave log'!$F$7:$F$306,"Pending")&gt;0,"P",""))))</f>
        <v/>
      </c>
      <c r="P50" s="23" t="str">
        <f>IF(A50="","",IF(IF(OR(DATE($B$3,2,15)&gt;EOMONTH(DATE($B$3,2,1),0),NETWORKDAYS.INTL(DATE($B$3,2,15),DATE($B$3,2,15),1,'Non-working days'!$A$6:$A$45)=0),"",IF(COUNTIFS('Leave log'!$A$7:$A$306,Employees!$A$15,'Leave log'!$B$7:$B$306,"&lt;="&amp;DATE($B$3,2,15),'Leave log'!$C$7:$C$306,"&gt;="&amp;DATE($B$3,2,15),'Leave log'!$F$7:$F$306,"Approved")&gt;0,"A",""))="A","A",IF(OR(DATE($B$3,2,15)&gt;EOMONTH(DATE($B$3,2,1),0),NETWORKDAYS.INTL(DATE($B$3,2,15),DATE($B$3,2,15),1,'Non-working days'!$A$6:$A$45)=0),"",IF(COUNTIFS('Leave log'!$A$7:$A$306,Employees!$A$15,'Leave log'!$B$7:$B$306,"&lt;="&amp;DATE($B$3,2,15),'Leave log'!$C$7:$C$306,"&gt;="&amp;DATE($B$3,2,15),'Leave log'!$F$7:$F$306,"Pending")&gt;0,"P",""))))</f>
        <v/>
      </c>
      <c r="Q50" s="23" t="str">
        <f>IF(A50="","",IF(IF(OR(DATE($B$3,2,16)&gt;EOMONTH(DATE($B$3,2,1),0),NETWORKDAYS.INTL(DATE($B$3,2,16),DATE($B$3,2,16),1,'Non-working days'!$A$6:$A$45)=0),"",IF(COUNTIFS('Leave log'!$A$7:$A$306,Employees!$A$15,'Leave log'!$B$7:$B$306,"&lt;="&amp;DATE($B$3,2,16),'Leave log'!$C$7:$C$306,"&gt;="&amp;DATE($B$3,2,16),'Leave log'!$F$7:$F$306,"Approved")&gt;0,"A",""))="A","A",IF(OR(DATE($B$3,2,16)&gt;EOMONTH(DATE($B$3,2,1),0),NETWORKDAYS.INTL(DATE($B$3,2,16),DATE($B$3,2,16),1,'Non-working days'!$A$6:$A$45)=0),"",IF(COUNTIFS('Leave log'!$A$7:$A$306,Employees!$A$15,'Leave log'!$B$7:$B$306,"&lt;="&amp;DATE($B$3,2,16),'Leave log'!$C$7:$C$306,"&gt;="&amp;DATE($B$3,2,16),'Leave log'!$F$7:$F$306,"Pending")&gt;0,"P",""))))</f>
        <v/>
      </c>
      <c r="R50" s="23" t="str">
        <f>IF(A50="","",IF(IF(OR(DATE($B$3,2,17)&gt;EOMONTH(DATE($B$3,2,1),0),NETWORKDAYS.INTL(DATE($B$3,2,17),DATE($B$3,2,17),1,'Non-working days'!$A$6:$A$45)=0),"",IF(COUNTIFS('Leave log'!$A$7:$A$306,Employees!$A$15,'Leave log'!$B$7:$B$306,"&lt;="&amp;DATE($B$3,2,17),'Leave log'!$C$7:$C$306,"&gt;="&amp;DATE($B$3,2,17),'Leave log'!$F$7:$F$306,"Approved")&gt;0,"A",""))="A","A",IF(OR(DATE($B$3,2,17)&gt;EOMONTH(DATE($B$3,2,1),0),NETWORKDAYS.INTL(DATE($B$3,2,17),DATE($B$3,2,17),1,'Non-working days'!$A$6:$A$45)=0),"",IF(COUNTIFS('Leave log'!$A$7:$A$306,Employees!$A$15,'Leave log'!$B$7:$B$306,"&lt;="&amp;DATE($B$3,2,17),'Leave log'!$C$7:$C$306,"&gt;="&amp;DATE($B$3,2,17),'Leave log'!$F$7:$F$306,"Pending")&gt;0,"P",""))))</f>
        <v/>
      </c>
      <c r="S50" s="23" t="str">
        <f>IF(A50="","",IF(IF(OR(DATE($B$3,2,18)&gt;EOMONTH(DATE($B$3,2,1),0),NETWORKDAYS.INTL(DATE($B$3,2,18),DATE($B$3,2,18),1,'Non-working days'!$A$6:$A$45)=0),"",IF(COUNTIFS('Leave log'!$A$7:$A$306,Employees!$A$15,'Leave log'!$B$7:$B$306,"&lt;="&amp;DATE($B$3,2,18),'Leave log'!$C$7:$C$306,"&gt;="&amp;DATE($B$3,2,18),'Leave log'!$F$7:$F$306,"Approved")&gt;0,"A",""))="A","A",IF(OR(DATE($B$3,2,18)&gt;EOMONTH(DATE($B$3,2,1),0),NETWORKDAYS.INTL(DATE($B$3,2,18),DATE($B$3,2,18),1,'Non-working days'!$A$6:$A$45)=0),"",IF(COUNTIFS('Leave log'!$A$7:$A$306,Employees!$A$15,'Leave log'!$B$7:$B$306,"&lt;="&amp;DATE($B$3,2,18),'Leave log'!$C$7:$C$306,"&gt;="&amp;DATE($B$3,2,18),'Leave log'!$F$7:$F$306,"Pending")&gt;0,"P",""))))</f>
        <v/>
      </c>
      <c r="T50" s="23" t="str">
        <f>IF(A50="","",IF(IF(OR(DATE($B$3,2,19)&gt;EOMONTH(DATE($B$3,2,1),0),NETWORKDAYS.INTL(DATE($B$3,2,19),DATE($B$3,2,19),1,'Non-working days'!$A$6:$A$45)=0),"",IF(COUNTIFS('Leave log'!$A$7:$A$306,Employees!$A$15,'Leave log'!$B$7:$B$306,"&lt;="&amp;DATE($B$3,2,19),'Leave log'!$C$7:$C$306,"&gt;="&amp;DATE($B$3,2,19),'Leave log'!$F$7:$F$306,"Approved")&gt;0,"A",""))="A","A",IF(OR(DATE($B$3,2,19)&gt;EOMONTH(DATE($B$3,2,1),0),NETWORKDAYS.INTL(DATE($B$3,2,19),DATE($B$3,2,19),1,'Non-working days'!$A$6:$A$45)=0),"",IF(COUNTIFS('Leave log'!$A$7:$A$306,Employees!$A$15,'Leave log'!$B$7:$B$306,"&lt;="&amp;DATE($B$3,2,19),'Leave log'!$C$7:$C$306,"&gt;="&amp;DATE($B$3,2,19),'Leave log'!$F$7:$F$306,"Pending")&gt;0,"P",""))))</f>
        <v/>
      </c>
      <c r="U50" s="23" t="str">
        <f>IF(A50="","",IF(IF(OR(DATE($B$3,2,20)&gt;EOMONTH(DATE($B$3,2,1),0),NETWORKDAYS.INTL(DATE($B$3,2,20),DATE($B$3,2,20),1,'Non-working days'!$A$6:$A$45)=0),"",IF(COUNTIFS('Leave log'!$A$7:$A$306,Employees!$A$15,'Leave log'!$B$7:$B$306,"&lt;="&amp;DATE($B$3,2,20),'Leave log'!$C$7:$C$306,"&gt;="&amp;DATE($B$3,2,20),'Leave log'!$F$7:$F$306,"Approved")&gt;0,"A",""))="A","A",IF(OR(DATE($B$3,2,20)&gt;EOMONTH(DATE($B$3,2,1),0),NETWORKDAYS.INTL(DATE($B$3,2,20),DATE($B$3,2,20),1,'Non-working days'!$A$6:$A$45)=0),"",IF(COUNTIFS('Leave log'!$A$7:$A$306,Employees!$A$15,'Leave log'!$B$7:$B$306,"&lt;="&amp;DATE($B$3,2,20),'Leave log'!$C$7:$C$306,"&gt;="&amp;DATE($B$3,2,20),'Leave log'!$F$7:$F$306,"Pending")&gt;0,"P",""))))</f>
        <v/>
      </c>
      <c r="V50" s="23" t="str">
        <f>IF(A50="","",IF(IF(OR(DATE($B$3,2,21)&gt;EOMONTH(DATE($B$3,2,1),0),NETWORKDAYS.INTL(DATE($B$3,2,21),DATE($B$3,2,21),1,'Non-working days'!$A$6:$A$45)=0),"",IF(COUNTIFS('Leave log'!$A$7:$A$306,Employees!$A$15,'Leave log'!$B$7:$B$306,"&lt;="&amp;DATE($B$3,2,21),'Leave log'!$C$7:$C$306,"&gt;="&amp;DATE($B$3,2,21),'Leave log'!$F$7:$F$306,"Approved")&gt;0,"A",""))="A","A",IF(OR(DATE($B$3,2,21)&gt;EOMONTH(DATE($B$3,2,1),0),NETWORKDAYS.INTL(DATE($B$3,2,21),DATE($B$3,2,21),1,'Non-working days'!$A$6:$A$45)=0),"",IF(COUNTIFS('Leave log'!$A$7:$A$306,Employees!$A$15,'Leave log'!$B$7:$B$306,"&lt;="&amp;DATE($B$3,2,21),'Leave log'!$C$7:$C$306,"&gt;="&amp;DATE($B$3,2,21),'Leave log'!$F$7:$F$306,"Pending")&gt;0,"P",""))))</f>
        <v/>
      </c>
      <c r="W50" s="23" t="str">
        <f>IF(A50="","",IF(IF(OR(DATE($B$3,2,22)&gt;EOMONTH(DATE($B$3,2,1),0),NETWORKDAYS.INTL(DATE($B$3,2,22),DATE($B$3,2,22),1,'Non-working days'!$A$6:$A$45)=0),"",IF(COUNTIFS('Leave log'!$A$7:$A$306,Employees!$A$15,'Leave log'!$B$7:$B$306,"&lt;="&amp;DATE($B$3,2,22),'Leave log'!$C$7:$C$306,"&gt;="&amp;DATE($B$3,2,22),'Leave log'!$F$7:$F$306,"Approved")&gt;0,"A",""))="A","A",IF(OR(DATE($B$3,2,22)&gt;EOMONTH(DATE($B$3,2,1),0),NETWORKDAYS.INTL(DATE($B$3,2,22),DATE($B$3,2,22),1,'Non-working days'!$A$6:$A$45)=0),"",IF(COUNTIFS('Leave log'!$A$7:$A$306,Employees!$A$15,'Leave log'!$B$7:$B$306,"&lt;="&amp;DATE($B$3,2,22),'Leave log'!$C$7:$C$306,"&gt;="&amp;DATE($B$3,2,22),'Leave log'!$F$7:$F$306,"Pending")&gt;0,"P",""))))</f>
        <v/>
      </c>
      <c r="X50" s="23" t="str">
        <f>IF(A50="","",IF(IF(OR(DATE($B$3,2,23)&gt;EOMONTH(DATE($B$3,2,1),0),NETWORKDAYS.INTL(DATE($B$3,2,23),DATE($B$3,2,23),1,'Non-working days'!$A$6:$A$45)=0),"",IF(COUNTIFS('Leave log'!$A$7:$A$306,Employees!$A$15,'Leave log'!$B$7:$B$306,"&lt;="&amp;DATE($B$3,2,23),'Leave log'!$C$7:$C$306,"&gt;="&amp;DATE($B$3,2,23),'Leave log'!$F$7:$F$306,"Approved")&gt;0,"A",""))="A","A",IF(OR(DATE($B$3,2,23)&gt;EOMONTH(DATE($B$3,2,1),0),NETWORKDAYS.INTL(DATE($B$3,2,23),DATE($B$3,2,23),1,'Non-working days'!$A$6:$A$45)=0),"",IF(COUNTIFS('Leave log'!$A$7:$A$306,Employees!$A$15,'Leave log'!$B$7:$B$306,"&lt;="&amp;DATE($B$3,2,23),'Leave log'!$C$7:$C$306,"&gt;="&amp;DATE($B$3,2,23),'Leave log'!$F$7:$F$306,"Pending")&gt;0,"P",""))))</f>
        <v/>
      </c>
      <c r="Y50" s="23" t="str">
        <f>IF(A50="","",IF(IF(OR(DATE($B$3,2,24)&gt;EOMONTH(DATE($B$3,2,1),0),NETWORKDAYS.INTL(DATE($B$3,2,24),DATE($B$3,2,24),1,'Non-working days'!$A$6:$A$45)=0),"",IF(COUNTIFS('Leave log'!$A$7:$A$306,Employees!$A$15,'Leave log'!$B$7:$B$306,"&lt;="&amp;DATE($B$3,2,24),'Leave log'!$C$7:$C$306,"&gt;="&amp;DATE($B$3,2,24),'Leave log'!$F$7:$F$306,"Approved")&gt;0,"A",""))="A","A",IF(OR(DATE($B$3,2,24)&gt;EOMONTH(DATE($B$3,2,1),0),NETWORKDAYS.INTL(DATE($B$3,2,24),DATE($B$3,2,24),1,'Non-working days'!$A$6:$A$45)=0),"",IF(COUNTIFS('Leave log'!$A$7:$A$306,Employees!$A$15,'Leave log'!$B$7:$B$306,"&lt;="&amp;DATE($B$3,2,24),'Leave log'!$C$7:$C$306,"&gt;="&amp;DATE($B$3,2,24),'Leave log'!$F$7:$F$306,"Pending")&gt;0,"P",""))))</f>
        <v/>
      </c>
      <c r="Z50" s="23" t="str">
        <f>IF(A50="","",IF(IF(OR(DATE($B$3,2,25)&gt;EOMONTH(DATE($B$3,2,1),0),NETWORKDAYS.INTL(DATE($B$3,2,25),DATE($B$3,2,25),1,'Non-working days'!$A$6:$A$45)=0),"",IF(COUNTIFS('Leave log'!$A$7:$A$306,Employees!$A$15,'Leave log'!$B$7:$B$306,"&lt;="&amp;DATE($B$3,2,25),'Leave log'!$C$7:$C$306,"&gt;="&amp;DATE($B$3,2,25),'Leave log'!$F$7:$F$306,"Approved")&gt;0,"A",""))="A","A",IF(OR(DATE($B$3,2,25)&gt;EOMONTH(DATE($B$3,2,1),0),NETWORKDAYS.INTL(DATE($B$3,2,25),DATE($B$3,2,25),1,'Non-working days'!$A$6:$A$45)=0),"",IF(COUNTIFS('Leave log'!$A$7:$A$306,Employees!$A$15,'Leave log'!$B$7:$B$306,"&lt;="&amp;DATE($B$3,2,25),'Leave log'!$C$7:$C$306,"&gt;="&amp;DATE($B$3,2,25),'Leave log'!$F$7:$F$306,"Pending")&gt;0,"P",""))))</f>
        <v/>
      </c>
      <c r="AA50" s="23" t="str">
        <f>IF(A50="","",IF(IF(OR(DATE($B$3,2,26)&gt;EOMONTH(DATE($B$3,2,1),0),NETWORKDAYS.INTL(DATE($B$3,2,26),DATE($B$3,2,26),1,'Non-working days'!$A$6:$A$45)=0),"",IF(COUNTIFS('Leave log'!$A$7:$A$306,Employees!$A$15,'Leave log'!$B$7:$B$306,"&lt;="&amp;DATE($B$3,2,26),'Leave log'!$C$7:$C$306,"&gt;="&amp;DATE($B$3,2,26),'Leave log'!$F$7:$F$306,"Approved")&gt;0,"A",""))="A","A",IF(OR(DATE($B$3,2,26)&gt;EOMONTH(DATE($B$3,2,1),0),NETWORKDAYS.INTL(DATE($B$3,2,26),DATE($B$3,2,26),1,'Non-working days'!$A$6:$A$45)=0),"",IF(COUNTIFS('Leave log'!$A$7:$A$306,Employees!$A$15,'Leave log'!$B$7:$B$306,"&lt;="&amp;DATE($B$3,2,26),'Leave log'!$C$7:$C$306,"&gt;="&amp;DATE($B$3,2,26),'Leave log'!$F$7:$F$306,"Pending")&gt;0,"P",""))))</f>
        <v/>
      </c>
      <c r="AB50" s="23" t="str">
        <f>IF(A50="","",IF(IF(OR(DATE($B$3,2,27)&gt;EOMONTH(DATE($B$3,2,1),0),NETWORKDAYS.INTL(DATE($B$3,2,27),DATE($B$3,2,27),1,'Non-working days'!$A$6:$A$45)=0),"",IF(COUNTIFS('Leave log'!$A$7:$A$306,Employees!$A$15,'Leave log'!$B$7:$B$306,"&lt;="&amp;DATE($B$3,2,27),'Leave log'!$C$7:$C$306,"&gt;="&amp;DATE($B$3,2,27),'Leave log'!$F$7:$F$306,"Approved")&gt;0,"A",""))="A","A",IF(OR(DATE($B$3,2,27)&gt;EOMONTH(DATE($B$3,2,1),0),NETWORKDAYS.INTL(DATE($B$3,2,27),DATE($B$3,2,27),1,'Non-working days'!$A$6:$A$45)=0),"",IF(COUNTIFS('Leave log'!$A$7:$A$306,Employees!$A$15,'Leave log'!$B$7:$B$306,"&lt;="&amp;DATE($B$3,2,27),'Leave log'!$C$7:$C$306,"&gt;="&amp;DATE($B$3,2,27),'Leave log'!$F$7:$F$306,"Pending")&gt;0,"P",""))))</f>
        <v/>
      </c>
      <c r="AC50" s="23" t="str">
        <f>IF(A50="","",IF(IF(OR(DATE($B$3,2,28)&gt;EOMONTH(DATE($B$3,2,1),0),NETWORKDAYS.INTL(DATE($B$3,2,28),DATE($B$3,2,28),1,'Non-working days'!$A$6:$A$45)=0),"",IF(COUNTIFS('Leave log'!$A$7:$A$306,Employees!$A$15,'Leave log'!$B$7:$B$306,"&lt;="&amp;DATE($B$3,2,28),'Leave log'!$C$7:$C$306,"&gt;="&amp;DATE($B$3,2,28),'Leave log'!$F$7:$F$306,"Approved")&gt;0,"A",""))="A","A",IF(OR(DATE($B$3,2,28)&gt;EOMONTH(DATE($B$3,2,1),0),NETWORKDAYS.INTL(DATE($B$3,2,28),DATE($B$3,2,28),1,'Non-working days'!$A$6:$A$45)=0),"",IF(COUNTIFS('Leave log'!$A$7:$A$306,Employees!$A$15,'Leave log'!$B$7:$B$306,"&lt;="&amp;DATE($B$3,2,28),'Leave log'!$C$7:$C$306,"&gt;="&amp;DATE($B$3,2,28),'Leave log'!$F$7:$F$306,"Pending")&gt;0,"P",""))))</f>
        <v/>
      </c>
      <c r="AD50" s="23" t="str">
        <f>IF(A50="","",IF(IF(OR(DATE($B$3,2,29)&gt;EOMONTH(DATE($B$3,2,1),0),NETWORKDAYS.INTL(DATE($B$3,2,29),DATE($B$3,2,29),1,'Non-working days'!$A$6:$A$45)=0),"",IF(COUNTIFS('Leave log'!$A$7:$A$306,Employees!$A$15,'Leave log'!$B$7:$B$306,"&lt;="&amp;DATE($B$3,2,29),'Leave log'!$C$7:$C$306,"&gt;="&amp;DATE($B$3,2,29),'Leave log'!$F$7:$F$306,"Approved")&gt;0,"A",""))="A","A",IF(OR(DATE($B$3,2,29)&gt;EOMONTH(DATE($B$3,2,1),0),NETWORKDAYS.INTL(DATE($B$3,2,29),DATE($B$3,2,29),1,'Non-working days'!$A$6:$A$45)=0),"",IF(COUNTIFS('Leave log'!$A$7:$A$306,Employees!$A$15,'Leave log'!$B$7:$B$306,"&lt;="&amp;DATE($B$3,2,29),'Leave log'!$C$7:$C$306,"&gt;="&amp;DATE($B$3,2,29),'Leave log'!$F$7:$F$306,"Pending")&gt;0,"P",""))))</f>
        <v/>
      </c>
      <c r="AE50" s="23" t="str">
        <f>IF(A50="","",IF(IF(OR(DATE($B$3,2,30)&gt;EOMONTH(DATE($B$3,2,1),0),NETWORKDAYS.INTL(DATE($B$3,2,30),DATE($B$3,2,30),1,'Non-working days'!$A$6:$A$45)=0),"",IF(COUNTIFS('Leave log'!$A$7:$A$306,Employees!$A$15,'Leave log'!$B$7:$B$306,"&lt;="&amp;DATE($B$3,2,30),'Leave log'!$C$7:$C$306,"&gt;="&amp;DATE($B$3,2,30),'Leave log'!$F$7:$F$306,"Approved")&gt;0,"A",""))="A","A",IF(OR(DATE($B$3,2,30)&gt;EOMONTH(DATE($B$3,2,1),0),NETWORKDAYS.INTL(DATE($B$3,2,30),DATE($B$3,2,30),1,'Non-working days'!$A$6:$A$45)=0),"",IF(COUNTIFS('Leave log'!$A$7:$A$306,Employees!$A$15,'Leave log'!$B$7:$B$306,"&lt;="&amp;DATE($B$3,2,30),'Leave log'!$C$7:$C$306,"&gt;="&amp;DATE($B$3,2,30),'Leave log'!$F$7:$F$306,"Pending")&gt;0,"P",""))))</f>
        <v/>
      </c>
      <c r="AF50" s="23" t="str">
        <f>IF(A50="","",IF(IF(OR(DATE($B$3,2,31)&gt;EOMONTH(DATE($B$3,2,1),0),NETWORKDAYS.INTL(DATE($B$3,2,31),DATE($B$3,2,31),1,'Non-working days'!$A$6:$A$45)=0),"",IF(COUNTIFS('Leave log'!$A$7:$A$306,Employees!$A$15,'Leave log'!$B$7:$B$306,"&lt;="&amp;DATE($B$3,2,31),'Leave log'!$C$7:$C$306,"&gt;="&amp;DATE($B$3,2,31),'Leave log'!$F$7:$F$306,"Approved")&gt;0,"A",""))="A","A",IF(OR(DATE($B$3,2,31)&gt;EOMONTH(DATE($B$3,2,1),0),NETWORKDAYS.INTL(DATE($B$3,2,31),DATE($B$3,2,31),1,'Non-working days'!$A$6:$A$45)=0),"",IF(COUNTIFS('Leave log'!$A$7:$A$306,Employees!$A$15,'Leave log'!$B$7:$B$306,"&lt;="&amp;DATE($B$3,2,31),'Leave log'!$C$7:$C$306,"&gt;="&amp;DATE($B$3,2,31),'Leave log'!$F$7:$F$306,"Pending")&gt;0,"P",""))))</f>
        <v/>
      </c>
    </row>
    <row r="51" spans="1:32" ht="18" customHeight="1" x14ac:dyDescent="0.3">
      <c r="A51" s="22" t="str">
        <f>IF(Employees!F16="Yes",Employees!B16,"")</f>
        <v/>
      </c>
      <c r="B51" s="23" t="str">
        <f>IF(A51="","",IF(IF(OR(DATE($B$3,2,1)&gt;EOMONTH(DATE($B$3,2,1),0),NETWORKDAYS.INTL(DATE($B$3,2,1),DATE($B$3,2,1),1,'Non-working days'!$A$6:$A$45)=0),"",IF(COUNTIFS('Leave log'!$A$7:$A$306,Employees!$A$16,'Leave log'!$B$7:$B$306,"&lt;="&amp;DATE($B$3,2,1),'Leave log'!$C$7:$C$306,"&gt;="&amp;DATE($B$3,2,1),'Leave log'!$F$7:$F$306,"Approved")&gt;0,"A",""))="A","A",IF(OR(DATE($B$3,2,1)&gt;EOMONTH(DATE($B$3,2,1),0),NETWORKDAYS.INTL(DATE($B$3,2,1),DATE($B$3,2,1),1,'Non-working days'!$A$6:$A$45)=0),"",IF(COUNTIFS('Leave log'!$A$7:$A$306,Employees!$A$16,'Leave log'!$B$7:$B$306,"&lt;="&amp;DATE($B$3,2,1),'Leave log'!$C$7:$C$306,"&gt;="&amp;DATE($B$3,2,1),'Leave log'!$F$7:$F$306,"Pending")&gt;0,"P",""))))</f>
        <v/>
      </c>
      <c r="C51" s="23" t="str">
        <f>IF(A51="","",IF(IF(OR(DATE($B$3,2,2)&gt;EOMONTH(DATE($B$3,2,1),0),NETWORKDAYS.INTL(DATE($B$3,2,2),DATE($B$3,2,2),1,'Non-working days'!$A$6:$A$45)=0),"",IF(COUNTIFS('Leave log'!$A$7:$A$306,Employees!$A$16,'Leave log'!$B$7:$B$306,"&lt;="&amp;DATE($B$3,2,2),'Leave log'!$C$7:$C$306,"&gt;="&amp;DATE($B$3,2,2),'Leave log'!$F$7:$F$306,"Approved")&gt;0,"A",""))="A","A",IF(OR(DATE($B$3,2,2)&gt;EOMONTH(DATE($B$3,2,1),0),NETWORKDAYS.INTL(DATE($B$3,2,2),DATE($B$3,2,2),1,'Non-working days'!$A$6:$A$45)=0),"",IF(COUNTIFS('Leave log'!$A$7:$A$306,Employees!$A$16,'Leave log'!$B$7:$B$306,"&lt;="&amp;DATE($B$3,2,2),'Leave log'!$C$7:$C$306,"&gt;="&amp;DATE($B$3,2,2),'Leave log'!$F$7:$F$306,"Pending")&gt;0,"P",""))))</f>
        <v/>
      </c>
      <c r="D51" s="23" t="str">
        <f>IF(A51="","",IF(IF(OR(DATE($B$3,2,3)&gt;EOMONTH(DATE($B$3,2,1),0),NETWORKDAYS.INTL(DATE($B$3,2,3),DATE($B$3,2,3),1,'Non-working days'!$A$6:$A$45)=0),"",IF(COUNTIFS('Leave log'!$A$7:$A$306,Employees!$A$16,'Leave log'!$B$7:$B$306,"&lt;="&amp;DATE($B$3,2,3),'Leave log'!$C$7:$C$306,"&gt;="&amp;DATE($B$3,2,3),'Leave log'!$F$7:$F$306,"Approved")&gt;0,"A",""))="A","A",IF(OR(DATE($B$3,2,3)&gt;EOMONTH(DATE($B$3,2,1),0),NETWORKDAYS.INTL(DATE($B$3,2,3),DATE($B$3,2,3),1,'Non-working days'!$A$6:$A$45)=0),"",IF(COUNTIFS('Leave log'!$A$7:$A$306,Employees!$A$16,'Leave log'!$B$7:$B$306,"&lt;="&amp;DATE($B$3,2,3),'Leave log'!$C$7:$C$306,"&gt;="&amp;DATE($B$3,2,3),'Leave log'!$F$7:$F$306,"Pending")&gt;0,"P",""))))</f>
        <v/>
      </c>
      <c r="E51" s="23" t="str">
        <f>IF(A51="","",IF(IF(OR(DATE($B$3,2,4)&gt;EOMONTH(DATE($B$3,2,1),0),NETWORKDAYS.INTL(DATE($B$3,2,4),DATE($B$3,2,4),1,'Non-working days'!$A$6:$A$45)=0),"",IF(COUNTIFS('Leave log'!$A$7:$A$306,Employees!$A$16,'Leave log'!$B$7:$B$306,"&lt;="&amp;DATE($B$3,2,4),'Leave log'!$C$7:$C$306,"&gt;="&amp;DATE($B$3,2,4),'Leave log'!$F$7:$F$306,"Approved")&gt;0,"A",""))="A","A",IF(OR(DATE($B$3,2,4)&gt;EOMONTH(DATE($B$3,2,1),0),NETWORKDAYS.INTL(DATE($B$3,2,4),DATE($B$3,2,4),1,'Non-working days'!$A$6:$A$45)=0),"",IF(COUNTIFS('Leave log'!$A$7:$A$306,Employees!$A$16,'Leave log'!$B$7:$B$306,"&lt;="&amp;DATE($B$3,2,4),'Leave log'!$C$7:$C$306,"&gt;="&amp;DATE($B$3,2,4),'Leave log'!$F$7:$F$306,"Pending")&gt;0,"P",""))))</f>
        <v/>
      </c>
      <c r="F51" s="23" t="str">
        <f>IF(A51="","",IF(IF(OR(DATE($B$3,2,5)&gt;EOMONTH(DATE($B$3,2,1),0),NETWORKDAYS.INTL(DATE($B$3,2,5),DATE($B$3,2,5),1,'Non-working days'!$A$6:$A$45)=0),"",IF(COUNTIFS('Leave log'!$A$7:$A$306,Employees!$A$16,'Leave log'!$B$7:$B$306,"&lt;="&amp;DATE($B$3,2,5),'Leave log'!$C$7:$C$306,"&gt;="&amp;DATE($B$3,2,5),'Leave log'!$F$7:$F$306,"Approved")&gt;0,"A",""))="A","A",IF(OR(DATE($B$3,2,5)&gt;EOMONTH(DATE($B$3,2,1),0),NETWORKDAYS.INTL(DATE($B$3,2,5),DATE($B$3,2,5),1,'Non-working days'!$A$6:$A$45)=0),"",IF(COUNTIFS('Leave log'!$A$7:$A$306,Employees!$A$16,'Leave log'!$B$7:$B$306,"&lt;="&amp;DATE($B$3,2,5),'Leave log'!$C$7:$C$306,"&gt;="&amp;DATE($B$3,2,5),'Leave log'!$F$7:$F$306,"Pending")&gt;0,"P",""))))</f>
        <v/>
      </c>
      <c r="G51" s="23" t="str">
        <f>IF(A51="","",IF(IF(OR(DATE($B$3,2,6)&gt;EOMONTH(DATE($B$3,2,1),0),NETWORKDAYS.INTL(DATE($B$3,2,6),DATE($B$3,2,6),1,'Non-working days'!$A$6:$A$45)=0),"",IF(COUNTIFS('Leave log'!$A$7:$A$306,Employees!$A$16,'Leave log'!$B$7:$B$306,"&lt;="&amp;DATE($B$3,2,6),'Leave log'!$C$7:$C$306,"&gt;="&amp;DATE($B$3,2,6),'Leave log'!$F$7:$F$306,"Approved")&gt;0,"A",""))="A","A",IF(OR(DATE($B$3,2,6)&gt;EOMONTH(DATE($B$3,2,1),0),NETWORKDAYS.INTL(DATE($B$3,2,6),DATE($B$3,2,6),1,'Non-working days'!$A$6:$A$45)=0),"",IF(COUNTIFS('Leave log'!$A$7:$A$306,Employees!$A$16,'Leave log'!$B$7:$B$306,"&lt;="&amp;DATE($B$3,2,6),'Leave log'!$C$7:$C$306,"&gt;="&amp;DATE($B$3,2,6),'Leave log'!$F$7:$F$306,"Pending")&gt;0,"P",""))))</f>
        <v/>
      </c>
      <c r="H51" s="23" t="str">
        <f>IF(A51="","",IF(IF(OR(DATE($B$3,2,7)&gt;EOMONTH(DATE($B$3,2,1),0),NETWORKDAYS.INTL(DATE($B$3,2,7),DATE($B$3,2,7),1,'Non-working days'!$A$6:$A$45)=0),"",IF(COUNTIFS('Leave log'!$A$7:$A$306,Employees!$A$16,'Leave log'!$B$7:$B$306,"&lt;="&amp;DATE($B$3,2,7),'Leave log'!$C$7:$C$306,"&gt;="&amp;DATE($B$3,2,7),'Leave log'!$F$7:$F$306,"Approved")&gt;0,"A",""))="A","A",IF(OR(DATE($B$3,2,7)&gt;EOMONTH(DATE($B$3,2,1),0),NETWORKDAYS.INTL(DATE($B$3,2,7),DATE($B$3,2,7),1,'Non-working days'!$A$6:$A$45)=0),"",IF(COUNTIFS('Leave log'!$A$7:$A$306,Employees!$A$16,'Leave log'!$B$7:$B$306,"&lt;="&amp;DATE($B$3,2,7),'Leave log'!$C$7:$C$306,"&gt;="&amp;DATE($B$3,2,7),'Leave log'!$F$7:$F$306,"Pending")&gt;0,"P",""))))</f>
        <v/>
      </c>
      <c r="I51" s="23" t="str">
        <f>IF(A51="","",IF(IF(OR(DATE($B$3,2,8)&gt;EOMONTH(DATE($B$3,2,1),0),NETWORKDAYS.INTL(DATE($B$3,2,8),DATE($B$3,2,8),1,'Non-working days'!$A$6:$A$45)=0),"",IF(COUNTIFS('Leave log'!$A$7:$A$306,Employees!$A$16,'Leave log'!$B$7:$B$306,"&lt;="&amp;DATE($B$3,2,8),'Leave log'!$C$7:$C$306,"&gt;="&amp;DATE($B$3,2,8),'Leave log'!$F$7:$F$306,"Approved")&gt;0,"A",""))="A","A",IF(OR(DATE($B$3,2,8)&gt;EOMONTH(DATE($B$3,2,1),0),NETWORKDAYS.INTL(DATE($B$3,2,8),DATE($B$3,2,8),1,'Non-working days'!$A$6:$A$45)=0),"",IF(COUNTIFS('Leave log'!$A$7:$A$306,Employees!$A$16,'Leave log'!$B$7:$B$306,"&lt;="&amp;DATE($B$3,2,8),'Leave log'!$C$7:$C$306,"&gt;="&amp;DATE($B$3,2,8),'Leave log'!$F$7:$F$306,"Pending")&gt;0,"P",""))))</f>
        <v/>
      </c>
      <c r="J51" s="23" t="str">
        <f>IF(A51="","",IF(IF(OR(DATE($B$3,2,9)&gt;EOMONTH(DATE($B$3,2,1),0),NETWORKDAYS.INTL(DATE($B$3,2,9),DATE($B$3,2,9),1,'Non-working days'!$A$6:$A$45)=0),"",IF(COUNTIFS('Leave log'!$A$7:$A$306,Employees!$A$16,'Leave log'!$B$7:$B$306,"&lt;="&amp;DATE($B$3,2,9),'Leave log'!$C$7:$C$306,"&gt;="&amp;DATE($B$3,2,9),'Leave log'!$F$7:$F$306,"Approved")&gt;0,"A",""))="A","A",IF(OR(DATE($B$3,2,9)&gt;EOMONTH(DATE($B$3,2,1),0),NETWORKDAYS.INTL(DATE($B$3,2,9),DATE($B$3,2,9),1,'Non-working days'!$A$6:$A$45)=0),"",IF(COUNTIFS('Leave log'!$A$7:$A$306,Employees!$A$16,'Leave log'!$B$7:$B$306,"&lt;="&amp;DATE($B$3,2,9),'Leave log'!$C$7:$C$306,"&gt;="&amp;DATE($B$3,2,9),'Leave log'!$F$7:$F$306,"Pending")&gt;0,"P",""))))</f>
        <v/>
      </c>
      <c r="K51" s="23" t="str">
        <f>IF(A51="","",IF(IF(OR(DATE($B$3,2,10)&gt;EOMONTH(DATE($B$3,2,1),0),NETWORKDAYS.INTL(DATE($B$3,2,10),DATE($B$3,2,10),1,'Non-working days'!$A$6:$A$45)=0),"",IF(COUNTIFS('Leave log'!$A$7:$A$306,Employees!$A$16,'Leave log'!$B$7:$B$306,"&lt;="&amp;DATE($B$3,2,10),'Leave log'!$C$7:$C$306,"&gt;="&amp;DATE($B$3,2,10),'Leave log'!$F$7:$F$306,"Approved")&gt;0,"A",""))="A","A",IF(OR(DATE($B$3,2,10)&gt;EOMONTH(DATE($B$3,2,1),0),NETWORKDAYS.INTL(DATE($B$3,2,10),DATE($B$3,2,10),1,'Non-working days'!$A$6:$A$45)=0),"",IF(COUNTIFS('Leave log'!$A$7:$A$306,Employees!$A$16,'Leave log'!$B$7:$B$306,"&lt;="&amp;DATE($B$3,2,10),'Leave log'!$C$7:$C$306,"&gt;="&amp;DATE($B$3,2,10),'Leave log'!$F$7:$F$306,"Pending")&gt;0,"P",""))))</f>
        <v/>
      </c>
      <c r="L51" s="23" t="str">
        <f>IF(A51="","",IF(IF(OR(DATE($B$3,2,11)&gt;EOMONTH(DATE($B$3,2,1),0),NETWORKDAYS.INTL(DATE($B$3,2,11),DATE($B$3,2,11),1,'Non-working days'!$A$6:$A$45)=0),"",IF(COUNTIFS('Leave log'!$A$7:$A$306,Employees!$A$16,'Leave log'!$B$7:$B$306,"&lt;="&amp;DATE($B$3,2,11),'Leave log'!$C$7:$C$306,"&gt;="&amp;DATE($B$3,2,11),'Leave log'!$F$7:$F$306,"Approved")&gt;0,"A",""))="A","A",IF(OR(DATE($B$3,2,11)&gt;EOMONTH(DATE($B$3,2,1),0),NETWORKDAYS.INTL(DATE($B$3,2,11),DATE($B$3,2,11),1,'Non-working days'!$A$6:$A$45)=0),"",IF(COUNTIFS('Leave log'!$A$7:$A$306,Employees!$A$16,'Leave log'!$B$7:$B$306,"&lt;="&amp;DATE($B$3,2,11),'Leave log'!$C$7:$C$306,"&gt;="&amp;DATE($B$3,2,11),'Leave log'!$F$7:$F$306,"Pending")&gt;0,"P",""))))</f>
        <v/>
      </c>
      <c r="M51" s="23" t="str">
        <f>IF(A51="","",IF(IF(OR(DATE($B$3,2,12)&gt;EOMONTH(DATE($B$3,2,1),0),NETWORKDAYS.INTL(DATE($B$3,2,12),DATE($B$3,2,12),1,'Non-working days'!$A$6:$A$45)=0),"",IF(COUNTIFS('Leave log'!$A$7:$A$306,Employees!$A$16,'Leave log'!$B$7:$B$306,"&lt;="&amp;DATE($B$3,2,12),'Leave log'!$C$7:$C$306,"&gt;="&amp;DATE($B$3,2,12),'Leave log'!$F$7:$F$306,"Approved")&gt;0,"A",""))="A","A",IF(OR(DATE($B$3,2,12)&gt;EOMONTH(DATE($B$3,2,1),0),NETWORKDAYS.INTL(DATE($B$3,2,12),DATE($B$3,2,12),1,'Non-working days'!$A$6:$A$45)=0),"",IF(COUNTIFS('Leave log'!$A$7:$A$306,Employees!$A$16,'Leave log'!$B$7:$B$306,"&lt;="&amp;DATE($B$3,2,12),'Leave log'!$C$7:$C$306,"&gt;="&amp;DATE($B$3,2,12),'Leave log'!$F$7:$F$306,"Pending")&gt;0,"P",""))))</f>
        <v/>
      </c>
      <c r="N51" s="23" t="str">
        <f>IF(A51="","",IF(IF(OR(DATE($B$3,2,13)&gt;EOMONTH(DATE($B$3,2,1),0),NETWORKDAYS.INTL(DATE($B$3,2,13),DATE($B$3,2,13),1,'Non-working days'!$A$6:$A$45)=0),"",IF(COUNTIFS('Leave log'!$A$7:$A$306,Employees!$A$16,'Leave log'!$B$7:$B$306,"&lt;="&amp;DATE($B$3,2,13),'Leave log'!$C$7:$C$306,"&gt;="&amp;DATE($B$3,2,13),'Leave log'!$F$7:$F$306,"Approved")&gt;0,"A",""))="A","A",IF(OR(DATE($B$3,2,13)&gt;EOMONTH(DATE($B$3,2,1),0),NETWORKDAYS.INTL(DATE($B$3,2,13),DATE($B$3,2,13),1,'Non-working days'!$A$6:$A$45)=0),"",IF(COUNTIFS('Leave log'!$A$7:$A$306,Employees!$A$16,'Leave log'!$B$7:$B$306,"&lt;="&amp;DATE($B$3,2,13),'Leave log'!$C$7:$C$306,"&gt;="&amp;DATE($B$3,2,13),'Leave log'!$F$7:$F$306,"Pending")&gt;0,"P",""))))</f>
        <v/>
      </c>
      <c r="O51" s="23" t="str">
        <f>IF(A51="","",IF(IF(OR(DATE($B$3,2,14)&gt;EOMONTH(DATE($B$3,2,1),0),NETWORKDAYS.INTL(DATE($B$3,2,14),DATE($B$3,2,14),1,'Non-working days'!$A$6:$A$45)=0),"",IF(COUNTIFS('Leave log'!$A$7:$A$306,Employees!$A$16,'Leave log'!$B$7:$B$306,"&lt;="&amp;DATE($B$3,2,14),'Leave log'!$C$7:$C$306,"&gt;="&amp;DATE($B$3,2,14),'Leave log'!$F$7:$F$306,"Approved")&gt;0,"A",""))="A","A",IF(OR(DATE($B$3,2,14)&gt;EOMONTH(DATE($B$3,2,1),0),NETWORKDAYS.INTL(DATE($B$3,2,14),DATE($B$3,2,14),1,'Non-working days'!$A$6:$A$45)=0),"",IF(COUNTIFS('Leave log'!$A$7:$A$306,Employees!$A$16,'Leave log'!$B$7:$B$306,"&lt;="&amp;DATE($B$3,2,14),'Leave log'!$C$7:$C$306,"&gt;="&amp;DATE($B$3,2,14),'Leave log'!$F$7:$F$306,"Pending")&gt;0,"P",""))))</f>
        <v/>
      </c>
      <c r="P51" s="23" t="str">
        <f>IF(A51="","",IF(IF(OR(DATE($B$3,2,15)&gt;EOMONTH(DATE($B$3,2,1),0),NETWORKDAYS.INTL(DATE($B$3,2,15),DATE($B$3,2,15),1,'Non-working days'!$A$6:$A$45)=0),"",IF(COUNTIFS('Leave log'!$A$7:$A$306,Employees!$A$16,'Leave log'!$B$7:$B$306,"&lt;="&amp;DATE($B$3,2,15),'Leave log'!$C$7:$C$306,"&gt;="&amp;DATE($B$3,2,15),'Leave log'!$F$7:$F$306,"Approved")&gt;0,"A",""))="A","A",IF(OR(DATE($B$3,2,15)&gt;EOMONTH(DATE($B$3,2,1),0),NETWORKDAYS.INTL(DATE($B$3,2,15),DATE($B$3,2,15),1,'Non-working days'!$A$6:$A$45)=0),"",IF(COUNTIFS('Leave log'!$A$7:$A$306,Employees!$A$16,'Leave log'!$B$7:$B$306,"&lt;="&amp;DATE($B$3,2,15),'Leave log'!$C$7:$C$306,"&gt;="&amp;DATE($B$3,2,15),'Leave log'!$F$7:$F$306,"Pending")&gt;0,"P",""))))</f>
        <v/>
      </c>
      <c r="Q51" s="23" t="str">
        <f>IF(A51="","",IF(IF(OR(DATE($B$3,2,16)&gt;EOMONTH(DATE($B$3,2,1),0),NETWORKDAYS.INTL(DATE($B$3,2,16),DATE($B$3,2,16),1,'Non-working days'!$A$6:$A$45)=0),"",IF(COUNTIFS('Leave log'!$A$7:$A$306,Employees!$A$16,'Leave log'!$B$7:$B$306,"&lt;="&amp;DATE($B$3,2,16),'Leave log'!$C$7:$C$306,"&gt;="&amp;DATE($B$3,2,16),'Leave log'!$F$7:$F$306,"Approved")&gt;0,"A",""))="A","A",IF(OR(DATE($B$3,2,16)&gt;EOMONTH(DATE($B$3,2,1),0),NETWORKDAYS.INTL(DATE($B$3,2,16),DATE($B$3,2,16),1,'Non-working days'!$A$6:$A$45)=0),"",IF(COUNTIFS('Leave log'!$A$7:$A$306,Employees!$A$16,'Leave log'!$B$7:$B$306,"&lt;="&amp;DATE($B$3,2,16),'Leave log'!$C$7:$C$306,"&gt;="&amp;DATE($B$3,2,16),'Leave log'!$F$7:$F$306,"Pending")&gt;0,"P",""))))</f>
        <v/>
      </c>
      <c r="R51" s="23" t="str">
        <f>IF(A51="","",IF(IF(OR(DATE($B$3,2,17)&gt;EOMONTH(DATE($B$3,2,1),0),NETWORKDAYS.INTL(DATE($B$3,2,17),DATE($B$3,2,17),1,'Non-working days'!$A$6:$A$45)=0),"",IF(COUNTIFS('Leave log'!$A$7:$A$306,Employees!$A$16,'Leave log'!$B$7:$B$306,"&lt;="&amp;DATE($B$3,2,17),'Leave log'!$C$7:$C$306,"&gt;="&amp;DATE($B$3,2,17),'Leave log'!$F$7:$F$306,"Approved")&gt;0,"A",""))="A","A",IF(OR(DATE($B$3,2,17)&gt;EOMONTH(DATE($B$3,2,1),0),NETWORKDAYS.INTL(DATE($B$3,2,17),DATE($B$3,2,17),1,'Non-working days'!$A$6:$A$45)=0),"",IF(COUNTIFS('Leave log'!$A$7:$A$306,Employees!$A$16,'Leave log'!$B$7:$B$306,"&lt;="&amp;DATE($B$3,2,17),'Leave log'!$C$7:$C$306,"&gt;="&amp;DATE($B$3,2,17),'Leave log'!$F$7:$F$306,"Pending")&gt;0,"P",""))))</f>
        <v/>
      </c>
      <c r="S51" s="23" t="str">
        <f>IF(A51="","",IF(IF(OR(DATE($B$3,2,18)&gt;EOMONTH(DATE($B$3,2,1),0),NETWORKDAYS.INTL(DATE($B$3,2,18),DATE($B$3,2,18),1,'Non-working days'!$A$6:$A$45)=0),"",IF(COUNTIFS('Leave log'!$A$7:$A$306,Employees!$A$16,'Leave log'!$B$7:$B$306,"&lt;="&amp;DATE($B$3,2,18),'Leave log'!$C$7:$C$306,"&gt;="&amp;DATE($B$3,2,18),'Leave log'!$F$7:$F$306,"Approved")&gt;0,"A",""))="A","A",IF(OR(DATE($B$3,2,18)&gt;EOMONTH(DATE($B$3,2,1),0),NETWORKDAYS.INTL(DATE($B$3,2,18),DATE($B$3,2,18),1,'Non-working days'!$A$6:$A$45)=0),"",IF(COUNTIFS('Leave log'!$A$7:$A$306,Employees!$A$16,'Leave log'!$B$7:$B$306,"&lt;="&amp;DATE($B$3,2,18),'Leave log'!$C$7:$C$306,"&gt;="&amp;DATE($B$3,2,18),'Leave log'!$F$7:$F$306,"Pending")&gt;0,"P",""))))</f>
        <v/>
      </c>
      <c r="T51" s="23" t="str">
        <f>IF(A51="","",IF(IF(OR(DATE($B$3,2,19)&gt;EOMONTH(DATE($B$3,2,1),0),NETWORKDAYS.INTL(DATE($B$3,2,19),DATE($B$3,2,19),1,'Non-working days'!$A$6:$A$45)=0),"",IF(COUNTIFS('Leave log'!$A$7:$A$306,Employees!$A$16,'Leave log'!$B$7:$B$306,"&lt;="&amp;DATE($B$3,2,19),'Leave log'!$C$7:$C$306,"&gt;="&amp;DATE($B$3,2,19),'Leave log'!$F$7:$F$306,"Approved")&gt;0,"A",""))="A","A",IF(OR(DATE($B$3,2,19)&gt;EOMONTH(DATE($B$3,2,1),0),NETWORKDAYS.INTL(DATE($B$3,2,19),DATE($B$3,2,19),1,'Non-working days'!$A$6:$A$45)=0),"",IF(COUNTIFS('Leave log'!$A$7:$A$306,Employees!$A$16,'Leave log'!$B$7:$B$306,"&lt;="&amp;DATE($B$3,2,19),'Leave log'!$C$7:$C$306,"&gt;="&amp;DATE($B$3,2,19),'Leave log'!$F$7:$F$306,"Pending")&gt;0,"P",""))))</f>
        <v/>
      </c>
      <c r="U51" s="23" t="str">
        <f>IF(A51="","",IF(IF(OR(DATE($B$3,2,20)&gt;EOMONTH(DATE($B$3,2,1),0),NETWORKDAYS.INTL(DATE($B$3,2,20),DATE($B$3,2,20),1,'Non-working days'!$A$6:$A$45)=0),"",IF(COUNTIFS('Leave log'!$A$7:$A$306,Employees!$A$16,'Leave log'!$B$7:$B$306,"&lt;="&amp;DATE($B$3,2,20),'Leave log'!$C$7:$C$306,"&gt;="&amp;DATE($B$3,2,20),'Leave log'!$F$7:$F$306,"Approved")&gt;0,"A",""))="A","A",IF(OR(DATE($B$3,2,20)&gt;EOMONTH(DATE($B$3,2,1),0),NETWORKDAYS.INTL(DATE($B$3,2,20),DATE($B$3,2,20),1,'Non-working days'!$A$6:$A$45)=0),"",IF(COUNTIFS('Leave log'!$A$7:$A$306,Employees!$A$16,'Leave log'!$B$7:$B$306,"&lt;="&amp;DATE($B$3,2,20),'Leave log'!$C$7:$C$306,"&gt;="&amp;DATE($B$3,2,20),'Leave log'!$F$7:$F$306,"Pending")&gt;0,"P",""))))</f>
        <v/>
      </c>
      <c r="V51" s="23" t="str">
        <f>IF(A51="","",IF(IF(OR(DATE($B$3,2,21)&gt;EOMONTH(DATE($B$3,2,1),0),NETWORKDAYS.INTL(DATE($B$3,2,21),DATE($B$3,2,21),1,'Non-working days'!$A$6:$A$45)=0),"",IF(COUNTIFS('Leave log'!$A$7:$A$306,Employees!$A$16,'Leave log'!$B$7:$B$306,"&lt;="&amp;DATE($B$3,2,21),'Leave log'!$C$7:$C$306,"&gt;="&amp;DATE($B$3,2,21),'Leave log'!$F$7:$F$306,"Approved")&gt;0,"A",""))="A","A",IF(OR(DATE($B$3,2,21)&gt;EOMONTH(DATE($B$3,2,1),0),NETWORKDAYS.INTL(DATE($B$3,2,21),DATE($B$3,2,21),1,'Non-working days'!$A$6:$A$45)=0),"",IF(COUNTIFS('Leave log'!$A$7:$A$306,Employees!$A$16,'Leave log'!$B$7:$B$306,"&lt;="&amp;DATE($B$3,2,21),'Leave log'!$C$7:$C$306,"&gt;="&amp;DATE($B$3,2,21),'Leave log'!$F$7:$F$306,"Pending")&gt;0,"P",""))))</f>
        <v/>
      </c>
      <c r="W51" s="23" t="str">
        <f>IF(A51="","",IF(IF(OR(DATE($B$3,2,22)&gt;EOMONTH(DATE($B$3,2,1),0),NETWORKDAYS.INTL(DATE($B$3,2,22),DATE($B$3,2,22),1,'Non-working days'!$A$6:$A$45)=0),"",IF(COUNTIFS('Leave log'!$A$7:$A$306,Employees!$A$16,'Leave log'!$B$7:$B$306,"&lt;="&amp;DATE($B$3,2,22),'Leave log'!$C$7:$C$306,"&gt;="&amp;DATE($B$3,2,22),'Leave log'!$F$7:$F$306,"Approved")&gt;0,"A",""))="A","A",IF(OR(DATE($B$3,2,22)&gt;EOMONTH(DATE($B$3,2,1),0),NETWORKDAYS.INTL(DATE($B$3,2,22),DATE($B$3,2,22),1,'Non-working days'!$A$6:$A$45)=0),"",IF(COUNTIFS('Leave log'!$A$7:$A$306,Employees!$A$16,'Leave log'!$B$7:$B$306,"&lt;="&amp;DATE($B$3,2,22),'Leave log'!$C$7:$C$306,"&gt;="&amp;DATE($B$3,2,22),'Leave log'!$F$7:$F$306,"Pending")&gt;0,"P",""))))</f>
        <v/>
      </c>
      <c r="X51" s="23" t="str">
        <f>IF(A51="","",IF(IF(OR(DATE($B$3,2,23)&gt;EOMONTH(DATE($B$3,2,1),0),NETWORKDAYS.INTL(DATE($B$3,2,23),DATE($B$3,2,23),1,'Non-working days'!$A$6:$A$45)=0),"",IF(COUNTIFS('Leave log'!$A$7:$A$306,Employees!$A$16,'Leave log'!$B$7:$B$306,"&lt;="&amp;DATE($B$3,2,23),'Leave log'!$C$7:$C$306,"&gt;="&amp;DATE($B$3,2,23),'Leave log'!$F$7:$F$306,"Approved")&gt;0,"A",""))="A","A",IF(OR(DATE($B$3,2,23)&gt;EOMONTH(DATE($B$3,2,1),0),NETWORKDAYS.INTL(DATE($B$3,2,23),DATE($B$3,2,23),1,'Non-working days'!$A$6:$A$45)=0),"",IF(COUNTIFS('Leave log'!$A$7:$A$306,Employees!$A$16,'Leave log'!$B$7:$B$306,"&lt;="&amp;DATE($B$3,2,23),'Leave log'!$C$7:$C$306,"&gt;="&amp;DATE($B$3,2,23),'Leave log'!$F$7:$F$306,"Pending")&gt;0,"P",""))))</f>
        <v/>
      </c>
      <c r="Y51" s="23" t="str">
        <f>IF(A51="","",IF(IF(OR(DATE($B$3,2,24)&gt;EOMONTH(DATE($B$3,2,1),0),NETWORKDAYS.INTL(DATE($B$3,2,24),DATE($B$3,2,24),1,'Non-working days'!$A$6:$A$45)=0),"",IF(COUNTIFS('Leave log'!$A$7:$A$306,Employees!$A$16,'Leave log'!$B$7:$B$306,"&lt;="&amp;DATE($B$3,2,24),'Leave log'!$C$7:$C$306,"&gt;="&amp;DATE($B$3,2,24),'Leave log'!$F$7:$F$306,"Approved")&gt;0,"A",""))="A","A",IF(OR(DATE($B$3,2,24)&gt;EOMONTH(DATE($B$3,2,1),0),NETWORKDAYS.INTL(DATE($B$3,2,24),DATE($B$3,2,24),1,'Non-working days'!$A$6:$A$45)=0),"",IF(COUNTIFS('Leave log'!$A$7:$A$306,Employees!$A$16,'Leave log'!$B$7:$B$306,"&lt;="&amp;DATE($B$3,2,24),'Leave log'!$C$7:$C$306,"&gt;="&amp;DATE($B$3,2,24),'Leave log'!$F$7:$F$306,"Pending")&gt;0,"P",""))))</f>
        <v/>
      </c>
      <c r="Z51" s="23" t="str">
        <f>IF(A51="","",IF(IF(OR(DATE($B$3,2,25)&gt;EOMONTH(DATE($B$3,2,1),0),NETWORKDAYS.INTL(DATE($B$3,2,25),DATE($B$3,2,25),1,'Non-working days'!$A$6:$A$45)=0),"",IF(COUNTIFS('Leave log'!$A$7:$A$306,Employees!$A$16,'Leave log'!$B$7:$B$306,"&lt;="&amp;DATE($B$3,2,25),'Leave log'!$C$7:$C$306,"&gt;="&amp;DATE($B$3,2,25),'Leave log'!$F$7:$F$306,"Approved")&gt;0,"A",""))="A","A",IF(OR(DATE($B$3,2,25)&gt;EOMONTH(DATE($B$3,2,1),0),NETWORKDAYS.INTL(DATE($B$3,2,25),DATE($B$3,2,25),1,'Non-working days'!$A$6:$A$45)=0),"",IF(COUNTIFS('Leave log'!$A$7:$A$306,Employees!$A$16,'Leave log'!$B$7:$B$306,"&lt;="&amp;DATE($B$3,2,25),'Leave log'!$C$7:$C$306,"&gt;="&amp;DATE($B$3,2,25),'Leave log'!$F$7:$F$306,"Pending")&gt;0,"P",""))))</f>
        <v/>
      </c>
      <c r="AA51" s="23" t="str">
        <f>IF(A51="","",IF(IF(OR(DATE($B$3,2,26)&gt;EOMONTH(DATE($B$3,2,1),0),NETWORKDAYS.INTL(DATE($B$3,2,26),DATE($B$3,2,26),1,'Non-working days'!$A$6:$A$45)=0),"",IF(COUNTIFS('Leave log'!$A$7:$A$306,Employees!$A$16,'Leave log'!$B$7:$B$306,"&lt;="&amp;DATE($B$3,2,26),'Leave log'!$C$7:$C$306,"&gt;="&amp;DATE($B$3,2,26),'Leave log'!$F$7:$F$306,"Approved")&gt;0,"A",""))="A","A",IF(OR(DATE($B$3,2,26)&gt;EOMONTH(DATE($B$3,2,1),0),NETWORKDAYS.INTL(DATE($B$3,2,26),DATE($B$3,2,26),1,'Non-working days'!$A$6:$A$45)=0),"",IF(COUNTIFS('Leave log'!$A$7:$A$306,Employees!$A$16,'Leave log'!$B$7:$B$306,"&lt;="&amp;DATE($B$3,2,26),'Leave log'!$C$7:$C$306,"&gt;="&amp;DATE($B$3,2,26),'Leave log'!$F$7:$F$306,"Pending")&gt;0,"P",""))))</f>
        <v/>
      </c>
      <c r="AB51" s="23" t="str">
        <f>IF(A51="","",IF(IF(OR(DATE($B$3,2,27)&gt;EOMONTH(DATE($B$3,2,1),0),NETWORKDAYS.INTL(DATE($B$3,2,27),DATE($B$3,2,27),1,'Non-working days'!$A$6:$A$45)=0),"",IF(COUNTIFS('Leave log'!$A$7:$A$306,Employees!$A$16,'Leave log'!$B$7:$B$306,"&lt;="&amp;DATE($B$3,2,27),'Leave log'!$C$7:$C$306,"&gt;="&amp;DATE($B$3,2,27),'Leave log'!$F$7:$F$306,"Approved")&gt;0,"A",""))="A","A",IF(OR(DATE($B$3,2,27)&gt;EOMONTH(DATE($B$3,2,1),0),NETWORKDAYS.INTL(DATE($B$3,2,27),DATE($B$3,2,27),1,'Non-working days'!$A$6:$A$45)=0),"",IF(COUNTIFS('Leave log'!$A$7:$A$306,Employees!$A$16,'Leave log'!$B$7:$B$306,"&lt;="&amp;DATE($B$3,2,27),'Leave log'!$C$7:$C$306,"&gt;="&amp;DATE($B$3,2,27),'Leave log'!$F$7:$F$306,"Pending")&gt;0,"P",""))))</f>
        <v/>
      </c>
      <c r="AC51" s="23" t="str">
        <f>IF(A51="","",IF(IF(OR(DATE($B$3,2,28)&gt;EOMONTH(DATE($B$3,2,1),0),NETWORKDAYS.INTL(DATE($B$3,2,28),DATE($B$3,2,28),1,'Non-working days'!$A$6:$A$45)=0),"",IF(COUNTIFS('Leave log'!$A$7:$A$306,Employees!$A$16,'Leave log'!$B$7:$B$306,"&lt;="&amp;DATE($B$3,2,28),'Leave log'!$C$7:$C$306,"&gt;="&amp;DATE($B$3,2,28),'Leave log'!$F$7:$F$306,"Approved")&gt;0,"A",""))="A","A",IF(OR(DATE($B$3,2,28)&gt;EOMONTH(DATE($B$3,2,1),0),NETWORKDAYS.INTL(DATE($B$3,2,28),DATE($B$3,2,28),1,'Non-working days'!$A$6:$A$45)=0),"",IF(COUNTIFS('Leave log'!$A$7:$A$306,Employees!$A$16,'Leave log'!$B$7:$B$306,"&lt;="&amp;DATE($B$3,2,28),'Leave log'!$C$7:$C$306,"&gt;="&amp;DATE($B$3,2,28),'Leave log'!$F$7:$F$306,"Pending")&gt;0,"P",""))))</f>
        <v/>
      </c>
      <c r="AD51" s="23" t="str">
        <f>IF(A51="","",IF(IF(OR(DATE($B$3,2,29)&gt;EOMONTH(DATE($B$3,2,1),0),NETWORKDAYS.INTL(DATE($B$3,2,29),DATE($B$3,2,29),1,'Non-working days'!$A$6:$A$45)=0),"",IF(COUNTIFS('Leave log'!$A$7:$A$306,Employees!$A$16,'Leave log'!$B$7:$B$306,"&lt;="&amp;DATE($B$3,2,29),'Leave log'!$C$7:$C$306,"&gt;="&amp;DATE($B$3,2,29),'Leave log'!$F$7:$F$306,"Approved")&gt;0,"A",""))="A","A",IF(OR(DATE($B$3,2,29)&gt;EOMONTH(DATE($B$3,2,1),0),NETWORKDAYS.INTL(DATE($B$3,2,29),DATE($B$3,2,29),1,'Non-working days'!$A$6:$A$45)=0),"",IF(COUNTIFS('Leave log'!$A$7:$A$306,Employees!$A$16,'Leave log'!$B$7:$B$306,"&lt;="&amp;DATE($B$3,2,29),'Leave log'!$C$7:$C$306,"&gt;="&amp;DATE($B$3,2,29),'Leave log'!$F$7:$F$306,"Pending")&gt;0,"P",""))))</f>
        <v/>
      </c>
      <c r="AE51" s="23" t="str">
        <f>IF(A51="","",IF(IF(OR(DATE($B$3,2,30)&gt;EOMONTH(DATE($B$3,2,1),0),NETWORKDAYS.INTL(DATE($B$3,2,30),DATE($B$3,2,30),1,'Non-working days'!$A$6:$A$45)=0),"",IF(COUNTIFS('Leave log'!$A$7:$A$306,Employees!$A$16,'Leave log'!$B$7:$B$306,"&lt;="&amp;DATE($B$3,2,30),'Leave log'!$C$7:$C$306,"&gt;="&amp;DATE($B$3,2,30),'Leave log'!$F$7:$F$306,"Approved")&gt;0,"A",""))="A","A",IF(OR(DATE($B$3,2,30)&gt;EOMONTH(DATE($B$3,2,1),0),NETWORKDAYS.INTL(DATE($B$3,2,30),DATE($B$3,2,30),1,'Non-working days'!$A$6:$A$45)=0),"",IF(COUNTIFS('Leave log'!$A$7:$A$306,Employees!$A$16,'Leave log'!$B$7:$B$306,"&lt;="&amp;DATE($B$3,2,30),'Leave log'!$C$7:$C$306,"&gt;="&amp;DATE($B$3,2,30),'Leave log'!$F$7:$F$306,"Pending")&gt;0,"P",""))))</f>
        <v/>
      </c>
      <c r="AF51" s="23" t="str">
        <f>IF(A51="","",IF(IF(OR(DATE($B$3,2,31)&gt;EOMONTH(DATE($B$3,2,1),0),NETWORKDAYS.INTL(DATE($B$3,2,31),DATE($B$3,2,31),1,'Non-working days'!$A$6:$A$45)=0),"",IF(COUNTIFS('Leave log'!$A$7:$A$306,Employees!$A$16,'Leave log'!$B$7:$B$306,"&lt;="&amp;DATE($B$3,2,31),'Leave log'!$C$7:$C$306,"&gt;="&amp;DATE($B$3,2,31),'Leave log'!$F$7:$F$306,"Approved")&gt;0,"A",""))="A","A",IF(OR(DATE($B$3,2,31)&gt;EOMONTH(DATE($B$3,2,1),0),NETWORKDAYS.INTL(DATE($B$3,2,31),DATE($B$3,2,31),1,'Non-working days'!$A$6:$A$45)=0),"",IF(COUNTIFS('Leave log'!$A$7:$A$306,Employees!$A$16,'Leave log'!$B$7:$B$306,"&lt;="&amp;DATE($B$3,2,31),'Leave log'!$C$7:$C$306,"&gt;="&amp;DATE($B$3,2,31),'Leave log'!$F$7:$F$306,"Pending")&gt;0,"P",""))))</f>
        <v/>
      </c>
    </row>
    <row r="52" spans="1:32" ht="18" customHeight="1" x14ac:dyDescent="0.3">
      <c r="A52" s="22" t="str">
        <f>IF(Employees!F17="Yes",Employees!B17,"")</f>
        <v/>
      </c>
      <c r="B52" s="23" t="str">
        <f>IF(A52="","",IF(IF(OR(DATE($B$3,2,1)&gt;EOMONTH(DATE($B$3,2,1),0),NETWORKDAYS.INTL(DATE($B$3,2,1),DATE($B$3,2,1),1,'Non-working days'!$A$6:$A$45)=0),"",IF(COUNTIFS('Leave log'!$A$7:$A$306,Employees!$A$17,'Leave log'!$B$7:$B$306,"&lt;="&amp;DATE($B$3,2,1),'Leave log'!$C$7:$C$306,"&gt;="&amp;DATE($B$3,2,1),'Leave log'!$F$7:$F$306,"Approved")&gt;0,"A",""))="A","A",IF(OR(DATE($B$3,2,1)&gt;EOMONTH(DATE($B$3,2,1),0),NETWORKDAYS.INTL(DATE($B$3,2,1),DATE($B$3,2,1),1,'Non-working days'!$A$6:$A$45)=0),"",IF(COUNTIFS('Leave log'!$A$7:$A$306,Employees!$A$17,'Leave log'!$B$7:$B$306,"&lt;="&amp;DATE($B$3,2,1),'Leave log'!$C$7:$C$306,"&gt;="&amp;DATE($B$3,2,1),'Leave log'!$F$7:$F$306,"Pending")&gt;0,"P",""))))</f>
        <v/>
      </c>
      <c r="C52" s="23" t="str">
        <f>IF(A52="","",IF(IF(OR(DATE($B$3,2,2)&gt;EOMONTH(DATE($B$3,2,1),0),NETWORKDAYS.INTL(DATE($B$3,2,2),DATE($B$3,2,2),1,'Non-working days'!$A$6:$A$45)=0),"",IF(COUNTIFS('Leave log'!$A$7:$A$306,Employees!$A$17,'Leave log'!$B$7:$B$306,"&lt;="&amp;DATE($B$3,2,2),'Leave log'!$C$7:$C$306,"&gt;="&amp;DATE($B$3,2,2),'Leave log'!$F$7:$F$306,"Approved")&gt;0,"A",""))="A","A",IF(OR(DATE($B$3,2,2)&gt;EOMONTH(DATE($B$3,2,1),0),NETWORKDAYS.INTL(DATE($B$3,2,2),DATE($B$3,2,2),1,'Non-working days'!$A$6:$A$45)=0),"",IF(COUNTIFS('Leave log'!$A$7:$A$306,Employees!$A$17,'Leave log'!$B$7:$B$306,"&lt;="&amp;DATE($B$3,2,2),'Leave log'!$C$7:$C$306,"&gt;="&amp;DATE($B$3,2,2),'Leave log'!$F$7:$F$306,"Pending")&gt;0,"P",""))))</f>
        <v/>
      </c>
      <c r="D52" s="23" t="str">
        <f>IF(A52="","",IF(IF(OR(DATE($B$3,2,3)&gt;EOMONTH(DATE($B$3,2,1),0),NETWORKDAYS.INTL(DATE($B$3,2,3),DATE($B$3,2,3),1,'Non-working days'!$A$6:$A$45)=0),"",IF(COUNTIFS('Leave log'!$A$7:$A$306,Employees!$A$17,'Leave log'!$B$7:$B$306,"&lt;="&amp;DATE($B$3,2,3),'Leave log'!$C$7:$C$306,"&gt;="&amp;DATE($B$3,2,3),'Leave log'!$F$7:$F$306,"Approved")&gt;0,"A",""))="A","A",IF(OR(DATE($B$3,2,3)&gt;EOMONTH(DATE($B$3,2,1),0),NETWORKDAYS.INTL(DATE($B$3,2,3),DATE($B$3,2,3),1,'Non-working days'!$A$6:$A$45)=0),"",IF(COUNTIFS('Leave log'!$A$7:$A$306,Employees!$A$17,'Leave log'!$B$7:$B$306,"&lt;="&amp;DATE($B$3,2,3),'Leave log'!$C$7:$C$306,"&gt;="&amp;DATE($B$3,2,3),'Leave log'!$F$7:$F$306,"Pending")&gt;0,"P",""))))</f>
        <v/>
      </c>
      <c r="E52" s="23" t="str">
        <f>IF(A52="","",IF(IF(OR(DATE($B$3,2,4)&gt;EOMONTH(DATE($B$3,2,1),0),NETWORKDAYS.INTL(DATE($B$3,2,4),DATE($B$3,2,4),1,'Non-working days'!$A$6:$A$45)=0),"",IF(COUNTIFS('Leave log'!$A$7:$A$306,Employees!$A$17,'Leave log'!$B$7:$B$306,"&lt;="&amp;DATE($B$3,2,4),'Leave log'!$C$7:$C$306,"&gt;="&amp;DATE($B$3,2,4),'Leave log'!$F$7:$F$306,"Approved")&gt;0,"A",""))="A","A",IF(OR(DATE($B$3,2,4)&gt;EOMONTH(DATE($B$3,2,1),0),NETWORKDAYS.INTL(DATE($B$3,2,4),DATE($B$3,2,4),1,'Non-working days'!$A$6:$A$45)=0),"",IF(COUNTIFS('Leave log'!$A$7:$A$306,Employees!$A$17,'Leave log'!$B$7:$B$306,"&lt;="&amp;DATE($B$3,2,4),'Leave log'!$C$7:$C$306,"&gt;="&amp;DATE($B$3,2,4),'Leave log'!$F$7:$F$306,"Pending")&gt;0,"P",""))))</f>
        <v/>
      </c>
      <c r="F52" s="23" t="str">
        <f>IF(A52="","",IF(IF(OR(DATE($B$3,2,5)&gt;EOMONTH(DATE($B$3,2,1),0),NETWORKDAYS.INTL(DATE($B$3,2,5),DATE($B$3,2,5),1,'Non-working days'!$A$6:$A$45)=0),"",IF(COUNTIFS('Leave log'!$A$7:$A$306,Employees!$A$17,'Leave log'!$B$7:$B$306,"&lt;="&amp;DATE($B$3,2,5),'Leave log'!$C$7:$C$306,"&gt;="&amp;DATE($B$3,2,5),'Leave log'!$F$7:$F$306,"Approved")&gt;0,"A",""))="A","A",IF(OR(DATE($B$3,2,5)&gt;EOMONTH(DATE($B$3,2,1),0),NETWORKDAYS.INTL(DATE($B$3,2,5),DATE($B$3,2,5),1,'Non-working days'!$A$6:$A$45)=0),"",IF(COUNTIFS('Leave log'!$A$7:$A$306,Employees!$A$17,'Leave log'!$B$7:$B$306,"&lt;="&amp;DATE($B$3,2,5),'Leave log'!$C$7:$C$306,"&gt;="&amp;DATE($B$3,2,5),'Leave log'!$F$7:$F$306,"Pending")&gt;0,"P",""))))</f>
        <v/>
      </c>
      <c r="G52" s="23" t="str">
        <f>IF(A52="","",IF(IF(OR(DATE($B$3,2,6)&gt;EOMONTH(DATE($B$3,2,1),0),NETWORKDAYS.INTL(DATE($B$3,2,6),DATE($B$3,2,6),1,'Non-working days'!$A$6:$A$45)=0),"",IF(COUNTIFS('Leave log'!$A$7:$A$306,Employees!$A$17,'Leave log'!$B$7:$B$306,"&lt;="&amp;DATE($B$3,2,6),'Leave log'!$C$7:$C$306,"&gt;="&amp;DATE($B$3,2,6),'Leave log'!$F$7:$F$306,"Approved")&gt;0,"A",""))="A","A",IF(OR(DATE($B$3,2,6)&gt;EOMONTH(DATE($B$3,2,1),0),NETWORKDAYS.INTL(DATE($B$3,2,6),DATE($B$3,2,6),1,'Non-working days'!$A$6:$A$45)=0),"",IF(COUNTIFS('Leave log'!$A$7:$A$306,Employees!$A$17,'Leave log'!$B$7:$B$306,"&lt;="&amp;DATE($B$3,2,6),'Leave log'!$C$7:$C$306,"&gt;="&amp;DATE($B$3,2,6),'Leave log'!$F$7:$F$306,"Pending")&gt;0,"P",""))))</f>
        <v/>
      </c>
      <c r="H52" s="23" t="str">
        <f>IF(A52="","",IF(IF(OR(DATE($B$3,2,7)&gt;EOMONTH(DATE($B$3,2,1),0),NETWORKDAYS.INTL(DATE($B$3,2,7),DATE($B$3,2,7),1,'Non-working days'!$A$6:$A$45)=0),"",IF(COUNTIFS('Leave log'!$A$7:$A$306,Employees!$A$17,'Leave log'!$B$7:$B$306,"&lt;="&amp;DATE($B$3,2,7),'Leave log'!$C$7:$C$306,"&gt;="&amp;DATE($B$3,2,7),'Leave log'!$F$7:$F$306,"Approved")&gt;0,"A",""))="A","A",IF(OR(DATE($B$3,2,7)&gt;EOMONTH(DATE($B$3,2,1),0),NETWORKDAYS.INTL(DATE($B$3,2,7),DATE($B$3,2,7),1,'Non-working days'!$A$6:$A$45)=0),"",IF(COUNTIFS('Leave log'!$A$7:$A$306,Employees!$A$17,'Leave log'!$B$7:$B$306,"&lt;="&amp;DATE($B$3,2,7),'Leave log'!$C$7:$C$306,"&gt;="&amp;DATE($B$3,2,7),'Leave log'!$F$7:$F$306,"Pending")&gt;0,"P",""))))</f>
        <v/>
      </c>
      <c r="I52" s="23" t="str">
        <f>IF(A52="","",IF(IF(OR(DATE($B$3,2,8)&gt;EOMONTH(DATE($B$3,2,1),0),NETWORKDAYS.INTL(DATE($B$3,2,8),DATE($B$3,2,8),1,'Non-working days'!$A$6:$A$45)=0),"",IF(COUNTIFS('Leave log'!$A$7:$A$306,Employees!$A$17,'Leave log'!$B$7:$B$306,"&lt;="&amp;DATE($B$3,2,8),'Leave log'!$C$7:$C$306,"&gt;="&amp;DATE($B$3,2,8),'Leave log'!$F$7:$F$306,"Approved")&gt;0,"A",""))="A","A",IF(OR(DATE($B$3,2,8)&gt;EOMONTH(DATE($B$3,2,1),0),NETWORKDAYS.INTL(DATE($B$3,2,8),DATE($B$3,2,8),1,'Non-working days'!$A$6:$A$45)=0),"",IF(COUNTIFS('Leave log'!$A$7:$A$306,Employees!$A$17,'Leave log'!$B$7:$B$306,"&lt;="&amp;DATE($B$3,2,8),'Leave log'!$C$7:$C$306,"&gt;="&amp;DATE($B$3,2,8),'Leave log'!$F$7:$F$306,"Pending")&gt;0,"P",""))))</f>
        <v/>
      </c>
      <c r="J52" s="23" t="str">
        <f>IF(A52="","",IF(IF(OR(DATE($B$3,2,9)&gt;EOMONTH(DATE($B$3,2,1),0),NETWORKDAYS.INTL(DATE($B$3,2,9),DATE($B$3,2,9),1,'Non-working days'!$A$6:$A$45)=0),"",IF(COUNTIFS('Leave log'!$A$7:$A$306,Employees!$A$17,'Leave log'!$B$7:$B$306,"&lt;="&amp;DATE($B$3,2,9),'Leave log'!$C$7:$C$306,"&gt;="&amp;DATE($B$3,2,9),'Leave log'!$F$7:$F$306,"Approved")&gt;0,"A",""))="A","A",IF(OR(DATE($B$3,2,9)&gt;EOMONTH(DATE($B$3,2,1),0),NETWORKDAYS.INTL(DATE($B$3,2,9),DATE($B$3,2,9),1,'Non-working days'!$A$6:$A$45)=0),"",IF(COUNTIFS('Leave log'!$A$7:$A$306,Employees!$A$17,'Leave log'!$B$7:$B$306,"&lt;="&amp;DATE($B$3,2,9),'Leave log'!$C$7:$C$306,"&gt;="&amp;DATE($B$3,2,9),'Leave log'!$F$7:$F$306,"Pending")&gt;0,"P",""))))</f>
        <v/>
      </c>
      <c r="K52" s="23" t="str">
        <f>IF(A52="","",IF(IF(OR(DATE($B$3,2,10)&gt;EOMONTH(DATE($B$3,2,1),0),NETWORKDAYS.INTL(DATE($B$3,2,10),DATE($B$3,2,10),1,'Non-working days'!$A$6:$A$45)=0),"",IF(COUNTIFS('Leave log'!$A$7:$A$306,Employees!$A$17,'Leave log'!$B$7:$B$306,"&lt;="&amp;DATE($B$3,2,10),'Leave log'!$C$7:$C$306,"&gt;="&amp;DATE($B$3,2,10),'Leave log'!$F$7:$F$306,"Approved")&gt;0,"A",""))="A","A",IF(OR(DATE($B$3,2,10)&gt;EOMONTH(DATE($B$3,2,1),0),NETWORKDAYS.INTL(DATE($B$3,2,10),DATE($B$3,2,10),1,'Non-working days'!$A$6:$A$45)=0),"",IF(COUNTIFS('Leave log'!$A$7:$A$306,Employees!$A$17,'Leave log'!$B$7:$B$306,"&lt;="&amp;DATE($B$3,2,10),'Leave log'!$C$7:$C$306,"&gt;="&amp;DATE($B$3,2,10),'Leave log'!$F$7:$F$306,"Pending")&gt;0,"P",""))))</f>
        <v/>
      </c>
      <c r="L52" s="23" t="str">
        <f>IF(A52="","",IF(IF(OR(DATE($B$3,2,11)&gt;EOMONTH(DATE($B$3,2,1),0),NETWORKDAYS.INTL(DATE($B$3,2,11),DATE($B$3,2,11),1,'Non-working days'!$A$6:$A$45)=0),"",IF(COUNTIFS('Leave log'!$A$7:$A$306,Employees!$A$17,'Leave log'!$B$7:$B$306,"&lt;="&amp;DATE($B$3,2,11),'Leave log'!$C$7:$C$306,"&gt;="&amp;DATE($B$3,2,11),'Leave log'!$F$7:$F$306,"Approved")&gt;0,"A",""))="A","A",IF(OR(DATE($B$3,2,11)&gt;EOMONTH(DATE($B$3,2,1),0),NETWORKDAYS.INTL(DATE($B$3,2,11),DATE($B$3,2,11),1,'Non-working days'!$A$6:$A$45)=0),"",IF(COUNTIFS('Leave log'!$A$7:$A$306,Employees!$A$17,'Leave log'!$B$7:$B$306,"&lt;="&amp;DATE($B$3,2,11),'Leave log'!$C$7:$C$306,"&gt;="&amp;DATE($B$3,2,11),'Leave log'!$F$7:$F$306,"Pending")&gt;0,"P",""))))</f>
        <v/>
      </c>
      <c r="M52" s="23" t="str">
        <f>IF(A52="","",IF(IF(OR(DATE($B$3,2,12)&gt;EOMONTH(DATE($B$3,2,1),0),NETWORKDAYS.INTL(DATE($B$3,2,12),DATE($B$3,2,12),1,'Non-working days'!$A$6:$A$45)=0),"",IF(COUNTIFS('Leave log'!$A$7:$A$306,Employees!$A$17,'Leave log'!$B$7:$B$306,"&lt;="&amp;DATE($B$3,2,12),'Leave log'!$C$7:$C$306,"&gt;="&amp;DATE($B$3,2,12),'Leave log'!$F$7:$F$306,"Approved")&gt;0,"A",""))="A","A",IF(OR(DATE($B$3,2,12)&gt;EOMONTH(DATE($B$3,2,1),0),NETWORKDAYS.INTL(DATE($B$3,2,12),DATE($B$3,2,12),1,'Non-working days'!$A$6:$A$45)=0),"",IF(COUNTIFS('Leave log'!$A$7:$A$306,Employees!$A$17,'Leave log'!$B$7:$B$306,"&lt;="&amp;DATE($B$3,2,12),'Leave log'!$C$7:$C$306,"&gt;="&amp;DATE($B$3,2,12),'Leave log'!$F$7:$F$306,"Pending")&gt;0,"P",""))))</f>
        <v/>
      </c>
      <c r="N52" s="23" t="str">
        <f>IF(A52="","",IF(IF(OR(DATE($B$3,2,13)&gt;EOMONTH(DATE($B$3,2,1),0),NETWORKDAYS.INTL(DATE($B$3,2,13),DATE($B$3,2,13),1,'Non-working days'!$A$6:$A$45)=0),"",IF(COUNTIFS('Leave log'!$A$7:$A$306,Employees!$A$17,'Leave log'!$B$7:$B$306,"&lt;="&amp;DATE($B$3,2,13),'Leave log'!$C$7:$C$306,"&gt;="&amp;DATE($B$3,2,13),'Leave log'!$F$7:$F$306,"Approved")&gt;0,"A",""))="A","A",IF(OR(DATE($B$3,2,13)&gt;EOMONTH(DATE($B$3,2,1),0),NETWORKDAYS.INTL(DATE($B$3,2,13),DATE($B$3,2,13),1,'Non-working days'!$A$6:$A$45)=0),"",IF(COUNTIFS('Leave log'!$A$7:$A$306,Employees!$A$17,'Leave log'!$B$7:$B$306,"&lt;="&amp;DATE($B$3,2,13),'Leave log'!$C$7:$C$306,"&gt;="&amp;DATE($B$3,2,13),'Leave log'!$F$7:$F$306,"Pending")&gt;0,"P",""))))</f>
        <v/>
      </c>
      <c r="O52" s="23" t="str">
        <f>IF(A52="","",IF(IF(OR(DATE($B$3,2,14)&gt;EOMONTH(DATE($B$3,2,1),0),NETWORKDAYS.INTL(DATE($B$3,2,14),DATE($B$3,2,14),1,'Non-working days'!$A$6:$A$45)=0),"",IF(COUNTIFS('Leave log'!$A$7:$A$306,Employees!$A$17,'Leave log'!$B$7:$B$306,"&lt;="&amp;DATE($B$3,2,14),'Leave log'!$C$7:$C$306,"&gt;="&amp;DATE($B$3,2,14),'Leave log'!$F$7:$F$306,"Approved")&gt;0,"A",""))="A","A",IF(OR(DATE($B$3,2,14)&gt;EOMONTH(DATE($B$3,2,1),0),NETWORKDAYS.INTL(DATE($B$3,2,14),DATE($B$3,2,14),1,'Non-working days'!$A$6:$A$45)=0),"",IF(COUNTIFS('Leave log'!$A$7:$A$306,Employees!$A$17,'Leave log'!$B$7:$B$306,"&lt;="&amp;DATE($B$3,2,14),'Leave log'!$C$7:$C$306,"&gt;="&amp;DATE($B$3,2,14),'Leave log'!$F$7:$F$306,"Pending")&gt;0,"P",""))))</f>
        <v/>
      </c>
      <c r="P52" s="23" t="str">
        <f>IF(A52="","",IF(IF(OR(DATE($B$3,2,15)&gt;EOMONTH(DATE($B$3,2,1),0),NETWORKDAYS.INTL(DATE($B$3,2,15),DATE($B$3,2,15),1,'Non-working days'!$A$6:$A$45)=0),"",IF(COUNTIFS('Leave log'!$A$7:$A$306,Employees!$A$17,'Leave log'!$B$7:$B$306,"&lt;="&amp;DATE($B$3,2,15),'Leave log'!$C$7:$C$306,"&gt;="&amp;DATE($B$3,2,15),'Leave log'!$F$7:$F$306,"Approved")&gt;0,"A",""))="A","A",IF(OR(DATE($B$3,2,15)&gt;EOMONTH(DATE($B$3,2,1),0),NETWORKDAYS.INTL(DATE($B$3,2,15),DATE($B$3,2,15),1,'Non-working days'!$A$6:$A$45)=0),"",IF(COUNTIFS('Leave log'!$A$7:$A$306,Employees!$A$17,'Leave log'!$B$7:$B$306,"&lt;="&amp;DATE($B$3,2,15),'Leave log'!$C$7:$C$306,"&gt;="&amp;DATE($B$3,2,15),'Leave log'!$F$7:$F$306,"Pending")&gt;0,"P",""))))</f>
        <v/>
      </c>
      <c r="Q52" s="23" t="str">
        <f>IF(A52="","",IF(IF(OR(DATE($B$3,2,16)&gt;EOMONTH(DATE($B$3,2,1),0),NETWORKDAYS.INTL(DATE($B$3,2,16),DATE($B$3,2,16),1,'Non-working days'!$A$6:$A$45)=0),"",IF(COUNTIFS('Leave log'!$A$7:$A$306,Employees!$A$17,'Leave log'!$B$7:$B$306,"&lt;="&amp;DATE($B$3,2,16),'Leave log'!$C$7:$C$306,"&gt;="&amp;DATE($B$3,2,16),'Leave log'!$F$7:$F$306,"Approved")&gt;0,"A",""))="A","A",IF(OR(DATE($B$3,2,16)&gt;EOMONTH(DATE($B$3,2,1),0),NETWORKDAYS.INTL(DATE($B$3,2,16),DATE($B$3,2,16),1,'Non-working days'!$A$6:$A$45)=0),"",IF(COUNTIFS('Leave log'!$A$7:$A$306,Employees!$A$17,'Leave log'!$B$7:$B$306,"&lt;="&amp;DATE($B$3,2,16),'Leave log'!$C$7:$C$306,"&gt;="&amp;DATE($B$3,2,16),'Leave log'!$F$7:$F$306,"Pending")&gt;0,"P",""))))</f>
        <v/>
      </c>
      <c r="R52" s="23" t="str">
        <f>IF(A52="","",IF(IF(OR(DATE($B$3,2,17)&gt;EOMONTH(DATE($B$3,2,1),0),NETWORKDAYS.INTL(DATE($B$3,2,17),DATE($B$3,2,17),1,'Non-working days'!$A$6:$A$45)=0),"",IF(COUNTIFS('Leave log'!$A$7:$A$306,Employees!$A$17,'Leave log'!$B$7:$B$306,"&lt;="&amp;DATE($B$3,2,17),'Leave log'!$C$7:$C$306,"&gt;="&amp;DATE($B$3,2,17),'Leave log'!$F$7:$F$306,"Approved")&gt;0,"A",""))="A","A",IF(OR(DATE($B$3,2,17)&gt;EOMONTH(DATE($B$3,2,1),0),NETWORKDAYS.INTL(DATE($B$3,2,17),DATE($B$3,2,17),1,'Non-working days'!$A$6:$A$45)=0),"",IF(COUNTIFS('Leave log'!$A$7:$A$306,Employees!$A$17,'Leave log'!$B$7:$B$306,"&lt;="&amp;DATE($B$3,2,17),'Leave log'!$C$7:$C$306,"&gt;="&amp;DATE($B$3,2,17),'Leave log'!$F$7:$F$306,"Pending")&gt;0,"P",""))))</f>
        <v/>
      </c>
      <c r="S52" s="23" t="str">
        <f>IF(A52="","",IF(IF(OR(DATE($B$3,2,18)&gt;EOMONTH(DATE($B$3,2,1),0),NETWORKDAYS.INTL(DATE($B$3,2,18),DATE($B$3,2,18),1,'Non-working days'!$A$6:$A$45)=0),"",IF(COUNTIFS('Leave log'!$A$7:$A$306,Employees!$A$17,'Leave log'!$B$7:$B$306,"&lt;="&amp;DATE($B$3,2,18),'Leave log'!$C$7:$C$306,"&gt;="&amp;DATE($B$3,2,18),'Leave log'!$F$7:$F$306,"Approved")&gt;0,"A",""))="A","A",IF(OR(DATE($B$3,2,18)&gt;EOMONTH(DATE($B$3,2,1),0),NETWORKDAYS.INTL(DATE($B$3,2,18),DATE($B$3,2,18),1,'Non-working days'!$A$6:$A$45)=0),"",IF(COUNTIFS('Leave log'!$A$7:$A$306,Employees!$A$17,'Leave log'!$B$7:$B$306,"&lt;="&amp;DATE($B$3,2,18),'Leave log'!$C$7:$C$306,"&gt;="&amp;DATE($B$3,2,18),'Leave log'!$F$7:$F$306,"Pending")&gt;0,"P",""))))</f>
        <v/>
      </c>
      <c r="T52" s="23" t="str">
        <f>IF(A52="","",IF(IF(OR(DATE($B$3,2,19)&gt;EOMONTH(DATE($B$3,2,1),0),NETWORKDAYS.INTL(DATE($B$3,2,19),DATE($B$3,2,19),1,'Non-working days'!$A$6:$A$45)=0),"",IF(COUNTIFS('Leave log'!$A$7:$A$306,Employees!$A$17,'Leave log'!$B$7:$B$306,"&lt;="&amp;DATE($B$3,2,19),'Leave log'!$C$7:$C$306,"&gt;="&amp;DATE($B$3,2,19),'Leave log'!$F$7:$F$306,"Approved")&gt;0,"A",""))="A","A",IF(OR(DATE($B$3,2,19)&gt;EOMONTH(DATE($B$3,2,1),0),NETWORKDAYS.INTL(DATE($B$3,2,19),DATE($B$3,2,19),1,'Non-working days'!$A$6:$A$45)=0),"",IF(COUNTIFS('Leave log'!$A$7:$A$306,Employees!$A$17,'Leave log'!$B$7:$B$306,"&lt;="&amp;DATE($B$3,2,19),'Leave log'!$C$7:$C$306,"&gt;="&amp;DATE($B$3,2,19),'Leave log'!$F$7:$F$306,"Pending")&gt;0,"P",""))))</f>
        <v/>
      </c>
      <c r="U52" s="23" t="str">
        <f>IF(A52="","",IF(IF(OR(DATE($B$3,2,20)&gt;EOMONTH(DATE($B$3,2,1),0),NETWORKDAYS.INTL(DATE($B$3,2,20),DATE($B$3,2,20),1,'Non-working days'!$A$6:$A$45)=0),"",IF(COUNTIFS('Leave log'!$A$7:$A$306,Employees!$A$17,'Leave log'!$B$7:$B$306,"&lt;="&amp;DATE($B$3,2,20),'Leave log'!$C$7:$C$306,"&gt;="&amp;DATE($B$3,2,20),'Leave log'!$F$7:$F$306,"Approved")&gt;0,"A",""))="A","A",IF(OR(DATE($B$3,2,20)&gt;EOMONTH(DATE($B$3,2,1),0),NETWORKDAYS.INTL(DATE($B$3,2,20),DATE($B$3,2,20),1,'Non-working days'!$A$6:$A$45)=0),"",IF(COUNTIFS('Leave log'!$A$7:$A$306,Employees!$A$17,'Leave log'!$B$7:$B$306,"&lt;="&amp;DATE($B$3,2,20),'Leave log'!$C$7:$C$306,"&gt;="&amp;DATE($B$3,2,20),'Leave log'!$F$7:$F$306,"Pending")&gt;0,"P",""))))</f>
        <v/>
      </c>
      <c r="V52" s="23" t="str">
        <f>IF(A52="","",IF(IF(OR(DATE($B$3,2,21)&gt;EOMONTH(DATE($B$3,2,1),0),NETWORKDAYS.INTL(DATE($B$3,2,21),DATE($B$3,2,21),1,'Non-working days'!$A$6:$A$45)=0),"",IF(COUNTIFS('Leave log'!$A$7:$A$306,Employees!$A$17,'Leave log'!$B$7:$B$306,"&lt;="&amp;DATE($B$3,2,21),'Leave log'!$C$7:$C$306,"&gt;="&amp;DATE($B$3,2,21),'Leave log'!$F$7:$F$306,"Approved")&gt;0,"A",""))="A","A",IF(OR(DATE($B$3,2,21)&gt;EOMONTH(DATE($B$3,2,1),0),NETWORKDAYS.INTL(DATE($B$3,2,21),DATE($B$3,2,21),1,'Non-working days'!$A$6:$A$45)=0),"",IF(COUNTIFS('Leave log'!$A$7:$A$306,Employees!$A$17,'Leave log'!$B$7:$B$306,"&lt;="&amp;DATE($B$3,2,21),'Leave log'!$C$7:$C$306,"&gt;="&amp;DATE($B$3,2,21),'Leave log'!$F$7:$F$306,"Pending")&gt;0,"P",""))))</f>
        <v/>
      </c>
      <c r="W52" s="23" t="str">
        <f>IF(A52="","",IF(IF(OR(DATE($B$3,2,22)&gt;EOMONTH(DATE($B$3,2,1),0),NETWORKDAYS.INTL(DATE($B$3,2,22),DATE($B$3,2,22),1,'Non-working days'!$A$6:$A$45)=0),"",IF(COUNTIFS('Leave log'!$A$7:$A$306,Employees!$A$17,'Leave log'!$B$7:$B$306,"&lt;="&amp;DATE($B$3,2,22),'Leave log'!$C$7:$C$306,"&gt;="&amp;DATE($B$3,2,22),'Leave log'!$F$7:$F$306,"Approved")&gt;0,"A",""))="A","A",IF(OR(DATE($B$3,2,22)&gt;EOMONTH(DATE($B$3,2,1),0),NETWORKDAYS.INTL(DATE($B$3,2,22),DATE($B$3,2,22),1,'Non-working days'!$A$6:$A$45)=0),"",IF(COUNTIFS('Leave log'!$A$7:$A$306,Employees!$A$17,'Leave log'!$B$7:$B$306,"&lt;="&amp;DATE($B$3,2,22),'Leave log'!$C$7:$C$306,"&gt;="&amp;DATE($B$3,2,22),'Leave log'!$F$7:$F$306,"Pending")&gt;0,"P",""))))</f>
        <v/>
      </c>
      <c r="X52" s="23" t="str">
        <f>IF(A52="","",IF(IF(OR(DATE($B$3,2,23)&gt;EOMONTH(DATE($B$3,2,1),0),NETWORKDAYS.INTL(DATE($B$3,2,23),DATE($B$3,2,23),1,'Non-working days'!$A$6:$A$45)=0),"",IF(COUNTIFS('Leave log'!$A$7:$A$306,Employees!$A$17,'Leave log'!$B$7:$B$306,"&lt;="&amp;DATE($B$3,2,23),'Leave log'!$C$7:$C$306,"&gt;="&amp;DATE($B$3,2,23),'Leave log'!$F$7:$F$306,"Approved")&gt;0,"A",""))="A","A",IF(OR(DATE($B$3,2,23)&gt;EOMONTH(DATE($B$3,2,1),0),NETWORKDAYS.INTL(DATE($B$3,2,23),DATE($B$3,2,23),1,'Non-working days'!$A$6:$A$45)=0),"",IF(COUNTIFS('Leave log'!$A$7:$A$306,Employees!$A$17,'Leave log'!$B$7:$B$306,"&lt;="&amp;DATE($B$3,2,23),'Leave log'!$C$7:$C$306,"&gt;="&amp;DATE($B$3,2,23),'Leave log'!$F$7:$F$306,"Pending")&gt;0,"P",""))))</f>
        <v/>
      </c>
      <c r="Y52" s="23" t="str">
        <f>IF(A52="","",IF(IF(OR(DATE($B$3,2,24)&gt;EOMONTH(DATE($B$3,2,1),0),NETWORKDAYS.INTL(DATE($B$3,2,24),DATE($B$3,2,24),1,'Non-working days'!$A$6:$A$45)=0),"",IF(COUNTIFS('Leave log'!$A$7:$A$306,Employees!$A$17,'Leave log'!$B$7:$B$306,"&lt;="&amp;DATE($B$3,2,24),'Leave log'!$C$7:$C$306,"&gt;="&amp;DATE($B$3,2,24),'Leave log'!$F$7:$F$306,"Approved")&gt;0,"A",""))="A","A",IF(OR(DATE($B$3,2,24)&gt;EOMONTH(DATE($B$3,2,1),0),NETWORKDAYS.INTL(DATE($B$3,2,24),DATE($B$3,2,24),1,'Non-working days'!$A$6:$A$45)=0),"",IF(COUNTIFS('Leave log'!$A$7:$A$306,Employees!$A$17,'Leave log'!$B$7:$B$306,"&lt;="&amp;DATE($B$3,2,24),'Leave log'!$C$7:$C$306,"&gt;="&amp;DATE($B$3,2,24),'Leave log'!$F$7:$F$306,"Pending")&gt;0,"P",""))))</f>
        <v/>
      </c>
      <c r="Z52" s="23" t="str">
        <f>IF(A52="","",IF(IF(OR(DATE($B$3,2,25)&gt;EOMONTH(DATE($B$3,2,1),0),NETWORKDAYS.INTL(DATE($B$3,2,25),DATE($B$3,2,25),1,'Non-working days'!$A$6:$A$45)=0),"",IF(COUNTIFS('Leave log'!$A$7:$A$306,Employees!$A$17,'Leave log'!$B$7:$B$306,"&lt;="&amp;DATE($B$3,2,25),'Leave log'!$C$7:$C$306,"&gt;="&amp;DATE($B$3,2,25),'Leave log'!$F$7:$F$306,"Approved")&gt;0,"A",""))="A","A",IF(OR(DATE($B$3,2,25)&gt;EOMONTH(DATE($B$3,2,1),0),NETWORKDAYS.INTL(DATE($B$3,2,25),DATE($B$3,2,25),1,'Non-working days'!$A$6:$A$45)=0),"",IF(COUNTIFS('Leave log'!$A$7:$A$306,Employees!$A$17,'Leave log'!$B$7:$B$306,"&lt;="&amp;DATE($B$3,2,25),'Leave log'!$C$7:$C$306,"&gt;="&amp;DATE($B$3,2,25),'Leave log'!$F$7:$F$306,"Pending")&gt;0,"P",""))))</f>
        <v/>
      </c>
      <c r="AA52" s="23" t="str">
        <f>IF(A52="","",IF(IF(OR(DATE($B$3,2,26)&gt;EOMONTH(DATE($B$3,2,1),0),NETWORKDAYS.INTL(DATE($B$3,2,26),DATE($B$3,2,26),1,'Non-working days'!$A$6:$A$45)=0),"",IF(COUNTIFS('Leave log'!$A$7:$A$306,Employees!$A$17,'Leave log'!$B$7:$B$306,"&lt;="&amp;DATE($B$3,2,26),'Leave log'!$C$7:$C$306,"&gt;="&amp;DATE($B$3,2,26),'Leave log'!$F$7:$F$306,"Approved")&gt;0,"A",""))="A","A",IF(OR(DATE($B$3,2,26)&gt;EOMONTH(DATE($B$3,2,1),0),NETWORKDAYS.INTL(DATE($B$3,2,26),DATE($B$3,2,26),1,'Non-working days'!$A$6:$A$45)=0),"",IF(COUNTIFS('Leave log'!$A$7:$A$306,Employees!$A$17,'Leave log'!$B$7:$B$306,"&lt;="&amp;DATE($B$3,2,26),'Leave log'!$C$7:$C$306,"&gt;="&amp;DATE($B$3,2,26),'Leave log'!$F$7:$F$306,"Pending")&gt;0,"P",""))))</f>
        <v/>
      </c>
      <c r="AB52" s="23" t="str">
        <f>IF(A52="","",IF(IF(OR(DATE($B$3,2,27)&gt;EOMONTH(DATE($B$3,2,1),0),NETWORKDAYS.INTL(DATE($B$3,2,27),DATE($B$3,2,27),1,'Non-working days'!$A$6:$A$45)=0),"",IF(COUNTIFS('Leave log'!$A$7:$A$306,Employees!$A$17,'Leave log'!$B$7:$B$306,"&lt;="&amp;DATE($B$3,2,27),'Leave log'!$C$7:$C$306,"&gt;="&amp;DATE($B$3,2,27),'Leave log'!$F$7:$F$306,"Approved")&gt;0,"A",""))="A","A",IF(OR(DATE($B$3,2,27)&gt;EOMONTH(DATE($B$3,2,1),0),NETWORKDAYS.INTL(DATE($B$3,2,27),DATE($B$3,2,27),1,'Non-working days'!$A$6:$A$45)=0),"",IF(COUNTIFS('Leave log'!$A$7:$A$306,Employees!$A$17,'Leave log'!$B$7:$B$306,"&lt;="&amp;DATE($B$3,2,27),'Leave log'!$C$7:$C$306,"&gt;="&amp;DATE($B$3,2,27),'Leave log'!$F$7:$F$306,"Pending")&gt;0,"P",""))))</f>
        <v/>
      </c>
      <c r="AC52" s="23" t="str">
        <f>IF(A52="","",IF(IF(OR(DATE($B$3,2,28)&gt;EOMONTH(DATE($B$3,2,1),0),NETWORKDAYS.INTL(DATE($B$3,2,28),DATE($B$3,2,28),1,'Non-working days'!$A$6:$A$45)=0),"",IF(COUNTIFS('Leave log'!$A$7:$A$306,Employees!$A$17,'Leave log'!$B$7:$B$306,"&lt;="&amp;DATE($B$3,2,28),'Leave log'!$C$7:$C$306,"&gt;="&amp;DATE($B$3,2,28),'Leave log'!$F$7:$F$306,"Approved")&gt;0,"A",""))="A","A",IF(OR(DATE($B$3,2,28)&gt;EOMONTH(DATE($B$3,2,1),0),NETWORKDAYS.INTL(DATE($B$3,2,28),DATE($B$3,2,28),1,'Non-working days'!$A$6:$A$45)=0),"",IF(COUNTIFS('Leave log'!$A$7:$A$306,Employees!$A$17,'Leave log'!$B$7:$B$306,"&lt;="&amp;DATE($B$3,2,28),'Leave log'!$C$7:$C$306,"&gt;="&amp;DATE($B$3,2,28),'Leave log'!$F$7:$F$306,"Pending")&gt;0,"P",""))))</f>
        <v/>
      </c>
      <c r="AD52" s="23" t="str">
        <f>IF(A52="","",IF(IF(OR(DATE($B$3,2,29)&gt;EOMONTH(DATE($B$3,2,1),0),NETWORKDAYS.INTL(DATE($B$3,2,29),DATE($B$3,2,29),1,'Non-working days'!$A$6:$A$45)=0),"",IF(COUNTIFS('Leave log'!$A$7:$A$306,Employees!$A$17,'Leave log'!$B$7:$B$306,"&lt;="&amp;DATE($B$3,2,29),'Leave log'!$C$7:$C$306,"&gt;="&amp;DATE($B$3,2,29),'Leave log'!$F$7:$F$306,"Approved")&gt;0,"A",""))="A","A",IF(OR(DATE($B$3,2,29)&gt;EOMONTH(DATE($B$3,2,1),0),NETWORKDAYS.INTL(DATE($B$3,2,29),DATE($B$3,2,29),1,'Non-working days'!$A$6:$A$45)=0),"",IF(COUNTIFS('Leave log'!$A$7:$A$306,Employees!$A$17,'Leave log'!$B$7:$B$306,"&lt;="&amp;DATE($B$3,2,29),'Leave log'!$C$7:$C$306,"&gt;="&amp;DATE($B$3,2,29),'Leave log'!$F$7:$F$306,"Pending")&gt;0,"P",""))))</f>
        <v/>
      </c>
      <c r="AE52" s="23" t="str">
        <f>IF(A52="","",IF(IF(OR(DATE($B$3,2,30)&gt;EOMONTH(DATE($B$3,2,1),0),NETWORKDAYS.INTL(DATE($B$3,2,30),DATE($B$3,2,30),1,'Non-working days'!$A$6:$A$45)=0),"",IF(COUNTIFS('Leave log'!$A$7:$A$306,Employees!$A$17,'Leave log'!$B$7:$B$306,"&lt;="&amp;DATE($B$3,2,30),'Leave log'!$C$7:$C$306,"&gt;="&amp;DATE($B$3,2,30),'Leave log'!$F$7:$F$306,"Approved")&gt;0,"A",""))="A","A",IF(OR(DATE($B$3,2,30)&gt;EOMONTH(DATE($B$3,2,1),0),NETWORKDAYS.INTL(DATE($B$3,2,30),DATE($B$3,2,30),1,'Non-working days'!$A$6:$A$45)=0),"",IF(COUNTIFS('Leave log'!$A$7:$A$306,Employees!$A$17,'Leave log'!$B$7:$B$306,"&lt;="&amp;DATE($B$3,2,30),'Leave log'!$C$7:$C$306,"&gt;="&amp;DATE($B$3,2,30),'Leave log'!$F$7:$F$306,"Pending")&gt;0,"P",""))))</f>
        <v/>
      </c>
      <c r="AF52" s="23" t="str">
        <f>IF(A52="","",IF(IF(OR(DATE($B$3,2,31)&gt;EOMONTH(DATE($B$3,2,1),0),NETWORKDAYS.INTL(DATE($B$3,2,31),DATE($B$3,2,31),1,'Non-working days'!$A$6:$A$45)=0),"",IF(COUNTIFS('Leave log'!$A$7:$A$306,Employees!$A$17,'Leave log'!$B$7:$B$306,"&lt;="&amp;DATE($B$3,2,31),'Leave log'!$C$7:$C$306,"&gt;="&amp;DATE($B$3,2,31),'Leave log'!$F$7:$F$306,"Approved")&gt;0,"A",""))="A","A",IF(OR(DATE($B$3,2,31)&gt;EOMONTH(DATE($B$3,2,1),0),NETWORKDAYS.INTL(DATE($B$3,2,31),DATE($B$3,2,31),1,'Non-working days'!$A$6:$A$45)=0),"",IF(COUNTIFS('Leave log'!$A$7:$A$306,Employees!$A$17,'Leave log'!$B$7:$B$306,"&lt;="&amp;DATE($B$3,2,31),'Leave log'!$C$7:$C$306,"&gt;="&amp;DATE($B$3,2,31),'Leave log'!$F$7:$F$306,"Pending")&gt;0,"P",""))))</f>
        <v/>
      </c>
    </row>
    <row r="53" spans="1:32" ht="18" customHeight="1" x14ac:dyDescent="0.3">
      <c r="A53" s="22" t="str">
        <f>IF(Employees!F18="Yes",Employees!B18,"")</f>
        <v/>
      </c>
      <c r="B53" s="23" t="str">
        <f>IF(A53="","",IF(IF(OR(DATE($B$3,2,1)&gt;EOMONTH(DATE($B$3,2,1),0),NETWORKDAYS.INTL(DATE($B$3,2,1),DATE($B$3,2,1),1,'Non-working days'!$A$6:$A$45)=0),"",IF(COUNTIFS('Leave log'!$A$7:$A$306,Employees!$A$18,'Leave log'!$B$7:$B$306,"&lt;="&amp;DATE($B$3,2,1),'Leave log'!$C$7:$C$306,"&gt;="&amp;DATE($B$3,2,1),'Leave log'!$F$7:$F$306,"Approved")&gt;0,"A",""))="A","A",IF(OR(DATE($B$3,2,1)&gt;EOMONTH(DATE($B$3,2,1),0),NETWORKDAYS.INTL(DATE($B$3,2,1),DATE($B$3,2,1),1,'Non-working days'!$A$6:$A$45)=0),"",IF(COUNTIFS('Leave log'!$A$7:$A$306,Employees!$A$18,'Leave log'!$B$7:$B$306,"&lt;="&amp;DATE($B$3,2,1),'Leave log'!$C$7:$C$306,"&gt;="&amp;DATE($B$3,2,1),'Leave log'!$F$7:$F$306,"Pending")&gt;0,"P",""))))</f>
        <v/>
      </c>
      <c r="C53" s="23" t="str">
        <f>IF(A53="","",IF(IF(OR(DATE($B$3,2,2)&gt;EOMONTH(DATE($B$3,2,1),0),NETWORKDAYS.INTL(DATE($B$3,2,2),DATE($B$3,2,2),1,'Non-working days'!$A$6:$A$45)=0),"",IF(COUNTIFS('Leave log'!$A$7:$A$306,Employees!$A$18,'Leave log'!$B$7:$B$306,"&lt;="&amp;DATE($B$3,2,2),'Leave log'!$C$7:$C$306,"&gt;="&amp;DATE($B$3,2,2),'Leave log'!$F$7:$F$306,"Approved")&gt;0,"A",""))="A","A",IF(OR(DATE($B$3,2,2)&gt;EOMONTH(DATE($B$3,2,1),0),NETWORKDAYS.INTL(DATE($B$3,2,2),DATE($B$3,2,2),1,'Non-working days'!$A$6:$A$45)=0),"",IF(COUNTIFS('Leave log'!$A$7:$A$306,Employees!$A$18,'Leave log'!$B$7:$B$306,"&lt;="&amp;DATE($B$3,2,2),'Leave log'!$C$7:$C$306,"&gt;="&amp;DATE($B$3,2,2),'Leave log'!$F$7:$F$306,"Pending")&gt;0,"P",""))))</f>
        <v/>
      </c>
      <c r="D53" s="23" t="str">
        <f>IF(A53="","",IF(IF(OR(DATE($B$3,2,3)&gt;EOMONTH(DATE($B$3,2,1),0),NETWORKDAYS.INTL(DATE($B$3,2,3),DATE($B$3,2,3),1,'Non-working days'!$A$6:$A$45)=0),"",IF(COUNTIFS('Leave log'!$A$7:$A$306,Employees!$A$18,'Leave log'!$B$7:$B$306,"&lt;="&amp;DATE($B$3,2,3),'Leave log'!$C$7:$C$306,"&gt;="&amp;DATE($B$3,2,3),'Leave log'!$F$7:$F$306,"Approved")&gt;0,"A",""))="A","A",IF(OR(DATE($B$3,2,3)&gt;EOMONTH(DATE($B$3,2,1),0),NETWORKDAYS.INTL(DATE($B$3,2,3),DATE($B$3,2,3),1,'Non-working days'!$A$6:$A$45)=0),"",IF(COUNTIFS('Leave log'!$A$7:$A$306,Employees!$A$18,'Leave log'!$B$7:$B$306,"&lt;="&amp;DATE($B$3,2,3),'Leave log'!$C$7:$C$306,"&gt;="&amp;DATE($B$3,2,3),'Leave log'!$F$7:$F$306,"Pending")&gt;0,"P",""))))</f>
        <v/>
      </c>
      <c r="E53" s="23" t="str">
        <f>IF(A53="","",IF(IF(OR(DATE($B$3,2,4)&gt;EOMONTH(DATE($B$3,2,1),0),NETWORKDAYS.INTL(DATE($B$3,2,4),DATE($B$3,2,4),1,'Non-working days'!$A$6:$A$45)=0),"",IF(COUNTIFS('Leave log'!$A$7:$A$306,Employees!$A$18,'Leave log'!$B$7:$B$306,"&lt;="&amp;DATE($B$3,2,4),'Leave log'!$C$7:$C$306,"&gt;="&amp;DATE($B$3,2,4),'Leave log'!$F$7:$F$306,"Approved")&gt;0,"A",""))="A","A",IF(OR(DATE($B$3,2,4)&gt;EOMONTH(DATE($B$3,2,1),0),NETWORKDAYS.INTL(DATE($B$3,2,4),DATE($B$3,2,4),1,'Non-working days'!$A$6:$A$45)=0),"",IF(COUNTIFS('Leave log'!$A$7:$A$306,Employees!$A$18,'Leave log'!$B$7:$B$306,"&lt;="&amp;DATE($B$3,2,4),'Leave log'!$C$7:$C$306,"&gt;="&amp;DATE($B$3,2,4),'Leave log'!$F$7:$F$306,"Pending")&gt;0,"P",""))))</f>
        <v/>
      </c>
      <c r="F53" s="23" t="str">
        <f>IF(A53="","",IF(IF(OR(DATE($B$3,2,5)&gt;EOMONTH(DATE($B$3,2,1),0),NETWORKDAYS.INTL(DATE($B$3,2,5),DATE($B$3,2,5),1,'Non-working days'!$A$6:$A$45)=0),"",IF(COUNTIFS('Leave log'!$A$7:$A$306,Employees!$A$18,'Leave log'!$B$7:$B$306,"&lt;="&amp;DATE($B$3,2,5),'Leave log'!$C$7:$C$306,"&gt;="&amp;DATE($B$3,2,5),'Leave log'!$F$7:$F$306,"Approved")&gt;0,"A",""))="A","A",IF(OR(DATE($B$3,2,5)&gt;EOMONTH(DATE($B$3,2,1),0),NETWORKDAYS.INTL(DATE($B$3,2,5),DATE($B$3,2,5),1,'Non-working days'!$A$6:$A$45)=0),"",IF(COUNTIFS('Leave log'!$A$7:$A$306,Employees!$A$18,'Leave log'!$B$7:$B$306,"&lt;="&amp;DATE($B$3,2,5),'Leave log'!$C$7:$C$306,"&gt;="&amp;DATE($B$3,2,5),'Leave log'!$F$7:$F$306,"Pending")&gt;0,"P",""))))</f>
        <v/>
      </c>
      <c r="G53" s="23" t="str">
        <f>IF(A53="","",IF(IF(OR(DATE($B$3,2,6)&gt;EOMONTH(DATE($B$3,2,1),0),NETWORKDAYS.INTL(DATE($B$3,2,6),DATE($B$3,2,6),1,'Non-working days'!$A$6:$A$45)=0),"",IF(COUNTIFS('Leave log'!$A$7:$A$306,Employees!$A$18,'Leave log'!$B$7:$B$306,"&lt;="&amp;DATE($B$3,2,6),'Leave log'!$C$7:$C$306,"&gt;="&amp;DATE($B$3,2,6),'Leave log'!$F$7:$F$306,"Approved")&gt;0,"A",""))="A","A",IF(OR(DATE($B$3,2,6)&gt;EOMONTH(DATE($B$3,2,1),0),NETWORKDAYS.INTL(DATE($B$3,2,6),DATE($B$3,2,6),1,'Non-working days'!$A$6:$A$45)=0),"",IF(COUNTIFS('Leave log'!$A$7:$A$306,Employees!$A$18,'Leave log'!$B$7:$B$306,"&lt;="&amp;DATE($B$3,2,6),'Leave log'!$C$7:$C$306,"&gt;="&amp;DATE($B$3,2,6),'Leave log'!$F$7:$F$306,"Pending")&gt;0,"P",""))))</f>
        <v/>
      </c>
      <c r="H53" s="23" t="str">
        <f>IF(A53="","",IF(IF(OR(DATE($B$3,2,7)&gt;EOMONTH(DATE($B$3,2,1),0),NETWORKDAYS.INTL(DATE($B$3,2,7),DATE($B$3,2,7),1,'Non-working days'!$A$6:$A$45)=0),"",IF(COUNTIFS('Leave log'!$A$7:$A$306,Employees!$A$18,'Leave log'!$B$7:$B$306,"&lt;="&amp;DATE($B$3,2,7),'Leave log'!$C$7:$C$306,"&gt;="&amp;DATE($B$3,2,7),'Leave log'!$F$7:$F$306,"Approved")&gt;0,"A",""))="A","A",IF(OR(DATE($B$3,2,7)&gt;EOMONTH(DATE($B$3,2,1),0),NETWORKDAYS.INTL(DATE($B$3,2,7),DATE($B$3,2,7),1,'Non-working days'!$A$6:$A$45)=0),"",IF(COUNTIFS('Leave log'!$A$7:$A$306,Employees!$A$18,'Leave log'!$B$7:$B$306,"&lt;="&amp;DATE($B$3,2,7),'Leave log'!$C$7:$C$306,"&gt;="&amp;DATE($B$3,2,7),'Leave log'!$F$7:$F$306,"Pending")&gt;0,"P",""))))</f>
        <v/>
      </c>
      <c r="I53" s="23" t="str">
        <f>IF(A53="","",IF(IF(OR(DATE($B$3,2,8)&gt;EOMONTH(DATE($B$3,2,1),0),NETWORKDAYS.INTL(DATE($B$3,2,8),DATE($B$3,2,8),1,'Non-working days'!$A$6:$A$45)=0),"",IF(COUNTIFS('Leave log'!$A$7:$A$306,Employees!$A$18,'Leave log'!$B$7:$B$306,"&lt;="&amp;DATE($B$3,2,8),'Leave log'!$C$7:$C$306,"&gt;="&amp;DATE($B$3,2,8),'Leave log'!$F$7:$F$306,"Approved")&gt;0,"A",""))="A","A",IF(OR(DATE($B$3,2,8)&gt;EOMONTH(DATE($B$3,2,1),0),NETWORKDAYS.INTL(DATE($B$3,2,8),DATE($B$3,2,8),1,'Non-working days'!$A$6:$A$45)=0),"",IF(COUNTIFS('Leave log'!$A$7:$A$306,Employees!$A$18,'Leave log'!$B$7:$B$306,"&lt;="&amp;DATE($B$3,2,8),'Leave log'!$C$7:$C$306,"&gt;="&amp;DATE($B$3,2,8),'Leave log'!$F$7:$F$306,"Pending")&gt;0,"P",""))))</f>
        <v/>
      </c>
      <c r="J53" s="23" t="str">
        <f>IF(A53="","",IF(IF(OR(DATE($B$3,2,9)&gt;EOMONTH(DATE($B$3,2,1),0),NETWORKDAYS.INTL(DATE($B$3,2,9),DATE($B$3,2,9),1,'Non-working days'!$A$6:$A$45)=0),"",IF(COUNTIFS('Leave log'!$A$7:$A$306,Employees!$A$18,'Leave log'!$B$7:$B$306,"&lt;="&amp;DATE($B$3,2,9),'Leave log'!$C$7:$C$306,"&gt;="&amp;DATE($B$3,2,9),'Leave log'!$F$7:$F$306,"Approved")&gt;0,"A",""))="A","A",IF(OR(DATE($B$3,2,9)&gt;EOMONTH(DATE($B$3,2,1),0),NETWORKDAYS.INTL(DATE($B$3,2,9),DATE($B$3,2,9),1,'Non-working days'!$A$6:$A$45)=0),"",IF(COUNTIFS('Leave log'!$A$7:$A$306,Employees!$A$18,'Leave log'!$B$7:$B$306,"&lt;="&amp;DATE($B$3,2,9),'Leave log'!$C$7:$C$306,"&gt;="&amp;DATE($B$3,2,9),'Leave log'!$F$7:$F$306,"Pending")&gt;0,"P",""))))</f>
        <v/>
      </c>
      <c r="K53" s="23" t="str">
        <f>IF(A53="","",IF(IF(OR(DATE($B$3,2,10)&gt;EOMONTH(DATE($B$3,2,1),0),NETWORKDAYS.INTL(DATE($B$3,2,10),DATE($B$3,2,10),1,'Non-working days'!$A$6:$A$45)=0),"",IF(COUNTIFS('Leave log'!$A$7:$A$306,Employees!$A$18,'Leave log'!$B$7:$B$306,"&lt;="&amp;DATE($B$3,2,10),'Leave log'!$C$7:$C$306,"&gt;="&amp;DATE($B$3,2,10),'Leave log'!$F$7:$F$306,"Approved")&gt;0,"A",""))="A","A",IF(OR(DATE($B$3,2,10)&gt;EOMONTH(DATE($B$3,2,1),0),NETWORKDAYS.INTL(DATE($B$3,2,10),DATE($B$3,2,10),1,'Non-working days'!$A$6:$A$45)=0),"",IF(COUNTIFS('Leave log'!$A$7:$A$306,Employees!$A$18,'Leave log'!$B$7:$B$306,"&lt;="&amp;DATE($B$3,2,10),'Leave log'!$C$7:$C$306,"&gt;="&amp;DATE($B$3,2,10),'Leave log'!$F$7:$F$306,"Pending")&gt;0,"P",""))))</f>
        <v/>
      </c>
      <c r="L53" s="23" t="str">
        <f>IF(A53="","",IF(IF(OR(DATE($B$3,2,11)&gt;EOMONTH(DATE($B$3,2,1),0),NETWORKDAYS.INTL(DATE($B$3,2,11),DATE($B$3,2,11),1,'Non-working days'!$A$6:$A$45)=0),"",IF(COUNTIFS('Leave log'!$A$7:$A$306,Employees!$A$18,'Leave log'!$B$7:$B$306,"&lt;="&amp;DATE($B$3,2,11),'Leave log'!$C$7:$C$306,"&gt;="&amp;DATE($B$3,2,11),'Leave log'!$F$7:$F$306,"Approved")&gt;0,"A",""))="A","A",IF(OR(DATE($B$3,2,11)&gt;EOMONTH(DATE($B$3,2,1),0),NETWORKDAYS.INTL(DATE($B$3,2,11),DATE($B$3,2,11),1,'Non-working days'!$A$6:$A$45)=0),"",IF(COUNTIFS('Leave log'!$A$7:$A$306,Employees!$A$18,'Leave log'!$B$7:$B$306,"&lt;="&amp;DATE($B$3,2,11),'Leave log'!$C$7:$C$306,"&gt;="&amp;DATE($B$3,2,11),'Leave log'!$F$7:$F$306,"Pending")&gt;0,"P",""))))</f>
        <v/>
      </c>
      <c r="M53" s="23" t="str">
        <f>IF(A53="","",IF(IF(OR(DATE($B$3,2,12)&gt;EOMONTH(DATE($B$3,2,1),0),NETWORKDAYS.INTL(DATE($B$3,2,12),DATE($B$3,2,12),1,'Non-working days'!$A$6:$A$45)=0),"",IF(COUNTIFS('Leave log'!$A$7:$A$306,Employees!$A$18,'Leave log'!$B$7:$B$306,"&lt;="&amp;DATE($B$3,2,12),'Leave log'!$C$7:$C$306,"&gt;="&amp;DATE($B$3,2,12),'Leave log'!$F$7:$F$306,"Approved")&gt;0,"A",""))="A","A",IF(OR(DATE($B$3,2,12)&gt;EOMONTH(DATE($B$3,2,1),0),NETWORKDAYS.INTL(DATE($B$3,2,12),DATE($B$3,2,12),1,'Non-working days'!$A$6:$A$45)=0),"",IF(COUNTIFS('Leave log'!$A$7:$A$306,Employees!$A$18,'Leave log'!$B$7:$B$306,"&lt;="&amp;DATE($B$3,2,12),'Leave log'!$C$7:$C$306,"&gt;="&amp;DATE($B$3,2,12),'Leave log'!$F$7:$F$306,"Pending")&gt;0,"P",""))))</f>
        <v/>
      </c>
      <c r="N53" s="23" t="str">
        <f>IF(A53="","",IF(IF(OR(DATE($B$3,2,13)&gt;EOMONTH(DATE($B$3,2,1),0),NETWORKDAYS.INTL(DATE($B$3,2,13),DATE($B$3,2,13),1,'Non-working days'!$A$6:$A$45)=0),"",IF(COUNTIFS('Leave log'!$A$7:$A$306,Employees!$A$18,'Leave log'!$B$7:$B$306,"&lt;="&amp;DATE($B$3,2,13),'Leave log'!$C$7:$C$306,"&gt;="&amp;DATE($B$3,2,13),'Leave log'!$F$7:$F$306,"Approved")&gt;0,"A",""))="A","A",IF(OR(DATE($B$3,2,13)&gt;EOMONTH(DATE($B$3,2,1),0),NETWORKDAYS.INTL(DATE($B$3,2,13),DATE($B$3,2,13),1,'Non-working days'!$A$6:$A$45)=0),"",IF(COUNTIFS('Leave log'!$A$7:$A$306,Employees!$A$18,'Leave log'!$B$7:$B$306,"&lt;="&amp;DATE($B$3,2,13),'Leave log'!$C$7:$C$306,"&gt;="&amp;DATE($B$3,2,13),'Leave log'!$F$7:$F$306,"Pending")&gt;0,"P",""))))</f>
        <v/>
      </c>
      <c r="O53" s="23" t="str">
        <f>IF(A53="","",IF(IF(OR(DATE($B$3,2,14)&gt;EOMONTH(DATE($B$3,2,1),0),NETWORKDAYS.INTL(DATE($B$3,2,14),DATE($B$3,2,14),1,'Non-working days'!$A$6:$A$45)=0),"",IF(COUNTIFS('Leave log'!$A$7:$A$306,Employees!$A$18,'Leave log'!$B$7:$B$306,"&lt;="&amp;DATE($B$3,2,14),'Leave log'!$C$7:$C$306,"&gt;="&amp;DATE($B$3,2,14),'Leave log'!$F$7:$F$306,"Approved")&gt;0,"A",""))="A","A",IF(OR(DATE($B$3,2,14)&gt;EOMONTH(DATE($B$3,2,1),0),NETWORKDAYS.INTL(DATE($B$3,2,14),DATE($B$3,2,14),1,'Non-working days'!$A$6:$A$45)=0),"",IF(COUNTIFS('Leave log'!$A$7:$A$306,Employees!$A$18,'Leave log'!$B$7:$B$306,"&lt;="&amp;DATE($B$3,2,14),'Leave log'!$C$7:$C$306,"&gt;="&amp;DATE($B$3,2,14),'Leave log'!$F$7:$F$306,"Pending")&gt;0,"P",""))))</f>
        <v/>
      </c>
      <c r="P53" s="23" t="str">
        <f>IF(A53="","",IF(IF(OR(DATE($B$3,2,15)&gt;EOMONTH(DATE($B$3,2,1),0),NETWORKDAYS.INTL(DATE($B$3,2,15),DATE($B$3,2,15),1,'Non-working days'!$A$6:$A$45)=0),"",IF(COUNTIFS('Leave log'!$A$7:$A$306,Employees!$A$18,'Leave log'!$B$7:$B$306,"&lt;="&amp;DATE($B$3,2,15),'Leave log'!$C$7:$C$306,"&gt;="&amp;DATE($B$3,2,15),'Leave log'!$F$7:$F$306,"Approved")&gt;0,"A",""))="A","A",IF(OR(DATE($B$3,2,15)&gt;EOMONTH(DATE($B$3,2,1),0),NETWORKDAYS.INTL(DATE($B$3,2,15),DATE($B$3,2,15),1,'Non-working days'!$A$6:$A$45)=0),"",IF(COUNTIFS('Leave log'!$A$7:$A$306,Employees!$A$18,'Leave log'!$B$7:$B$306,"&lt;="&amp;DATE($B$3,2,15),'Leave log'!$C$7:$C$306,"&gt;="&amp;DATE($B$3,2,15),'Leave log'!$F$7:$F$306,"Pending")&gt;0,"P",""))))</f>
        <v/>
      </c>
      <c r="Q53" s="23" t="str">
        <f>IF(A53="","",IF(IF(OR(DATE($B$3,2,16)&gt;EOMONTH(DATE($B$3,2,1),0),NETWORKDAYS.INTL(DATE($B$3,2,16),DATE($B$3,2,16),1,'Non-working days'!$A$6:$A$45)=0),"",IF(COUNTIFS('Leave log'!$A$7:$A$306,Employees!$A$18,'Leave log'!$B$7:$B$306,"&lt;="&amp;DATE($B$3,2,16),'Leave log'!$C$7:$C$306,"&gt;="&amp;DATE($B$3,2,16),'Leave log'!$F$7:$F$306,"Approved")&gt;0,"A",""))="A","A",IF(OR(DATE($B$3,2,16)&gt;EOMONTH(DATE($B$3,2,1),0),NETWORKDAYS.INTL(DATE($B$3,2,16),DATE($B$3,2,16),1,'Non-working days'!$A$6:$A$45)=0),"",IF(COUNTIFS('Leave log'!$A$7:$A$306,Employees!$A$18,'Leave log'!$B$7:$B$306,"&lt;="&amp;DATE($B$3,2,16),'Leave log'!$C$7:$C$306,"&gt;="&amp;DATE($B$3,2,16),'Leave log'!$F$7:$F$306,"Pending")&gt;0,"P",""))))</f>
        <v/>
      </c>
      <c r="R53" s="23" t="str">
        <f>IF(A53="","",IF(IF(OR(DATE($B$3,2,17)&gt;EOMONTH(DATE($B$3,2,1),0),NETWORKDAYS.INTL(DATE($B$3,2,17),DATE($B$3,2,17),1,'Non-working days'!$A$6:$A$45)=0),"",IF(COUNTIFS('Leave log'!$A$7:$A$306,Employees!$A$18,'Leave log'!$B$7:$B$306,"&lt;="&amp;DATE($B$3,2,17),'Leave log'!$C$7:$C$306,"&gt;="&amp;DATE($B$3,2,17),'Leave log'!$F$7:$F$306,"Approved")&gt;0,"A",""))="A","A",IF(OR(DATE($B$3,2,17)&gt;EOMONTH(DATE($B$3,2,1),0),NETWORKDAYS.INTL(DATE($B$3,2,17),DATE($B$3,2,17),1,'Non-working days'!$A$6:$A$45)=0),"",IF(COUNTIFS('Leave log'!$A$7:$A$306,Employees!$A$18,'Leave log'!$B$7:$B$306,"&lt;="&amp;DATE($B$3,2,17),'Leave log'!$C$7:$C$306,"&gt;="&amp;DATE($B$3,2,17),'Leave log'!$F$7:$F$306,"Pending")&gt;0,"P",""))))</f>
        <v/>
      </c>
      <c r="S53" s="23" t="str">
        <f>IF(A53="","",IF(IF(OR(DATE($B$3,2,18)&gt;EOMONTH(DATE($B$3,2,1),0),NETWORKDAYS.INTL(DATE($B$3,2,18),DATE($B$3,2,18),1,'Non-working days'!$A$6:$A$45)=0),"",IF(COUNTIFS('Leave log'!$A$7:$A$306,Employees!$A$18,'Leave log'!$B$7:$B$306,"&lt;="&amp;DATE($B$3,2,18),'Leave log'!$C$7:$C$306,"&gt;="&amp;DATE($B$3,2,18),'Leave log'!$F$7:$F$306,"Approved")&gt;0,"A",""))="A","A",IF(OR(DATE($B$3,2,18)&gt;EOMONTH(DATE($B$3,2,1),0),NETWORKDAYS.INTL(DATE($B$3,2,18),DATE($B$3,2,18),1,'Non-working days'!$A$6:$A$45)=0),"",IF(COUNTIFS('Leave log'!$A$7:$A$306,Employees!$A$18,'Leave log'!$B$7:$B$306,"&lt;="&amp;DATE($B$3,2,18),'Leave log'!$C$7:$C$306,"&gt;="&amp;DATE($B$3,2,18),'Leave log'!$F$7:$F$306,"Pending")&gt;0,"P",""))))</f>
        <v/>
      </c>
      <c r="T53" s="23" t="str">
        <f>IF(A53="","",IF(IF(OR(DATE($B$3,2,19)&gt;EOMONTH(DATE($B$3,2,1),0),NETWORKDAYS.INTL(DATE($B$3,2,19),DATE($B$3,2,19),1,'Non-working days'!$A$6:$A$45)=0),"",IF(COUNTIFS('Leave log'!$A$7:$A$306,Employees!$A$18,'Leave log'!$B$7:$B$306,"&lt;="&amp;DATE($B$3,2,19),'Leave log'!$C$7:$C$306,"&gt;="&amp;DATE($B$3,2,19),'Leave log'!$F$7:$F$306,"Approved")&gt;0,"A",""))="A","A",IF(OR(DATE($B$3,2,19)&gt;EOMONTH(DATE($B$3,2,1),0),NETWORKDAYS.INTL(DATE($B$3,2,19),DATE($B$3,2,19),1,'Non-working days'!$A$6:$A$45)=0),"",IF(COUNTIFS('Leave log'!$A$7:$A$306,Employees!$A$18,'Leave log'!$B$7:$B$306,"&lt;="&amp;DATE($B$3,2,19),'Leave log'!$C$7:$C$306,"&gt;="&amp;DATE($B$3,2,19),'Leave log'!$F$7:$F$306,"Pending")&gt;0,"P",""))))</f>
        <v/>
      </c>
      <c r="U53" s="23" t="str">
        <f>IF(A53="","",IF(IF(OR(DATE($B$3,2,20)&gt;EOMONTH(DATE($B$3,2,1),0),NETWORKDAYS.INTL(DATE($B$3,2,20),DATE($B$3,2,20),1,'Non-working days'!$A$6:$A$45)=0),"",IF(COUNTIFS('Leave log'!$A$7:$A$306,Employees!$A$18,'Leave log'!$B$7:$B$306,"&lt;="&amp;DATE($B$3,2,20),'Leave log'!$C$7:$C$306,"&gt;="&amp;DATE($B$3,2,20),'Leave log'!$F$7:$F$306,"Approved")&gt;0,"A",""))="A","A",IF(OR(DATE($B$3,2,20)&gt;EOMONTH(DATE($B$3,2,1),0),NETWORKDAYS.INTL(DATE($B$3,2,20),DATE($B$3,2,20),1,'Non-working days'!$A$6:$A$45)=0),"",IF(COUNTIFS('Leave log'!$A$7:$A$306,Employees!$A$18,'Leave log'!$B$7:$B$306,"&lt;="&amp;DATE($B$3,2,20),'Leave log'!$C$7:$C$306,"&gt;="&amp;DATE($B$3,2,20),'Leave log'!$F$7:$F$306,"Pending")&gt;0,"P",""))))</f>
        <v/>
      </c>
      <c r="V53" s="23" t="str">
        <f>IF(A53="","",IF(IF(OR(DATE($B$3,2,21)&gt;EOMONTH(DATE($B$3,2,1),0),NETWORKDAYS.INTL(DATE($B$3,2,21),DATE($B$3,2,21),1,'Non-working days'!$A$6:$A$45)=0),"",IF(COUNTIFS('Leave log'!$A$7:$A$306,Employees!$A$18,'Leave log'!$B$7:$B$306,"&lt;="&amp;DATE($B$3,2,21),'Leave log'!$C$7:$C$306,"&gt;="&amp;DATE($B$3,2,21),'Leave log'!$F$7:$F$306,"Approved")&gt;0,"A",""))="A","A",IF(OR(DATE($B$3,2,21)&gt;EOMONTH(DATE($B$3,2,1),0),NETWORKDAYS.INTL(DATE($B$3,2,21),DATE($B$3,2,21),1,'Non-working days'!$A$6:$A$45)=0),"",IF(COUNTIFS('Leave log'!$A$7:$A$306,Employees!$A$18,'Leave log'!$B$7:$B$306,"&lt;="&amp;DATE($B$3,2,21),'Leave log'!$C$7:$C$306,"&gt;="&amp;DATE($B$3,2,21),'Leave log'!$F$7:$F$306,"Pending")&gt;0,"P",""))))</f>
        <v/>
      </c>
      <c r="W53" s="23" t="str">
        <f>IF(A53="","",IF(IF(OR(DATE($B$3,2,22)&gt;EOMONTH(DATE($B$3,2,1),0),NETWORKDAYS.INTL(DATE($B$3,2,22),DATE($B$3,2,22),1,'Non-working days'!$A$6:$A$45)=0),"",IF(COUNTIFS('Leave log'!$A$7:$A$306,Employees!$A$18,'Leave log'!$B$7:$B$306,"&lt;="&amp;DATE($B$3,2,22),'Leave log'!$C$7:$C$306,"&gt;="&amp;DATE($B$3,2,22),'Leave log'!$F$7:$F$306,"Approved")&gt;0,"A",""))="A","A",IF(OR(DATE($B$3,2,22)&gt;EOMONTH(DATE($B$3,2,1),0),NETWORKDAYS.INTL(DATE($B$3,2,22),DATE($B$3,2,22),1,'Non-working days'!$A$6:$A$45)=0),"",IF(COUNTIFS('Leave log'!$A$7:$A$306,Employees!$A$18,'Leave log'!$B$7:$B$306,"&lt;="&amp;DATE($B$3,2,22),'Leave log'!$C$7:$C$306,"&gt;="&amp;DATE($B$3,2,22),'Leave log'!$F$7:$F$306,"Pending")&gt;0,"P",""))))</f>
        <v/>
      </c>
      <c r="X53" s="23" t="str">
        <f>IF(A53="","",IF(IF(OR(DATE($B$3,2,23)&gt;EOMONTH(DATE($B$3,2,1),0),NETWORKDAYS.INTL(DATE($B$3,2,23),DATE($B$3,2,23),1,'Non-working days'!$A$6:$A$45)=0),"",IF(COUNTIFS('Leave log'!$A$7:$A$306,Employees!$A$18,'Leave log'!$B$7:$B$306,"&lt;="&amp;DATE($B$3,2,23),'Leave log'!$C$7:$C$306,"&gt;="&amp;DATE($B$3,2,23),'Leave log'!$F$7:$F$306,"Approved")&gt;0,"A",""))="A","A",IF(OR(DATE($B$3,2,23)&gt;EOMONTH(DATE($B$3,2,1),0),NETWORKDAYS.INTL(DATE($B$3,2,23),DATE($B$3,2,23),1,'Non-working days'!$A$6:$A$45)=0),"",IF(COUNTIFS('Leave log'!$A$7:$A$306,Employees!$A$18,'Leave log'!$B$7:$B$306,"&lt;="&amp;DATE($B$3,2,23),'Leave log'!$C$7:$C$306,"&gt;="&amp;DATE($B$3,2,23),'Leave log'!$F$7:$F$306,"Pending")&gt;0,"P",""))))</f>
        <v/>
      </c>
      <c r="Y53" s="23" t="str">
        <f>IF(A53="","",IF(IF(OR(DATE($B$3,2,24)&gt;EOMONTH(DATE($B$3,2,1),0),NETWORKDAYS.INTL(DATE($B$3,2,24),DATE($B$3,2,24),1,'Non-working days'!$A$6:$A$45)=0),"",IF(COUNTIFS('Leave log'!$A$7:$A$306,Employees!$A$18,'Leave log'!$B$7:$B$306,"&lt;="&amp;DATE($B$3,2,24),'Leave log'!$C$7:$C$306,"&gt;="&amp;DATE($B$3,2,24),'Leave log'!$F$7:$F$306,"Approved")&gt;0,"A",""))="A","A",IF(OR(DATE($B$3,2,24)&gt;EOMONTH(DATE($B$3,2,1),0),NETWORKDAYS.INTL(DATE($B$3,2,24),DATE($B$3,2,24),1,'Non-working days'!$A$6:$A$45)=0),"",IF(COUNTIFS('Leave log'!$A$7:$A$306,Employees!$A$18,'Leave log'!$B$7:$B$306,"&lt;="&amp;DATE($B$3,2,24),'Leave log'!$C$7:$C$306,"&gt;="&amp;DATE($B$3,2,24),'Leave log'!$F$7:$F$306,"Pending")&gt;0,"P",""))))</f>
        <v/>
      </c>
      <c r="Z53" s="23" t="str">
        <f>IF(A53="","",IF(IF(OR(DATE($B$3,2,25)&gt;EOMONTH(DATE($B$3,2,1),0),NETWORKDAYS.INTL(DATE($B$3,2,25),DATE($B$3,2,25),1,'Non-working days'!$A$6:$A$45)=0),"",IF(COUNTIFS('Leave log'!$A$7:$A$306,Employees!$A$18,'Leave log'!$B$7:$B$306,"&lt;="&amp;DATE($B$3,2,25),'Leave log'!$C$7:$C$306,"&gt;="&amp;DATE($B$3,2,25),'Leave log'!$F$7:$F$306,"Approved")&gt;0,"A",""))="A","A",IF(OR(DATE($B$3,2,25)&gt;EOMONTH(DATE($B$3,2,1),0),NETWORKDAYS.INTL(DATE($B$3,2,25),DATE($B$3,2,25),1,'Non-working days'!$A$6:$A$45)=0),"",IF(COUNTIFS('Leave log'!$A$7:$A$306,Employees!$A$18,'Leave log'!$B$7:$B$306,"&lt;="&amp;DATE($B$3,2,25),'Leave log'!$C$7:$C$306,"&gt;="&amp;DATE($B$3,2,25),'Leave log'!$F$7:$F$306,"Pending")&gt;0,"P",""))))</f>
        <v/>
      </c>
      <c r="AA53" s="23" t="str">
        <f>IF(A53="","",IF(IF(OR(DATE($B$3,2,26)&gt;EOMONTH(DATE($B$3,2,1),0),NETWORKDAYS.INTL(DATE($B$3,2,26),DATE($B$3,2,26),1,'Non-working days'!$A$6:$A$45)=0),"",IF(COUNTIFS('Leave log'!$A$7:$A$306,Employees!$A$18,'Leave log'!$B$7:$B$306,"&lt;="&amp;DATE($B$3,2,26),'Leave log'!$C$7:$C$306,"&gt;="&amp;DATE($B$3,2,26),'Leave log'!$F$7:$F$306,"Approved")&gt;0,"A",""))="A","A",IF(OR(DATE($B$3,2,26)&gt;EOMONTH(DATE($B$3,2,1),0),NETWORKDAYS.INTL(DATE($B$3,2,26),DATE($B$3,2,26),1,'Non-working days'!$A$6:$A$45)=0),"",IF(COUNTIFS('Leave log'!$A$7:$A$306,Employees!$A$18,'Leave log'!$B$7:$B$306,"&lt;="&amp;DATE($B$3,2,26),'Leave log'!$C$7:$C$306,"&gt;="&amp;DATE($B$3,2,26),'Leave log'!$F$7:$F$306,"Pending")&gt;0,"P",""))))</f>
        <v/>
      </c>
      <c r="AB53" s="23" t="str">
        <f>IF(A53="","",IF(IF(OR(DATE($B$3,2,27)&gt;EOMONTH(DATE($B$3,2,1),0),NETWORKDAYS.INTL(DATE($B$3,2,27),DATE($B$3,2,27),1,'Non-working days'!$A$6:$A$45)=0),"",IF(COUNTIFS('Leave log'!$A$7:$A$306,Employees!$A$18,'Leave log'!$B$7:$B$306,"&lt;="&amp;DATE($B$3,2,27),'Leave log'!$C$7:$C$306,"&gt;="&amp;DATE($B$3,2,27),'Leave log'!$F$7:$F$306,"Approved")&gt;0,"A",""))="A","A",IF(OR(DATE($B$3,2,27)&gt;EOMONTH(DATE($B$3,2,1),0),NETWORKDAYS.INTL(DATE($B$3,2,27),DATE($B$3,2,27),1,'Non-working days'!$A$6:$A$45)=0),"",IF(COUNTIFS('Leave log'!$A$7:$A$306,Employees!$A$18,'Leave log'!$B$7:$B$306,"&lt;="&amp;DATE($B$3,2,27),'Leave log'!$C$7:$C$306,"&gt;="&amp;DATE($B$3,2,27),'Leave log'!$F$7:$F$306,"Pending")&gt;0,"P",""))))</f>
        <v/>
      </c>
      <c r="AC53" s="23" t="str">
        <f>IF(A53="","",IF(IF(OR(DATE($B$3,2,28)&gt;EOMONTH(DATE($B$3,2,1),0),NETWORKDAYS.INTL(DATE($B$3,2,28),DATE($B$3,2,28),1,'Non-working days'!$A$6:$A$45)=0),"",IF(COUNTIFS('Leave log'!$A$7:$A$306,Employees!$A$18,'Leave log'!$B$7:$B$306,"&lt;="&amp;DATE($B$3,2,28),'Leave log'!$C$7:$C$306,"&gt;="&amp;DATE($B$3,2,28),'Leave log'!$F$7:$F$306,"Approved")&gt;0,"A",""))="A","A",IF(OR(DATE($B$3,2,28)&gt;EOMONTH(DATE($B$3,2,1),0),NETWORKDAYS.INTL(DATE($B$3,2,28),DATE($B$3,2,28),1,'Non-working days'!$A$6:$A$45)=0),"",IF(COUNTIFS('Leave log'!$A$7:$A$306,Employees!$A$18,'Leave log'!$B$7:$B$306,"&lt;="&amp;DATE($B$3,2,28),'Leave log'!$C$7:$C$306,"&gt;="&amp;DATE($B$3,2,28),'Leave log'!$F$7:$F$306,"Pending")&gt;0,"P",""))))</f>
        <v/>
      </c>
      <c r="AD53" s="23" t="str">
        <f>IF(A53="","",IF(IF(OR(DATE($B$3,2,29)&gt;EOMONTH(DATE($B$3,2,1),0),NETWORKDAYS.INTL(DATE($B$3,2,29),DATE($B$3,2,29),1,'Non-working days'!$A$6:$A$45)=0),"",IF(COUNTIFS('Leave log'!$A$7:$A$306,Employees!$A$18,'Leave log'!$B$7:$B$306,"&lt;="&amp;DATE($B$3,2,29),'Leave log'!$C$7:$C$306,"&gt;="&amp;DATE($B$3,2,29),'Leave log'!$F$7:$F$306,"Approved")&gt;0,"A",""))="A","A",IF(OR(DATE($B$3,2,29)&gt;EOMONTH(DATE($B$3,2,1),0),NETWORKDAYS.INTL(DATE($B$3,2,29),DATE($B$3,2,29),1,'Non-working days'!$A$6:$A$45)=0),"",IF(COUNTIFS('Leave log'!$A$7:$A$306,Employees!$A$18,'Leave log'!$B$7:$B$306,"&lt;="&amp;DATE($B$3,2,29),'Leave log'!$C$7:$C$306,"&gt;="&amp;DATE($B$3,2,29),'Leave log'!$F$7:$F$306,"Pending")&gt;0,"P",""))))</f>
        <v/>
      </c>
      <c r="AE53" s="23" t="str">
        <f>IF(A53="","",IF(IF(OR(DATE($B$3,2,30)&gt;EOMONTH(DATE($B$3,2,1),0),NETWORKDAYS.INTL(DATE($B$3,2,30),DATE($B$3,2,30),1,'Non-working days'!$A$6:$A$45)=0),"",IF(COUNTIFS('Leave log'!$A$7:$A$306,Employees!$A$18,'Leave log'!$B$7:$B$306,"&lt;="&amp;DATE($B$3,2,30),'Leave log'!$C$7:$C$306,"&gt;="&amp;DATE($B$3,2,30),'Leave log'!$F$7:$F$306,"Approved")&gt;0,"A",""))="A","A",IF(OR(DATE($B$3,2,30)&gt;EOMONTH(DATE($B$3,2,1),0),NETWORKDAYS.INTL(DATE($B$3,2,30),DATE($B$3,2,30),1,'Non-working days'!$A$6:$A$45)=0),"",IF(COUNTIFS('Leave log'!$A$7:$A$306,Employees!$A$18,'Leave log'!$B$7:$B$306,"&lt;="&amp;DATE($B$3,2,30),'Leave log'!$C$7:$C$306,"&gt;="&amp;DATE($B$3,2,30),'Leave log'!$F$7:$F$306,"Pending")&gt;0,"P",""))))</f>
        <v/>
      </c>
      <c r="AF53" s="23" t="str">
        <f>IF(A53="","",IF(IF(OR(DATE($B$3,2,31)&gt;EOMONTH(DATE($B$3,2,1),0),NETWORKDAYS.INTL(DATE($B$3,2,31),DATE($B$3,2,31),1,'Non-working days'!$A$6:$A$45)=0),"",IF(COUNTIFS('Leave log'!$A$7:$A$306,Employees!$A$18,'Leave log'!$B$7:$B$306,"&lt;="&amp;DATE($B$3,2,31),'Leave log'!$C$7:$C$306,"&gt;="&amp;DATE($B$3,2,31),'Leave log'!$F$7:$F$306,"Approved")&gt;0,"A",""))="A","A",IF(OR(DATE($B$3,2,31)&gt;EOMONTH(DATE($B$3,2,1),0),NETWORKDAYS.INTL(DATE($B$3,2,31),DATE($B$3,2,31),1,'Non-working days'!$A$6:$A$45)=0),"",IF(COUNTIFS('Leave log'!$A$7:$A$306,Employees!$A$18,'Leave log'!$B$7:$B$306,"&lt;="&amp;DATE($B$3,2,31),'Leave log'!$C$7:$C$306,"&gt;="&amp;DATE($B$3,2,31),'Leave log'!$F$7:$F$306,"Pending")&gt;0,"P",""))))</f>
        <v/>
      </c>
    </row>
    <row r="54" spans="1:32" ht="18" customHeight="1" x14ac:dyDescent="0.3">
      <c r="A54" s="22" t="str">
        <f>IF(Employees!F19="Yes",Employees!B19,"")</f>
        <v/>
      </c>
      <c r="B54" s="23" t="str">
        <f>IF(A54="","",IF(IF(OR(DATE($B$3,2,1)&gt;EOMONTH(DATE($B$3,2,1),0),NETWORKDAYS.INTL(DATE($B$3,2,1),DATE($B$3,2,1),1,'Non-working days'!$A$6:$A$45)=0),"",IF(COUNTIFS('Leave log'!$A$7:$A$306,Employees!$A$19,'Leave log'!$B$7:$B$306,"&lt;="&amp;DATE($B$3,2,1),'Leave log'!$C$7:$C$306,"&gt;="&amp;DATE($B$3,2,1),'Leave log'!$F$7:$F$306,"Approved")&gt;0,"A",""))="A","A",IF(OR(DATE($B$3,2,1)&gt;EOMONTH(DATE($B$3,2,1),0),NETWORKDAYS.INTL(DATE($B$3,2,1),DATE($B$3,2,1),1,'Non-working days'!$A$6:$A$45)=0),"",IF(COUNTIFS('Leave log'!$A$7:$A$306,Employees!$A$19,'Leave log'!$B$7:$B$306,"&lt;="&amp;DATE($B$3,2,1),'Leave log'!$C$7:$C$306,"&gt;="&amp;DATE($B$3,2,1),'Leave log'!$F$7:$F$306,"Pending")&gt;0,"P",""))))</f>
        <v/>
      </c>
      <c r="C54" s="23" t="str">
        <f>IF(A54="","",IF(IF(OR(DATE($B$3,2,2)&gt;EOMONTH(DATE($B$3,2,1),0),NETWORKDAYS.INTL(DATE($B$3,2,2),DATE($B$3,2,2),1,'Non-working days'!$A$6:$A$45)=0),"",IF(COUNTIFS('Leave log'!$A$7:$A$306,Employees!$A$19,'Leave log'!$B$7:$B$306,"&lt;="&amp;DATE($B$3,2,2),'Leave log'!$C$7:$C$306,"&gt;="&amp;DATE($B$3,2,2),'Leave log'!$F$7:$F$306,"Approved")&gt;0,"A",""))="A","A",IF(OR(DATE($B$3,2,2)&gt;EOMONTH(DATE($B$3,2,1),0),NETWORKDAYS.INTL(DATE($B$3,2,2),DATE($B$3,2,2),1,'Non-working days'!$A$6:$A$45)=0),"",IF(COUNTIFS('Leave log'!$A$7:$A$306,Employees!$A$19,'Leave log'!$B$7:$B$306,"&lt;="&amp;DATE($B$3,2,2),'Leave log'!$C$7:$C$306,"&gt;="&amp;DATE($B$3,2,2),'Leave log'!$F$7:$F$306,"Pending")&gt;0,"P",""))))</f>
        <v/>
      </c>
      <c r="D54" s="23" t="str">
        <f>IF(A54="","",IF(IF(OR(DATE($B$3,2,3)&gt;EOMONTH(DATE($B$3,2,1),0),NETWORKDAYS.INTL(DATE($B$3,2,3),DATE($B$3,2,3),1,'Non-working days'!$A$6:$A$45)=0),"",IF(COUNTIFS('Leave log'!$A$7:$A$306,Employees!$A$19,'Leave log'!$B$7:$B$306,"&lt;="&amp;DATE($B$3,2,3),'Leave log'!$C$7:$C$306,"&gt;="&amp;DATE($B$3,2,3),'Leave log'!$F$7:$F$306,"Approved")&gt;0,"A",""))="A","A",IF(OR(DATE($B$3,2,3)&gt;EOMONTH(DATE($B$3,2,1),0),NETWORKDAYS.INTL(DATE($B$3,2,3),DATE($B$3,2,3),1,'Non-working days'!$A$6:$A$45)=0),"",IF(COUNTIFS('Leave log'!$A$7:$A$306,Employees!$A$19,'Leave log'!$B$7:$B$306,"&lt;="&amp;DATE($B$3,2,3),'Leave log'!$C$7:$C$306,"&gt;="&amp;DATE($B$3,2,3),'Leave log'!$F$7:$F$306,"Pending")&gt;0,"P",""))))</f>
        <v/>
      </c>
      <c r="E54" s="23" t="str">
        <f>IF(A54="","",IF(IF(OR(DATE($B$3,2,4)&gt;EOMONTH(DATE($B$3,2,1),0),NETWORKDAYS.INTL(DATE($B$3,2,4),DATE($B$3,2,4),1,'Non-working days'!$A$6:$A$45)=0),"",IF(COUNTIFS('Leave log'!$A$7:$A$306,Employees!$A$19,'Leave log'!$B$7:$B$306,"&lt;="&amp;DATE($B$3,2,4),'Leave log'!$C$7:$C$306,"&gt;="&amp;DATE($B$3,2,4),'Leave log'!$F$7:$F$306,"Approved")&gt;0,"A",""))="A","A",IF(OR(DATE($B$3,2,4)&gt;EOMONTH(DATE($B$3,2,1),0),NETWORKDAYS.INTL(DATE($B$3,2,4),DATE($B$3,2,4),1,'Non-working days'!$A$6:$A$45)=0),"",IF(COUNTIFS('Leave log'!$A$7:$A$306,Employees!$A$19,'Leave log'!$B$7:$B$306,"&lt;="&amp;DATE($B$3,2,4),'Leave log'!$C$7:$C$306,"&gt;="&amp;DATE($B$3,2,4),'Leave log'!$F$7:$F$306,"Pending")&gt;0,"P",""))))</f>
        <v/>
      </c>
      <c r="F54" s="23" t="str">
        <f>IF(A54="","",IF(IF(OR(DATE($B$3,2,5)&gt;EOMONTH(DATE($B$3,2,1),0),NETWORKDAYS.INTL(DATE($B$3,2,5),DATE($B$3,2,5),1,'Non-working days'!$A$6:$A$45)=0),"",IF(COUNTIFS('Leave log'!$A$7:$A$306,Employees!$A$19,'Leave log'!$B$7:$B$306,"&lt;="&amp;DATE($B$3,2,5),'Leave log'!$C$7:$C$306,"&gt;="&amp;DATE($B$3,2,5),'Leave log'!$F$7:$F$306,"Approved")&gt;0,"A",""))="A","A",IF(OR(DATE($B$3,2,5)&gt;EOMONTH(DATE($B$3,2,1),0),NETWORKDAYS.INTL(DATE($B$3,2,5),DATE($B$3,2,5),1,'Non-working days'!$A$6:$A$45)=0),"",IF(COUNTIFS('Leave log'!$A$7:$A$306,Employees!$A$19,'Leave log'!$B$7:$B$306,"&lt;="&amp;DATE($B$3,2,5),'Leave log'!$C$7:$C$306,"&gt;="&amp;DATE($B$3,2,5),'Leave log'!$F$7:$F$306,"Pending")&gt;0,"P",""))))</f>
        <v/>
      </c>
      <c r="G54" s="23" t="str">
        <f>IF(A54="","",IF(IF(OR(DATE($B$3,2,6)&gt;EOMONTH(DATE($B$3,2,1),0),NETWORKDAYS.INTL(DATE($B$3,2,6),DATE($B$3,2,6),1,'Non-working days'!$A$6:$A$45)=0),"",IF(COUNTIFS('Leave log'!$A$7:$A$306,Employees!$A$19,'Leave log'!$B$7:$B$306,"&lt;="&amp;DATE($B$3,2,6),'Leave log'!$C$7:$C$306,"&gt;="&amp;DATE($B$3,2,6),'Leave log'!$F$7:$F$306,"Approved")&gt;0,"A",""))="A","A",IF(OR(DATE($B$3,2,6)&gt;EOMONTH(DATE($B$3,2,1),0),NETWORKDAYS.INTL(DATE($B$3,2,6),DATE($B$3,2,6),1,'Non-working days'!$A$6:$A$45)=0),"",IF(COUNTIFS('Leave log'!$A$7:$A$306,Employees!$A$19,'Leave log'!$B$7:$B$306,"&lt;="&amp;DATE($B$3,2,6),'Leave log'!$C$7:$C$306,"&gt;="&amp;DATE($B$3,2,6),'Leave log'!$F$7:$F$306,"Pending")&gt;0,"P",""))))</f>
        <v/>
      </c>
      <c r="H54" s="23" t="str">
        <f>IF(A54="","",IF(IF(OR(DATE($B$3,2,7)&gt;EOMONTH(DATE($B$3,2,1),0),NETWORKDAYS.INTL(DATE($B$3,2,7),DATE($B$3,2,7),1,'Non-working days'!$A$6:$A$45)=0),"",IF(COUNTIFS('Leave log'!$A$7:$A$306,Employees!$A$19,'Leave log'!$B$7:$B$306,"&lt;="&amp;DATE($B$3,2,7),'Leave log'!$C$7:$C$306,"&gt;="&amp;DATE($B$3,2,7),'Leave log'!$F$7:$F$306,"Approved")&gt;0,"A",""))="A","A",IF(OR(DATE($B$3,2,7)&gt;EOMONTH(DATE($B$3,2,1),0),NETWORKDAYS.INTL(DATE($B$3,2,7),DATE($B$3,2,7),1,'Non-working days'!$A$6:$A$45)=0),"",IF(COUNTIFS('Leave log'!$A$7:$A$306,Employees!$A$19,'Leave log'!$B$7:$B$306,"&lt;="&amp;DATE($B$3,2,7),'Leave log'!$C$7:$C$306,"&gt;="&amp;DATE($B$3,2,7),'Leave log'!$F$7:$F$306,"Pending")&gt;0,"P",""))))</f>
        <v/>
      </c>
      <c r="I54" s="23" t="str">
        <f>IF(A54="","",IF(IF(OR(DATE($B$3,2,8)&gt;EOMONTH(DATE($B$3,2,1),0),NETWORKDAYS.INTL(DATE($B$3,2,8),DATE($B$3,2,8),1,'Non-working days'!$A$6:$A$45)=0),"",IF(COUNTIFS('Leave log'!$A$7:$A$306,Employees!$A$19,'Leave log'!$B$7:$B$306,"&lt;="&amp;DATE($B$3,2,8),'Leave log'!$C$7:$C$306,"&gt;="&amp;DATE($B$3,2,8),'Leave log'!$F$7:$F$306,"Approved")&gt;0,"A",""))="A","A",IF(OR(DATE($B$3,2,8)&gt;EOMONTH(DATE($B$3,2,1),0),NETWORKDAYS.INTL(DATE($B$3,2,8),DATE($B$3,2,8),1,'Non-working days'!$A$6:$A$45)=0),"",IF(COUNTIFS('Leave log'!$A$7:$A$306,Employees!$A$19,'Leave log'!$B$7:$B$306,"&lt;="&amp;DATE($B$3,2,8),'Leave log'!$C$7:$C$306,"&gt;="&amp;DATE($B$3,2,8),'Leave log'!$F$7:$F$306,"Pending")&gt;0,"P",""))))</f>
        <v/>
      </c>
      <c r="J54" s="23" t="str">
        <f>IF(A54="","",IF(IF(OR(DATE($B$3,2,9)&gt;EOMONTH(DATE($B$3,2,1),0),NETWORKDAYS.INTL(DATE($B$3,2,9),DATE($B$3,2,9),1,'Non-working days'!$A$6:$A$45)=0),"",IF(COUNTIFS('Leave log'!$A$7:$A$306,Employees!$A$19,'Leave log'!$B$7:$B$306,"&lt;="&amp;DATE($B$3,2,9),'Leave log'!$C$7:$C$306,"&gt;="&amp;DATE($B$3,2,9),'Leave log'!$F$7:$F$306,"Approved")&gt;0,"A",""))="A","A",IF(OR(DATE($B$3,2,9)&gt;EOMONTH(DATE($B$3,2,1),0),NETWORKDAYS.INTL(DATE($B$3,2,9),DATE($B$3,2,9),1,'Non-working days'!$A$6:$A$45)=0),"",IF(COUNTIFS('Leave log'!$A$7:$A$306,Employees!$A$19,'Leave log'!$B$7:$B$306,"&lt;="&amp;DATE($B$3,2,9),'Leave log'!$C$7:$C$306,"&gt;="&amp;DATE($B$3,2,9),'Leave log'!$F$7:$F$306,"Pending")&gt;0,"P",""))))</f>
        <v/>
      </c>
      <c r="K54" s="23" t="str">
        <f>IF(A54="","",IF(IF(OR(DATE($B$3,2,10)&gt;EOMONTH(DATE($B$3,2,1),0),NETWORKDAYS.INTL(DATE($B$3,2,10),DATE($B$3,2,10),1,'Non-working days'!$A$6:$A$45)=0),"",IF(COUNTIFS('Leave log'!$A$7:$A$306,Employees!$A$19,'Leave log'!$B$7:$B$306,"&lt;="&amp;DATE($B$3,2,10),'Leave log'!$C$7:$C$306,"&gt;="&amp;DATE($B$3,2,10),'Leave log'!$F$7:$F$306,"Approved")&gt;0,"A",""))="A","A",IF(OR(DATE($B$3,2,10)&gt;EOMONTH(DATE($B$3,2,1),0),NETWORKDAYS.INTL(DATE($B$3,2,10),DATE($B$3,2,10),1,'Non-working days'!$A$6:$A$45)=0),"",IF(COUNTIFS('Leave log'!$A$7:$A$306,Employees!$A$19,'Leave log'!$B$7:$B$306,"&lt;="&amp;DATE($B$3,2,10),'Leave log'!$C$7:$C$306,"&gt;="&amp;DATE($B$3,2,10),'Leave log'!$F$7:$F$306,"Pending")&gt;0,"P",""))))</f>
        <v/>
      </c>
      <c r="L54" s="23" t="str">
        <f>IF(A54="","",IF(IF(OR(DATE($B$3,2,11)&gt;EOMONTH(DATE($B$3,2,1),0),NETWORKDAYS.INTL(DATE($B$3,2,11),DATE($B$3,2,11),1,'Non-working days'!$A$6:$A$45)=0),"",IF(COUNTIFS('Leave log'!$A$7:$A$306,Employees!$A$19,'Leave log'!$B$7:$B$306,"&lt;="&amp;DATE($B$3,2,11),'Leave log'!$C$7:$C$306,"&gt;="&amp;DATE($B$3,2,11),'Leave log'!$F$7:$F$306,"Approved")&gt;0,"A",""))="A","A",IF(OR(DATE($B$3,2,11)&gt;EOMONTH(DATE($B$3,2,1),0),NETWORKDAYS.INTL(DATE($B$3,2,11),DATE($B$3,2,11),1,'Non-working days'!$A$6:$A$45)=0),"",IF(COUNTIFS('Leave log'!$A$7:$A$306,Employees!$A$19,'Leave log'!$B$7:$B$306,"&lt;="&amp;DATE($B$3,2,11),'Leave log'!$C$7:$C$306,"&gt;="&amp;DATE($B$3,2,11),'Leave log'!$F$7:$F$306,"Pending")&gt;0,"P",""))))</f>
        <v/>
      </c>
      <c r="M54" s="23" t="str">
        <f>IF(A54="","",IF(IF(OR(DATE($B$3,2,12)&gt;EOMONTH(DATE($B$3,2,1),0),NETWORKDAYS.INTL(DATE($B$3,2,12),DATE($B$3,2,12),1,'Non-working days'!$A$6:$A$45)=0),"",IF(COUNTIFS('Leave log'!$A$7:$A$306,Employees!$A$19,'Leave log'!$B$7:$B$306,"&lt;="&amp;DATE($B$3,2,12),'Leave log'!$C$7:$C$306,"&gt;="&amp;DATE($B$3,2,12),'Leave log'!$F$7:$F$306,"Approved")&gt;0,"A",""))="A","A",IF(OR(DATE($B$3,2,12)&gt;EOMONTH(DATE($B$3,2,1),0),NETWORKDAYS.INTL(DATE($B$3,2,12),DATE($B$3,2,12),1,'Non-working days'!$A$6:$A$45)=0),"",IF(COUNTIFS('Leave log'!$A$7:$A$306,Employees!$A$19,'Leave log'!$B$7:$B$306,"&lt;="&amp;DATE($B$3,2,12),'Leave log'!$C$7:$C$306,"&gt;="&amp;DATE($B$3,2,12),'Leave log'!$F$7:$F$306,"Pending")&gt;0,"P",""))))</f>
        <v/>
      </c>
      <c r="N54" s="23" t="str">
        <f>IF(A54="","",IF(IF(OR(DATE($B$3,2,13)&gt;EOMONTH(DATE($B$3,2,1),0),NETWORKDAYS.INTL(DATE($B$3,2,13),DATE($B$3,2,13),1,'Non-working days'!$A$6:$A$45)=0),"",IF(COUNTIFS('Leave log'!$A$7:$A$306,Employees!$A$19,'Leave log'!$B$7:$B$306,"&lt;="&amp;DATE($B$3,2,13),'Leave log'!$C$7:$C$306,"&gt;="&amp;DATE($B$3,2,13),'Leave log'!$F$7:$F$306,"Approved")&gt;0,"A",""))="A","A",IF(OR(DATE($B$3,2,13)&gt;EOMONTH(DATE($B$3,2,1),0),NETWORKDAYS.INTL(DATE($B$3,2,13),DATE($B$3,2,13),1,'Non-working days'!$A$6:$A$45)=0),"",IF(COUNTIFS('Leave log'!$A$7:$A$306,Employees!$A$19,'Leave log'!$B$7:$B$306,"&lt;="&amp;DATE($B$3,2,13),'Leave log'!$C$7:$C$306,"&gt;="&amp;DATE($B$3,2,13),'Leave log'!$F$7:$F$306,"Pending")&gt;0,"P",""))))</f>
        <v/>
      </c>
      <c r="O54" s="23" t="str">
        <f>IF(A54="","",IF(IF(OR(DATE($B$3,2,14)&gt;EOMONTH(DATE($B$3,2,1),0),NETWORKDAYS.INTL(DATE($B$3,2,14),DATE($B$3,2,14),1,'Non-working days'!$A$6:$A$45)=0),"",IF(COUNTIFS('Leave log'!$A$7:$A$306,Employees!$A$19,'Leave log'!$B$7:$B$306,"&lt;="&amp;DATE($B$3,2,14),'Leave log'!$C$7:$C$306,"&gt;="&amp;DATE($B$3,2,14),'Leave log'!$F$7:$F$306,"Approved")&gt;0,"A",""))="A","A",IF(OR(DATE($B$3,2,14)&gt;EOMONTH(DATE($B$3,2,1),0),NETWORKDAYS.INTL(DATE($B$3,2,14),DATE($B$3,2,14),1,'Non-working days'!$A$6:$A$45)=0),"",IF(COUNTIFS('Leave log'!$A$7:$A$306,Employees!$A$19,'Leave log'!$B$7:$B$306,"&lt;="&amp;DATE($B$3,2,14),'Leave log'!$C$7:$C$306,"&gt;="&amp;DATE($B$3,2,14),'Leave log'!$F$7:$F$306,"Pending")&gt;0,"P",""))))</f>
        <v/>
      </c>
      <c r="P54" s="23" t="str">
        <f>IF(A54="","",IF(IF(OR(DATE($B$3,2,15)&gt;EOMONTH(DATE($B$3,2,1),0),NETWORKDAYS.INTL(DATE($B$3,2,15),DATE($B$3,2,15),1,'Non-working days'!$A$6:$A$45)=0),"",IF(COUNTIFS('Leave log'!$A$7:$A$306,Employees!$A$19,'Leave log'!$B$7:$B$306,"&lt;="&amp;DATE($B$3,2,15),'Leave log'!$C$7:$C$306,"&gt;="&amp;DATE($B$3,2,15),'Leave log'!$F$7:$F$306,"Approved")&gt;0,"A",""))="A","A",IF(OR(DATE($B$3,2,15)&gt;EOMONTH(DATE($B$3,2,1),0),NETWORKDAYS.INTL(DATE($B$3,2,15),DATE($B$3,2,15),1,'Non-working days'!$A$6:$A$45)=0),"",IF(COUNTIFS('Leave log'!$A$7:$A$306,Employees!$A$19,'Leave log'!$B$7:$B$306,"&lt;="&amp;DATE($B$3,2,15),'Leave log'!$C$7:$C$306,"&gt;="&amp;DATE($B$3,2,15),'Leave log'!$F$7:$F$306,"Pending")&gt;0,"P",""))))</f>
        <v/>
      </c>
      <c r="Q54" s="23" t="str">
        <f>IF(A54="","",IF(IF(OR(DATE($B$3,2,16)&gt;EOMONTH(DATE($B$3,2,1),0),NETWORKDAYS.INTL(DATE($B$3,2,16),DATE($B$3,2,16),1,'Non-working days'!$A$6:$A$45)=0),"",IF(COUNTIFS('Leave log'!$A$7:$A$306,Employees!$A$19,'Leave log'!$B$7:$B$306,"&lt;="&amp;DATE($B$3,2,16),'Leave log'!$C$7:$C$306,"&gt;="&amp;DATE($B$3,2,16),'Leave log'!$F$7:$F$306,"Approved")&gt;0,"A",""))="A","A",IF(OR(DATE($B$3,2,16)&gt;EOMONTH(DATE($B$3,2,1),0),NETWORKDAYS.INTL(DATE($B$3,2,16),DATE($B$3,2,16),1,'Non-working days'!$A$6:$A$45)=0),"",IF(COUNTIFS('Leave log'!$A$7:$A$306,Employees!$A$19,'Leave log'!$B$7:$B$306,"&lt;="&amp;DATE($B$3,2,16),'Leave log'!$C$7:$C$306,"&gt;="&amp;DATE($B$3,2,16),'Leave log'!$F$7:$F$306,"Pending")&gt;0,"P",""))))</f>
        <v/>
      </c>
      <c r="R54" s="23" t="str">
        <f>IF(A54="","",IF(IF(OR(DATE($B$3,2,17)&gt;EOMONTH(DATE($B$3,2,1),0),NETWORKDAYS.INTL(DATE($B$3,2,17),DATE($B$3,2,17),1,'Non-working days'!$A$6:$A$45)=0),"",IF(COUNTIFS('Leave log'!$A$7:$A$306,Employees!$A$19,'Leave log'!$B$7:$B$306,"&lt;="&amp;DATE($B$3,2,17),'Leave log'!$C$7:$C$306,"&gt;="&amp;DATE($B$3,2,17),'Leave log'!$F$7:$F$306,"Approved")&gt;0,"A",""))="A","A",IF(OR(DATE($B$3,2,17)&gt;EOMONTH(DATE($B$3,2,1),0),NETWORKDAYS.INTL(DATE($B$3,2,17),DATE($B$3,2,17),1,'Non-working days'!$A$6:$A$45)=0),"",IF(COUNTIFS('Leave log'!$A$7:$A$306,Employees!$A$19,'Leave log'!$B$7:$B$306,"&lt;="&amp;DATE($B$3,2,17),'Leave log'!$C$7:$C$306,"&gt;="&amp;DATE($B$3,2,17),'Leave log'!$F$7:$F$306,"Pending")&gt;0,"P",""))))</f>
        <v/>
      </c>
      <c r="S54" s="23" t="str">
        <f>IF(A54="","",IF(IF(OR(DATE($B$3,2,18)&gt;EOMONTH(DATE($B$3,2,1),0),NETWORKDAYS.INTL(DATE($B$3,2,18),DATE($B$3,2,18),1,'Non-working days'!$A$6:$A$45)=0),"",IF(COUNTIFS('Leave log'!$A$7:$A$306,Employees!$A$19,'Leave log'!$B$7:$B$306,"&lt;="&amp;DATE($B$3,2,18),'Leave log'!$C$7:$C$306,"&gt;="&amp;DATE($B$3,2,18),'Leave log'!$F$7:$F$306,"Approved")&gt;0,"A",""))="A","A",IF(OR(DATE($B$3,2,18)&gt;EOMONTH(DATE($B$3,2,1),0),NETWORKDAYS.INTL(DATE($B$3,2,18),DATE($B$3,2,18),1,'Non-working days'!$A$6:$A$45)=0),"",IF(COUNTIFS('Leave log'!$A$7:$A$306,Employees!$A$19,'Leave log'!$B$7:$B$306,"&lt;="&amp;DATE($B$3,2,18),'Leave log'!$C$7:$C$306,"&gt;="&amp;DATE($B$3,2,18),'Leave log'!$F$7:$F$306,"Pending")&gt;0,"P",""))))</f>
        <v/>
      </c>
      <c r="T54" s="23" t="str">
        <f>IF(A54="","",IF(IF(OR(DATE($B$3,2,19)&gt;EOMONTH(DATE($B$3,2,1),0),NETWORKDAYS.INTL(DATE($B$3,2,19),DATE($B$3,2,19),1,'Non-working days'!$A$6:$A$45)=0),"",IF(COUNTIFS('Leave log'!$A$7:$A$306,Employees!$A$19,'Leave log'!$B$7:$B$306,"&lt;="&amp;DATE($B$3,2,19),'Leave log'!$C$7:$C$306,"&gt;="&amp;DATE($B$3,2,19),'Leave log'!$F$7:$F$306,"Approved")&gt;0,"A",""))="A","A",IF(OR(DATE($B$3,2,19)&gt;EOMONTH(DATE($B$3,2,1),0),NETWORKDAYS.INTL(DATE($B$3,2,19),DATE($B$3,2,19),1,'Non-working days'!$A$6:$A$45)=0),"",IF(COUNTIFS('Leave log'!$A$7:$A$306,Employees!$A$19,'Leave log'!$B$7:$B$306,"&lt;="&amp;DATE($B$3,2,19),'Leave log'!$C$7:$C$306,"&gt;="&amp;DATE($B$3,2,19),'Leave log'!$F$7:$F$306,"Pending")&gt;0,"P",""))))</f>
        <v/>
      </c>
      <c r="U54" s="23" t="str">
        <f>IF(A54="","",IF(IF(OR(DATE($B$3,2,20)&gt;EOMONTH(DATE($B$3,2,1),0),NETWORKDAYS.INTL(DATE($B$3,2,20),DATE($B$3,2,20),1,'Non-working days'!$A$6:$A$45)=0),"",IF(COUNTIFS('Leave log'!$A$7:$A$306,Employees!$A$19,'Leave log'!$B$7:$B$306,"&lt;="&amp;DATE($B$3,2,20),'Leave log'!$C$7:$C$306,"&gt;="&amp;DATE($B$3,2,20),'Leave log'!$F$7:$F$306,"Approved")&gt;0,"A",""))="A","A",IF(OR(DATE($B$3,2,20)&gt;EOMONTH(DATE($B$3,2,1),0),NETWORKDAYS.INTL(DATE($B$3,2,20),DATE($B$3,2,20),1,'Non-working days'!$A$6:$A$45)=0),"",IF(COUNTIFS('Leave log'!$A$7:$A$306,Employees!$A$19,'Leave log'!$B$7:$B$306,"&lt;="&amp;DATE($B$3,2,20),'Leave log'!$C$7:$C$306,"&gt;="&amp;DATE($B$3,2,20),'Leave log'!$F$7:$F$306,"Pending")&gt;0,"P",""))))</f>
        <v/>
      </c>
      <c r="V54" s="23" t="str">
        <f>IF(A54="","",IF(IF(OR(DATE($B$3,2,21)&gt;EOMONTH(DATE($B$3,2,1),0),NETWORKDAYS.INTL(DATE($B$3,2,21),DATE($B$3,2,21),1,'Non-working days'!$A$6:$A$45)=0),"",IF(COUNTIFS('Leave log'!$A$7:$A$306,Employees!$A$19,'Leave log'!$B$7:$B$306,"&lt;="&amp;DATE($B$3,2,21),'Leave log'!$C$7:$C$306,"&gt;="&amp;DATE($B$3,2,21),'Leave log'!$F$7:$F$306,"Approved")&gt;0,"A",""))="A","A",IF(OR(DATE($B$3,2,21)&gt;EOMONTH(DATE($B$3,2,1),0),NETWORKDAYS.INTL(DATE($B$3,2,21),DATE($B$3,2,21),1,'Non-working days'!$A$6:$A$45)=0),"",IF(COUNTIFS('Leave log'!$A$7:$A$306,Employees!$A$19,'Leave log'!$B$7:$B$306,"&lt;="&amp;DATE($B$3,2,21),'Leave log'!$C$7:$C$306,"&gt;="&amp;DATE($B$3,2,21),'Leave log'!$F$7:$F$306,"Pending")&gt;0,"P",""))))</f>
        <v/>
      </c>
      <c r="W54" s="23" t="str">
        <f>IF(A54="","",IF(IF(OR(DATE($B$3,2,22)&gt;EOMONTH(DATE($B$3,2,1),0),NETWORKDAYS.INTL(DATE($B$3,2,22),DATE($B$3,2,22),1,'Non-working days'!$A$6:$A$45)=0),"",IF(COUNTIFS('Leave log'!$A$7:$A$306,Employees!$A$19,'Leave log'!$B$7:$B$306,"&lt;="&amp;DATE($B$3,2,22),'Leave log'!$C$7:$C$306,"&gt;="&amp;DATE($B$3,2,22),'Leave log'!$F$7:$F$306,"Approved")&gt;0,"A",""))="A","A",IF(OR(DATE($B$3,2,22)&gt;EOMONTH(DATE($B$3,2,1),0),NETWORKDAYS.INTL(DATE($B$3,2,22),DATE($B$3,2,22),1,'Non-working days'!$A$6:$A$45)=0),"",IF(COUNTIFS('Leave log'!$A$7:$A$306,Employees!$A$19,'Leave log'!$B$7:$B$306,"&lt;="&amp;DATE($B$3,2,22),'Leave log'!$C$7:$C$306,"&gt;="&amp;DATE($B$3,2,22),'Leave log'!$F$7:$F$306,"Pending")&gt;0,"P",""))))</f>
        <v/>
      </c>
      <c r="X54" s="23" t="str">
        <f>IF(A54="","",IF(IF(OR(DATE($B$3,2,23)&gt;EOMONTH(DATE($B$3,2,1),0),NETWORKDAYS.INTL(DATE($B$3,2,23),DATE($B$3,2,23),1,'Non-working days'!$A$6:$A$45)=0),"",IF(COUNTIFS('Leave log'!$A$7:$A$306,Employees!$A$19,'Leave log'!$B$7:$B$306,"&lt;="&amp;DATE($B$3,2,23),'Leave log'!$C$7:$C$306,"&gt;="&amp;DATE($B$3,2,23),'Leave log'!$F$7:$F$306,"Approved")&gt;0,"A",""))="A","A",IF(OR(DATE($B$3,2,23)&gt;EOMONTH(DATE($B$3,2,1),0),NETWORKDAYS.INTL(DATE($B$3,2,23),DATE($B$3,2,23),1,'Non-working days'!$A$6:$A$45)=0),"",IF(COUNTIFS('Leave log'!$A$7:$A$306,Employees!$A$19,'Leave log'!$B$7:$B$306,"&lt;="&amp;DATE($B$3,2,23),'Leave log'!$C$7:$C$306,"&gt;="&amp;DATE($B$3,2,23),'Leave log'!$F$7:$F$306,"Pending")&gt;0,"P",""))))</f>
        <v/>
      </c>
      <c r="Y54" s="23" t="str">
        <f>IF(A54="","",IF(IF(OR(DATE($B$3,2,24)&gt;EOMONTH(DATE($B$3,2,1),0),NETWORKDAYS.INTL(DATE($B$3,2,24),DATE($B$3,2,24),1,'Non-working days'!$A$6:$A$45)=0),"",IF(COUNTIFS('Leave log'!$A$7:$A$306,Employees!$A$19,'Leave log'!$B$7:$B$306,"&lt;="&amp;DATE($B$3,2,24),'Leave log'!$C$7:$C$306,"&gt;="&amp;DATE($B$3,2,24),'Leave log'!$F$7:$F$306,"Approved")&gt;0,"A",""))="A","A",IF(OR(DATE($B$3,2,24)&gt;EOMONTH(DATE($B$3,2,1),0),NETWORKDAYS.INTL(DATE($B$3,2,24),DATE($B$3,2,24),1,'Non-working days'!$A$6:$A$45)=0),"",IF(COUNTIFS('Leave log'!$A$7:$A$306,Employees!$A$19,'Leave log'!$B$7:$B$306,"&lt;="&amp;DATE($B$3,2,24),'Leave log'!$C$7:$C$306,"&gt;="&amp;DATE($B$3,2,24),'Leave log'!$F$7:$F$306,"Pending")&gt;0,"P",""))))</f>
        <v/>
      </c>
      <c r="Z54" s="23" t="str">
        <f>IF(A54="","",IF(IF(OR(DATE($B$3,2,25)&gt;EOMONTH(DATE($B$3,2,1),0),NETWORKDAYS.INTL(DATE($B$3,2,25),DATE($B$3,2,25),1,'Non-working days'!$A$6:$A$45)=0),"",IF(COUNTIFS('Leave log'!$A$7:$A$306,Employees!$A$19,'Leave log'!$B$7:$B$306,"&lt;="&amp;DATE($B$3,2,25),'Leave log'!$C$7:$C$306,"&gt;="&amp;DATE($B$3,2,25),'Leave log'!$F$7:$F$306,"Approved")&gt;0,"A",""))="A","A",IF(OR(DATE($B$3,2,25)&gt;EOMONTH(DATE($B$3,2,1),0),NETWORKDAYS.INTL(DATE($B$3,2,25),DATE($B$3,2,25),1,'Non-working days'!$A$6:$A$45)=0),"",IF(COUNTIFS('Leave log'!$A$7:$A$306,Employees!$A$19,'Leave log'!$B$7:$B$306,"&lt;="&amp;DATE($B$3,2,25),'Leave log'!$C$7:$C$306,"&gt;="&amp;DATE($B$3,2,25),'Leave log'!$F$7:$F$306,"Pending")&gt;0,"P",""))))</f>
        <v/>
      </c>
      <c r="AA54" s="23" t="str">
        <f>IF(A54="","",IF(IF(OR(DATE($B$3,2,26)&gt;EOMONTH(DATE($B$3,2,1),0),NETWORKDAYS.INTL(DATE($B$3,2,26),DATE($B$3,2,26),1,'Non-working days'!$A$6:$A$45)=0),"",IF(COUNTIFS('Leave log'!$A$7:$A$306,Employees!$A$19,'Leave log'!$B$7:$B$306,"&lt;="&amp;DATE($B$3,2,26),'Leave log'!$C$7:$C$306,"&gt;="&amp;DATE($B$3,2,26),'Leave log'!$F$7:$F$306,"Approved")&gt;0,"A",""))="A","A",IF(OR(DATE($B$3,2,26)&gt;EOMONTH(DATE($B$3,2,1),0),NETWORKDAYS.INTL(DATE($B$3,2,26),DATE($B$3,2,26),1,'Non-working days'!$A$6:$A$45)=0),"",IF(COUNTIFS('Leave log'!$A$7:$A$306,Employees!$A$19,'Leave log'!$B$7:$B$306,"&lt;="&amp;DATE($B$3,2,26),'Leave log'!$C$7:$C$306,"&gt;="&amp;DATE($B$3,2,26),'Leave log'!$F$7:$F$306,"Pending")&gt;0,"P",""))))</f>
        <v/>
      </c>
      <c r="AB54" s="23" t="str">
        <f>IF(A54="","",IF(IF(OR(DATE($B$3,2,27)&gt;EOMONTH(DATE($B$3,2,1),0),NETWORKDAYS.INTL(DATE($B$3,2,27),DATE($B$3,2,27),1,'Non-working days'!$A$6:$A$45)=0),"",IF(COUNTIFS('Leave log'!$A$7:$A$306,Employees!$A$19,'Leave log'!$B$7:$B$306,"&lt;="&amp;DATE($B$3,2,27),'Leave log'!$C$7:$C$306,"&gt;="&amp;DATE($B$3,2,27),'Leave log'!$F$7:$F$306,"Approved")&gt;0,"A",""))="A","A",IF(OR(DATE($B$3,2,27)&gt;EOMONTH(DATE($B$3,2,1),0),NETWORKDAYS.INTL(DATE($B$3,2,27),DATE($B$3,2,27),1,'Non-working days'!$A$6:$A$45)=0),"",IF(COUNTIFS('Leave log'!$A$7:$A$306,Employees!$A$19,'Leave log'!$B$7:$B$306,"&lt;="&amp;DATE($B$3,2,27),'Leave log'!$C$7:$C$306,"&gt;="&amp;DATE($B$3,2,27),'Leave log'!$F$7:$F$306,"Pending")&gt;0,"P",""))))</f>
        <v/>
      </c>
      <c r="AC54" s="23" t="str">
        <f>IF(A54="","",IF(IF(OR(DATE($B$3,2,28)&gt;EOMONTH(DATE($B$3,2,1),0),NETWORKDAYS.INTL(DATE($B$3,2,28),DATE($B$3,2,28),1,'Non-working days'!$A$6:$A$45)=0),"",IF(COUNTIFS('Leave log'!$A$7:$A$306,Employees!$A$19,'Leave log'!$B$7:$B$306,"&lt;="&amp;DATE($B$3,2,28),'Leave log'!$C$7:$C$306,"&gt;="&amp;DATE($B$3,2,28),'Leave log'!$F$7:$F$306,"Approved")&gt;0,"A",""))="A","A",IF(OR(DATE($B$3,2,28)&gt;EOMONTH(DATE($B$3,2,1),0),NETWORKDAYS.INTL(DATE($B$3,2,28),DATE($B$3,2,28),1,'Non-working days'!$A$6:$A$45)=0),"",IF(COUNTIFS('Leave log'!$A$7:$A$306,Employees!$A$19,'Leave log'!$B$7:$B$306,"&lt;="&amp;DATE($B$3,2,28),'Leave log'!$C$7:$C$306,"&gt;="&amp;DATE($B$3,2,28),'Leave log'!$F$7:$F$306,"Pending")&gt;0,"P",""))))</f>
        <v/>
      </c>
      <c r="AD54" s="23" t="str">
        <f>IF(A54="","",IF(IF(OR(DATE($B$3,2,29)&gt;EOMONTH(DATE($B$3,2,1),0),NETWORKDAYS.INTL(DATE($B$3,2,29),DATE($B$3,2,29),1,'Non-working days'!$A$6:$A$45)=0),"",IF(COUNTIFS('Leave log'!$A$7:$A$306,Employees!$A$19,'Leave log'!$B$7:$B$306,"&lt;="&amp;DATE($B$3,2,29),'Leave log'!$C$7:$C$306,"&gt;="&amp;DATE($B$3,2,29),'Leave log'!$F$7:$F$306,"Approved")&gt;0,"A",""))="A","A",IF(OR(DATE($B$3,2,29)&gt;EOMONTH(DATE($B$3,2,1),0),NETWORKDAYS.INTL(DATE($B$3,2,29),DATE($B$3,2,29),1,'Non-working days'!$A$6:$A$45)=0),"",IF(COUNTIFS('Leave log'!$A$7:$A$306,Employees!$A$19,'Leave log'!$B$7:$B$306,"&lt;="&amp;DATE($B$3,2,29),'Leave log'!$C$7:$C$306,"&gt;="&amp;DATE($B$3,2,29),'Leave log'!$F$7:$F$306,"Pending")&gt;0,"P",""))))</f>
        <v/>
      </c>
      <c r="AE54" s="23" t="str">
        <f>IF(A54="","",IF(IF(OR(DATE($B$3,2,30)&gt;EOMONTH(DATE($B$3,2,1),0),NETWORKDAYS.INTL(DATE($B$3,2,30),DATE($B$3,2,30),1,'Non-working days'!$A$6:$A$45)=0),"",IF(COUNTIFS('Leave log'!$A$7:$A$306,Employees!$A$19,'Leave log'!$B$7:$B$306,"&lt;="&amp;DATE($B$3,2,30),'Leave log'!$C$7:$C$306,"&gt;="&amp;DATE($B$3,2,30),'Leave log'!$F$7:$F$306,"Approved")&gt;0,"A",""))="A","A",IF(OR(DATE($B$3,2,30)&gt;EOMONTH(DATE($B$3,2,1),0),NETWORKDAYS.INTL(DATE($B$3,2,30),DATE($B$3,2,30),1,'Non-working days'!$A$6:$A$45)=0),"",IF(COUNTIFS('Leave log'!$A$7:$A$306,Employees!$A$19,'Leave log'!$B$7:$B$306,"&lt;="&amp;DATE($B$3,2,30),'Leave log'!$C$7:$C$306,"&gt;="&amp;DATE($B$3,2,30),'Leave log'!$F$7:$F$306,"Pending")&gt;0,"P",""))))</f>
        <v/>
      </c>
      <c r="AF54" s="23" t="str">
        <f>IF(A54="","",IF(IF(OR(DATE($B$3,2,31)&gt;EOMONTH(DATE($B$3,2,1),0),NETWORKDAYS.INTL(DATE($B$3,2,31),DATE($B$3,2,31),1,'Non-working days'!$A$6:$A$45)=0),"",IF(COUNTIFS('Leave log'!$A$7:$A$306,Employees!$A$19,'Leave log'!$B$7:$B$306,"&lt;="&amp;DATE($B$3,2,31),'Leave log'!$C$7:$C$306,"&gt;="&amp;DATE($B$3,2,31),'Leave log'!$F$7:$F$306,"Approved")&gt;0,"A",""))="A","A",IF(OR(DATE($B$3,2,31)&gt;EOMONTH(DATE($B$3,2,1),0),NETWORKDAYS.INTL(DATE($B$3,2,31),DATE($B$3,2,31),1,'Non-working days'!$A$6:$A$45)=0),"",IF(COUNTIFS('Leave log'!$A$7:$A$306,Employees!$A$19,'Leave log'!$B$7:$B$306,"&lt;="&amp;DATE($B$3,2,31),'Leave log'!$C$7:$C$306,"&gt;="&amp;DATE($B$3,2,31),'Leave log'!$F$7:$F$306,"Pending")&gt;0,"P",""))))</f>
        <v/>
      </c>
    </row>
    <row r="55" spans="1:32" ht="18" customHeight="1" x14ac:dyDescent="0.3">
      <c r="A55" s="22" t="str">
        <f>IF(Employees!F20="Yes",Employees!B20,"")</f>
        <v/>
      </c>
      <c r="B55" s="23" t="str">
        <f>IF(A55="","",IF(IF(OR(DATE($B$3,2,1)&gt;EOMONTH(DATE($B$3,2,1),0),NETWORKDAYS.INTL(DATE($B$3,2,1),DATE($B$3,2,1),1,'Non-working days'!$A$6:$A$45)=0),"",IF(COUNTIFS('Leave log'!$A$7:$A$306,Employees!$A$20,'Leave log'!$B$7:$B$306,"&lt;="&amp;DATE($B$3,2,1),'Leave log'!$C$7:$C$306,"&gt;="&amp;DATE($B$3,2,1),'Leave log'!$F$7:$F$306,"Approved")&gt;0,"A",""))="A","A",IF(OR(DATE($B$3,2,1)&gt;EOMONTH(DATE($B$3,2,1),0),NETWORKDAYS.INTL(DATE($B$3,2,1),DATE($B$3,2,1),1,'Non-working days'!$A$6:$A$45)=0),"",IF(COUNTIFS('Leave log'!$A$7:$A$306,Employees!$A$20,'Leave log'!$B$7:$B$306,"&lt;="&amp;DATE($B$3,2,1),'Leave log'!$C$7:$C$306,"&gt;="&amp;DATE($B$3,2,1),'Leave log'!$F$7:$F$306,"Pending")&gt;0,"P",""))))</f>
        <v/>
      </c>
      <c r="C55" s="23" t="str">
        <f>IF(A55="","",IF(IF(OR(DATE($B$3,2,2)&gt;EOMONTH(DATE($B$3,2,1),0),NETWORKDAYS.INTL(DATE($B$3,2,2),DATE($B$3,2,2),1,'Non-working days'!$A$6:$A$45)=0),"",IF(COUNTIFS('Leave log'!$A$7:$A$306,Employees!$A$20,'Leave log'!$B$7:$B$306,"&lt;="&amp;DATE($B$3,2,2),'Leave log'!$C$7:$C$306,"&gt;="&amp;DATE($B$3,2,2),'Leave log'!$F$7:$F$306,"Approved")&gt;0,"A",""))="A","A",IF(OR(DATE($B$3,2,2)&gt;EOMONTH(DATE($B$3,2,1),0),NETWORKDAYS.INTL(DATE($B$3,2,2),DATE($B$3,2,2),1,'Non-working days'!$A$6:$A$45)=0),"",IF(COUNTIFS('Leave log'!$A$7:$A$306,Employees!$A$20,'Leave log'!$B$7:$B$306,"&lt;="&amp;DATE($B$3,2,2),'Leave log'!$C$7:$C$306,"&gt;="&amp;DATE($B$3,2,2),'Leave log'!$F$7:$F$306,"Pending")&gt;0,"P",""))))</f>
        <v/>
      </c>
      <c r="D55" s="23" t="str">
        <f>IF(A55="","",IF(IF(OR(DATE($B$3,2,3)&gt;EOMONTH(DATE($B$3,2,1),0),NETWORKDAYS.INTL(DATE($B$3,2,3),DATE($B$3,2,3),1,'Non-working days'!$A$6:$A$45)=0),"",IF(COUNTIFS('Leave log'!$A$7:$A$306,Employees!$A$20,'Leave log'!$B$7:$B$306,"&lt;="&amp;DATE($B$3,2,3),'Leave log'!$C$7:$C$306,"&gt;="&amp;DATE($B$3,2,3),'Leave log'!$F$7:$F$306,"Approved")&gt;0,"A",""))="A","A",IF(OR(DATE($B$3,2,3)&gt;EOMONTH(DATE($B$3,2,1),0),NETWORKDAYS.INTL(DATE($B$3,2,3),DATE($B$3,2,3),1,'Non-working days'!$A$6:$A$45)=0),"",IF(COUNTIFS('Leave log'!$A$7:$A$306,Employees!$A$20,'Leave log'!$B$7:$B$306,"&lt;="&amp;DATE($B$3,2,3),'Leave log'!$C$7:$C$306,"&gt;="&amp;DATE($B$3,2,3),'Leave log'!$F$7:$F$306,"Pending")&gt;0,"P",""))))</f>
        <v/>
      </c>
      <c r="E55" s="23" t="str">
        <f>IF(A55="","",IF(IF(OR(DATE($B$3,2,4)&gt;EOMONTH(DATE($B$3,2,1),0),NETWORKDAYS.INTL(DATE($B$3,2,4),DATE($B$3,2,4),1,'Non-working days'!$A$6:$A$45)=0),"",IF(COUNTIFS('Leave log'!$A$7:$A$306,Employees!$A$20,'Leave log'!$B$7:$B$306,"&lt;="&amp;DATE($B$3,2,4),'Leave log'!$C$7:$C$306,"&gt;="&amp;DATE($B$3,2,4),'Leave log'!$F$7:$F$306,"Approved")&gt;0,"A",""))="A","A",IF(OR(DATE($B$3,2,4)&gt;EOMONTH(DATE($B$3,2,1),0),NETWORKDAYS.INTL(DATE($B$3,2,4),DATE($B$3,2,4),1,'Non-working days'!$A$6:$A$45)=0),"",IF(COUNTIFS('Leave log'!$A$7:$A$306,Employees!$A$20,'Leave log'!$B$7:$B$306,"&lt;="&amp;DATE($B$3,2,4),'Leave log'!$C$7:$C$306,"&gt;="&amp;DATE($B$3,2,4),'Leave log'!$F$7:$F$306,"Pending")&gt;0,"P",""))))</f>
        <v/>
      </c>
      <c r="F55" s="23" t="str">
        <f>IF(A55="","",IF(IF(OR(DATE($B$3,2,5)&gt;EOMONTH(DATE($B$3,2,1),0),NETWORKDAYS.INTL(DATE($B$3,2,5),DATE($B$3,2,5),1,'Non-working days'!$A$6:$A$45)=0),"",IF(COUNTIFS('Leave log'!$A$7:$A$306,Employees!$A$20,'Leave log'!$B$7:$B$306,"&lt;="&amp;DATE($B$3,2,5),'Leave log'!$C$7:$C$306,"&gt;="&amp;DATE($B$3,2,5),'Leave log'!$F$7:$F$306,"Approved")&gt;0,"A",""))="A","A",IF(OR(DATE($B$3,2,5)&gt;EOMONTH(DATE($B$3,2,1),0),NETWORKDAYS.INTL(DATE($B$3,2,5),DATE($B$3,2,5),1,'Non-working days'!$A$6:$A$45)=0),"",IF(COUNTIFS('Leave log'!$A$7:$A$306,Employees!$A$20,'Leave log'!$B$7:$B$306,"&lt;="&amp;DATE($B$3,2,5),'Leave log'!$C$7:$C$306,"&gt;="&amp;DATE($B$3,2,5),'Leave log'!$F$7:$F$306,"Pending")&gt;0,"P",""))))</f>
        <v/>
      </c>
      <c r="G55" s="23" t="str">
        <f>IF(A55="","",IF(IF(OR(DATE($B$3,2,6)&gt;EOMONTH(DATE($B$3,2,1),0),NETWORKDAYS.INTL(DATE($B$3,2,6),DATE($B$3,2,6),1,'Non-working days'!$A$6:$A$45)=0),"",IF(COUNTIFS('Leave log'!$A$7:$A$306,Employees!$A$20,'Leave log'!$B$7:$B$306,"&lt;="&amp;DATE($B$3,2,6),'Leave log'!$C$7:$C$306,"&gt;="&amp;DATE($B$3,2,6),'Leave log'!$F$7:$F$306,"Approved")&gt;0,"A",""))="A","A",IF(OR(DATE($B$3,2,6)&gt;EOMONTH(DATE($B$3,2,1),0),NETWORKDAYS.INTL(DATE($B$3,2,6),DATE($B$3,2,6),1,'Non-working days'!$A$6:$A$45)=0),"",IF(COUNTIFS('Leave log'!$A$7:$A$306,Employees!$A$20,'Leave log'!$B$7:$B$306,"&lt;="&amp;DATE($B$3,2,6),'Leave log'!$C$7:$C$306,"&gt;="&amp;DATE($B$3,2,6),'Leave log'!$F$7:$F$306,"Pending")&gt;0,"P",""))))</f>
        <v/>
      </c>
      <c r="H55" s="23" t="str">
        <f>IF(A55="","",IF(IF(OR(DATE($B$3,2,7)&gt;EOMONTH(DATE($B$3,2,1),0),NETWORKDAYS.INTL(DATE($B$3,2,7),DATE($B$3,2,7),1,'Non-working days'!$A$6:$A$45)=0),"",IF(COUNTIFS('Leave log'!$A$7:$A$306,Employees!$A$20,'Leave log'!$B$7:$B$306,"&lt;="&amp;DATE($B$3,2,7),'Leave log'!$C$7:$C$306,"&gt;="&amp;DATE($B$3,2,7),'Leave log'!$F$7:$F$306,"Approved")&gt;0,"A",""))="A","A",IF(OR(DATE($B$3,2,7)&gt;EOMONTH(DATE($B$3,2,1),0),NETWORKDAYS.INTL(DATE($B$3,2,7),DATE($B$3,2,7),1,'Non-working days'!$A$6:$A$45)=0),"",IF(COUNTIFS('Leave log'!$A$7:$A$306,Employees!$A$20,'Leave log'!$B$7:$B$306,"&lt;="&amp;DATE($B$3,2,7),'Leave log'!$C$7:$C$306,"&gt;="&amp;DATE($B$3,2,7),'Leave log'!$F$7:$F$306,"Pending")&gt;0,"P",""))))</f>
        <v/>
      </c>
      <c r="I55" s="23" t="str">
        <f>IF(A55="","",IF(IF(OR(DATE($B$3,2,8)&gt;EOMONTH(DATE($B$3,2,1),0),NETWORKDAYS.INTL(DATE($B$3,2,8),DATE($B$3,2,8),1,'Non-working days'!$A$6:$A$45)=0),"",IF(COUNTIFS('Leave log'!$A$7:$A$306,Employees!$A$20,'Leave log'!$B$7:$B$306,"&lt;="&amp;DATE($B$3,2,8),'Leave log'!$C$7:$C$306,"&gt;="&amp;DATE($B$3,2,8),'Leave log'!$F$7:$F$306,"Approved")&gt;0,"A",""))="A","A",IF(OR(DATE($B$3,2,8)&gt;EOMONTH(DATE($B$3,2,1),0),NETWORKDAYS.INTL(DATE($B$3,2,8),DATE($B$3,2,8),1,'Non-working days'!$A$6:$A$45)=0),"",IF(COUNTIFS('Leave log'!$A$7:$A$306,Employees!$A$20,'Leave log'!$B$7:$B$306,"&lt;="&amp;DATE($B$3,2,8),'Leave log'!$C$7:$C$306,"&gt;="&amp;DATE($B$3,2,8),'Leave log'!$F$7:$F$306,"Pending")&gt;0,"P",""))))</f>
        <v/>
      </c>
      <c r="J55" s="23" t="str">
        <f>IF(A55="","",IF(IF(OR(DATE($B$3,2,9)&gt;EOMONTH(DATE($B$3,2,1),0),NETWORKDAYS.INTL(DATE($B$3,2,9),DATE($B$3,2,9),1,'Non-working days'!$A$6:$A$45)=0),"",IF(COUNTIFS('Leave log'!$A$7:$A$306,Employees!$A$20,'Leave log'!$B$7:$B$306,"&lt;="&amp;DATE($B$3,2,9),'Leave log'!$C$7:$C$306,"&gt;="&amp;DATE($B$3,2,9),'Leave log'!$F$7:$F$306,"Approved")&gt;0,"A",""))="A","A",IF(OR(DATE($B$3,2,9)&gt;EOMONTH(DATE($B$3,2,1),0),NETWORKDAYS.INTL(DATE($B$3,2,9),DATE($B$3,2,9),1,'Non-working days'!$A$6:$A$45)=0),"",IF(COUNTIFS('Leave log'!$A$7:$A$306,Employees!$A$20,'Leave log'!$B$7:$B$306,"&lt;="&amp;DATE($B$3,2,9),'Leave log'!$C$7:$C$306,"&gt;="&amp;DATE($B$3,2,9),'Leave log'!$F$7:$F$306,"Pending")&gt;0,"P",""))))</f>
        <v/>
      </c>
      <c r="K55" s="23" t="str">
        <f>IF(A55="","",IF(IF(OR(DATE($B$3,2,10)&gt;EOMONTH(DATE($B$3,2,1),0),NETWORKDAYS.INTL(DATE($B$3,2,10),DATE($B$3,2,10),1,'Non-working days'!$A$6:$A$45)=0),"",IF(COUNTIFS('Leave log'!$A$7:$A$306,Employees!$A$20,'Leave log'!$B$7:$B$306,"&lt;="&amp;DATE($B$3,2,10),'Leave log'!$C$7:$C$306,"&gt;="&amp;DATE($B$3,2,10),'Leave log'!$F$7:$F$306,"Approved")&gt;0,"A",""))="A","A",IF(OR(DATE($B$3,2,10)&gt;EOMONTH(DATE($B$3,2,1),0),NETWORKDAYS.INTL(DATE($B$3,2,10),DATE($B$3,2,10),1,'Non-working days'!$A$6:$A$45)=0),"",IF(COUNTIFS('Leave log'!$A$7:$A$306,Employees!$A$20,'Leave log'!$B$7:$B$306,"&lt;="&amp;DATE($B$3,2,10),'Leave log'!$C$7:$C$306,"&gt;="&amp;DATE($B$3,2,10),'Leave log'!$F$7:$F$306,"Pending")&gt;0,"P",""))))</f>
        <v/>
      </c>
      <c r="L55" s="23" t="str">
        <f>IF(A55="","",IF(IF(OR(DATE($B$3,2,11)&gt;EOMONTH(DATE($B$3,2,1),0),NETWORKDAYS.INTL(DATE($B$3,2,11),DATE($B$3,2,11),1,'Non-working days'!$A$6:$A$45)=0),"",IF(COUNTIFS('Leave log'!$A$7:$A$306,Employees!$A$20,'Leave log'!$B$7:$B$306,"&lt;="&amp;DATE($B$3,2,11),'Leave log'!$C$7:$C$306,"&gt;="&amp;DATE($B$3,2,11),'Leave log'!$F$7:$F$306,"Approved")&gt;0,"A",""))="A","A",IF(OR(DATE($B$3,2,11)&gt;EOMONTH(DATE($B$3,2,1),0),NETWORKDAYS.INTL(DATE($B$3,2,11),DATE($B$3,2,11),1,'Non-working days'!$A$6:$A$45)=0),"",IF(COUNTIFS('Leave log'!$A$7:$A$306,Employees!$A$20,'Leave log'!$B$7:$B$306,"&lt;="&amp;DATE($B$3,2,11),'Leave log'!$C$7:$C$306,"&gt;="&amp;DATE($B$3,2,11),'Leave log'!$F$7:$F$306,"Pending")&gt;0,"P",""))))</f>
        <v/>
      </c>
      <c r="M55" s="23" t="str">
        <f>IF(A55="","",IF(IF(OR(DATE($B$3,2,12)&gt;EOMONTH(DATE($B$3,2,1),0),NETWORKDAYS.INTL(DATE($B$3,2,12),DATE($B$3,2,12),1,'Non-working days'!$A$6:$A$45)=0),"",IF(COUNTIFS('Leave log'!$A$7:$A$306,Employees!$A$20,'Leave log'!$B$7:$B$306,"&lt;="&amp;DATE($B$3,2,12),'Leave log'!$C$7:$C$306,"&gt;="&amp;DATE($B$3,2,12),'Leave log'!$F$7:$F$306,"Approved")&gt;0,"A",""))="A","A",IF(OR(DATE($B$3,2,12)&gt;EOMONTH(DATE($B$3,2,1),0),NETWORKDAYS.INTL(DATE($B$3,2,12),DATE($B$3,2,12),1,'Non-working days'!$A$6:$A$45)=0),"",IF(COUNTIFS('Leave log'!$A$7:$A$306,Employees!$A$20,'Leave log'!$B$7:$B$306,"&lt;="&amp;DATE($B$3,2,12),'Leave log'!$C$7:$C$306,"&gt;="&amp;DATE($B$3,2,12),'Leave log'!$F$7:$F$306,"Pending")&gt;0,"P",""))))</f>
        <v/>
      </c>
      <c r="N55" s="23" t="str">
        <f>IF(A55="","",IF(IF(OR(DATE($B$3,2,13)&gt;EOMONTH(DATE($B$3,2,1),0),NETWORKDAYS.INTL(DATE($B$3,2,13),DATE($B$3,2,13),1,'Non-working days'!$A$6:$A$45)=0),"",IF(COUNTIFS('Leave log'!$A$7:$A$306,Employees!$A$20,'Leave log'!$B$7:$B$306,"&lt;="&amp;DATE($B$3,2,13),'Leave log'!$C$7:$C$306,"&gt;="&amp;DATE($B$3,2,13),'Leave log'!$F$7:$F$306,"Approved")&gt;0,"A",""))="A","A",IF(OR(DATE($B$3,2,13)&gt;EOMONTH(DATE($B$3,2,1),0),NETWORKDAYS.INTL(DATE($B$3,2,13),DATE($B$3,2,13),1,'Non-working days'!$A$6:$A$45)=0),"",IF(COUNTIFS('Leave log'!$A$7:$A$306,Employees!$A$20,'Leave log'!$B$7:$B$306,"&lt;="&amp;DATE($B$3,2,13),'Leave log'!$C$7:$C$306,"&gt;="&amp;DATE($B$3,2,13),'Leave log'!$F$7:$F$306,"Pending")&gt;0,"P",""))))</f>
        <v/>
      </c>
      <c r="O55" s="23" t="str">
        <f>IF(A55="","",IF(IF(OR(DATE($B$3,2,14)&gt;EOMONTH(DATE($B$3,2,1),0),NETWORKDAYS.INTL(DATE($B$3,2,14),DATE($B$3,2,14),1,'Non-working days'!$A$6:$A$45)=0),"",IF(COUNTIFS('Leave log'!$A$7:$A$306,Employees!$A$20,'Leave log'!$B$7:$B$306,"&lt;="&amp;DATE($B$3,2,14),'Leave log'!$C$7:$C$306,"&gt;="&amp;DATE($B$3,2,14),'Leave log'!$F$7:$F$306,"Approved")&gt;0,"A",""))="A","A",IF(OR(DATE($B$3,2,14)&gt;EOMONTH(DATE($B$3,2,1),0),NETWORKDAYS.INTL(DATE($B$3,2,14),DATE($B$3,2,14),1,'Non-working days'!$A$6:$A$45)=0),"",IF(COUNTIFS('Leave log'!$A$7:$A$306,Employees!$A$20,'Leave log'!$B$7:$B$306,"&lt;="&amp;DATE($B$3,2,14),'Leave log'!$C$7:$C$306,"&gt;="&amp;DATE($B$3,2,14),'Leave log'!$F$7:$F$306,"Pending")&gt;0,"P",""))))</f>
        <v/>
      </c>
      <c r="P55" s="23" t="str">
        <f>IF(A55="","",IF(IF(OR(DATE($B$3,2,15)&gt;EOMONTH(DATE($B$3,2,1),0),NETWORKDAYS.INTL(DATE($B$3,2,15),DATE($B$3,2,15),1,'Non-working days'!$A$6:$A$45)=0),"",IF(COUNTIFS('Leave log'!$A$7:$A$306,Employees!$A$20,'Leave log'!$B$7:$B$306,"&lt;="&amp;DATE($B$3,2,15),'Leave log'!$C$7:$C$306,"&gt;="&amp;DATE($B$3,2,15),'Leave log'!$F$7:$F$306,"Approved")&gt;0,"A",""))="A","A",IF(OR(DATE($B$3,2,15)&gt;EOMONTH(DATE($B$3,2,1),0),NETWORKDAYS.INTL(DATE($B$3,2,15),DATE($B$3,2,15),1,'Non-working days'!$A$6:$A$45)=0),"",IF(COUNTIFS('Leave log'!$A$7:$A$306,Employees!$A$20,'Leave log'!$B$7:$B$306,"&lt;="&amp;DATE($B$3,2,15),'Leave log'!$C$7:$C$306,"&gt;="&amp;DATE($B$3,2,15),'Leave log'!$F$7:$F$306,"Pending")&gt;0,"P",""))))</f>
        <v/>
      </c>
      <c r="Q55" s="23" t="str">
        <f>IF(A55="","",IF(IF(OR(DATE($B$3,2,16)&gt;EOMONTH(DATE($B$3,2,1),0),NETWORKDAYS.INTL(DATE($B$3,2,16),DATE($B$3,2,16),1,'Non-working days'!$A$6:$A$45)=0),"",IF(COUNTIFS('Leave log'!$A$7:$A$306,Employees!$A$20,'Leave log'!$B$7:$B$306,"&lt;="&amp;DATE($B$3,2,16),'Leave log'!$C$7:$C$306,"&gt;="&amp;DATE($B$3,2,16),'Leave log'!$F$7:$F$306,"Approved")&gt;0,"A",""))="A","A",IF(OR(DATE($B$3,2,16)&gt;EOMONTH(DATE($B$3,2,1),0),NETWORKDAYS.INTL(DATE($B$3,2,16),DATE($B$3,2,16),1,'Non-working days'!$A$6:$A$45)=0),"",IF(COUNTIFS('Leave log'!$A$7:$A$306,Employees!$A$20,'Leave log'!$B$7:$B$306,"&lt;="&amp;DATE($B$3,2,16),'Leave log'!$C$7:$C$306,"&gt;="&amp;DATE($B$3,2,16),'Leave log'!$F$7:$F$306,"Pending")&gt;0,"P",""))))</f>
        <v/>
      </c>
      <c r="R55" s="23" t="str">
        <f>IF(A55="","",IF(IF(OR(DATE($B$3,2,17)&gt;EOMONTH(DATE($B$3,2,1),0),NETWORKDAYS.INTL(DATE($B$3,2,17),DATE($B$3,2,17),1,'Non-working days'!$A$6:$A$45)=0),"",IF(COUNTIFS('Leave log'!$A$7:$A$306,Employees!$A$20,'Leave log'!$B$7:$B$306,"&lt;="&amp;DATE($B$3,2,17),'Leave log'!$C$7:$C$306,"&gt;="&amp;DATE($B$3,2,17),'Leave log'!$F$7:$F$306,"Approved")&gt;0,"A",""))="A","A",IF(OR(DATE($B$3,2,17)&gt;EOMONTH(DATE($B$3,2,1),0),NETWORKDAYS.INTL(DATE($B$3,2,17),DATE($B$3,2,17),1,'Non-working days'!$A$6:$A$45)=0),"",IF(COUNTIFS('Leave log'!$A$7:$A$306,Employees!$A$20,'Leave log'!$B$7:$B$306,"&lt;="&amp;DATE($B$3,2,17),'Leave log'!$C$7:$C$306,"&gt;="&amp;DATE($B$3,2,17),'Leave log'!$F$7:$F$306,"Pending")&gt;0,"P",""))))</f>
        <v/>
      </c>
      <c r="S55" s="23" t="str">
        <f>IF(A55="","",IF(IF(OR(DATE($B$3,2,18)&gt;EOMONTH(DATE($B$3,2,1),0),NETWORKDAYS.INTL(DATE($B$3,2,18),DATE($B$3,2,18),1,'Non-working days'!$A$6:$A$45)=0),"",IF(COUNTIFS('Leave log'!$A$7:$A$306,Employees!$A$20,'Leave log'!$B$7:$B$306,"&lt;="&amp;DATE($B$3,2,18),'Leave log'!$C$7:$C$306,"&gt;="&amp;DATE($B$3,2,18),'Leave log'!$F$7:$F$306,"Approved")&gt;0,"A",""))="A","A",IF(OR(DATE($B$3,2,18)&gt;EOMONTH(DATE($B$3,2,1),0),NETWORKDAYS.INTL(DATE($B$3,2,18),DATE($B$3,2,18),1,'Non-working days'!$A$6:$A$45)=0),"",IF(COUNTIFS('Leave log'!$A$7:$A$306,Employees!$A$20,'Leave log'!$B$7:$B$306,"&lt;="&amp;DATE($B$3,2,18),'Leave log'!$C$7:$C$306,"&gt;="&amp;DATE($B$3,2,18),'Leave log'!$F$7:$F$306,"Pending")&gt;0,"P",""))))</f>
        <v/>
      </c>
      <c r="T55" s="23" t="str">
        <f>IF(A55="","",IF(IF(OR(DATE($B$3,2,19)&gt;EOMONTH(DATE($B$3,2,1),0),NETWORKDAYS.INTL(DATE($B$3,2,19),DATE($B$3,2,19),1,'Non-working days'!$A$6:$A$45)=0),"",IF(COUNTIFS('Leave log'!$A$7:$A$306,Employees!$A$20,'Leave log'!$B$7:$B$306,"&lt;="&amp;DATE($B$3,2,19),'Leave log'!$C$7:$C$306,"&gt;="&amp;DATE($B$3,2,19),'Leave log'!$F$7:$F$306,"Approved")&gt;0,"A",""))="A","A",IF(OR(DATE($B$3,2,19)&gt;EOMONTH(DATE($B$3,2,1),0),NETWORKDAYS.INTL(DATE($B$3,2,19),DATE($B$3,2,19),1,'Non-working days'!$A$6:$A$45)=0),"",IF(COUNTIFS('Leave log'!$A$7:$A$306,Employees!$A$20,'Leave log'!$B$7:$B$306,"&lt;="&amp;DATE($B$3,2,19),'Leave log'!$C$7:$C$306,"&gt;="&amp;DATE($B$3,2,19),'Leave log'!$F$7:$F$306,"Pending")&gt;0,"P",""))))</f>
        <v/>
      </c>
      <c r="U55" s="23" t="str">
        <f>IF(A55="","",IF(IF(OR(DATE($B$3,2,20)&gt;EOMONTH(DATE($B$3,2,1),0),NETWORKDAYS.INTL(DATE($B$3,2,20),DATE($B$3,2,20),1,'Non-working days'!$A$6:$A$45)=0),"",IF(COUNTIFS('Leave log'!$A$7:$A$306,Employees!$A$20,'Leave log'!$B$7:$B$306,"&lt;="&amp;DATE($B$3,2,20),'Leave log'!$C$7:$C$306,"&gt;="&amp;DATE($B$3,2,20),'Leave log'!$F$7:$F$306,"Approved")&gt;0,"A",""))="A","A",IF(OR(DATE($B$3,2,20)&gt;EOMONTH(DATE($B$3,2,1),0),NETWORKDAYS.INTL(DATE($B$3,2,20),DATE($B$3,2,20),1,'Non-working days'!$A$6:$A$45)=0),"",IF(COUNTIFS('Leave log'!$A$7:$A$306,Employees!$A$20,'Leave log'!$B$7:$B$306,"&lt;="&amp;DATE($B$3,2,20),'Leave log'!$C$7:$C$306,"&gt;="&amp;DATE($B$3,2,20),'Leave log'!$F$7:$F$306,"Pending")&gt;0,"P",""))))</f>
        <v/>
      </c>
      <c r="V55" s="23" t="str">
        <f>IF(A55="","",IF(IF(OR(DATE($B$3,2,21)&gt;EOMONTH(DATE($B$3,2,1),0),NETWORKDAYS.INTL(DATE($B$3,2,21),DATE($B$3,2,21),1,'Non-working days'!$A$6:$A$45)=0),"",IF(COUNTIFS('Leave log'!$A$7:$A$306,Employees!$A$20,'Leave log'!$B$7:$B$306,"&lt;="&amp;DATE($B$3,2,21),'Leave log'!$C$7:$C$306,"&gt;="&amp;DATE($B$3,2,21),'Leave log'!$F$7:$F$306,"Approved")&gt;0,"A",""))="A","A",IF(OR(DATE($B$3,2,21)&gt;EOMONTH(DATE($B$3,2,1),0),NETWORKDAYS.INTL(DATE($B$3,2,21),DATE($B$3,2,21),1,'Non-working days'!$A$6:$A$45)=0),"",IF(COUNTIFS('Leave log'!$A$7:$A$306,Employees!$A$20,'Leave log'!$B$7:$B$306,"&lt;="&amp;DATE($B$3,2,21),'Leave log'!$C$7:$C$306,"&gt;="&amp;DATE($B$3,2,21),'Leave log'!$F$7:$F$306,"Pending")&gt;0,"P",""))))</f>
        <v/>
      </c>
      <c r="W55" s="23" t="str">
        <f>IF(A55="","",IF(IF(OR(DATE($B$3,2,22)&gt;EOMONTH(DATE($B$3,2,1),0),NETWORKDAYS.INTL(DATE($B$3,2,22),DATE($B$3,2,22),1,'Non-working days'!$A$6:$A$45)=0),"",IF(COUNTIFS('Leave log'!$A$7:$A$306,Employees!$A$20,'Leave log'!$B$7:$B$306,"&lt;="&amp;DATE($B$3,2,22),'Leave log'!$C$7:$C$306,"&gt;="&amp;DATE($B$3,2,22),'Leave log'!$F$7:$F$306,"Approved")&gt;0,"A",""))="A","A",IF(OR(DATE($B$3,2,22)&gt;EOMONTH(DATE($B$3,2,1),0),NETWORKDAYS.INTL(DATE($B$3,2,22),DATE($B$3,2,22),1,'Non-working days'!$A$6:$A$45)=0),"",IF(COUNTIFS('Leave log'!$A$7:$A$306,Employees!$A$20,'Leave log'!$B$7:$B$306,"&lt;="&amp;DATE($B$3,2,22),'Leave log'!$C$7:$C$306,"&gt;="&amp;DATE($B$3,2,22),'Leave log'!$F$7:$F$306,"Pending")&gt;0,"P",""))))</f>
        <v/>
      </c>
      <c r="X55" s="23" t="str">
        <f>IF(A55="","",IF(IF(OR(DATE($B$3,2,23)&gt;EOMONTH(DATE($B$3,2,1),0),NETWORKDAYS.INTL(DATE($B$3,2,23),DATE($B$3,2,23),1,'Non-working days'!$A$6:$A$45)=0),"",IF(COUNTIFS('Leave log'!$A$7:$A$306,Employees!$A$20,'Leave log'!$B$7:$B$306,"&lt;="&amp;DATE($B$3,2,23),'Leave log'!$C$7:$C$306,"&gt;="&amp;DATE($B$3,2,23),'Leave log'!$F$7:$F$306,"Approved")&gt;0,"A",""))="A","A",IF(OR(DATE($B$3,2,23)&gt;EOMONTH(DATE($B$3,2,1),0),NETWORKDAYS.INTL(DATE($B$3,2,23),DATE($B$3,2,23),1,'Non-working days'!$A$6:$A$45)=0),"",IF(COUNTIFS('Leave log'!$A$7:$A$306,Employees!$A$20,'Leave log'!$B$7:$B$306,"&lt;="&amp;DATE($B$3,2,23),'Leave log'!$C$7:$C$306,"&gt;="&amp;DATE($B$3,2,23),'Leave log'!$F$7:$F$306,"Pending")&gt;0,"P",""))))</f>
        <v/>
      </c>
      <c r="Y55" s="23" t="str">
        <f>IF(A55="","",IF(IF(OR(DATE($B$3,2,24)&gt;EOMONTH(DATE($B$3,2,1),0),NETWORKDAYS.INTL(DATE($B$3,2,24),DATE($B$3,2,24),1,'Non-working days'!$A$6:$A$45)=0),"",IF(COUNTIFS('Leave log'!$A$7:$A$306,Employees!$A$20,'Leave log'!$B$7:$B$306,"&lt;="&amp;DATE($B$3,2,24),'Leave log'!$C$7:$C$306,"&gt;="&amp;DATE($B$3,2,24),'Leave log'!$F$7:$F$306,"Approved")&gt;0,"A",""))="A","A",IF(OR(DATE($B$3,2,24)&gt;EOMONTH(DATE($B$3,2,1),0),NETWORKDAYS.INTL(DATE($B$3,2,24),DATE($B$3,2,24),1,'Non-working days'!$A$6:$A$45)=0),"",IF(COUNTIFS('Leave log'!$A$7:$A$306,Employees!$A$20,'Leave log'!$B$7:$B$306,"&lt;="&amp;DATE($B$3,2,24),'Leave log'!$C$7:$C$306,"&gt;="&amp;DATE($B$3,2,24),'Leave log'!$F$7:$F$306,"Pending")&gt;0,"P",""))))</f>
        <v/>
      </c>
      <c r="Z55" s="23" t="str">
        <f>IF(A55="","",IF(IF(OR(DATE($B$3,2,25)&gt;EOMONTH(DATE($B$3,2,1),0),NETWORKDAYS.INTL(DATE($B$3,2,25),DATE($B$3,2,25),1,'Non-working days'!$A$6:$A$45)=0),"",IF(COUNTIFS('Leave log'!$A$7:$A$306,Employees!$A$20,'Leave log'!$B$7:$B$306,"&lt;="&amp;DATE($B$3,2,25),'Leave log'!$C$7:$C$306,"&gt;="&amp;DATE($B$3,2,25),'Leave log'!$F$7:$F$306,"Approved")&gt;0,"A",""))="A","A",IF(OR(DATE($B$3,2,25)&gt;EOMONTH(DATE($B$3,2,1),0),NETWORKDAYS.INTL(DATE($B$3,2,25),DATE($B$3,2,25),1,'Non-working days'!$A$6:$A$45)=0),"",IF(COUNTIFS('Leave log'!$A$7:$A$306,Employees!$A$20,'Leave log'!$B$7:$B$306,"&lt;="&amp;DATE($B$3,2,25),'Leave log'!$C$7:$C$306,"&gt;="&amp;DATE($B$3,2,25),'Leave log'!$F$7:$F$306,"Pending")&gt;0,"P",""))))</f>
        <v/>
      </c>
      <c r="AA55" s="23" t="str">
        <f>IF(A55="","",IF(IF(OR(DATE($B$3,2,26)&gt;EOMONTH(DATE($B$3,2,1),0),NETWORKDAYS.INTL(DATE($B$3,2,26),DATE($B$3,2,26),1,'Non-working days'!$A$6:$A$45)=0),"",IF(COUNTIFS('Leave log'!$A$7:$A$306,Employees!$A$20,'Leave log'!$B$7:$B$306,"&lt;="&amp;DATE($B$3,2,26),'Leave log'!$C$7:$C$306,"&gt;="&amp;DATE($B$3,2,26),'Leave log'!$F$7:$F$306,"Approved")&gt;0,"A",""))="A","A",IF(OR(DATE($B$3,2,26)&gt;EOMONTH(DATE($B$3,2,1),0),NETWORKDAYS.INTL(DATE($B$3,2,26),DATE($B$3,2,26),1,'Non-working days'!$A$6:$A$45)=0),"",IF(COUNTIFS('Leave log'!$A$7:$A$306,Employees!$A$20,'Leave log'!$B$7:$B$306,"&lt;="&amp;DATE($B$3,2,26),'Leave log'!$C$7:$C$306,"&gt;="&amp;DATE($B$3,2,26),'Leave log'!$F$7:$F$306,"Pending")&gt;0,"P",""))))</f>
        <v/>
      </c>
      <c r="AB55" s="23" t="str">
        <f>IF(A55="","",IF(IF(OR(DATE($B$3,2,27)&gt;EOMONTH(DATE($B$3,2,1),0),NETWORKDAYS.INTL(DATE($B$3,2,27),DATE($B$3,2,27),1,'Non-working days'!$A$6:$A$45)=0),"",IF(COUNTIFS('Leave log'!$A$7:$A$306,Employees!$A$20,'Leave log'!$B$7:$B$306,"&lt;="&amp;DATE($B$3,2,27),'Leave log'!$C$7:$C$306,"&gt;="&amp;DATE($B$3,2,27),'Leave log'!$F$7:$F$306,"Approved")&gt;0,"A",""))="A","A",IF(OR(DATE($B$3,2,27)&gt;EOMONTH(DATE($B$3,2,1),0),NETWORKDAYS.INTL(DATE($B$3,2,27),DATE($B$3,2,27),1,'Non-working days'!$A$6:$A$45)=0),"",IF(COUNTIFS('Leave log'!$A$7:$A$306,Employees!$A$20,'Leave log'!$B$7:$B$306,"&lt;="&amp;DATE($B$3,2,27),'Leave log'!$C$7:$C$306,"&gt;="&amp;DATE($B$3,2,27),'Leave log'!$F$7:$F$306,"Pending")&gt;0,"P",""))))</f>
        <v/>
      </c>
      <c r="AC55" s="23" t="str">
        <f>IF(A55="","",IF(IF(OR(DATE($B$3,2,28)&gt;EOMONTH(DATE($B$3,2,1),0),NETWORKDAYS.INTL(DATE($B$3,2,28),DATE($B$3,2,28),1,'Non-working days'!$A$6:$A$45)=0),"",IF(COUNTIFS('Leave log'!$A$7:$A$306,Employees!$A$20,'Leave log'!$B$7:$B$306,"&lt;="&amp;DATE($B$3,2,28),'Leave log'!$C$7:$C$306,"&gt;="&amp;DATE($B$3,2,28),'Leave log'!$F$7:$F$306,"Approved")&gt;0,"A",""))="A","A",IF(OR(DATE($B$3,2,28)&gt;EOMONTH(DATE($B$3,2,1),0),NETWORKDAYS.INTL(DATE($B$3,2,28),DATE($B$3,2,28),1,'Non-working days'!$A$6:$A$45)=0),"",IF(COUNTIFS('Leave log'!$A$7:$A$306,Employees!$A$20,'Leave log'!$B$7:$B$306,"&lt;="&amp;DATE($B$3,2,28),'Leave log'!$C$7:$C$306,"&gt;="&amp;DATE($B$3,2,28),'Leave log'!$F$7:$F$306,"Pending")&gt;0,"P",""))))</f>
        <v/>
      </c>
      <c r="AD55" s="23" t="str">
        <f>IF(A55="","",IF(IF(OR(DATE($B$3,2,29)&gt;EOMONTH(DATE($B$3,2,1),0),NETWORKDAYS.INTL(DATE($B$3,2,29),DATE($B$3,2,29),1,'Non-working days'!$A$6:$A$45)=0),"",IF(COUNTIFS('Leave log'!$A$7:$A$306,Employees!$A$20,'Leave log'!$B$7:$B$306,"&lt;="&amp;DATE($B$3,2,29),'Leave log'!$C$7:$C$306,"&gt;="&amp;DATE($B$3,2,29),'Leave log'!$F$7:$F$306,"Approved")&gt;0,"A",""))="A","A",IF(OR(DATE($B$3,2,29)&gt;EOMONTH(DATE($B$3,2,1),0),NETWORKDAYS.INTL(DATE($B$3,2,29),DATE($B$3,2,29),1,'Non-working days'!$A$6:$A$45)=0),"",IF(COUNTIFS('Leave log'!$A$7:$A$306,Employees!$A$20,'Leave log'!$B$7:$B$306,"&lt;="&amp;DATE($B$3,2,29),'Leave log'!$C$7:$C$306,"&gt;="&amp;DATE($B$3,2,29),'Leave log'!$F$7:$F$306,"Pending")&gt;0,"P",""))))</f>
        <v/>
      </c>
      <c r="AE55" s="23" t="str">
        <f>IF(A55="","",IF(IF(OR(DATE($B$3,2,30)&gt;EOMONTH(DATE($B$3,2,1),0),NETWORKDAYS.INTL(DATE($B$3,2,30),DATE($B$3,2,30),1,'Non-working days'!$A$6:$A$45)=0),"",IF(COUNTIFS('Leave log'!$A$7:$A$306,Employees!$A$20,'Leave log'!$B$7:$B$306,"&lt;="&amp;DATE($B$3,2,30),'Leave log'!$C$7:$C$306,"&gt;="&amp;DATE($B$3,2,30),'Leave log'!$F$7:$F$306,"Approved")&gt;0,"A",""))="A","A",IF(OR(DATE($B$3,2,30)&gt;EOMONTH(DATE($B$3,2,1),0),NETWORKDAYS.INTL(DATE($B$3,2,30),DATE($B$3,2,30),1,'Non-working days'!$A$6:$A$45)=0),"",IF(COUNTIFS('Leave log'!$A$7:$A$306,Employees!$A$20,'Leave log'!$B$7:$B$306,"&lt;="&amp;DATE($B$3,2,30),'Leave log'!$C$7:$C$306,"&gt;="&amp;DATE($B$3,2,30),'Leave log'!$F$7:$F$306,"Pending")&gt;0,"P",""))))</f>
        <v/>
      </c>
      <c r="AF55" s="23" t="str">
        <f>IF(A55="","",IF(IF(OR(DATE($B$3,2,31)&gt;EOMONTH(DATE($B$3,2,1),0),NETWORKDAYS.INTL(DATE($B$3,2,31),DATE($B$3,2,31),1,'Non-working days'!$A$6:$A$45)=0),"",IF(COUNTIFS('Leave log'!$A$7:$A$306,Employees!$A$20,'Leave log'!$B$7:$B$306,"&lt;="&amp;DATE($B$3,2,31),'Leave log'!$C$7:$C$306,"&gt;="&amp;DATE($B$3,2,31),'Leave log'!$F$7:$F$306,"Approved")&gt;0,"A",""))="A","A",IF(OR(DATE($B$3,2,31)&gt;EOMONTH(DATE($B$3,2,1),0),NETWORKDAYS.INTL(DATE($B$3,2,31),DATE($B$3,2,31),1,'Non-working days'!$A$6:$A$45)=0),"",IF(COUNTIFS('Leave log'!$A$7:$A$306,Employees!$A$20,'Leave log'!$B$7:$B$306,"&lt;="&amp;DATE($B$3,2,31),'Leave log'!$C$7:$C$306,"&gt;="&amp;DATE($B$3,2,31),'Leave log'!$F$7:$F$306,"Pending")&gt;0,"P",""))))</f>
        <v/>
      </c>
    </row>
    <row r="56" spans="1:32" ht="18" customHeight="1" x14ac:dyDescent="0.3">
      <c r="A56" s="22" t="str">
        <f>IF(Employees!F21="Yes",Employees!B21,"")</f>
        <v/>
      </c>
      <c r="B56" s="23" t="str">
        <f>IF(A56="","",IF(IF(OR(DATE($B$3,2,1)&gt;EOMONTH(DATE($B$3,2,1),0),NETWORKDAYS.INTL(DATE($B$3,2,1),DATE($B$3,2,1),1,'Non-working days'!$A$6:$A$45)=0),"",IF(COUNTIFS('Leave log'!$A$7:$A$306,Employees!$A$21,'Leave log'!$B$7:$B$306,"&lt;="&amp;DATE($B$3,2,1),'Leave log'!$C$7:$C$306,"&gt;="&amp;DATE($B$3,2,1),'Leave log'!$F$7:$F$306,"Approved")&gt;0,"A",""))="A","A",IF(OR(DATE($B$3,2,1)&gt;EOMONTH(DATE($B$3,2,1),0),NETWORKDAYS.INTL(DATE($B$3,2,1),DATE($B$3,2,1),1,'Non-working days'!$A$6:$A$45)=0),"",IF(COUNTIFS('Leave log'!$A$7:$A$306,Employees!$A$21,'Leave log'!$B$7:$B$306,"&lt;="&amp;DATE($B$3,2,1),'Leave log'!$C$7:$C$306,"&gt;="&amp;DATE($B$3,2,1),'Leave log'!$F$7:$F$306,"Pending")&gt;0,"P",""))))</f>
        <v/>
      </c>
      <c r="C56" s="23" t="str">
        <f>IF(A56="","",IF(IF(OR(DATE($B$3,2,2)&gt;EOMONTH(DATE($B$3,2,1),0),NETWORKDAYS.INTL(DATE($B$3,2,2),DATE($B$3,2,2),1,'Non-working days'!$A$6:$A$45)=0),"",IF(COUNTIFS('Leave log'!$A$7:$A$306,Employees!$A$21,'Leave log'!$B$7:$B$306,"&lt;="&amp;DATE($B$3,2,2),'Leave log'!$C$7:$C$306,"&gt;="&amp;DATE($B$3,2,2),'Leave log'!$F$7:$F$306,"Approved")&gt;0,"A",""))="A","A",IF(OR(DATE($B$3,2,2)&gt;EOMONTH(DATE($B$3,2,1),0),NETWORKDAYS.INTL(DATE($B$3,2,2),DATE($B$3,2,2),1,'Non-working days'!$A$6:$A$45)=0),"",IF(COUNTIFS('Leave log'!$A$7:$A$306,Employees!$A$21,'Leave log'!$B$7:$B$306,"&lt;="&amp;DATE($B$3,2,2),'Leave log'!$C$7:$C$306,"&gt;="&amp;DATE($B$3,2,2),'Leave log'!$F$7:$F$306,"Pending")&gt;0,"P",""))))</f>
        <v/>
      </c>
      <c r="D56" s="23" t="str">
        <f>IF(A56="","",IF(IF(OR(DATE($B$3,2,3)&gt;EOMONTH(DATE($B$3,2,1),0),NETWORKDAYS.INTL(DATE($B$3,2,3),DATE($B$3,2,3),1,'Non-working days'!$A$6:$A$45)=0),"",IF(COUNTIFS('Leave log'!$A$7:$A$306,Employees!$A$21,'Leave log'!$B$7:$B$306,"&lt;="&amp;DATE($B$3,2,3),'Leave log'!$C$7:$C$306,"&gt;="&amp;DATE($B$3,2,3),'Leave log'!$F$7:$F$306,"Approved")&gt;0,"A",""))="A","A",IF(OR(DATE($B$3,2,3)&gt;EOMONTH(DATE($B$3,2,1),0),NETWORKDAYS.INTL(DATE($B$3,2,3),DATE($B$3,2,3),1,'Non-working days'!$A$6:$A$45)=0),"",IF(COUNTIFS('Leave log'!$A$7:$A$306,Employees!$A$21,'Leave log'!$B$7:$B$306,"&lt;="&amp;DATE($B$3,2,3),'Leave log'!$C$7:$C$306,"&gt;="&amp;DATE($B$3,2,3),'Leave log'!$F$7:$F$306,"Pending")&gt;0,"P",""))))</f>
        <v/>
      </c>
      <c r="E56" s="23" t="str">
        <f>IF(A56="","",IF(IF(OR(DATE($B$3,2,4)&gt;EOMONTH(DATE($B$3,2,1),0),NETWORKDAYS.INTL(DATE($B$3,2,4),DATE($B$3,2,4),1,'Non-working days'!$A$6:$A$45)=0),"",IF(COUNTIFS('Leave log'!$A$7:$A$306,Employees!$A$21,'Leave log'!$B$7:$B$306,"&lt;="&amp;DATE($B$3,2,4),'Leave log'!$C$7:$C$306,"&gt;="&amp;DATE($B$3,2,4),'Leave log'!$F$7:$F$306,"Approved")&gt;0,"A",""))="A","A",IF(OR(DATE($B$3,2,4)&gt;EOMONTH(DATE($B$3,2,1),0),NETWORKDAYS.INTL(DATE($B$3,2,4),DATE($B$3,2,4),1,'Non-working days'!$A$6:$A$45)=0),"",IF(COUNTIFS('Leave log'!$A$7:$A$306,Employees!$A$21,'Leave log'!$B$7:$B$306,"&lt;="&amp;DATE($B$3,2,4),'Leave log'!$C$7:$C$306,"&gt;="&amp;DATE($B$3,2,4),'Leave log'!$F$7:$F$306,"Pending")&gt;0,"P",""))))</f>
        <v/>
      </c>
      <c r="F56" s="23" t="str">
        <f>IF(A56="","",IF(IF(OR(DATE($B$3,2,5)&gt;EOMONTH(DATE($B$3,2,1),0),NETWORKDAYS.INTL(DATE($B$3,2,5),DATE($B$3,2,5),1,'Non-working days'!$A$6:$A$45)=0),"",IF(COUNTIFS('Leave log'!$A$7:$A$306,Employees!$A$21,'Leave log'!$B$7:$B$306,"&lt;="&amp;DATE($B$3,2,5),'Leave log'!$C$7:$C$306,"&gt;="&amp;DATE($B$3,2,5),'Leave log'!$F$7:$F$306,"Approved")&gt;0,"A",""))="A","A",IF(OR(DATE($B$3,2,5)&gt;EOMONTH(DATE($B$3,2,1),0),NETWORKDAYS.INTL(DATE($B$3,2,5),DATE($B$3,2,5),1,'Non-working days'!$A$6:$A$45)=0),"",IF(COUNTIFS('Leave log'!$A$7:$A$306,Employees!$A$21,'Leave log'!$B$7:$B$306,"&lt;="&amp;DATE($B$3,2,5),'Leave log'!$C$7:$C$306,"&gt;="&amp;DATE($B$3,2,5),'Leave log'!$F$7:$F$306,"Pending")&gt;0,"P",""))))</f>
        <v/>
      </c>
      <c r="G56" s="23" t="str">
        <f>IF(A56="","",IF(IF(OR(DATE($B$3,2,6)&gt;EOMONTH(DATE($B$3,2,1),0),NETWORKDAYS.INTL(DATE($B$3,2,6),DATE($B$3,2,6),1,'Non-working days'!$A$6:$A$45)=0),"",IF(COUNTIFS('Leave log'!$A$7:$A$306,Employees!$A$21,'Leave log'!$B$7:$B$306,"&lt;="&amp;DATE($B$3,2,6),'Leave log'!$C$7:$C$306,"&gt;="&amp;DATE($B$3,2,6),'Leave log'!$F$7:$F$306,"Approved")&gt;0,"A",""))="A","A",IF(OR(DATE($B$3,2,6)&gt;EOMONTH(DATE($B$3,2,1),0),NETWORKDAYS.INTL(DATE($B$3,2,6),DATE($B$3,2,6),1,'Non-working days'!$A$6:$A$45)=0),"",IF(COUNTIFS('Leave log'!$A$7:$A$306,Employees!$A$21,'Leave log'!$B$7:$B$306,"&lt;="&amp;DATE($B$3,2,6),'Leave log'!$C$7:$C$306,"&gt;="&amp;DATE($B$3,2,6),'Leave log'!$F$7:$F$306,"Pending")&gt;0,"P",""))))</f>
        <v/>
      </c>
      <c r="H56" s="23" t="str">
        <f>IF(A56="","",IF(IF(OR(DATE($B$3,2,7)&gt;EOMONTH(DATE($B$3,2,1),0),NETWORKDAYS.INTL(DATE($B$3,2,7),DATE($B$3,2,7),1,'Non-working days'!$A$6:$A$45)=0),"",IF(COUNTIFS('Leave log'!$A$7:$A$306,Employees!$A$21,'Leave log'!$B$7:$B$306,"&lt;="&amp;DATE($B$3,2,7),'Leave log'!$C$7:$C$306,"&gt;="&amp;DATE($B$3,2,7),'Leave log'!$F$7:$F$306,"Approved")&gt;0,"A",""))="A","A",IF(OR(DATE($B$3,2,7)&gt;EOMONTH(DATE($B$3,2,1),0),NETWORKDAYS.INTL(DATE($B$3,2,7),DATE($B$3,2,7),1,'Non-working days'!$A$6:$A$45)=0),"",IF(COUNTIFS('Leave log'!$A$7:$A$306,Employees!$A$21,'Leave log'!$B$7:$B$306,"&lt;="&amp;DATE($B$3,2,7),'Leave log'!$C$7:$C$306,"&gt;="&amp;DATE($B$3,2,7),'Leave log'!$F$7:$F$306,"Pending")&gt;0,"P",""))))</f>
        <v/>
      </c>
      <c r="I56" s="23" t="str">
        <f>IF(A56="","",IF(IF(OR(DATE($B$3,2,8)&gt;EOMONTH(DATE($B$3,2,1),0),NETWORKDAYS.INTL(DATE($B$3,2,8),DATE($B$3,2,8),1,'Non-working days'!$A$6:$A$45)=0),"",IF(COUNTIFS('Leave log'!$A$7:$A$306,Employees!$A$21,'Leave log'!$B$7:$B$306,"&lt;="&amp;DATE($B$3,2,8),'Leave log'!$C$7:$C$306,"&gt;="&amp;DATE($B$3,2,8),'Leave log'!$F$7:$F$306,"Approved")&gt;0,"A",""))="A","A",IF(OR(DATE($B$3,2,8)&gt;EOMONTH(DATE($B$3,2,1),0),NETWORKDAYS.INTL(DATE($B$3,2,8),DATE($B$3,2,8),1,'Non-working days'!$A$6:$A$45)=0),"",IF(COUNTIFS('Leave log'!$A$7:$A$306,Employees!$A$21,'Leave log'!$B$7:$B$306,"&lt;="&amp;DATE($B$3,2,8),'Leave log'!$C$7:$C$306,"&gt;="&amp;DATE($B$3,2,8),'Leave log'!$F$7:$F$306,"Pending")&gt;0,"P",""))))</f>
        <v/>
      </c>
      <c r="J56" s="23" t="str">
        <f>IF(A56="","",IF(IF(OR(DATE($B$3,2,9)&gt;EOMONTH(DATE($B$3,2,1),0),NETWORKDAYS.INTL(DATE($B$3,2,9),DATE($B$3,2,9),1,'Non-working days'!$A$6:$A$45)=0),"",IF(COUNTIFS('Leave log'!$A$7:$A$306,Employees!$A$21,'Leave log'!$B$7:$B$306,"&lt;="&amp;DATE($B$3,2,9),'Leave log'!$C$7:$C$306,"&gt;="&amp;DATE($B$3,2,9),'Leave log'!$F$7:$F$306,"Approved")&gt;0,"A",""))="A","A",IF(OR(DATE($B$3,2,9)&gt;EOMONTH(DATE($B$3,2,1),0),NETWORKDAYS.INTL(DATE($B$3,2,9),DATE($B$3,2,9),1,'Non-working days'!$A$6:$A$45)=0),"",IF(COUNTIFS('Leave log'!$A$7:$A$306,Employees!$A$21,'Leave log'!$B$7:$B$306,"&lt;="&amp;DATE($B$3,2,9),'Leave log'!$C$7:$C$306,"&gt;="&amp;DATE($B$3,2,9),'Leave log'!$F$7:$F$306,"Pending")&gt;0,"P",""))))</f>
        <v/>
      </c>
      <c r="K56" s="23" t="str">
        <f>IF(A56="","",IF(IF(OR(DATE($B$3,2,10)&gt;EOMONTH(DATE($B$3,2,1),0),NETWORKDAYS.INTL(DATE($B$3,2,10),DATE($B$3,2,10),1,'Non-working days'!$A$6:$A$45)=0),"",IF(COUNTIFS('Leave log'!$A$7:$A$306,Employees!$A$21,'Leave log'!$B$7:$B$306,"&lt;="&amp;DATE($B$3,2,10),'Leave log'!$C$7:$C$306,"&gt;="&amp;DATE($B$3,2,10),'Leave log'!$F$7:$F$306,"Approved")&gt;0,"A",""))="A","A",IF(OR(DATE($B$3,2,10)&gt;EOMONTH(DATE($B$3,2,1),0),NETWORKDAYS.INTL(DATE($B$3,2,10),DATE($B$3,2,10),1,'Non-working days'!$A$6:$A$45)=0),"",IF(COUNTIFS('Leave log'!$A$7:$A$306,Employees!$A$21,'Leave log'!$B$7:$B$306,"&lt;="&amp;DATE($B$3,2,10),'Leave log'!$C$7:$C$306,"&gt;="&amp;DATE($B$3,2,10),'Leave log'!$F$7:$F$306,"Pending")&gt;0,"P",""))))</f>
        <v/>
      </c>
      <c r="L56" s="23" t="str">
        <f>IF(A56="","",IF(IF(OR(DATE($B$3,2,11)&gt;EOMONTH(DATE($B$3,2,1),0),NETWORKDAYS.INTL(DATE($B$3,2,11),DATE($B$3,2,11),1,'Non-working days'!$A$6:$A$45)=0),"",IF(COUNTIFS('Leave log'!$A$7:$A$306,Employees!$A$21,'Leave log'!$B$7:$B$306,"&lt;="&amp;DATE($B$3,2,11),'Leave log'!$C$7:$C$306,"&gt;="&amp;DATE($B$3,2,11),'Leave log'!$F$7:$F$306,"Approved")&gt;0,"A",""))="A","A",IF(OR(DATE($B$3,2,11)&gt;EOMONTH(DATE($B$3,2,1),0),NETWORKDAYS.INTL(DATE($B$3,2,11),DATE($B$3,2,11),1,'Non-working days'!$A$6:$A$45)=0),"",IF(COUNTIFS('Leave log'!$A$7:$A$306,Employees!$A$21,'Leave log'!$B$7:$B$306,"&lt;="&amp;DATE($B$3,2,11),'Leave log'!$C$7:$C$306,"&gt;="&amp;DATE($B$3,2,11),'Leave log'!$F$7:$F$306,"Pending")&gt;0,"P",""))))</f>
        <v/>
      </c>
      <c r="M56" s="23" t="str">
        <f>IF(A56="","",IF(IF(OR(DATE($B$3,2,12)&gt;EOMONTH(DATE($B$3,2,1),0),NETWORKDAYS.INTL(DATE($B$3,2,12),DATE($B$3,2,12),1,'Non-working days'!$A$6:$A$45)=0),"",IF(COUNTIFS('Leave log'!$A$7:$A$306,Employees!$A$21,'Leave log'!$B$7:$B$306,"&lt;="&amp;DATE($B$3,2,12),'Leave log'!$C$7:$C$306,"&gt;="&amp;DATE($B$3,2,12),'Leave log'!$F$7:$F$306,"Approved")&gt;0,"A",""))="A","A",IF(OR(DATE($B$3,2,12)&gt;EOMONTH(DATE($B$3,2,1),0),NETWORKDAYS.INTL(DATE($B$3,2,12),DATE($B$3,2,12),1,'Non-working days'!$A$6:$A$45)=0),"",IF(COUNTIFS('Leave log'!$A$7:$A$306,Employees!$A$21,'Leave log'!$B$7:$B$306,"&lt;="&amp;DATE($B$3,2,12),'Leave log'!$C$7:$C$306,"&gt;="&amp;DATE($B$3,2,12),'Leave log'!$F$7:$F$306,"Pending")&gt;0,"P",""))))</f>
        <v/>
      </c>
      <c r="N56" s="23" t="str">
        <f>IF(A56="","",IF(IF(OR(DATE($B$3,2,13)&gt;EOMONTH(DATE($B$3,2,1),0),NETWORKDAYS.INTL(DATE($B$3,2,13),DATE($B$3,2,13),1,'Non-working days'!$A$6:$A$45)=0),"",IF(COUNTIFS('Leave log'!$A$7:$A$306,Employees!$A$21,'Leave log'!$B$7:$B$306,"&lt;="&amp;DATE($B$3,2,13),'Leave log'!$C$7:$C$306,"&gt;="&amp;DATE($B$3,2,13),'Leave log'!$F$7:$F$306,"Approved")&gt;0,"A",""))="A","A",IF(OR(DATE($B$3,2,13)&gt;EOMONTH(DATE($B$3,2,1),0),NETWORKDAYS.INTL(DATE($B$3,2,13),DATE($B$3,2,13),1,'Non-working days'!$A$6:$A$45)=0),"",IF(COUNTIFS('Leave log'!$A$7:$A$306,Employees!$A$21,'Leave log'!$B$7:$B$306,"&lt;="&amp;DATE($B$3,2,13),'Leave log'!$C$7:$C$306,"&gt;="&amp;DATE($B$3,2,13),'Leave log'!$F$7:$F$306,"Pending")&gt;0,"P",""))))</f>
        <v/>
      </c>
      <c r="O56" s="23" t="str">
        <f>IF(A56="","",IF(IF(OR(DATE($B$3,2,14)&gt;EOMONTH(DATE($B$3,2,1),0),NETWORKDAYS.INTL(DATE($B$3,2,14),DATE($B$3,2,14),1,'Non-working days'!$A$6:$A$45)=0),"",IF(COUNTIFS('Leave log'!$A$7:$A$306,Employees!$A$21,'Leave log'!$B$7:$B$306,"&lt;="&amp;DATE($B$3,2,14),'Leave log'!$C$7:$C$306,"&gt;="&amp;DATE($B$3,2,14),'Leave log'!$F$7:$F$306,"Approved")&gt;0,"A",""))="A","A",IF(OR(DATE($B$3,2,14)&gt;EOMONTH(DATE($B$3,2,1),0),NETWORKDAYS.INTL(DATE($B$3,2,14),DATE($B$3,2,14),1,'Non-working days'!$A$6:$A$45)=0),"",IF(COUNTIFS('Leave log'!$A$7:$A$306,Employees!$A$21,'Leave log'!$B$7:$B$306,"&lt;="&amp;DATE($B$3,2,14),'Leave log'!$C$7:$C$306,"&gt;="&amp;DATE($B$3,2,14),'Leave log'!$F$7:$F$306,"Pending")&gt;0,"P",""))))</f>
        <v/>
      </c>
      <c r="P56" s="23" t="str">
        <f>IF(A56="","",IF(IF(OR(DATE($B$3,2,15)&gt;EOMONTH(DATE($B$3,2,1),0),NETWORKDAYS.INTL(DATE($B$3,2,15),DATE($B$3,2,15),1,'Non-working days'!$A$6:$A$45)=0),"",IF(COUNTIFS('Leave log'!$A$7:$A$306,Employees!$A$21,'Leave log'!$B$7:$B$306,"&lt;="&amp;DATE($B$3,2,15),'Leave log'!$C$7:$C$306,"&gt;="&amp;DATE($B$3,2,15),'Leave log'!$F$7:$F$306,"Approved")&gt;0,"A",""))="A","A",IF(OR(DATE($B$3,2,15)&gt;EOMONTH(DATE($B$3,2,1),0),NETWORKDAYS.INTL(DATE($B$3,2,15),DATE($B$3,2,15),1,'Non-working days'!$A$6:$A$45)=0),"",IF(COUNTIFS('Leave log'!$A$7:$A$306,Employees!$A$21,'Leave log'!$B$7:$B$306,"&lt;="&amp;DATE($B$3,2,15),'Leave log'!$C$7:$C$306,"&gt;="&amp;DATE($B$3,2,15),'Leave log'!$F$7:$F$306,"Pending")&gt;0,"P",""))))</f>
        <v/>
      </c>
      <c r="Q56" s="23" t="str">
        <f>IF(A56="","",IF(IF(OR(DATE($B$3,2,16)&gt;EOMONTH(DATE($B$3,2,1),0),NETWORKDAYS.INTL(DATE($B$3,2,16),DATE($B$3,2,16),1,'Non-working days'!$A$6:$A$45)=0),"",IF(COUNTIFS('Leave log'!$A$7:$A$306,Employees!$A$21,'Leave log'!$B$7:$B$306,"&lt;="&amp;DATE($B$3,2,16),'Leave log'!$C$7:$C$306,"&gt;="&amp;DATE($B$3,2,16),'Leave log'!$F$7:$F$306,"Approved")&gt;0,"A",""))="A","A",IF(OR(DATE($B$3,2,16)&gt;EOMONTH(DATE($B$3,2,1),0),NETWORKDAYS.INTL(DATE($B$3,2,16),DATE($B$3,2,16),1,'Non-working days'!$A$6:$A$45)=0),"",IF(COUNTIFS('Leave log'!$A$7:$A$306,Employees!$A$21,'Leave log'!$B$7:$B$306,"&lt;="&amp;DATE($B$3,2,16),'Leave log'!$C$7:$C$306,"&gt;="&amp;DATE($B$3,2,16),'Leave log'!$F$7:$F$306,"Pending")&gt;0,"P",""))))</f>
        <v/>
      </c>
      <c r="R56" s="23" t="str">
        <f>IF(A56="","",IF(IF(OR(DATE($B$3,2,17)&gt;EOMONTH(DATE($B$3,2,1),0),NETWORKDAYS.INTL(DATE($B$3,2,17),DATE($B$3,2,17),1,'Non-working days'!$A$6:$A$45)=0),"",IF(COUNTIFS('Leave log'!$A$7:$A$306,Employees!$A$21,'Leave log'!$B$7:$B$306,"&lt;="&amp;DATE($B$3,2,17),'Leave log'!$C$7:$C$306,"&gt;="&amp;DATE($B$3,2,17),'Leave log'!$F$7:$F$306,"Approved")&gt;0,"A",""))="A","A",IF(OR(DATE($B$3,2,17)&gt;EOMONTH(DATE($B$3,2,1),0),NETWORKDAYS.INTL(DATE($B$3,2,17),DATE($B$3,2,17),1,'Non-working days'!$A$6:$A$45)=0),"",IF(COUNTIFS('Leave log'!$A$7:$A$306,Employees!$A$21,'Leave log'!$B$7:$B$306,"&lt;="&amp;DATE($B$3,2,17),'Leave log'!$C$7:$C$306,"&gt;="&amp;DATE($B$3,2,17),'Leave log'!$F$7:$F$306,"Pending")&gt;0,"P",""))))</f>
        <v/>
      </c>
      <c r="S56" s="23" t="str">
        <f>IF(A56="","",IF(IF(OR(DATE($B$3,2,18)&gt;EOMONTH(DATE($B$3,2,1),0),NETWORKDAYS.INTL(DATE($B$3,2,18),DATE($B$3,2,18),1,'Non-working days'!$A$6:$A$45)=0),"",IF(COUNTIFS('Leave log'!$A$7:$A$306,Employees!$A$21,'Leave log'!$B$7:$B$306,"&lt;="&amp;DATE($B$3,2,18),'Leave log'!$C$7:$C$306,"&gt;="&amp;DATE($B$3,2,18),'Leave log'!$F$7:$F$306,"Approved")&gt;0,"A",""))="A","A",IF(OR(DATE($B$3,2,18)&gt;EOMONTH(DATE($B$3,2,1),0),NETWORKDAYS.INTL(DATE($B$3,2,18),DATE($B$3,2,18),1,'Non-working days'!$A$6:$A$45)=0),"",IF(COUNTIFS('Leave log'!$A$7:$A$306,Employees!$A$21,'Leave log'!$B$7:$B$306,"&lt;="&amp;DATE($B$3,2,18),'Leave log'!$C$7:$C$306,"&gt;="&amp;DATE($B$3,2,18),'Leave log'!$F$7:$F$306,"Pending")&gt;0,"P",""))))</f>
        <v/>
      </c>
      <c r="T56" s="23" t="str">
        <f>IF(A56="","",IF(IF(OR(DATE($B$3,2,19)&gt;EOMONTH(DATE($B$3,2,1),0),NETWORKDAYS.INTL(DATE($B$3,2,19),DATE($B$3,2,19),1,'Non-working days'!$A$6:$A$45)=0),"",IF(COUNTIFS('Leave log'!$A$7:$A$306,Employees!$A$21,'Leave log'!$B$7:$B$306,"&lt;="&amp;DATE($B$3,2,19),'Leave log'!$C$7:$C$306,"&gt;="&amp;DATE($B$3,2,19),'Leave log'!$F$7:$F$306,"Approved")&gt;0,"A",""))="A","A",IF(OR(DATE($B$3,2,19)&gt;EOMONTH(DATE($B$3,2,1),0),NETWORKDAYS.INTL(DATE($B$3,2,19),DATE($B$3,2,19),1,'Non-working days'!$A$6:$A$45)=0),"",IF(COUNTIFS('Leave log'!$A$7:$A$306,Employees!$A$21,'Leave log'!$B$7:$B$306,"&lt;="&amp;DATE($B$3,2,19),'Leave log'!$C$7:$C$306,"&gt;="&amp;DATE($B$3,2,19),'Leave log'!$F$7:$F$306,"Pending")&gt;0,"P",""))))</f>
        <v/>
      </c>
      <c r="U56" s="23" t="str">
        <f>IF(A56="","",IF(IF(OR(DATE($B$3,2,20)&gt;EOMONTH(DATE($B$3,2,1),0),NETWORKDAYS.INTL(DATE($B$3,2,20),DATE($B$3,2,20),1,'Non-working days'!$A$6:$A$45)=0),"",IF(COUNTIFS('Leave log'!$A$7:$A$306,Employees!$A$21,'Leave log'!$B$7:$B$306,"&lt;="&amp;DATE($B$3,2,20),'Leave log'!$C$7:$C$306,"&gt;="&amp;DATE($B$3,2,20),'Leave log'!$F$7:$F$306,"Approved")&gt;0,"A",""))="A","A",IF(OR(DATE($B$3,2,20)&gt;EOMONTH(DATE($B$3,2,1),0),NETWORKDAYS.INTL(DATE($B$3,2,20),DATE($B$3,2,20),1,'Non-working days'!$A$6:$A$45)=0),"",IF(COUNTIFS('Leave log'!$A$7:$A$306,Employees!$A$21,'Leave log'!$B$7:$B$306,"&lt;="&amp;DATE($B$3,2,20),'Leave log'!$C$7:$C$306,"&gt;="&amp;DATE($B$3,2,20),'Leave log'!$F$7:$F$306,"Pending")&gt;0,"P",""))))</f>
        <v/>
      </c>
      <c r="V56" s="23" t="str">
        <f>IF(A56="","",IF(IF(OR(DATE($B$3,2,21)&gt;EOMONTH(DATE($B$3,2,1),0),NETWORKDAYS.INTL(DATE($B$3,2,21),DATE($B$3,2,21),1,'Non-working days'!$A$6:$A$45)=0),"",IF(COUNTIFS('Leave log'!$A$7:$A$306,Employees!$A$21,'Leave log'!$B$7:$B$306,"&lt;="&amp;DATE($B$3,2,21),'Leave log'!$C$7:$C$306,"&gt;="&amp;DATE($B$3,2,21),'Leave log'!$F$7:$F$306,"Approved")&gt;0,"A",""))="A","A",IF(OR(DATE($B$3,2,21)&gt;EOMONTH(DATE($B$3,2,1),0),NETWORKDAYS.INTL(DATE($B$3,2,21),DATE($B$3,2,21),1,'Non-working days'!$A$6:$A$45)=0),"",IF(COUNTIFS('Leave log'!$A$7:$A$306,Employees!$A$21,'Leave log'!$B$7:$B$306,"&lt;="&amp;DATE($B$3,2,21),'Leave log'!$C$7:$C$306,"&gt;="&amp;DATE($B$3,2,21),'Leave log'!$F$7:$F$306,"Pending")&gt;0,"P",""))))</f>
        <v/>
      </c>
      <c r="W56" s="23" t="str">
        <f>IF(A56="","",IF(IF(OR(DATE($B$3,2,22)&gt;EOMONTH(DATE($B$3,2,1),0),NETWORKDAYS.INTL(DATE($B$3,2,22),DATE($B$3,2,22),1,'Non-working days'!$A$6:$A$45)=0),"",IF(COUNTIFS('Leave log'!$A$7:$A$306,Employees!$A$21,'Leave log'!$B$7:$B$306,"&lt;="&amp;DATE($B$3,2,22),'Leave log'!$C$7:$C$306,"&gt;="&amp;DATE($B$3,2,22),'Leave log'!$F$7:$F$306,"Approved")&gt;0,"A",""))="A","A",IF(OR(DATE($B$3,2,22)&gt;EOMONTH(DATE($B$3,2,1),0),NETWORKDAYS.INTL(DATE($B$3,2,22),DATE($B$3,2,22),1,'Non-working days'!$A$6:$A$45)=0),"",IF(COUNTIFS('Leave log'!$A$7:$A$306,Employees!$A$21,'Leave log'!$B$7:$B$306,"&lt;="&amp;DATE($B$3,2,22),'Leave log'!$C$7:$C$306,"&gt;="&amp;DATE($B$3,2,22),'Leave log'!$F$7:$F$306,"Pending")&gt;0,"P",""))))</f>
        <v/>
      </c>
      <c r="X56" s="23" t="str">
        <f>IF(A56="","",IF(IF(OR(DATE($B$3,2,23)&gt;EOMONTH(DATE($B$3,2,1),0),NETWORKDAYS.INTL(DATE($B$3,2,23),DATE($B$3,2,23),1,'Non-working days'!$A$6:$A$45)=0),"",IF(COUNTIFS('Leave log'!$A$7:$A$306,Employees!$A$21,'Leave log'!$B$7:$B$306,"&lt;="&amp;DATE($B$3,2,23),'Leave log'!$C$7:$C$306,"&gt;="&amp;DATE($B$3,2,23),'Leave log'!$F$7:$F$306,"Approved")&gt;0,"A",""))="A","A",IF(OR(DATE($B$3,2,23)&gt;EOMONTH(DATE($B$3,2,1),0),NETWORKDAYS.INTL(DATE($B$3,2,23),DATE($B$3,2,23),1,'Non-working days'!$A$6:$A$45)=0),"",IF(COUNTIFS('Leave log'!$A$7:$A$306,Employees!$A$21,'Leave log'!$B$7:$B$306,"&lt;="&amp;DATE($B$3,2,23),'Leave log'!$C$7:$C$306,"&gt;="&amp;DATE($B$3,2,23),'Leave log'!$F$7:$F$306,"Pending")&gt;0,"P",""))))</f>
        <v/>
      </c>
      <c r="Y56" s="23" t="str">
        <f>IF(A56="","",IF(IF(OR(DATE($B$3,2,24)&gt;EOMONTH(DATE($B$3,2,1),0),NETWORKDAYS.INTL(DATE($B$3,2,24),DATE($B$3,2,24),1,'Non-working days'!$A$6:$A$45)=0),"",IF(COUNTIFS('Leave log'!$A$7:$A$306,Employees!$A$21,'Leave log'!$B$7:$B$306,"&lt;="&amp;DATE($B$3,2,24),'Leave log'!$C$7:$C$306,"&gt;="&amp;DATE($B$3,2,24),'Leave log'!$F$7:$F$306,"Approved")&gt;0,"A",""))="A","A",IF(OR(DATE($B$3,2,24)&gt;EOMONTH(DATE($B$3,2,1),0),NETWORKDAYS.INTL(DATE($B$3,2,24),DATE($B$3,2,24),1,'Non-working days'!$A$6:$A$45)=0),"",IF(COUNTIFS('Leave log'!$A$7:$A$306,Employees!$A$21,'Leave log'!$B$7:$B$306,"&lt;="&amp;DATE($B$3,2,24),'Leave log'!$C$7:$C$306,"&gt;="&amp;DATE($B$3,2,24),'Leave log'!$F$7:$F$306,"Pending")&gt;0,"P",""))))</f>
        <v/>
      </c>
      <c r="Z56" s="23" t="str">
        <f>IF(A56="","",IF(IF(OR(DATE($B$3,2,25)&gt;EOMONTH(DATE($B$3,2,1),0),NETWORKDAYS.INTL(DATE($B$3,2,25),DATE($B$3,2,25),1,'Non-working days'!$A$6:$A$45)=0),"",IF(COUNTIFS('Leave log'!$A$7:$A$306,Employees!$A$21,'Leave log'!$B$7:$B$306,"&lt;="&amp;DATE($B$3,2,25),'Leave log'!$C$7:$C$306,"&gt;="&amp;DATE($B$3,2,25),'Leave log'!$F$7:$F$306,"Approved")&gt;0,"A",""))="A","A",IF(OR(DATE($B$3,2,25)&gt;EOMONTH(DATE($B$3,2,1),0),NETWORKDAYS.INTL(DATE($B$3,2,25),DATE($B$3,2,25),1,'Non-working days'!$A$6:$A$45)=0),"",IF(COUNTIFS('Leave log'!$A$7:$A$306,Employees!$A$21,'Leave log'!$B$7:$B$306,"&lt;="&amp;DATE($B$3,2,25),'Leave log'!$C$7:$C$306,"&gt;="&amp;DATE($B$3,2,25),'Leave log'!$F$7:$F$306,"Pending")&gt;0,"P",""))))</f>
        <v/>
      </c>
      <c r="AA56" s="23" t="str">
        <f>IF(A56="","",IF(IF(OR(DATE($B$3,2,26)&gt;EOMONTH(DATE($B$3,2,1),0),NETWORKDAYS.INTL(DATE($B$3,2,26),DATE($B$3,2,26),1,'Non-working days'!$A$6:$A$45)=0),"",IF(COUNTIFS('Leave log'!$A$7:$A$306,Employees!$A$21,'Leave log'!$B$7:$B$306,"&lt;="&amp;DATE($B$3,2,26),'Leave log'!$C$7:$C$306,"&gt;="&amp;DATE($B$3,2,26),'Leave log'!$F$7:$F$306,"Approved")&gt;0,"A",""))="A","A",IF(OR(DATE($B$3,2,26)&gt;EOMONTH(DATE($B$3,2,1),0),NETWORKDAYS.INTL(DATE($B$3,2,26),DATE($B$3,2,26),1,'Non-working days'!$A$6:$A$45)=0),"",IF(COUNTIFS('Leave log'!$A$7:$A$306,Employees!$A$21,'Leave log'!$B$7:$B$306,"&lt;="&amp;DATE($B$3,2,26),'Leave log'!$C$7:$C$306,"&gt;="&amp;DATE($B$3,2,26),'Leave log'!$F$7:$F$306,"Pending")&gt;0,"P",""))))</f>
        <v/>
      </c>
      <c r="AB56" s="23" t="str">
        <f>IF(A56="","",IF(IF(OR(DATE($B$3,2,27)&gt;EOMONTH(DATE($B$3,2,1),0),NETWORKDAYS.INTL(DATE($B$3,2,27),DATE($B$3,2,27),1,'Non-working days'!$A$6:$A$45)=0),"",IF(COUNTIFS('Leave log'!$A$7:$A$306,Employees!$A$21,'Leave log'!$B$7:$B$306,"&lt;="&amp;DATE($B$3,2,27),'Leave log'!$C$7:$C$306,"&gt;="&amp;DATE($B$3,2,27),'Leave log'!$F$7:$F$306,"Approved")&gt;0,"A",""))="A","A",IF(OR(DATE($B$3,2,27)&gt;EOMONTH(DATE($B$3,2,1),0),NETWORKDAYS.INTL(DATE($B$3,2,27),DATE($B$3,2,27),1,'Non-working days'!$A$6:$A$45)=0),"",IF(COUNTIFS('Leave log'!$A$7:$A$306,Employees!$A$21,'Leave log'!$B$7:$B$306,"&lt;="&amp;DATE($B$3,2,27),'Leave log'!$C$7:$C$306,"&gt;="&amp;DATE($B$3,2,27),'Leave log'!$F$7:$F$306,"Pending")&gt;0,"P",""))))</f>
        <v/>
      </c>
      <c r="AC56" s="23" t="str">
        <f>IF(A56="","",IF(IF(OR(DATE($B$3,2,28)&gt;EOMONTH(DATE($B$3,2,1),0),NETWORKDAYS.INTL(DATE($B$3,2,28),DATE($B$3,2,28),1,'Non-working days'!$A$6:$A$45)=0),"",IF(COUNTIFS('Leave log'!$A$7:$A$306,Employees!$A$21,'Leave log'!$B$7:$B$306,"&lt;="&amp;DATE($B$3,2,28),'Leave log'!$C$7:$C$306,"&gt;="&amp;DATE($B$3,2,28),'Leave log'!$F$7:$F$306,"Approved")&gt;0,"A",""))="A","A",IF(OR(DATE($B$3,2,28)&gt;EOMONTH(DATE($B$3,2,1),0),NETWORKDAYS.INTL(DATE($B$3,2,28),DATE($B$3,2,28),1,'Non-working days'!$A$6:$A$45)=0),"",IF(COUNTIFS('Leave log'!$A$7:$A$306,Employees!$A$21,'Leave log'!$B$7:$B$306,"&lt;="&amp;DATE($B$3,2,28),'Leave log'!$C$7:$C$306,"&gt;="&amp;DATE($B$3,2,28),'Leave log'!$F$7:$F$306,"Pending")&gt;0,"P",""))))</f>
        <v/>
      </c>
      <c r="AD56" s="23" t="str">
        <f>IF(A56="","",IF(IF(OR(DATE($B$3,2,29)&gt;EOMONTH(DATE($B$3,2,1),0),NETWORKDAYS.INTL(DATE($B$3,2,29),DATE($B$3,2,29),1,'Non-working days'!$A$6:$A$45)=0),"",IF(COUNTIFS('Leave log'!$A$7:$A$306,Employees!$A$21,'Leave log'!$B$7:$B$306,"&lt;="&amp;DATE($B$3,2,29),'Leave log'!$C$7:$C$306,"&gt;="&amp;DATE($B$3,2,29),'Leave log'!$F$7:$F$306,"Approved")&gt;0,"A",""))="A","A",IF(OR(DATE($B$3,2,29)&gt;EOMONTH(DATE($B$3,2,1),0),NETWORKDAYS.INTL(DATE($B$3,2,29),DATE($B$3,2,29),1,'Non-working days'!$A$6:$A$45)=0),"",IF(COUNTIFS('Leave log'!$A$7:$A$306,Employees!$A$21,'Leave log'!$B$7:$B$306,"&lt;="&amp;DATE($B$3,2,29),'Leave log'!$C$7:$C$306,"&gt;="&amp;DATE($B$3,2,29),'Leave log'!$F$7:$F$306,"Pending")&gt;0,"P",""))))</f>
        <v/>
      </c>
      <c r="AE56" s="23" t="str">
        <f>IF(A56="","",IF(IF(OR(DATE($B$3,2,30)&gt;EOMONTH(DATE($B$3,2,1),0),NETWORKDAYS.INTL(DATE($B$3,2,30),DATE($B$3,2,30),1,'Non-working days'!$A$6:$A$45)=0),"",IF(COUNTIFS('Leave log'!$A$7:$A$306,Employees!$A$21,'Leave log'!$B$7:$B$306,"&lt;="&amp;DATE($B$3,2,30),'Leave log'!$C$7:$C$306,"&gt;="&amp;DATE($B$3,2,30),'Leave log'!$F$7:$F$306,"Approved")&gt;0,"A",""))="A","A",IF(OR(DATE($B$3,2,30)&gt;EOMONTH(DATE($B$3,2,1),0),NETWORKDAYS.INTL(DATE($B$3,2,30),DATE($B$3,2,30),1,'Non-working days'!$A$6:$A$45)=0),"",IF(COUNTIFS('Leave log'!$A$7:$A$306,Employees!$A$21,'Leave log'!$B$7:$B$306,"&lt;="&amp;DATE($B$3,2,30),'Leave log'!$C$7:$C$306,"&gt;="&amp;DATE($B$3,2,30),'Leave log'!$F$7:$F$306,"Pending")&gt;0,"P",""))))</f>
        <v/>
      </c>
      <c r="AF56" s="23" t="str">
        <f>IF(A56="","",IF(IF(OR(DATE($B$3,2,31)&gt;EOMONTH(DATE($B$3,2,1),0),NETWORKDAYS.INTL(DATE($B$3,2,31),DATE($B$3,2,31),1,'Non-working days'!$A$6:$A$45)=0),"",IF(COUNTIFS('Leave log'!$A$7:$A$306,Employees!$A$21,'Leave log'!$B$7:$B$306,"&lt;="&amp;DATE($B$3,2,31),'Leave log'!$C$7:$C$306,"&gt;="&amp;DATE($B$3,2,31),'Leave log'!$F$7:$F$306,"Approved")&gt;0,"A",""))="A","A",IF(OR(DATE($B$3,2,31)&gt;EOMONTH(DATE($B$3,2,1),0),NETWORKDAYS.INTL(DATE($B$3,2,31),DATE($B$3,2,31),1,'Non-working days'!$A$6:$A$45)=0),"",IF(COUNTIFS('Leave log'!$A$7:$A$306,Employees!$A$21,'Leave log'!$B$7:$B$306,"&lt;="&amp;DATE($B$3,2,31),'Leave log'!$C$7:$C$306,"&gt;="&amp;DATE($B$3,2,31),'Leave log'!$F$7:$F$306,"Pending")&gt;0,"P",""))))</f>
        <v/>
      </c>
    </row>
    <row r="57" spans="1:32" ht="18" customHeight="1" x14ac:dyDescent="0.3">
      <c r="A57" s="22" t="str">
        <f>IF(Employees!F22="Yes",Employees!B22,"")</f>
        <v/>
      </c>
      <c r="B57" s="23" t="str">
        <f>IF(A57="","",IF(IF(OR(DATE($B$3,2,1)&gt;EOMONTH(DATE($B$3,2,1),0),NETWORKDAYS.INTL(DATE($B$3,2,1),DATE($B$3,2,1),1,'Non-working days'!$A$6:$A$45)=0),"",IF(COUNTIFS('Leave log'!$A$7:$A$306,Employees!$A$22,'Leave log'!$B$7:$B$306,"&lt;="&amp;DATE($B$3,2,1),'Leave log'!$C$7:$C$306,"&gt;="&amp;DATE($B$3,2,1),'Leave log'!$F$7:$F$306,"Approved")&gt;0,"A",""))="A","A",IF(OR(DATE($B$3,2,1)&gt;EOMONTH(DATE($B$3,2,1),0),NETWORKDAYS.INTL(DATE($B$3,2,1),DATE($B$3,2,1),1,'Non-working days'!$A$6:$A$45)=0),"",IF(COUNTIFS('Leave log'!$A$7:$A$306,Employees!$A$22,'Leave log'!$B$7:$B$306,"&lt;="&amp;DATE($B$3,2,1),'Leave log'!$C$7:$C$306,"&gt;="&amp;DATE($B$3,2,1),'Leave log'!$F$7:$F$306,"Pending")&gt;0,"P",""))))</f>
        <v/>
      </c>
      <c r="C57" s="23" t="str">
        <f>IF(A57="","",IF(IF(OR(DATE($B$3,2,2)&gt;EOMONTH(DATE($B$3,2,1),0),NETWORKDAYS.INTL(DATE($B$3,2,2),DATE($B$3,2,2),1,'Non-working days'!$A$6:$A$45)=0),"",IF(COUNTIFS('Leave log'!$A$7:$A$306,Employees!$A$22,'Leave log'!$B$7:$B$306,"&lt;="&amp;DATE($B$3,2,2),'Leave log'!$C$7:$C$306,"&gt;="&amp;DATE($B$3,2,2),'Leave log'!$F$7:$F$306,"Approved")&gt;0,"A",""))="A","A",IF(OR(DATE($B$3,2,2)&gt;EOMONTH(DATE($B$3,2,1),0),NETWORKDAYS.INTL(DATE($B$3,2,2),DATE($B$3,2,2),1,'Non-working days'!$A$6:$A$45)=0),"",IF(COUNTIFS('Leave log'!$A$7:$A$306,Employees!$A$22,'Leave log'!$B$7:$B$306,"&lt;="&amp;DATE($B$3,2,2),'Leave log'!$C$7:$C$306,"&gt;="&amp;DATE($B$3,2,2),'Leave log'!$F$7:$F$306,"Pending")&gt;0,"P",""))))</f>
        <v/>
      </c>
      <c r="D57" s="23" t="str">
        <f>IF(A57="","",IF(IF(OR(DATE($B$3,2,3)&gt;EOMONTH(DATE($B$3,2,1),0),NETWORKDAYS.INTL(DATE($B$3,2,3),DATE($B$3,2,3),1,'Non-working days'!$A$6:$A$45)=0),"",IF(COUNTIFS('Leave log'!$A$7:$A$306,Employees!$A$22,'Leave log'!$B$7:$B$306,"&lt;="&amp;DATE($B$3,2,3),'Leave log'!$C$7:$C$306,"&gt;="&amp;DATE($B$3,2,3),'Leave log'!$F$7:$F$306,"Approved")&gt;0,"A",""))="A","A",IF(OR(DATE($B$3,2,3)&gt;EOMONTH(DATE($B$3,2,1),0),NETWORKDAYS.INTL(DATE($B$3,2,3),DATE($B$3,2,3),1,'Non-working days'!$A$6:$A$45)=0),"",IF(COUNTIFS('Leave log'!$A$7:$A$306,Employees!$A$22,'Leave log'!$B$7:$B$306,"&lt;="&amp;DATE($B$3,2,3),'Leave log'!$C$7:$C$306,"&gt;="&amp;DATE($B$3,2,3),'Leave log'!$F$7:$F$306,"Pending")&gt;0,"P",""))))</f>
        <v/>
      </c>
      <c r="E57" s="23" t="str">
        <f>IF(A57="","",IF(IF(OR(DATE($B$3,2,4)&gt;EOMONTH(DATE($B$3,2,1),0),NETWORKDAYS.INTL(DATE($B$3,2,4),DATE($B$3,2,4),1,'Non-working days'!$A$6:$A$45)=0),"",IF(COUNTIFS('Leave log'!$A$7:$A$306,Employees!$A$22,'Leave log'!$B$7:$B$306,"&lt;="&amp;DATE($B$3,2,4),'Leave log'!$C$7:$C$306,"&gt;="&amp;DATE($B$3,2,4),'Leave log'!$F$7:$F$306,"Approved")&gt;0,"A",""))="A","A",IF(OR(DATE($B$3,2,4)&gt;EOMONTH(DATE($B$3,2,1),0),NETWORKDAYS.INTL(DATE($B$3,2,4),DATE($B$3,2,4),1,'Non-working days'!$A$6:$A$45)=0),"",IF(COUNTIFS('Leave log'!$A$7:$A$306,Employees!$A$22,'Leave log'!$B$7:$B$306,"&lt;="&amp;DATE($B$3,2,4),'Leave log'!$C$7:$C$306,"&gt;="&amp;DATE($B$3,2,4),'Leave log'!$F$7:$F$306,"Pending")&gt;0,"P",""))))</f>
        <v/>
      </c>
      <c r="F57" s="23" t="str">
        <f>IF(A57="","",IF(IF(OR(DATE($B$3,2,5)&gt;EOMONTH(DATE($B$3,2,1),0),NETWORKDAYS.INTL(DATE($B$3,2,5),DATE($B$3,2,5),1,'Non-working days'!$A$6:$A$45)=0),"",IF(COUNTIFS('Leave log'!$A$7:$A$306,Employees!$A$22,'Leave log'!$B$7:$B$306,"&lt;="&amp;DATE($B$3,2,5),'Leave log'!$C$7:$C$306,"&gt;="&amp;DATE($B$3,2,5),'Leave log'!$F$7:$F$306,"Approved")&gt;0,"A",""))="A","A",IF(OR(DATE($B$3,2,5)&gt;EOMONTH(DATE($B$3,2,1),0),NETWORKDAYS.INTL(DATE($B$3,2,5),DATE($B$3,2,5),1,'Non-working days'!$A$6:$A$45)=0),"",IF(COUNTIFS('Leave log'!$A$7:$A$306,Employees!$A$22,'Leave log'!$B$7:$B$306,"&lt;="&amp;DATE($B$3,2,5),'Leave log'!$C$7:$C$306,"&gt;="&amp;DATE($B$3,2,5),'Leave log'!$F$7:$F$306,"Pending")&gt;0,"P",""))))</f>
        <v/>
      </c>
      <c r="G57" s="23" t="str">
        <f>IF(A57="","",IF(IF(OR(DATE($B$3,2,6)&gt;EOMONTH(DATE($B$3,2,1),0),NETWORKDAYS.INTL(DATE($B$3,2,6),DATE($B$3,2,6),1,'Non-working days'!$A$6:$A$45)=0),"",IF(COUNTIFS('Leave log'!$A$7:$A$306,Employees!$A$22,'Leave log'!$B$7:$B$306,"&lt;="&amp;DATE($B$3,2,6),'Leave log'!$C$7:$C$306,"&gt;="&amp;DATE($B$3,2,6),'Leave log'!$F$7:$F$306,"Approved")&gt;0,"A",""))="A","A",IF(OR(DATE($B$3,2,6)&gt;EOMONTH(DATE($B$3,2,1),0),NETWORKDAYS.INTL(DATE($B$3,2,6),DATE($B$3,2,6),1,'Non-working days'!$A$6:$A$45)=0),"",IF(COUNTIFS('Leave log'!$A$7:$A$306,Employees!$A$22,'Leave log'!$B$7:$B$306,"&lt;="&amp;DATE($B$3,2,6),'Leave log'!$C$7:$C$306,"&gt;="&amp;DATE($B$3,2,6),'Leave log'!$F$7:$F$306,"Pending")&gt;0,"P",""))))</f>
        <v/>
      </c>
      <c r="H57" s="23" t="str">
        <f>IF(A57="","",IF(IF(OR(DATE($B$3,2,7)&gt;EOMONTH(DATE($B$3,2,1),0),NETWORKDAYS.INTL(DATE($B$3,2,7),DATE($B$3,2,7),1,'Non-working days'!$A$6:$A$45)=0),"",IF(COUNTIFS('Leave log'!$A$7:$A$306,Employees!$A$22,'Leave log'!$B$7:$B$306,"&lt;="&amp;DATE($B$3,2,7),'Leave log'!$C$7:$C$306,"&gt;="&amp;DATE($B$3,2,7),'Leave log'!$F$7:$F$306,"Approved")&gt;0,"A",""))="A","A",IF(OR(DATE($B$3,2,7)&gt;EOMONTH(DATE($B$3,2,1),0),NETWORKDAYS.INTL(DATE($B$3,2,7),DATE($B$3,2,7),1,'Non-working days'!$A$6:$A$45)=0),"",IF(COUNTIFS('Leave log'!$A$7:$A$306,Employees!$A$22,'Leave log'!$B$7:$B$306,"&lt;="&amp;DATE($B$3,2,7),'Leave log'!$C$7:$C$306,"&gt;="&amp;DATE($B$3,2,7),'Leave log'!$F$7:$F$306,"Pending")&gt;0,"P",""))))</f>
        <v/>
      </c>
      <c r="I57" s="23" t="str">
        <f>IF(A57="","",IF(IF(OR(DATE($B$3,2,8)&gt;EOMONTH(DATE($B$3,2,1),0),NETWORKDAYS.INTL(DATE($B$3,2,8),DATE($B$3,2,8),1,'Non-working days'!$A$6:$A$45)=0),"",IF(COUNTIFS('Leave log'!$A$7:$A$306,Employees!$A$22,'Leave log'!$B$7:$B$306,"&lt;="&amp;DATE($B$3,2,8),'Leave log'!$C$7:$C$306,"&gt;="&amp;DATE($B$3,2,8),'Leave log'!$F$7:$F$306,"Approved")&gt;0,"A",""))="A","A",IF(OR(DATE($B$3,2,8)&gt;EOMONTH(DATE($B$3,2,1),0),NETWORKDAYS.INTL(DATE($B$3,2,8),DATE($B$3,2,8),1,'Non-working days'!$A$6:$A$45)=0),"",IF(COUNTIFS('Leave log'!$A$7:$A$306,Employees!$A$22,'Leave log'!$B$7:$B$306,"&lt;="&amp;DATE($B$3,2,8),'Leave log'!$C$7:$C$306,"&gt;="&amp;DATE($B$3,2,8),'Leave log'!$F$7:$F$306,"Pending")&gt;0,"P",""))))</f>
        <v/>
      </c>
      <c r="J57" s="23" t="str">
        <f>IF(A57="","",IF(IF(OR(DATE($B$3,2,9)&gt;EOMONTH(DATE($B$3,2,1),0),NETWORKDAYS.INTL(DATE($B$3,2,9),DATE($B$3,2,9),1,'Non-working days'!$A$6:$A$45)=0),"",IF(COUNTIFS('Leave log'!$A$7:$A$306,Employees!$A$22,'Leave log'!$B$7:$B$306,"&lt;="&amp;DATE($B$3,2,9),'Leave log'!$C$7:$C$306,"&gt;="&amp;DATE($B$3,2,9),'Leave log'!$F$7:$F$306,"Approved")&gt;0,"A",""))="A","A",IF(OR(DATE($B$3,2,9)&gt;EOMONTH(DATE($B$3,2,1),0),NETWORKDAYS.INTL(DATE($B$3,2,9),DATE($B$3,2,9),1,'Non-working days'!$A$6:$A$45)=0),"",IF(COUNTIFS('Leave log'!$A$7:$A$306,Employees!$A$22,'Leave log'!$B$7:$B$306,"&lt;="&amp;DATE($B$3,2,9),'Leave log'!$C$7:$C$306,"&gt;="&amp;DATE($B$3,2,9),'Leave log'!$F$7:$F$306,"Pending")&gt;0,"P",""))))</f>
        <v/>
      </c>
      <c r="K57" s="23" t="str">
        <f>IF(A57="","",IF(IF(OR(DATE($B$3,2,10)&gt;EOMONTH(DATE($B$3,2,1),0),NETWORKDAYS.INTL(DATE($B$3,2,10),DATE($B$3,2,10),1,'Non-working days'!$A$6:$A$45)=0),"",IF(COUNTIFS('Leave log'!$A$7:$A$306,Employees!$A$22,'Leave log'!$B$7:$B$306,"&lt;="&amp;DATE($B$3,2,10),'Leave log'!$C$7:$C$306,"&gt;="&amp;DATE($B$3,2,10),'Leave log'!$F$7:$F$306,"Approved")&gt;0,"A",""))="A","A",IF(OR(DATE($B$3,2,10)&gt;EOMONTH(DATE($B$3,2,1),0),NETWORKDAYS.INTL(DATE($B$3,2,10),DATE($B$3,2,10),1,'Non-working days'!$A$6:$A$45)=0),"",IF(COUNTIFS('Leave log'!$A$7:$A$306,Employees!$A$22,'Leave log'!$B$7:$B$306,"&lt;="&amp;DATE($B$3,2,10),'Leave log'!$C$7:$C$306,"&gt;="&amp;DATE($B$3,2,10),'Leave log'!$F$7:$F$306,"Pending")&gt;0,"P",""))))</f>
        <v/>
      </c>
      <c r="L57" s="23" t="str">
        <f>IF(A57="","",IF(IF(OR(DATE($B$3,2,11)&gt;EOMONTH(DATE($B$3,2,1),0),NETWORKDAYS.INTL(DATE($B$3,2,11),DATE($B$3,2,11),1,'Non-working days'!$A$6:$A$45)=0),"",IF(COUNTIFS('Leave log'!$A$7:$A$306,Employees!$A$22,'Leave log'!$B$7:$B$306,"&lt;="&amp;DATE($B$3,2,11),'Leave log'!$C$7:$C$306,"&gt;="&amp;DATE($B$3,2,11),'Leave log'!$F$7:$F$306,"Approved")&gt;0,"A",""))="A","A",IF(OR(DATE($B$3,2,11)&gt;EOMONTH(DATE($B$3,2,1),0),NETWORKDAYS.INTL(DATE($B$3,2,11),DATE($B$3,2,11),1,'Non-working days'!$A$6:$A$45)=0),"",IF(COUNTIFS('Leave log'!$A$7:$A$306,Employees!$A$22,'Leave log'!$B$7:$B$306,"&lt;="&amp;DATE($B$3,2,11),'Leave log'!$C$7:$C$306,"&gt;="&amp;DATE($B$3,2,11),'Leave log'!$F$7:$F$306,"Pending")&gt;0,"P",""))))</f>
        <v/>
      </c>
      <c r="M57" s="23" t="str">
        <f>IF(A57="","",IF(IF(OR(DATE($B$3,2,12)&gt;EOMONTH(DATE($B$3,2,1),0),NETWORKDAYS.INTL(DATE($B$3,2,12),DATE($B$3,2,12),1,'Non-working days'!$A$6:$A$45)=0),"",IF(COUNTIFS('Leave log'!$A$7:$A$306,Employees!$A$22,'Leave log'!$B$7:$B$306,"&lt;="&amp;DATE($B$3,2,12),'Leave log'!$C$7:$C$306,"&gt;="&amp;DATE($B$3,2,12),'Leave log'!$F$7:$F$306,"Approved")&gt;0,"A",""))="A","A",IF(OR(DATE($B$3,2,12)&gt;EOMONTH(DATE($B$3,2,1),0),NETWORKDAYS.INTL(DATE($B$3,2,12),DATE($B$3,2,12),1,'Non-working days'!$A$6:$A$45)=0),"",IF(COUNTIFS('Leave log'!$A$7:$A$306,Employees!$A$22,'Leave log'!$B$7:$B$306,"&lt;="&amp;DATE($B$3,2,12),'Leave log'!$C$7:$C$306,"&gt;="&amp;DATE($B$3,2,12),'Leave log'!$F$7:$F$306,"Pending")&gt;0,"P",""))))</f>
        <v/>
      </c>
      <c r="N57" s="23" t="str">
        <f>IF(A57="","",IF(IF(OR(DATE($B$3,2,13)&gt;EOMONTH(DATE($B$3,2,1),0),NETWORKDAYS.INTL(DATE($B$3,2,13),DATE($B$3,2,13),1,'Non-working days'!$A$6:$A$45)=0),"",IF(COUNTIFS('Leave log'!$A$7:$A$306,Employees!$A$22,'Leave log'!$B$7:$B$306,"&lt;="&amp;DATE($B$3,2,13),'Leave log'!$C$7:$C$306,"&gt;="&amp;DATE($B$3,2,13),'Leave log'!$F$7:$F$306,"Approved")&gt;0,"A",""))="A","A",IF(OR(DATE($B$3,2,13)&gt;EOMONTH(DATE($B$3,2,1),0),NETWORKDAYS.INTL(DATE($B$3,2,13),DATE($B$3,2,13),1,'Non-working days'!$A$6:$A$45)=0),"",IF(COUNTIFS('Leave log'!$A$7:$A$306,Employees!$A$22,'Leave log'!$B$7:$B$306,"&lt;="&amp;DATE($B$3,2,13),'Leave log'!$C$7:$C$306,"&gt;="&amp;DATE($B$3,2,13),'Leave log'!$F$7:$F$306,"Pending")&gt;0,"P",""))))</f>
        <v/>
      </c>
      <c r="O57" s="23" t="str">
        <f>IF(A57="","",IF(IF(OR(DATE($B$3,2,14)&gt;EOMONTH(DATE($B$3,2,1),0),NETWORKDAYS.INTL(DATE($B$3,2,14),DATE($B$3,2,14),1,'Non-working days'!$A$6:$A$45)=0),"",IF(COUNTIFS('Leave log'!$A$7:$A$306,Employees!$A$22,'Leave log'!$B$7:$B$306,"&lt;="&amp;DATE($B$3,2,14),'Leave log'!$C$7:$C$306,"&gt;="&amp;DATE($B$3,2,14),'Leave log'!$F$7:$F$306,"Approved")&gt;0,"A",""))="A","A",IF(OR(DATE($B$3,2,14)&gt;EOMONTH(DATE($B$3,2,1),0),NETWORKDAYS.INTL(DATE($B$3,2,14),DATE($B$3,2,14),1,'Non-working days'!$A$6:$A$45)=0),"",IF(COUNTIFS('Leave log'!$A$7:$A$306,Employees!$A$22,'Leave log'!$B$7:$B$306,"&lt;="&amp;DATE($B$3,2,14),'Leave log'!$C$7:$C$306,"&gt;="&amp;DATE($B$3,2,14),'Leave log'!$F$7:$F$306,"Pending")&gt;0,"P",""))))</f>
        <v/>
      </c>
      <c r="P57" s="23" t="str">
        <f>IF(A57="","",IF(IF(OR(DATE($B$3,2,15)&gt;EOMONTH(DATE($B$3,2,1),0),NETWORKDAYS.INTL(DATE($B$3,2,15),DATE($B$3,2,15),1,'Non-working days'!$A$6:$A$45)=0),"",IF(COUNTIFS('Leave log'!$A$7:$A$306,Employees!$A$22,'Leave log'!$B$7:$B$306,"&lt;="&amp;DATE($B$3,2,15),'Leave log'!$C$7:$C$306,"&gt;="&amp;DATE($B$3,2,15),'Leave log'!$F$7:$F$306,"Approved")&gt;0,"A",""))="A","A",IF(OR(DATE($B$3,2,15)&gt;EOMONTH(DATE($B$3,2,1),0),NETWORKDAYS.INTL(DATE($B$3,2,15),DATE($B$3,2,15),1,'Non-working days'!$A$6:$A$45)=0),"",IF(COUNTIFS('Leave log'!$A$7:$A$306,Employees!$A$22,'Leave log'!$B$7:$B$306,"&lt;="&amp;DATE($B$3,2,15),'Leave log'!$C$7:$C$306,"&gt;="&amp;DATE($B$3,2,15),'Leave log'!$F$7:$F$306,"Pending")&gt;0,"P",""))))</f>
        <v/>
      </c>
      <c r="Q57" s="23" t="str">
        <f>IF(A57="","",IF(IF(OR(DATE($B$3,2,16)&gt;EOMONTH(DATE($B$3,2,1),0),NETWORKDAYS.INTL(DATE($B$3,2,16),DATE($B$3,2,16),1,'Non-working days'!$A$6:$A$45)=0),"",IF(COUNTIFS('Leave log'!$A$7:$A$306,Employees!$A$22,'Leave log'!$B$7:$B$306,"&lt;="&amp;DATE($B$3,2,16),'Leave log'!$C$7:$C$306,"&gt;="&amp;DATE($B$3,2,16),'Leave log'!$F$7:$F$306,"Approved")&gt;0,"A",""))="A","A",IF(OR(DATE($B$3,2,16)&gt;EOMONTH(DATE($B$3,2,1),0),NETWORKDAYS.INTL(DATE($B$3,2,16),DATE($B$3,2,16),1,'Non-working days'!$A$6:$A$45)=0),"",IF(COUNTIFS('Leave log'!$A$7:$A$306,Employees!$A$22,'Leave log'!$B$7:$B$306,"&lt;="&amp;DATE($B$3,2,16),'Leave log'!$C$7:$C$306,"&gt;="&amp;DATE($B$3,2,16),'Leave log'!$F$7:$F$306,"Pending")&gt;0,"P",""))))</f>
        <v/>
      </c>
      <c r="R57" s="23" t="str">
        <f>IF(A57="","",IF(IF(OR(DATE($B$3,2,17)&gt;EOMONTH(DATE($B$3,2,1),0),NETWORKDAYS.INTL(DATE($B$3,2,17),DATE($B$3,2,17),1,'Non-working days'!$A$6:$A$45)=0),"",IF(COUNTIFS('Leave log'!$A$7:$A$306,Employees!$A$22,'Leave log'!$B$7:$B$306,"&lt;="&amp;DATE($B$3,2,17),'Leave log'!$C$7:$C$306,"&gt;="&amp;DATE($B$3,2,17),'Leave log'!$F$7:$F$306,"Approved")&gt;0,"A",""))="A","A",IF(OR(DATE($B$3,2,17)&gt;EOMONTH(DATE($B$3,2,1),0),NETWORKDAYS.INTL(DATE($B$3,2,17),DATE($B$3,2,17),1,'Non-working days'!$A$6:$A$45)=0),"",IF(COUNTIFS('Leave log'!$A$7:$A$306,Employees!$A$22,'Leave log'!$B$7:$B$306,"&lt;="&amp;DATE($B$3,2,17),'Leave log'!$C$7:$C$306,"&gt;="&amp;DATE($B$3,2,17),'Leave log'!$F$7:$F$306,"Pending")&gt;0,"P",""))))</f>
        <v/>
      </c>
      <c r="S57" s="23" t="str">
        <f>IF(A57="","",IF(IF(OR(DATE($B$3,2,18)&gt;EOMONTH(DATE($B$3,2,1),0),NETWORKDAYS.INTL(DATE($B$3,2,18),DATE($B$3,2,18),1,'Non-working days'!$A$6:$A$45)=0),"",IF(COUNTIFS('Leave log'!$A$7:$A$306,Employees!$A$22,'Leave log'!$B$7:$B$306,"&lt;="&amp;DATE($B$3,2,18),'Leave log'!$C$7:$C$306,"&gt;="&amp;DATE($B$3,2,18),'Leave log'!$F$7:$F$306,"Approved")&gt;0,"A",""))="A","A",IF(OR(DATE($B$3,2,18)&gt;EOMONTH(DATE($B$3,2,1),0),NETWORKDAYS.INTL(DATE($B$3,2,18),DATE($B$3,2,18),1,'Non-working days'!$A$6:$A$45)=0),"",IF(COUNTIFS('Leave log'!$A$7:$A$306,Employees!$A$22,'Leave log'!$B$7:$B$306,"&lt;="&amp;DATE($B$3,2,18),'Leave log'!$C$7:$C$306,"&gt;="&amp;DATE($B$3,2,18),'Leave log'!$F$7:$F$306,"Pending")&gt;0,"P",""))))</f>
        <v/>
      </c>
      <c r="T57" s="23" t="str">
        <f>IF(A57="","",IF(IF(OR(DATE($B$3,2,19)&gt;EOMONTH(DATE($B$3,2,1),0),NETWORKDAYS.INTL(DATE($B$3,2,19),DATE($B$3,2,19),1,'Non-working days'!$A$6:$A$45)=0),"",IF(COUNTIFS('Leave log'!$A$7:$A$306,Employees!$A$22,'Leave log'!$B$7:$B$306,"&lt;="&amp;DATE($B$3,2,19),'Leave log'!$C$7:$C$306,"&gt;="&amp;DATE($B$3,2,19),'Leave log'!$F$7:$F$306,"Approved")&gt;0,"A",""))="A","A",IF(OR(DATE($B$3,2,19)&gt;EOMONTH(DATE($B$3,2,1),0),NETWORKDAYS.INTL(DATE($B$3,2,19),DATE($B$3,2,19),1,'Non-working days'!$A$6:$A$45)=0),"",IF(COUNTIFS('Leave log'!$A$7:$A$306,Employees!$A$22,'Leave log'!$B$7:$B$306,"&lt;="&amp;DATE($B$3,2,19),'Leave log'!$C$7:$C$306,"&gt;="&amp;DATE($B$3,2,19),'Leave log'!$F$7:$F$306,"Pending")&gt;0,"P",""))))</f>
        <v/>
      </c>
      <c r="U57" s="23" t="str">
        <f>IF(A57="","",IF(IF(OR(DATE($B$3,2,20)&gt;EOMONTH(DATE($B$3,2,1),0),NETWORKDAYS.INTL(DATE($B$3,2,20),DATE($B$3,2,20),1,'Non-working days'!$A$6:$A$45)=0),"",IF(COUNTIFS('Leave log'!$A$7:$A$306,Employees!$A$22,'Leave log'!$B$7:$B$306,"&lt;="&amp;DATE($B$3,2,20),'Leave log'!$C$7:$C$306,"&gt;="&amp;DATE($B$3,2,20),'Leave log'!$F$7:$F$306,"Approved")&gt;0,"A",""))="A","A",IF(OR(DATE($B$3,2,20)&gt;EOMONTH(DATE($B$3,2,1),0),NETWORKDAYS.INTL(DATE($B$3,2,20),DATE($B$3,2,20),1,'Non-working days'!$A$6:$A$45)=0),"",IF(COUNTIFS('Leave log'!$A$7:$A$306,Employees!$A$22,'Leave log'!$B$7:$B$306,"&lt;="&amp;DATE($B$3,2,20),'Leave log'!$C$7:$C$306,"&gt;="&amp;DATE($B$3,2,20),'Leave log'!$F$7:$F$306,"Pending")&gt;0,"P",""))))</f>
        <v/>
      </c>
      <c r="V57" s="23" t="str">
        <f>IF(A57="","",IF(IF(OR(DATE($B$3,2,21)&gt;EOMONTH(DATE($B$3,2,1),0),NETWORKDAYS.INTL(DATE($B$3,2,21),DATE($B$3,2,21),1,'Non-working days'!$A$6:$A$45)=0),"",IF(COUNTIFS('Leave log'!$A$7:$A$306,Employees!$A$22,'Leave log'!$B$7:$B$306,"&lt;="&amp;DATE($B$3,2,21),'Leave log'!$C$7:$C$306,"&gt;="&amp;DATE($B$3,2,21),'Leave log'!$F$7:$F$306,"Approved")&gt;0,"A",""))="A","A",IF(OR(DATE($B$3,2,21)&gt;EOMONTH(DATE($B$3,2,1),0),NETWORKDAYS.INTL(DATE($B$3,2,21),DATE($B$3,2,21),1,'Non-working days'!$A$6:$A$45)=0),"",IF(COUNTIFS('Leave log'!$A$7:$A$306,Employees!$A$22,'Leave log'!$B$7:$B$306,"&lt;="&amp;DATE($B$3,2,21),'Leave log'!$C$7:$C$306,"&gt;="&amp;DATE($B$3,2,21),'Leave log'!$F$7:$F$306,"Pending")&gt;0,"P",""))))</f>
        <v/>
      </c>
      <c r="W57" s="23" t="str">
        <f>IF(A57="","",IF(IF(OR(DATE($B$3,2,22)&gt;EOMONTH(DATE($B$3,2,1),0),NETWORKDAYS.INTL(DATE($B$3,2,22),DATE($B$3,2,22),1,'Non-working days'!$A$6:$A$45)=0),"",IF(COUNTIFS('Leave log'!$A$7:$A$306,Employees!$A$22,'Leave log'!$B$7:$B$306,"&lt;="&amp;DATE($B$3,2,22),'Leave log'!$C$7:$C$306,"&gt;="&amp;DATE($B$3,2,22),'Leave log'!$F$7:$F$306,"Approved")&gt;0,"A",""))="A","A",IF(OR(DATE($B$3,2,22)&gt;EOMONTH(DATE($B$3,2,1),0),NETWORKDAYS.INTL(DATE($B$3,2,22),DATE($B$3,2,22),1,'Non-working days'!$A$6:$A$45)=0),"",IF(COUNTIFS('Leave log'!$A$7:$A$306,Employees!$A$22,'Leave log'!$B$7:$B$306,"&lt;="&amp;DATE($B$3,2,22),'Leave log'!$C$7:$C$306,"&gt;="&amp;DATE($B$3,2,22),'Leave log'!$F$7:$F$306,"Pending")&gt;0,"P",""))))</f>
        <v/>
      </c>
      <c r="X57" s="23" t="str">
        <f>IF(A57="","",IF(IF(OR(DATE($B$3,2,23)&gt;EOMONTH(DATE($B$3,2,1),0),NETWORKDAYS.INTL(DATE($B$3,2,23),DATE($B$3,2,23),1,'Non-working days'!$A$6:$A$45)=0),"",IF(COUNTIFS('Leave log'!$A$7:$A$306,Employees!$A$22,'Leave log'!$B$7:$B$306,"&lt;="&amp;DATE($B$3,2,23),'Leave log'!$C$7:$C$306,"&gt;="&amp;DATE($B$3,2,23),'Leave log'!$F$7:$F$306,"Approved")&gt;0,"A",""))="A","A",IF(OR(DATE($B$3,2,23)&gt;EOMONTH(DATE($B$3,2,1),0),NETWORKDAYS.INTL(DATE($B$3,2,23),DATE($B$3,2,23),1,'Non-working days'!$A$6:$A$45)=0),"",IF(COUNTIFS('Leave log'!$A$7:$A$306,Employees!$A$22,'Leave log'!$B$7:$B$306,"&lt;="&amp;DATE($B$3,2,23),'Leave log'!$C$7:$C$306,"&gt;="&amp;DATE($B$3,2,23),'Leave log'!$F$7:$F$306,"Pending")&gt;0,"P",""))))</f>
        <v/>
      </c>
      <c r="Y57" s="23" t="str">
        <f>IF(A57="","",IF(IF(OR(DATE($B$3,2,24)&gt;EOMONTH(DATE($B$3,2,1),0),NETWORKDAYS.INTL(DATE($B$3,2,24),DATE($B$3,2,24),1,'Non-working days'!$A$6:$A$45)=0),"",IF(COUNTIFS('Leave log'!$A$7:$A$306,Employees!$A$22,'Leave log'!$B$7:$B$306,"&lt;="&amp;DATE($B$3,2,24),'Leave log'!$C$7:$C$306,"&gt;="&amp;DATE($B$3,2,24),'Leave log'!$F$7:$F$306,"Approved")&gt;0,"A",""))="A","A",IF(OR(DATE($B$3,2,24)&gt;EOMONTH(DATE($B$3,2,1),0),NETWORKDAYS.INTL(DATE($B$3,2,24),DATE($B$3,2,24),1,'Non-working days'!$A$6:$A$45)=0),"",IF(COUNTIFS('Leave log'!$A$7:$A$306,Employees!$A$22,'Leave log'!$B$7:$B$306,"&lt;="&amp;DATE($B$3,2,24),'Leave log'!$C$7:$C$306,"&gt;="&amp;DATE($B$3,2,24),'Leave log'!$F$7:$F$306,"Pending")&gt;0,"P",""))))</f>
        <v/>
      </c>
      <c r="Z57" s="23" t="str">
        <f>IF(A57="","",IF(IF(OR(DATE($B$3,2,25)&gt;EOMONTH(DATE($B$3,2,1),0),NETWORKDAYS.INTL(DATE($B$3,2,25),DATE($B$3,2,25),1,'Non-working days'!$A$6:$A$45)=0),"",IF(COUNTIFS('Leave log'!$A$7:$A$306,Employees!$A$22,'Leave log'!$B$7:$B$306,"&lt;="&amp;DATE($B$3,2,25),'Leave log'!$C$7:$C$306,"&gt;="&amp;DATE($B$3,2,25),'Leave log'!$F$7:$F$306,"Approved")&gt;0,"A",""))="A","A",IF(OR(DATE($B$3,2,25)&gt;EOMONTH(DATE($B$3,2,1),0),NETWORKDAYS.INTL(DATE($B$3,2,25),DATE($B$3,2,25),1,'Non-working days'!$A$6:$A$45)=0),"",IF(COUNTIFS('Leave log'!$A$7:$A$306,Employees!$A$22,'Leave log'!$B$7:$B$306,"&lt;="&amp;DATE($B$3,2,25),'Leave log'!$C$7:$C$306,"&gt;="&amp;DATE($B$3,2,25),'Leave log'!$F$7:$F$306,"Pending")&gt;0,"P",""))))</f>
        <v/>
      </c>
      <c r="AA57" s="23" t="str">
        <f>IF(A57="","",IF(IF(OR(DATE($B$3,2,26)&gt;EOMONTH(DATE($B$3,2,1),0),NETWORKDAYS.INTL(DATE($B$3,2,26),DATE($B$3,2,26),1,'Non-working days'!$A$6:$A$45)=0),"",IF(COUNTIFS('Leave log'!$A$7:$A$306,Employees!$A$22,'Leave log'!$B$7:$B$306,"&lt;="&amp;DATE($B$3,2,26),'Leave log'!$C$7:$C$306,"&gt;="&amp;DATE($B$3,2,26),'Leave log'!$F$7:$F$306,"Approved")&gt;0,"A",""))="A","A",IF(OR(DATE($B$3,2,26)&gt;EOMONTH(DATE($B$3,2,1),0),NETWORKDAYS.INTL(DATE($B$3,2,26),DATE($B$3,2,26),1,'Non-working days'!$A$6:$A$45)=0),"",IF(COUNTIFS('Leave log'!$A$7:$A$306,Employees!$A$22,'Leave log'!$B$7:$B$306,"&lt;="&amp;DATE($B$3,2,26),'Leave log'!$C$7:$C$306,"&gt;="&amp;DATE($B$3,2,26),'Leave log'!$F$7:$F$306,"Pending")&gt;0,"P",""))))</f>
        <v/>
      </c>
      <c r="AB57" s="23" t="str">
        <f>IF(A57="","",IF(IF(OR(DATE($B$3,2,27)&gt;EOMONTH(DATE($B$3,2,1),0),NETWORKDAYS.INTL(DATE($B$3,2,27),DATE($B$3,2,27),1,'Non-working days'!$A$6:$A$45)=0),"",IF(COUNTIFS('Leave log'!$A$7:$A$306,Employees!$A$22,'Leave log'!$B$7:$B$306,"&lt;="&amp;DATE($B$3,2,27),'Leave log'!$C$7:$C$306,"&gt;="&amp;DATE($B$3,2,27),'Leave log'!$F$7:$F$306,"Approved")&gt;0,"A",""))="A","A",IF(OR(DATE($B$3,2,27)&gt;EOMONTH(DATE($B$3,2,1),0),NETWORKDAYS.INTL(DATE($B$3,2,27),DATE($B$3,2,27),1,'Non-working days'!$A$6:$A$45)=0),"",IF(COUNTIFS('Leave log'!$A$7:$A$306,Employees!$A$22,'Leave log'!$B$7:$B$306,"&lt;="&amp;DATE($B$3,2,27),'Leave log'!$C$7:$C$306,"&gt;="&amp;DATE($B$3,2,27),'Leave log'!$F$7:$F$306,"Pending")&gt;0,"P",""))))</f>
        <v/>
      </c>
      <c r="AC57" s="23" t="str">
        <f>IF(A57="","",IF(IF(OR(DATE($B$3,2,28)&gt;EOMONTH(DATE($B$3,2,1),0),NETWORKDAYS.INTL(DATE($B$3,2,28),DATE($B$3,2,28),1,'Non-working days'!$A$6:$A$45)=0),"",IF(COUNTIFS('Leave log'!$A$7:$A$306,Employees!$A$22,'Leave log'!$B$7:$B$306,"&lt;="&amp;DATE($B$3,2,28),'Leave log'!$C$7:$C$306,"&gt;="&amp;DATE($B$3,2,28),'Leave log'!$F$7:$F$306,"Approved")&gt;0,"A",""))="A","A",IF(OR(DATE($B$3,2,28)&gt;EOMONTH(DATE($B$3,2,1),0),NETWORKDAYS.INTL(DATE($B$3,2,28),DATE($B$3,2,28),1,'Non-working days'!$A$6:$A$45)=0),"",IF(COUNTIFS('Leave log'!$A$7:$A$306,Employees!$A$22,'Leave log'!$B$7:$B$306,"&lt;="&amp;DATE($B$3,2,28),'Leave log'!$C$7:$C$306,"&gt;="&amp;DATE($B$3,2,28),'Leave log'!$F$7:$F$306,"Pending")&gt;0,"P",""))))</f>
        <v/>
      </c>
      <c r="AD57" s="23" t="str">
        <f>IF(A57="","",IF(IF(OR(DATE($B$3,2,29)&gt;EOMONTH(DATE($B$3,2,1),0),NETWORKDAYS.INTL(DATE($B$3,2,29),DATE($B$3,2,29),1,'Non-working days'!$A$6:$A$45)=0),"",IF(COUNTIFS('Leave log'!$A$7:$A$306,Employees!$A$22,'Leave log'!$B$7:$B$306,"&lt;="&amp;DATE($B$3,2,29),'Leave log'!$C$7:$C$306,"&gt;="&amp;DATE($B$3,2,29),'Leave log'!$F$7:$F$306,"Approved")&gt;0,"A",""))="A","A",IF(OR(DATE($B$3,2,29)&gt;EOMONTH(DATE($B$3,2,1),0),NETWORKDAYS.INTL(DATE($B$3,2,29),DATE($B$3,2,29),1,'Non-working days'!$A$6:$A$45)=0),"",IF(COUNTIFS('Leave log'!$A$7:$A$306,Employees!$A$22,'Leave log'!$B$7:$B$306,"&lt;="&amp;DATE($B$3,2,29),'Leave log'!$C$7:$C$306,"&gt;="&amp;DATE($B$3,2,29),'Leave log'!$F$7:$F$306,"Pending")&gt;0,"P",""))))</f>
        <v/>
      </c>
      <c r="AE57" s="23" t="str">
        <f>IF(A57="","",IF(IF(OR(DATE($B$3,2,30)&gt;EOMONTH(DATE($B$3,2,1),0),NETWORKDAYS.INTL(DATE($B$3,2,30),DATE($B$3,2,30),1,'Non-working days'!$A$6:$A$45)=0),"",IF(COUNTIFS('Leave log'!$A$7:$A$306,Employees!$A$22,'Leave log'!$B$7:$B$306,"&lt;="&amp;DATE($B$3,2,30),'Leave log'!$C$7:$C$306,"&gt;="&amp;DATE($B$3,2,30),'Leave log'!$F$7:$F$306,"Approved")&gt;0,"A",""))="A","A",IF(OR(DATE($B$3,2,30)&gt;EOMONTH(DATE($B$3,2,1),0),NETWORKDAYS.INTL(DATE($B$3,2,30),DATE($B$3,2,30),1,'Non-working days'!$A$6:$A$45)=0),"",IF(COUNTIFS('Leave log'!$A$7:$A$306,Employees!$A$22,'Leave log'!$B$7:$B$306,"&lt;="&amp;DATE($B$3,2,30),'Leave log'!$C$7:$C$306,"&gt;="&amp;DATE($B$3,2,30),'Leave log'!$F$7:$F$306,"Pending")&gt;0,"P",""))))</f>
        <v/>
      </c>
      <c r="AF57" s="23" t="str">
        <f>IF(A57="","",IF(IF(OR(DATE($B$3,2,31)&gt;EOMONTH(DATE($B$3,2,1),0),NETWORKDAYS.INTL(DATE($B$3,2,31),DATE($B$3,2,31),1,'Non-working days'!$A$6:$A$45)=0),"",IF(COUNTIFS('Leave log'!$A$7:$A$306,Employees!$A$22,'Leave log'!$B$7:$B$306,"&lt;="&amp;DATE($B$3,2,31),'Leave log'!$C$7:$C$306,"&gt;="&amp;DATE($B$3,2,31),'Leave log'!$F$7:$F$306,"Approved")&gt;0,"A",""))="A","A",IF(OR(DATE($B$3,2,31)&gt;EOMONTH(DATE($B$3,2,1),0),NETWORKDAYS.INTL(DATE($B$3,2,31),DATE($B$3,2,31),1,'Non-working days'!$A$6:$A$45)=0),"",IF(COUNTIFS('Leave log'!$A$7:$A$306,Employees!$A$22,'Leave log'!$B$7:$B$306,"&lt;="&amp;DATE($B$3,2,31),'Leave log'!$C$7:$C$306,"&gt;="&amp;DATE($B$3,2,31),'Leave log'!$F$7:$F$306,"Pending")&gt;0,"P",""))))</f>
        <v/>
      </c>
    </row>
    <row r="58" spans="1:32" ht="18" customHeight="1" x14ac:dyDescent="0.3">
      <c r="A58" s="22" t="str">
        <f>IF(Employees!F23="Yes",Employees!B23,"")</f>
        <v/>
      </c>
      <c r="B58" s="23" t="str">
        <f>IF(A58="","",IF(IF(OR(DATE($B$3,2,1)&gt;EOMONTH(DATE($B$3,2,1),0),NETWORKDAYS.INTL(DATE($B$3,2,1),DATE($B$3,2,1),1,'Non-working days'!$A$6:$A$45)=0),"",IF(COUNTIFS('Leave log'!$A$7:$A$306,Employees!$A$23,'Leave log'!$B$7:$B$306,"&lt;="&amp;DATE($B$3,2,1),'Leave log'!$C$7:$C$306,"&gt;="&amp;DATE($B$3,2,1),'Leave log'!$F$7:$F$306,"Approved")&gt;0,"A",""))="A","A",IF(OR(DATE($B$3,2,1)&gt;EOMONTH(DATE($B$3,2,1),0),NETWORKDAYS.INTL(DATE($B$3,2,1),DATE($B$3,2,1),1,'Non-working days'!$A$6:$A$45)=0),"",IF(COUNTIFS('Leave log'!$A$7:$A$306,Employees!$A$23,'Leave log'!$B$7:$B$306,"&lt;="&amp;DATE($B$3,2,1),'Leave log'!$C$7:$C$306,"&gt;="&amp;DATE($B$3,2,1),'Leave log'!$F$7:$F$306,"Pending")&gt;0,"P",""))))</f>
        <v/>
      </c>
      <c r="C58" s="23" t="str">
        <f>IF(A58="","",IF(IF(OR(DATE($B$3,2,2)&gt;EOMONTH(DATE($B$3,2,1),0),NETWORKDAYS.INTL(DATE($B$3,2,2),DATE($B$3,2,2),1,'Non-working days'!$A$6:$A$45)=0),"",IF(COUNTIFS('Leave log'!$A$7:$A$306,Employees!$A$23,'Leave log'!$B$7:$B$306,"&lt;="&amp;DATE($B$3,2,2),'Leave log'!$C$7:$C$306,"&gt;="&amp;DATE($B$3,2,2),'Leave log'!$F$7:$F$306,"Approved")&gt;0,"A",""))="A","A",IF(OR(DATE($B$3,2,2)&gt;EOMONTH(DATE($B$3,2,1),0),NETWORKDAYS.INTL(DATE($B$3,2,2),DATE($B$3,2,2),1,'Non-working days'!$A$6:$A$45)=0),"",IF(COUNTIFS('Leave log'!$A$7:$A$306,Employees!$A$23,'Leave log'!$B$7:$B$306,"&lt;="&amp;DATE($B$3,2,2),'Leave log'!$C$7:$C$306,"&gt;="&amp;DATE($B$3,2,2),'Leave log'!$F$7:$F$306,"Pending")&gt;0,"P",""))))</f>
        <v/>
      </c>
      <c r="D58" s="23" t="str">
        <f>IF(A58="","",IF(IF(OR(DATE($B$3,2,3)&gt;EOMONTH(DATE($B$3,2,1),0),NETWORKDAYS.INTL(DATE($B$3,2,3),DATE($B$3,2,3),1,'Non-working days'!$A$6:$A$45)=0),"",IF(COUNTIFS('Leave log'!$A$7:$A$306,Employees!$A$23,'Leave log'!$B$7:$B$306,"&lt;="&amp;DATE($B$3,2,3),'Leave log'!$C$7:$C$306,"&gt;="&amp;DATE($B$3,2,3),'Leave log'!$F$7:$F$306,"Approved")&gt;0,"A",""))="A","A",IF(OR(DATE($B$3,2,3)&gt;EOMONTH(DATE($B$3,2,1),0),NETWORKDAYS.INTL(DATE($B$3,2,3),DATE($B$3,2,3),1,'Non-working days'!$A$6:$A$45)=0),"",IF(COUNTIFS('Leave log'!$A$7:$A$306,Employees!$A$23,'Leave log'!$B$7:$B$306,"&lt;="&amp;DATE($B$3,2,3),'Leave log'!$C$7:$C$306,"&gt;="&amp;DATE($B$3,2,3),'Leave log'!$F$7:$F$306,"Pending")&gt;0,"P",""))))</f>
        <v/>
      </c>
      <c r="E58" s="23" t="str">
        <f>IF(A58="","",IF(IF(OR(DATE($B$3,2,4)&gt;EOMONTH(DATE($B$3,2,1),0),NETWORKDAYS.INTL(DATE($B$3,2,4),DATE($B$3,2,4),1,'Non-working days'!$A$6:$A$45)=0),"",IF(COUNTIFS('Leave log'!$A$7:$A$306,Employees!$A$23,'Leave log'!$B$7:$B$306,"&lt;="&amp;DATE($B$3,2,4),'Leave log'!$C$7:$C$306,"&gt;="&amp;DATE($B$3,2,4),'Leave log'!$F$7:$F$306,"Approved")&gt;0,"A",""))="A","A",IF(OR(DATE($B$3,2,4)&gt;EOMONTH(DATE($B$3,2,1),0),NETWORKDAYS.INTL(DATE($B$3,2,4),DATE($B$3,2,4),1,'Non-working days'!$A$6:$A$45)=0),"",IF(COUNTIFS('Leave log'!$A$7:$A$306,Employees!$A$23,'Leave log'!$B$7:$B$306,"&lt;="&amp;DATE($B$3,2,4),'Leave log'!$C$7:$C$306,"&gt;="&amp;DATE($B$3,2,4),'Leave log'!$F$7:$F$306,"Pending")&gt;0,"P",""))))</f>
        <v/>
      </c>
      <c r="F58" s="23" t="str">
        <f>IF(A58="","",IF(IF(OR(DATE($B$3,2,5)&gt;EOMONTH(DATE($B$3,2,1),0),NETWORKDAYS.INTL(DATE($B$3,2,5),DATE($B$3,2,5),1,'Non-working days'!$A$6:$A$45)=0),"",IF(COUNTIFS('Leave log'!$A$7:$A$306,Employees!$A$23,'Leave log'!$B$7:$B$306,"&lt;="&amp;DATE($B$3,2,5),'Leave log'!$C$7:$C$306,"&gt;="&amp;DATE($B$3,2,5),'Leave log'!$F$7:$F$306,"Approved")&gt;0,"A",""))="A","A",IF(OR(DATE($B$3,2,5)&gt;EOMONTH(DATE($B$3,2,1),0),NETWORKDAYS.INTL(DATE($B$3,2,5),DATE($B$3,2,5),1,'Non-working days'!$A$6:$A$45)=0),"",IF(COUNTIFS('Leave log'!$A$7:$A$306,Employees!$A$23,'Leave log'!$B$7:$B$306,"&lt;="&amp;DATE($B$3,2,5),'Leave log'!$C$7:$C$306,"&gt;="&amp;DATE($B$3,2,5),'Leave log'!$F$7:$F$306,"Pending")&gt;0,"P",""))))</f>
        <v/>
      </c>
      <c r="G58" s="23" t="str">
        <f>IF(A58="","",IF(IF(OR(DATE($B$3,2,6)&gt;EOMONTH(DATE($B$3,2,1),0),NETWORKDAYS.INTL(DATE($B$3,2,6),DATE($B$3,2,6),1,'Non-working days'!$A$6:$A$45)=0),"",IF(COUNTIFS('Leave log'!$A$7:$A$306,Employees!$A$23,'Leave log'!$B$7:$B$306,"&lt;="&amp;DATE($B$3,2,6),'Leave log'!$C$7:$C$306,"&gt;="&amp;DATE($B$3,2,6),'Leave log'!$F$7:$F$306,"Approved")&gt;0,"A",""))="A","A",IF(OR(DATE($B$3,2,6)&gt;EOMONTH(DATE($B$3,2,1),0),NETWORKDAYS.INTL(DATE($B$3,2,6),DATE($B$3,2,6),1,'Non-working days'!$A$6:$A$45)=0),"",IF(COUNTIFS('Leave log'!$A$7:$A$306,Employees!$A$23,'Leave log'!$B$7:$B$306,"&lt;="&amp;DATE($B$3,2,6),'Leave log'!$C$7:$C$306,"&gt;="&amp;DATE($B$3,2,6),'Leave log'!$F$7:$F$306,"Pending")&gt;0,"P",""))))</f>
        <v/>
      </c>
      <c r="H58" s="23" t="str">
        <f>IF(A58="","",IF(IF(OR(DATE($B$3,2,7)&gt;EOMONTH(DATE($B$3,2,1),0),NETWORKDAYS.INTL(DATE($B$3,2,7),DATE($B$3,2,7),1,'Non-working days'!$A$6:$A$45)=0),"",IF(COUNTIFS('Leave log'!$A$7:$A$306,Employees!$A$23,'Leave log'!$B$7:$B$306,"&lt;="&amp;DATE($B$3,2,7),'Leave log'!$C$7:$C$306,"&gt;="&amp;DATE($B$3,2,7),'Leave log'!$F$7:$F$306,"Approved")&gt;0,"A",""))="A","A",IF(OR(DATE($B$3,2,7)&gt;EOMONTH(DATE($B$3,2,1),0),NETWORKDAYS.INTL(DATE($B$3,2,7),DATE($B$3,2,7),1,'Non-working days'!$A$6:$A$45)=0),"",IF(COUNTIFS('Leave log'!$A$7:$A$306,Employees!$A$23,'Leave log'!$B$7:$B$306,"&lt;="&amp;DATE($B$3,2,7),'Leave log'!$C$7:$C$306,"&gt;="&amp;DATE($B$3,2,7),'Leave log'!$F$7:$F$306,"Pending")&gt;0,"P",""))))</f>
        <v/>
      </c>
      <c r="I58" s="23" t="str">
        <f>IF(A58="","",IF(IF(OR(DATE($B$3,2,8)&gt;EOMONTH(DATE($B$3,2,1),0),NETWORKDAYS.INTL(DATE($B$3,2,8),DATE($B$3,2,8),1,'Non-working days'!$A$6:$A$45)=0),"",IF(COUNTIFS('Leave log'!$A$7:$A$306,Employees!$A$23,'Leave log'!$B$7:$B$306,"&lt;="&amp;DATE($B$3,2,8),'Leave log'!$C$7:$C$306,"&gt;="&amp;DATE($B$3,2,8),'Leave log'!$F$7:$F$306,"Approved")&gt;0,"A",""))="A","A",IF(OR(DATE($B$3,2,8)&gt;EOMONTH(DATE($B$3,2,1),0),NETWORKDAYS.INTL(DATE($B$3,2,8),DATE($B$3,2,8),1,'Non-working days'!$A$6:$A$45)=0),"",IF(COUNTIFS('Leave log'!$A$7:$A$306,Employees!$A$23,'Leave log'!$B$7:$B$306,"&lt;="&amp;DATE($B$3,2,8),'Leave log'!$C$7:$C$306,"&gt;="&amp;DATE($B$3,2,8),'Leave log'!$F$7:$F$306,"Pending")&gt;0,"P",""))))</f>
        <v/>
      </c>
      <c r="J58" s="23" t="str">
        <f>IF(A58="","",IF(IF(OR(DATE($B$3,2,9)&gt;EOMONTH(DATE($B$3,2,1),0),NETWORKDAYS.INTL(DATE($B$3,2,9),DATE($B$3,2,9),1,'Non-working days'!$A$6:$A$45)=0),"",IF(COUNTIFS('Leave log'!$A$7:$A$306,Employees!$A$23,'Leave log'!$B$7:$B$306,"&lt;="&amp;DATE($B$3,2,9),'Leave log'!$C$7:$C$306,"&gt;="&amp;DATE($B$3,2,9),'Leave log'!$F$7:$F$306,"Approved")&gt;0,"A",""))="A","A",IF(OR(DATE($B$3,2,9)&gt;EOMONTH(DATE($B$3,2,1),0),NETWORKDAYS.INTL(DATE($B$3,2,9),DATE($B$3,2,9),1,'Non-working days'!$A$6:$A$45)=0),"",IF(COUNTIFS('Leave log'!$A$7:$A$306,Employees!$A$23,'Leave log'!$B$7:$B$306,"&lt;="&amp;DATE($B$3,2,9),'Leave log'!$C$7:$C$306,"&gt;="&amp;DATE($B$3,2,9),'Leave log'!$F$7:$F$306,"Pending")&gt;0,"P",""))))</f>
        <v/>
      </c>
      <c r="K58" s="23" t="str">
        <f>IF(A58="","",IF(IF(OR(DATE($B$3,2,10)&gt;EOMONTH(DATE($B$3,2,1),0),NETWORKDAYS.INTL(DATE($B$3,2,10),DATE($B$3,2,10),1,'Non-working days'!$A$6:$A$45)=0),"",IF(COUNTIFS('Leave log'!$A$7:$A$306,Employees!$A$23,'Leave log'!$B$7:$B$306,"&lt;="&amp;DATE($B$3,2,10),'Leave log'!$C$7:$C$306,"&gt;="&amp;DATE($B$3,2,10),'Leave log'!$F$7:$F$306,"Approved")&gt;0,"A",""))="A","A",IF(OR(DATE($B$3,2,10)&gt;EOMONTH(DATE($B$3,2,1),0),NETWORKDAYS.INTL(DATE($B$3,2,10),DATE($B$3,2,10),1,'Non-working days'!$A$6:$A$45)=0),"",IF(COUNTIFS('Leave log'!$A$7:$A$306,Employees!$A$23,'Leave log'!$B$7:$B$306,"&lt;="&amp;DATE($B$3,2,10),'Leave log'!$C$7:$C$306,"&gt;="&amp;DATE($B$3,2,10),'Leave log'!$F$7:$F$306,"Pending")&gt;0,"P",""))))</f>
        <v/>
      </c>
      <c r="L58" s="23" t="str">
        <f>IF(A58="","",IF(IF(OR(DATE($B$3,2,11)&gt;EOMONTH(DATE($B$3,2,1),0),NETWORKDAYS.INTL(DATE($B$3,2,11),DATE($B$3,2,11),1,'Non-working days'!$A$6:$A$45)=0),"",IF(COUNTIFS('Leave log'!$A$7:$A$306,Employees!$A$23,'Leave log'!$B$7:$B$306,"&lt;="&amp;DATE($B$3,2,11),'Leave log'!$C$7:$C$306,"&gt;="&amp;DATE($B$3,2,11),'Leave log'!$F$7:$F$306,"Approved")&gt;0,"A",""))="A","A",IF(OR(DATE($B$3,2,11)&gt;EOMONTH(DATE($B$3,2,1),0),NETWORKDAYS.INTL(DATE($B$3,2,11),DATE($B$3,2,11),1,'Non-working days'!$A$6:$A$45)=0),"",IF(COUNTIFS('Leave log'!$A$7:$A$306,Employees!$A$23,'Leave log'!$B$7:$B$306,"&lt;="&amp;DATE($B$3,2,11),'Leave log'!$C$7:$C$306,"&gt;="&amp;DATE($B$3,2,11),'Leave log'!$F$7:$F$306,"Pending")&gt;0,"P",""))))</f>
        <v/>
      </c>
      <c r="M58" s="23" t="str">
        <f>IF(A58="","",IF(IF(OR(DATE($B$3,2,12)&gt;EOMONTH(DATE($B$3,2,1),0),NETWORKDAYS.INTL(DATE($B$3,2,12),DATE($B$3,2,12),1,'Non-working days'!$A$6:$A$45)=0),"",IF(COUNTIFS('Leave log'!$A$7:$A$306,Employees!$A$23,'Leave log'!$B$7:$B$306,"&lt;="&amp;DATE($B$3,2,12),'Leave log'!$C$7:$C$306,"&gt;="&amp;DATE($B$3,2,12),'Leave log'!$F$7:$F$306,"Approved")&gt;0,"A",""))="A","A",IF(OR(DATE($B$3,2,12)&gt;EOMONTH(DATE($B$3,2,1),0),NETWORKDAYS.INTL(DATE($B$3,2,12),DATE($B$3,2,12),1,'Non-working days'!$A$6:$A$45)=0),"",IF(COUNTIFS('Leave log'!$A$7:$A$306,Employees!$A$23,'Leave log'!$B$7:$B$306,"&lt;="&amp;DATE($B$3,2,12),'Leave log'!$C$7:$C$306,"&gt;="&amp;DATE($B$3,2,12),'Leave log'!$F$7:$F$306,"Pending")&gt;0,"P",""))))</f>
        <v/>
      </c>
      <c r="N58" s="23" t="str">
        <f>IF(A58="","",IF(IF(OR(DATE($B$3,2,13)&gt;EOMONTH(DATE($B$3,2,1),0),NETWORKDAYS.INTL(DATE($B$3,2,13),DATE($B$3,2,13),1,'Non-working days'!$A$6:$A$45)=0),"",IF(COUNTIFS('Leave log'!$A$7:$A$306,Employees!$A$23,'Leave log'!$B$7:$B$306,"&lt;="&amp;DATE($B$3,2,13),'Leave log'!$C$7:$C$306,"&gt;="&amp;DATE($B$3,2,13),'Leave log'!$F$7:$F$306,"Approved")&gt;0,"A",""))="A","A",IF(OR(DATE($B$3,2,13)&gt;EOMONTH(DATE($B$3,2,1),0),NETWORKDAYS.INTL(DATE($B$3,2,13),DATE($B$3,2,13),1,'Non-working days'!$A$6:$A$45)=0),"",IF(COUNTIFS('Leave log'!$A$7:$A$306,Employees!$A$23,'Leave log'!$B$7:$B$306,"&lt;="&amp;DATE($B$3,2,13),'Leave log'!$C$7:$C$306,"&gt;="&amp;DATE($B$3,2,13),'Leave log'!$F$7:$F$306,"Pending")&gt;0,"P",""))))</f>
        <v/>
      </c>
      <c r="O58" s="23" t="str">
        <f>IF(A58="","",IF(IF(OR(DATE($B$3,2,14)&gt;EOMONTH(DATE($B$3,2,1),0),NETWORKDAYS.INTL(DATE($B$3,2,14),DATE($B$3,2,14),1,'Non-working days'!$A$6:$A$45)=0),"",IF(COUNTIFS('Leave log'!$A$7:$A$306,Employees!$A$23,'Leave log'!$B$7:$B$306,"&lt;="&amp;DATE($B$3,2,14),'Leave log'!$C$7:$C$306,"&gt;="&amp;DATE($B$3,2,14),'Leave log'!$F$7:$F$306,"Approved")&gt;0,"A",""))="A","A",IF(OR(DATE($B$3,2,14)&gt;EOMONTH(DATE($B$3,2,1),0),NETWORKDAYS.INTL(DATE($B$3,2,14),DATE($B$3,2,14),1,'Non-working days'!$A$6:$A$45)=0),"",IF(COUNTIFS('Leave log'!$A$7:$A$306,Employees!$A$23,'Leave log'!$B$7:$B$306,"&lt;="&amp;DATE($B$3,2,14),'Leave log'!$C$7:$C$306,"&gt;="&amp;DATE($B$3,2,14),'Leave log'!$F$7:$F$306,"Pending")&gt;0,"P",""))))</f>
        <v/>
      </c>
      <c r="P58" s="23" t="str">
        <f>IF(A58="","",IF(IF(OR(DATE($B$3,2,15)&gt;EOMONTH(DATE($B$3,2,1),0),NETWORKDAYS.INTL(DATE($B$3,2,15),DATE($B$3,2,15),1,'Non-working days'!$A$6:$A$45)=0),"",IF(COUNTIFS('Leave log'!$A$7:$A$306,Employees!$A$23,'Leave log'!$B$7:$B$306,"&lt;="&amp;DATE($B$3,2,15),'Leave log'!$C$7:$C$306,"&gt;="&amp;DATE($B$3,2,15),'Leave log'!$F$7:$F$306,"Approved")&gt;0,"A",""))="A","A",IF(OR(DATE($B$3,2,15)&gt;EOMONTH(DATE($B$3,2,1),0),NETWORKDAYS.INTL(DATE($B$3,2,15),DATE($B$3,2,15),1,'Non-working days'!$A$6:$A$45)=0),"",IF(COUNTIFS('Leave log'!$A$7:$A$306,Employees!$A$23,'Leave log'!$B$7:$B$306,"&lt;="&amp;DATE($B$3,2,15),'Leave log'!$C$7:$C$306,"&gt;="&amp;DATE($B$3,2,15),'Leave log'!$F$7:$F$306,"Pending")&gt;0,"P",""))))</f>
        <v/>
      </c>
      <c r="Q58" s="23" t="str">
        <f>IF(A58="","",IF(IF(OR(DATE($B$3,2,16)&gt;EOMONTH(DATE($B$3,2,1),0),NETWORKDAYS.INTL(DATE($B$3,2,16),DATE($B$3,2,16),1,'Non-working days'!$A$6:$A$45)=0),"",IF(COUNTIFS('Leave log'!$A$7:$A$306,Employees!$A$23,'Leave log'!$B$7:$B$306,"&lt;="&amp;DATE($B$3,2,16),'Leave log'!$C$7:$C$306,"&gt;="&amp;DATE($B$3,2,16),'Leave log'!$F$7:$F$306,"Approved")&gt;0,"A",""))="A","A",IF(OR(DATE($B$3,2,16)&gt;EOMONTH(DATE($B$3,2,1),0),NETWORKDAYS.INTL(DATE($B$3,2,16),DATE($B$3,2,16),1,'Non-working days'!$A$6:$A$45)=0),"",IF(COUNTIFS('Leave log'!$A$7:$A$306,Employees!$A$23,'Leave log'!$B$7:$B$306,"&lt;="&amp;DATE($B$3,2,16),'Leave log'!$C$7:$C$306,"&gt;="&amp;DATE($B$3,2,16),'Leave log'!$F$7:$F$306,"Pending")&gt;0,"P",""))))</f>
        <v/>
      </c>
      <c r="R58" s="23" t="str">
        <f>IF(A58="","",IF(IF(OR(DATE($B$3,2,17)&gt;EOMONTH(DATE($B$3,2,1),0),NETWORKDAYS.INTL(DATE($B$3,2,17),DATE($B$3,2,17),1,'Non-working days'!$A$6:$A$45)=0),"",IF(COUNTIFS('Leave log'!$A$7:$A$306,Employees!$A$23,'Leave log'!$B$7:$B$306,"&lt;="&amp;DATE($B$3,2,17),'Leave log'!$C$7:$C$306,"&gt;="&amp;DATE($B$3,2,17),'Leave log'!$F$7:$F$306,"Approved")&gt;0,"A",""))="A","A",IF(OR(DATE($B$3,2,17)&gt;EOMONTH(DATE($B$3,2,1),0),NETWORKDAYS.INTL(DATE($B$3,2,17),DATE($B$3,2,17),1,'Non-working days'!$A$6:$A$45)=0),"",IF(COUNTIFS('Leave log'!$A$7:$A$306,Employees!$A$23,'Leave log'!$B$7:$B$306,"&lt;="&amp;DATE($B$3,2,17),'Leave log'!$C$7:$C$306,"&gt;="&amp;DATE($B$3,2,17),'Leave log'!$F$7:$F$306,"Pending")&gt;0,"P",""))))</f>
        <v/>
      </c>
      <c r="S58" s="23" t="str">
        <f>IF(A58="","",IF(IF(OR(DATE($B$3,2,18)&gt;EOMONTH(DATE($B$3,2,1),0),NETWORKDAYS.INTL(DATE($B$3,2,18),DATE($B$3,2,18),1,'Non-working days'!$A$6:$A$45)=0),"",IF(COUNTIFS('Leave log'!$A$7:$A$306,Employees!$A$23,'Leave log'!$B$7:$B$306,"&lt;="&amp;DATE($B$3,2,18),'Leave log'!$C$7:$C$306,"&gt;="&amp;DATE($B$3,2,18),'Leave log'!$F$7:$F$306,"Approved")&gt;0,"A",""))="A","A",IF(OR(DATE($B$3,2,18)&gt;EOMONTH(DATE($B$3,2,1),0),NETWORKDAYS.INTL(DATE($B$3,2,18),DATE($B$3,2,18),1,'Non-working days'!$A$6:$A$45)=0),"",IF(COUNTIFS('Leave log'!$A$7:$A$306,Employees!$A$23,'Leave log'!$B$7:$B$306,"&lt;="&amp;DATE($B$3,2,18),'Leave log'!$C$7:$C$306,"&gt;="&amp;DATE($B$3,2,18),'Leave log'!$F$7:$F$306,"Pending")&gt;0,"P",""))))</f>
        <v/>
      </c>
      <c r="T58" s="23" t="str">
        <f>IF(A58="","",IF(IF(OR(DATE($B$3,2,19)&gt;EOMONTH(DATE($B$3,2,1),0),NETWORKDAYS.INTL(DATE($B$3,2,19),DATE($B$3,2,19),1,'Non-working days'!$A$6:$A$45)=0),"",IF(COUNTIFS('Leave log'!$A$7:$A$306,Employees!$A$23,'Leave log'!$B$7:$B$306,"&lt;="&amp;DATE($B$3,2,19),'Leave log'!$C$7:$C$306,"&gt;="&amp;DATE($B$3,2,19),'Leave log'!$F$7:$F$306,"Approved")&gt;0,"A",""))="A","A",IF(OR(DATE($B$3,2,19)&gt;EOMONTH(DATE($B$3,2,1),0),NETWORKDAYS.INTL(DATE($B$3,2,19),DATE($B$3,2,19),1,'Non-working days'!$A$6:$A$45)=0),"",IF(COUNTIFS('Leave log'!$A$7:$A$306,Employees!$A$23,'Leave log'!$B$7:$B$306,"&lt;="&amp;DATE($B$3,2,19),'Leave log'!$C$7:$C$306,"&gt;="&amp;DATE($B$3,2,19),'Leave log'!$F$7:$F$306,"Pending")&gt;0,"P",""))))</f>
        <v/>
      </c>
      <c r="U58" s="23" t="str">
        <f>IF(A58="","",IF(IF(OR(DATE($B$3,2,20)&gt;EOMONTH(DATE($B$3,2,1),0),NETWORKDAYS.INTL(DATE($B$3,2,20),DATE($B$3,2,20),1,'Non-working days'!$A$6:$A$45)=0),"",IF(COUNTIFS('Leave log'!$A$7:$A$306,Employees!$A$23,'Leave log'!$B$7:$B$306,"&lt;="&amp;DATE($B$3,2,20),'Leave log'!$C$7:$C$306,"&gt;="&amp;DATE($B$3,2,20),'Leave log'!$F$7:$F$306,"Approved")&gt;0,"A",""))="A","A",IF(OR(DATE($B$3,2,20)&gt;EOMONTH(DATE($B$3,2,1),0),NETWORKDAYS.INTL(DATE($B$3,2,20),DATE($B$3,2,20),1,'Non-working days'!$A$6:$A$45)=0),"",IF(COUNTIFS('Leave log'!$A$7:$A$306,Employees!$A$23,'Leave log'!$B$7:$B$306,"&lt;="&amp;DATE($B$3,2,20),'Leave log'!$C$7:$C$306,"&gt;="&amp;DATE($B$3,2,20),'Leave log'!$F$7:$F$306,"Pending")&gt;0,"P",""))))</f>
        <v/>
      </c>
      <c r="V58" s="23" t="str">
        <f>IF(A58="","",IF(IF(OR(DATE($B$3,2,21)&gt;EOMONTH(DATE($B$3,2,1),0),NETWORKDAYS.INTL(DATE($B$3,2,21),DATE($B$3,2,21),1,'Non-working days'!$A$6:$A$45)=0),"",IF(COUNTIFS('Leave log'!$A$7:$A$306,Employees!$A$23,'Leave log'!$B$7:$B$306,"&lt;="&amp;DATE($B$3,2,21),'Leave log'!$C$7:$C$306,"&gt;="&amp;DATE($B$3,2,21),'Leave log'!$F$7:$F$306,"Approved")&gt;0,"A",""))="A","A",IF(OR(DATE($B$3,2,21)&gt;EOMONTH(DATE($B$3,2,1),0),NETWORKDAYS.INTL(DATE($B$3,2,21),DATE($B$3,2,21),1,'Non-working days'!$A$6:$A$45)=0),"",IF(COUNTIFS('Leave log'!$A$7:$A$306,Employees!$A$23,'Leave log'!$B$7:$B$306,"&lt;="&amp;DATE($B$3,2,21),'Leave log'!$C$7:$C$306,"&gt;="&amp;DATE($B$3,2,21),'Leave log'!$F$7:$F$306,"Pending")&gt;0,"P",""))))</f>
        <v/>
      </c>
      <c r="W58" s="23" t="str">
        <f>IF(A58="","",IF(IF(OR(DATE($B$3,2,22)&gt;EOMONTH(DATE($B$3,2,1),0),NETWORKDAYS.INTL(DATE($B$3,2,22),DATE($B$3,2,22),1,'Non-working days'!$A$6:$A$45)=0),"",IF(COUNTIFS('Leave log'!$A$7:$A$306,Employees!$A$23,'Leave log'!$B$7:$B$306,"&lt;="&amp;DATE($B$3,2,22),'Leave log'!$C$7:$C$306,"&gt;="&amp;DATE($B$3,2,22),'Leave log'!$F$7:$F$306,"Approved")&gt;0,"A",""))="A","A",IF(OR(DATE($B$3,2,22)&gt;EOMONTH(DATE($B$3,2,1),0),NETWORKDAYS.INTL(DATE($B$3,2,22),DATE($B$3,2,22),1,'Non-working days'!$A$6:$A$45)=0),"",IF(COUNTIFS('Leave log'!$A$7:$A$306,Employees!$A$23,'Leave log'!$B$7:$B$306,"&lt;="&amp;DATE($B$3,2,22),'Leave log'!$C$7:$C$306,"&gt;="&amp;DATE($B$3,2,22),'Leave log'!$F$7:$F$306,"Pending")&gt;0,"P",""))))</f>
        <v/>
      </c>
      <c r="X58" s="23" t="str">
        <f>IF(A58="","",IF(IF(OR(DATE($B$3,2,23)&gt;EOMONTH(DATE($B$3,2,1),0),NETWORKDAYS.INTL(DATE($B$3,2,23),DATE($B$3,2,23),1,'Non-working days'!$A$6:$A$45)=0),"",IF(COUNTIFS('Leave log'!$A$7:$A$306,Employees!$A$23,'Leave log'!$B$7:$B$306,"&lt;="&amp;DATE($B$3,2,23),'Leave log'!$C$7:$C$306,"&gt;="&amp;DATE($B$3,2,23),'Leave log'!$F$7:$F$306,"Approved")&gt;0,"A",""))="A","A",IF(OR(DATE($B$3,2,23)&gt;EOMONTH(DATE($B$3,2,1),0),NETWORKDAYS.INTL(DATE($B$3,2,23),DATE($B$3,2,23),1,'Non-working days'!$A$6:$A$45)=0),"",IF(COUNTIFS('Leave log'!$A$7:$A$306,Employees!$A$23,'Leave log'!$B$7:$B$306,"&lt;="&amp;DATE($B$3,2,23),'Leave log'!$C$7:$C$306,"&gt;="&amp;DATE($B$3,2,23),'Leave log'!$F$7:$F$306,"Pending")&gt;0,"P",""))))</f>
        <v/>
      </c>
      <c r="Y58" s="23" t="str">
        <f>IF(A58="","",IF(IF(OR(DATE($B$3,2,24)&gt;EOMONTH(DATE($B$3,2,1),0),NETWORKDAYS.INTL(DATE($B$3,2,24),DATE($B$3,2,24),1,'Non-working days'!$A$6:$A$45)=0),"",IF(COUNTIFS('Leave log'!$A$7:$A$306,Employees!$A$23,'Leave log'!$B$7:$B$306,"&lt;="&amp;DATE($B$3,2,24),'Leave log'!$C$7:$C$306,"&gt;="&amp;DATE($B$3,2,24),'Leave log'!$F$7:$F$306,"Approved")&gt;0,"A",""))="A","A",IF(OR(DATE($B$3,2,24)&gt;EOMONTH(DATE($B$3,2,1),0),NETWORKDAYS.INTL(DATE($B$3,2,24),DATE($B$3,2,24),1,'Non-working days'!$A$6:$A$45)=0),"",IF(COUNTIFS('Leave log'!$A$7:$A$306,Employees!$A$23,'Leave log'!$B$7:$B$306,"&lt;="&amp;DATE($B$3,2,24),'Leave log'!$C$7:$C$306,"&gt;="&amp;DATE($B$3,2,24),'Leave log'!$F$7:$F$306,"Pending")&gt;0,"P",""))))</f>
        <v/>
      </c>
      <c r="Z58" s="23" t="str">
        <f>IF(A58="","",IF(IF(OR(DATE($B$3,2,25)&gt;EOMONTH(DATE($B$3,2,1),0),NETWORKDAYS.INTL(DATE($B$3,2,25),DATE($B$3,2,25),1,'Non-working days'!$A$6:$A$45)=0),"",IF(COUNTIFS('Leave log'!$A$7:$A$306,Employees!$A$23,'Leave log'!$B$7:$B$306,"&lt;="&amp;DATE($B$3,2,25),'Leave log'!$C$7:$C$306,"&gt;="&amp;DATE($B$3,2,25),'Leave log'!$F$7:$F$306,"Approved")&gt;0,"A",""))="A","A",IF(OR(DATE($B$3,2,25)&gt;EOMONTH(DATE($B$3,2,1),0),NETWORKDAYS.INTL(DATE($B$3,2,25),DATE($B$3,2,25),1,'Non-working days'!$A$6:$A$45)=0),"",IF(COUNTIFS('Leave log'!$A$7:$A$306,Employees!$A$23,'Leave log'!$B$7:$B$306,"&lt;="&amp;DATE($B$3,2,25),'Leave log'!$C$7:$C$306,"&gt;="&amp;DATE($B$3,2,25),'Leave log'!$F$7:$F$306,"Pending")&gt;0,"P",""))))</f>
        <v/>
      </c>
      <c r="AA58" s="23" t="str">
        <f>IF(A58="","",IF(IF(OR(DATE($B$3,2,26)&gt;EOMONTH(DATE($B$3,2,1),0),NETWORKDAYS.INTL(DATE($B$3,2,26),DATE($B$3,2,26),1,'Non-working days'!$A$6:$A$45)=0),"",IF(COUNTIFS('Leave log'!$A$7:$A$306,Employees!$A$23,'Leave log'!$B$7:$B$306,"&lt;="&amp;DATE($B$3,2,26),'Leave log'!$C$7:$C$306,"&gt;="&amp;DATE($B$3,2,26),'Leave log'!$F$7:$F$306,"Approved")&gt;0,"A",""))="A","A",IF(OR(DATE($B$3,2,26)&gt;EOMONTH(DATE($B$3,2,1),0),NETWORKDAYS.INTL(DATE($B$3,2,26),DATE($B$3,2,26),1,'Non-working days'!$A$6:$A$45)=0),"",IF(COUNTIFS('Leave log'!$A$7:$A$306,Employees!$A$23,'Leave log'!$B$7:$B$306,"&lt;="&amp;DATE($B$3,2,26),'Leave log'!$C$7:$C$306,"&gt;="&amp;DATE($B$3,2,26),'Leave log'!$F$7:$F$306,"Pending")&gt;0,"P",""))))</f>
        <v/>
      </c>
      <c r="AB58" s="23" t="str">
        <f>IF(A58="","",IF(IF(OR(DATE($B$3,2,27)&gt;EOMONTH(DATE($B$3,2,1),0),NETWORKDAYS.INTL(DATE($B$3,2,27),DATE($B$3,2,27),1,'Non-working days'!$A$6:$A$45)=0),"",IF(COUNTIFS('Leave log'!$A$7:$A$306,Employees!$A$23,'Leave log'!$B$7:$B$306,"&lt;="&amp;DATE($B$3,2,27),'Leave log'!$C$7:$C$306,"&gt;="&amp;DATE($B$3,2,27),'Leave log'!$F$7:$F$306,"Approved")&gt;0,"A",""))="A","A",IF(OR(DATE($B$3,2,27)&gt;EOMONTH(DATE($B$3,2,1),0),NETWORKDAYS.INTL(DATE($B$3,2,27),DATE($B$3,2,27),1,'Non-working days'!$A$6:$A$45)=0),"",IF(COUNTIFS('Leave log'!$A$7:$A$306,Employees!$A$23,'Leave log'!$B$7:$B$306,"&lt;="&amp;DATE($B$3,2,27),'Leave log'!$C$7:$C$306,"&gt;="&amp;DATE($B$3,2,27),'Leave log'!$F$7:$F$306,"Pending")&gt;0,"P",""))))</f>
        <v/>
      </c>
      <c r="AC58" s="23" t="str">
        <f>IF(A58="","",IF(IF(OR(DATE($B$3,2,28)&gt;EOMONTH(DATE($B$3,2,1),0),NETWORKDAYS.INTL(DATE($B$3,2,28),DATE($B$3,2,28),1,'Non-working days'!$A$6:$A$45)=0),"",IF(COUNTIFS('Leave log'!$A$7:$A$306,Employees!$A$23,'Leave log'!$B$7:$B$306,"&lt;="&amp;DATE($B$3,2,28),'Leave log'!$C$7:$C$306,"&gt;="&amp;DATE($B$3,2,28),'Leave log'!$F$7:$F$306,"Approved")&gt;0,"A",""))="A","A",IF(OR(DATE($B$3,2,28)&gt;EOMONTH(DATE($B$3,2,1),0),NETWORKDAYS.INTL(DATE($B$3,2,28),DATE($B$3,2,28),1,'Non-working days'!$A$6:$A$45)=0),"",IF(COUNTIFS('Leave log'!$A$7:$A$306,Employees!$A$23,'Leave log'!$B$7:$B$306,"&lt;="&amp;DATE($B$3,2,28),'Leave log'!$C$7:$C$306,"&gt;="&amp;DATE($B$3,2,28),'Leave log'!$F$7:$F$306,"Pending")&gt;0,"P",""))))</f>
        <v/>
      </c>
      <c r="AD58" s="23" t="str">
        <f>IF(A58="","",IF(IF(OR(DATE($B$3,2,29)&gt;EOMONTH(DATE($B$3,2,1),0),NETWORKDAYS.INTL(DATE($B$3,2,29),DATE($B$3,2,29),1,'Non-working days'!$A$6:$A$45)=0),"",IF(COUNTIFS('Leave log'!$A$7:$A$306,Employees!$A$23,'Leave log'!$B$7:$B$306,"&lt;="&amp;DATE($B$3,2,29),'Leave log'!$C$7:$C$306,"&gt;="&amp;DATE($B$3,2,29),'Leave log'!$F$7:$F$306,"Approved")&gt;0,"A",""))="A","A",IF(OR(DATE($B$3,2,29)&gt;EOMONTH(DATE($B$3,2,1),0),NETWORKDAYS.INTL(DATE($B$3,2,29),DATE($B$3,2,29),1,'Non-working days'!$A$6:$A$45)=0),"",IF(COUNTIFS('Leave log'!$A$7:$A$306,Employees!$A$23,'Leave log'!$B$7:$B$306,"&lt;="&amp;DATE($B$3,2,29),'Leave log'!$C$7:$C$306,"&gt;="&amp;DATE($B$3,2,29),'Leave log'!$F$7:$F$306,"Pending")&gt;0,"P",""))))</f>
        <v/>
      </c>
      <c r="AE58" s="23" t="str">
        <f>IF(A58="","",IF(IF(OR(DATE($B$3,2,30)&gt;EOMONTH(DATE($B$3,2,1),0),NETWORKDAYS.INTL(DATE($B$3,2,30),DATE($B$3,2,30),1,'Non-working days'!$A$6:$A$45)=0),"",IF(COUNTIFS('Leave log'!$A$7:$A$306,Employees!$A$23,'Leave log'!$B$7:$B$306,"&lt;="&amp;DATE($B$3,2,30),'Leave log'!$C$7:$C$306,"&gt;="&amp;DATE($B$3,2,30),'Leave log'!$F$7:$F$306,"Approved")&gt;0,"A",""))="A","A",IF(OR(DATE($B$3,2,30)&gt;EOMONTH(DATE($B$3,2,1),0),NETWORKDAYS.INTL(DATE($B$3,2,30),DATE($B$3,2,30),1,'Non-working days'!$A$6:$A$45)=0),"",IF(COUNTIFS('Leave log'!$A$7:$A$306,Employees!$A$23,'Leave log'!$B$7:$B$306,"&lt;="&amp;DATE($B$3,2,30),'Leave log'!$C$7:$C$306,"&gt;="&amp;DATE($B$3,2,30),'Leave log'!$F$7:$F$306,"Pending")&gt;0,"P",""))))</f>
        <v/>
      </c>
      <c r="AF58" s="23" t="str">
        <f>IF(A58="","",IF(IF(OR(DATE($B$3,2,31)&gt;EOMONTH(DATE($B$3,2,1),0),NETWORKDAYS.INTL(DATE($B$3,2,31),DATE($B$3,2,31),1,'Non-working days'!$A$6:$A$45)=0),"",IF(COUNTIFS('Leave log'!$A$7:$A$306,Employees!$A$23,'Leave log'!$B$7:$B$306,"&lt;="&amp;DATE($B$3,2,31),'Leave log'!$C$7:$C$306,"&gt;="&amp;DATE($B$3,2,31),'Leave log'!$F$7:$F$306,"Approved")&gt;0,"A",""))="A","A",IF(OR(DATE($B$3,2,31)&gt;EOMONTH(DATE($B$3,2,1),0),NETWORKDAYS.INTL(DATE($B$3,2,31),DATE($B$3,2,31),1,'Non-working days'!$A$6:$A$45)=0),"",IF(COUNTIFS('Leave log'!$A$7:$A$306,Employees!$A$23,'Leave log'!$B$7:$B$306,"&lt;="&amp;DATE($B$3,2,31),'Leave log'!$C$7:$C$306,"&gt;="&amp;DATE($B$3,2,31),'Leave log'!$F$7:$F$306,"Pending")&gt;0,"P",""))))</f>
        <v/>
      </c>
    </row>
    <row r="59" spans="1:32" ht="18" customHeight="1" x14ac:dyDescent="0.3">
      <c r="A59" s="22" t="str">
        <f>IF(Employees!F24="Yes",Employees!B24,"")</f>
        <v/>
      </c>
      <c r="B59" s="23" t="str">
        <f>IF(A59="","",IF(IF(OR(DATE($B$3,2,1)&gt;EOMONTH(DATE($B$3,2,1),0),NETWORKDAYS.INTL(DATE($B$3,2,1),DATE($B$3,2,1),1,'Non-working days'!$A$6:$A$45)=0),"",IF(COUNTIFS('Leave log'!$A$7:$A$306,Employees!$A$24,'Leave log'!$B$7:$B$306,"&lt;="&amp;DATE($B$3,2,1),'Leave log'!$C$7:$C$306,"&gt;="&amp;DATE($B$3,2,1),'Leave log'!$F$7:$F$306,"Approved")&gt;0,"A",""))="A","A",IF(OR(DATE($B$3,2,1)&gt;EOMONTH(DATE($B$3,2,1),0),NETWORKDAYS.INTL(DATE($B$3,2,1),DATE($B$3,2,1),1,'Non-working days'!$A$6:$A$45)=0),"",IF(COUNTIFS('Leave log'!$A$7:$A$306,Employees!$A$24,'Leave log'!$B$7:$B$306,"&lt;="&amp;DATE($B$3,2,1),'Leave log'!$C$7:$C$306,"&gt;="&amp;DATE($B$3,2,1),'Leave log'!$F$7:$F$306,"Pending")&gt;0,"P",""))))</f>
        <v/>
      </c>
      <c r="C59" s="23" t="str">
        <f>IF(A59="","",IF(IF(OR(DATE($B$3,2,2)&gt;EOMONTH(DATE($B$3,2,1),0),NETWORKDAYS.INTL(DATE($B$3,2,2),DATE($B$3,2,2),1,'Non-working days'!$A$6:$A$45)=0),"",IF(COUNTIFS('Leave log'!$A$7:$A$306,Employees!$A$24,'Leave log'!$B$7:$B$306,"&lt;="&amp;DATE($B$3,2,2),'Leave log'!$C$7:$C$306,"&gt;="&amp;DATE($B$3,2,2),'Leave log'!$F$7:$F$306,"Approved")&gt;0,"A",""))="A","A",IF(OR(DATE($B$3,2,2)&gt;EOMONTH(DATE($B$3,2,1),0),NETWORKDAYS.INTL(DATE($B$3,2,2),DATE($B$3,2,2),1,'Non-working days'!$A$6:$A$45)=0),"",IF(COUNTIFS('Leave log'!$A$7:$A$306,Employees!$A$24,'Leave log'!$B$7:$B$306,"&lt;="&amp;DATE($B$3,2,2),'Leave log'!$C$7:$C$306,"&gt;="&amp;DATE($B$3,2,2),'Leave log'!$F$7:$F$306,"Pending")&gt;0,"P",""))))</f>
        <v/>
      </c>
      <c r="D59" s="23" t="str">
        <f>IF(A59="","",IF(IF(OR(DATE($B$3,2,3)&gt;EOMONTH(DATE($B$3,2,1),0),NETWORKDAYS.INTL(DATE($B$3,2,3),DATE($B$3,2,3),1,'Non-working days'!$A$6:$A$45)=0),"",IF(COUNTIFS('Leave log'!$A$7:$A$306,Employees!$A$24,'Leave log'!$B$7:$B$306,"&lt;="&amp;DATE($B$3,2,3),'Leave log'!$C$7:$C$306,"&gt;="&amp;DATE($B$3,2,3),'Leave log'!$F$7:$F$306,"Approved")&gt;0,"A",""))="A","A",IF(OR(DATE($B$3,2,3)&gt;EOMONTH(DATE($B$3,2,1),0),NETWORKDAYS.INTL(DATE($B$3,2,3),DATE($B$3,2,3),1,'Non-working days'!$A$6:$A$45)=0),"",IF(COUNTIFS('Leave log'!$A$7:$A$306,Employees!$A$24,'Leave log'!$B$7:$B$306,"&lt;="&amp;DATE($B$3,2,3),'Leave log'!$C$7:$C$306,"&gt;="&amp;DATE($B$3,2,3),'Leave log'!$F$7:$F$306,"Pending")&gt;0,"P",""))))</f>
        <v/>
      </c>
      <c r="E59" s="23" t="str">
        <f>IF(A59="","",IF(IF(OR(DATE($B$3,2,4)&gt;EOMONTH(DATE($B$3,2,1),0),NETWORKDAYS.INTL(DATE($B$3,2,4),DATE($B$3,2,4),1,'Non-working days'!$A$6:$A$45)=0),"",IF(COUNTIFS('Leave log'!$A$7:$A$306,Employees!$A$24,'Leave log'!$B$7:$B$306,"&lt;="&amp;DATE($B$3,2,4),'Leave log'!$C$7:$C$306,"&gt;="&amp;DATE($B$3,2,4),'Leave log'!$F$7:$F$306,"Approved")&gt;0,"A",""))="A","A",IF(OR(DATE($B$3,2,4)&gt;EOMONTH(DATE($B$3,2,1),0),NETWORKDAYS.INTL(DATE($B$3,2,4),DATE($B$3,2,4),1,'Non-working days'!$A$6:$A$45)=0),"",IF(COUNTIFS('Leave log'!$A$7:$A$306,Employees!$A$24,'Leave log'!$B$7:$B$306,"&lt;="&amp;DATE($B$3,2,4),'Leave log'!$C$7:$C$306,"&gt;="&amp;DATE($B$3,2,4),'Leave log'!$F$7:$F$306,"Pending")&gt;0,"P",""))))</f>
        <v/>
      </c>
      <c r="F59" s="23" t="str">
        <f>IF(A59="","",IF(IF(OR(DATE($B$3,2,5)&gt;EOMONTH(DATE($B$3,2,1),0),NETWORKDAYS.INTL(DATE($B$3,2,5),DATE($B$3,2,5),1,'Non-working days'!$A$6:$A$45)=0),"",IF(COUNTIFS('Leave log'!$A$7:$A$306,Employees!$A$24,'Leave log'!$B$7:$B$306,"&lt;="&amp;DATE($B$3,2,5),'Leave log'!$C$7:$C$306,"&gt;="&amp;DATE($B$3,2,5),'Leave log'!$F$7:$F$306,"Approved")&gt;0,"A",""))="A","A",IF(OR(DATE($B$3,2,5)&gt;EOMONTH(DATE($B$3,2,1),0),NETWORKDAYS.INTL(DATE($B$3,2,5),DATE($B$3,2,5),1,'Non-working days'!$A$6:$A$45)=0),"",IF(COUNTIFS('Leave log'!$A$7:$A$306,Employees!$A$24,'Leave log'!$B$7:$B$306,"&lt;="&amp;DATE($B$3,2,5),'Leave log'!$C$7:$C$306,"&gt;="&amp;DATE($B$3,2,5),'Leave log'!$F$7:$F$306,"Pending")&gt;0,"P",""))))</f>
        <v/>
      </c>
      <c r="G59" s="23" t="str">
        <f>IF(A59="","",IF(IF(OR(DATE($B$3,2,6)&gt;EOMONTH(DATE($B$3,2,1),0),NETWORKDAYS.INTL(DATE($B$3,2,6),DATE($B$3,2,6),1,'Non-working days'!$A$6:$A$45)=0),"",IF(COUNTIFS('Leave log'!$A$7:$A$306,Employees!$A$24,'Leave log'!$B$7:$B$306,"&lt;="&amp;DATE($B$3,2,6),'Leave log'!$C$7:$C$306,"&gt;="&amp;DATE($B$3,2,6),'Leave log'!$F$7:$F$306,"Approved")&gt;0,"A",""))="A","A",IF(OR(DATE($B$3,2,6)&gt;EOMONTH(DATE($B$3,2,1),0),NETWORKDAYS.INTL(DATE($B$3,2,6),DATE($B$3,2,6),1,'Non-working days'!$A$6:$A$45)=0),"",IF(COUNTIFS('Leave log'!$A$7:$A$306,Employees!$A$24,'Leave log'!$B$7:$B$306,"&lt;="&amp;DATE($B$3,2,6),'Leave log'!$C$7:$C$306,"&gt;="&amp;DATE($B$3,2,6),'Leave log'!$F$7:$F$306,"Pending")&gt;0,"P",""))))</f>
        <v/>
      </c>
      <c r="H59" s="23" t="str">
        <f>IF(A59="","",IF(IF(OR(DATE($B$3,2,7)&gt;EOMONTH(DATE($B$3,2,1),0),NETWORKDAYS.INTL(DATE($B$3,2,7),DATE($B$3,2,7),1,'Non-working days'!$A$6:$A$45)=0),"",IF(COUNTIFS('Leave log'!$A$7:$A$306,Employees!$A$24,'Leave log'!$B$7:$B$306,"&lt;="&amp;DATE($B$3,2,7),'Leave log'!$C$7:$C$306,"&gt;="&amp;DATE($B$3,2,7),'Leave log'!$F$7:$F$306,"Approved")&gt;0,"A",""))="A","A",IF(OR(DATE($B$3,2,7)&gt;EOMONTH(DATE($B$3,2,1),0),NETWORKDAYS.INTL(DATE($B$3,2,7),DATE($B$3,2,7),1,'Non-working days'!$A$6:$A$45)=0),"",IF(COUNTIFS('Leave log'!$A$7:$A$306,Employees!$A$24,'Leave log'!$B$7:$B$306,"&lt;="&amp;DATE($B$3,2,7),'Leave log'!$C$7:$C$306,"&gt;="&amp;DATE($B$3,2,7),'Leave log'!$F$7:$F$306,"Pending")&gt;0,"P",""))))</f>
        <v/>
      </c>
      <c r="I59" s="23" t="str">
        <f>IF(A59="","",IF(IF(OR(DATE($B$3,2,8)&gt;EOMONTH(DATE($B$3,2,1),0),NETWORKDAYS.INTL(DATE($B$3,2,8),DATE($B$3,2,8),1,'Non-working days'!$A$6:$A$45)=0),"",IF(COUNTIFS('Leave log'!$A$7:$A$306,Employees!$A$24,'Leave log'!$B$7:$B$306,"&lt;="&amp;DATE($B$3,2,8),'Leave log'!$C$7:$C$306,"&gt;="&amp;DATE($B$3,2,8),'Leave log'!$F$7:$F$306,"Approved")&gt;0,"A",""))="A","A",IF(OR(DATE($B$3,2,8)&gt;EOMONTH(DATE($B$3,2,1),0),NETWORKDAYS.INTL(DATE($B$3,2,8),DATE($B$3,2,8),1,'Non-working days'!$A$6:$A$45)=0),"",IF(COUNTIFS('Leave log'!$A$7:$A$306,Employees!$A$24,'Leave log'!$B$7:$B$306,"&lt;="&amp;DATE($B$3,2,8),'Leave log'!$C$7:$C$306,"&gt;="&amp;DATE($B$3,2,8),'Leave log'!$F$7:$F$306,"Pending")&gt;0,"P",""))))</f>
        <v/>
      </c>
      <c r="J59" s="23" t="str">
        <f>IF(A59="","",IF(IF(OR(DATE($B$3,2,9)&gt;EOMONTH(DATE($B$3,2,1),0),NETWORKDAYS.INTL(DATE($B$3,2,9),DATE($B$3,2,9),1,'Non-working days'!$A$6:$A$45)=0),"",IF(COUNTIFS('Leave log'!$A$7:$A$306,Employees!$A$24,'Leave log'!$B$7:$B$306,"&lt;="&amp;DATE($B$3,2,9),'Leave log'!$C$7:$C$306,"&gt;="&amp;DATE($B$3,2,9),'Leave log'!$F$7:$F$306,"Approved")&gt;0,"A",""))="A","A",IF(OR(DATE($B$3,2,9)&gt;EOMONTH(DATE($B$3,2,1),0),NETWORKDAYS.INTL(DATE($B$3,2,9),DATE($B$3,2,9),1,'Non-working days'!$A$6:$A$45)=0),"",IF(COUNTIFS('Leave log'!$A$7:$A$306,Employees!$A$24,'Leave log'!$B$7:$B$306,"&lt;="&amp;DATE($B$3,2,9),'Leave log'!$C$7:$C$306,"&gt;="&amp;DATE($B$3,2,9),'Leave log'!$F$7:$F$306,"Pending")&gt;0,"P",""))))</f>
        <v/>
      </c>
      <c r="K59" s="23" t="str">
        <f>IF(A59="","",IF(IF(OR(DATE($B$3,2,10)&gt;EOMONTH(DATE($B$3,2,1),0),NETWORKDAYS.INTL(DATE($B$3,2,10),DATE($B$3,2,10),1,'Non-working days'!$A$6:$A$45)=0),"",IF(COUNTIFS('Leave log'!$A$7:$A$306,Employees!$A$24,'Leave log'!$B$7:$B$306,"&lt;="&amp;DATE($B$3,2,10),'Leave log'!$C$7:$C$306,"&gt;="&amp;DATE($B$3,2,10),'Leave log'!$F$7:$F$306,"Approved")&gt;0,"A",""))="A","A",IF(OR(DATE($B$3,2,10)&gt;EOMONTH(DATE($B$3,2,1),0),NETWORKDAYS.INTL(DATE($B$3,2,10),DATE($B$3,2,10),1,'Non-working days'!$A$6:$A$45)=0),"",IF(COUNTIFS('Leave log'!$A$7:$A$306,Employees!$A$24,'Leave log'!$B$7:$B$306,"&lt;="&amp;DATE($B$3,2,10),'Leave log'!$C$7:$C$306,"&gt;="&amp;DATE($B$3,2,10),'Leave log'!$F$7:$F$306,"Pending")&gt;0,"P",""))))</f>
        <v/>
      </c>
      <c r="L59" s="23" t="str">
        <f>IF(A59="","",IF(IF(OR(DATE($B$3,2,11)&gt;EOMONTH(DATE($B$3,2,1),0),NETWORKDAYS.INTL(DATE($B$3,2,11),DATE($B$3,2,11),1,'Non-working days'!$A$6:$A$45)=0),"",IF(COUNTIFS('Leave log'!$A$7:$A$306,Employees!$A$24,'Leave log'!$B$7:$B$306,"&lt;="&amp;DATE($B$3,2,11),'Leave log'!$C$7:$C$306,"&gt;="&amp;DATE($B$3,2,11),'Leave log'!$F$7:$F$306,"Approved")&gt;0,"A",""))="A","A",IF(OR(DATE($B$3,2,11)&gt;EOMONTH(DATE($B$3,2,1),0),NETWORKDAYS.INTL(DATE($B$3,2,11),DATE($B$3,2,11),1,'Non-working days'!$A$6:$A$45)=0),"",IF(COUNTIFS('Leave log'!$A$7:$A$306,Employees!$A$24,'Leave log'!$B$7:$B$306,"&lt;="&amp;DATE($B$3,2,11),'Leave log'!$C$7:$C$306,"&gt;="&amp;DATE($B$3,2,11),'Leave log'!$F$7:$F$306,"Pending")&gt;0,"P",""))))</f>
        <v/>
      </c>
      <c r="M59" s="23" t="str">
        <f>IF(A59="","",IF(IF(OR(DATE($B$3,2,12)&gt;EOMONTH(DATE($B$3,2,1),0),NETWORKDAYS.INTL(DATE($B$3,2,12),DATE($B$3,2,12),1,'Non-working days'!$A$6:$A$45)=0),"",IF(COUNTIFS('Leave log'!$A$7:$A$306,Employees!$A$24,'Leave log'!$B$7:$B$306,"&lt;="&amp;DATE($B$3,2,12),'Leave log'!$C$7:$C$306,"&gt;="&amp;DATE($B$3,2,12),'Leave log'!$F$7:$F$306,"Approved")&gt;0,"A",""))="A","A",IF(OR(DATE($B$3,2,12)&gt;EOMONTH(DATE($B$3,2,1),0),NETWORKDAYS.INTL(DATE($B$3,2,12),DATE($B$3,2,12),1,'Non-working days'!$A$6:$A$45)=0),"",IF(COUNTIFS('Leave log'!$A$7:$A$306,Employees!$A$24,'Leave log'!$B$7:$B$306,"&lt;="&amp;DATE($B$3,2,12),'Leave log'!$C$7:$C$306,"&gt;="&amp;DATE($B$3,2,12),'Leave log'!$F$7:$F$306,"Pending")&gt;0,"P",""))))</f>
        <v/>
      </c>
      <c r="N59" s="23" t="str">
        <f>IF(A59="","",IF(IF(OR(DATE($B$3,2,13)&gt;EOMONTH(DATE($B$3,2,1),0),NETWORKDAYS.INTL(DATE($B$3,2,13),DATE($B$3,2,13),1,'Non-working days'!$A$6:$A$45)=0),"",IF(COUNTIFS('Leave log'!$A$7:$A$306,Employees!$A$24,'Leave log'!$B$7:$B$306,"&lt;="&amp;DATE($B$3,2,13),'Leave log'!$C$7:$C$306,"&gt;="&amp;DATE($B$3,2,13),'Leave log'!$F$7:$F$306,"Approved")&gt;0,"A",""))="A","A",IF(OR(DATE($B$3,2,13)&gt;EOMONTH(DATE($B$3,2,1),0),NETWORKDAYS.INTL(DATE($B$3,2,13),DATE($B$3,2,13),1,'Non-working days'!$A$6:$A$45)=0),"",IF(COUNTIFS('Leave log'!$A$7:$A$306,Employees!$A$24,'Leave log'!$B$7:$B$306,"&lt;="&amp;DATE($B$3,2,13),'Leave log'!$C$7:$C$306,"&gt;="&amp;DATE($B$3,2,13),'Leave log'!$F$7:$F$306,"Pending")&gt;0,"P",""))))</f>
        <v/>
      </c>
      <c r="O59" s="23" t="str">
        <f>IF(A59="","",IF(IF(OR(DATE($B$3,2,14)&gt;EOMONTH(DATE($B$3,2,1),0),NETWORKDAYS.INTL(DATE($B$3,2,14),DATE($B$3,2,14),1,'Non-working days'!$A$6:$A$45)=0),"",IF(COUNTIFS('Leave log'!$A$7:$A$306,Employees!$A$24,'Leave log'!$B$7:$B$306,"&lt;="&amp;DATE($B$3,2,14),'Leave log'!$C$7:$C$306,"&gt;="&amp;DATE($B$3,2,14),'Leave log'!$F$7:$F$306,"Approved")&gt;0,"A",""))="A","A",IF(OR(DATE($B$3,2,14)&gt;EOMONTH(DATE($B$3,2,1),0),NETWORKDAYS.INTL(DATE($B$3,2,14),DATE($B$3,2,14),1,'Non-working days'!$A$6:$A$45)=0),"",IF(COUNTIFS('Leave log'!$A$7:$A$306,Employees!$A$24,'Leave log'!$B$7:$B$306,"&lt;="&amp;DATE($B$3,2,14),'Leave log'!$C$7:$C$306,"&gt;="&amp;DATE($B$3,2,14),'Leave log'!$F$7:$F$306,"Pending")&gt;0,"P",""))))</f>
        <v/>
      </c>
      <c r="P59" s="23" t="str">
        <f>IF(A59="","",IF(IF(OR(DATE($B$3,2,15)&gt;EOMONTH(DATE($B$3,2,1),0),NETWORKDAYS.INTL(DATE($B$3,2,15),DATE($B$3,2,15),1,'Non-working days'!$A$6:$A$45)=0),"",IF(COUNTIFS('Leave log'!$A$7:$A$306,Employees!$A$24,'Leave log'!$B$7:$B$306,"&lt;="&amp;DATE($B$3,2,15),'Leave log'!$C$7:$C$306,"&gt;="&amp;DATE($B$3,2,15),'Leave log'!$F$7:$F$306,"Approved")&gt;0,"A",""))="A","A",IF(OR(DATE($B$3,2,15)&gt;EOMONTH(DATE($B$3,2,1),0),NETWORKDAYS.INTL(DATE($B$3,2,15),DATE($B$3,2,15),1,'Non-working days'!$A$6:$A$45)=0),"",IF(COUNTIFS('Leave log'!$A$7:$A$306,Employees!$A$24,'Leave log'!$B$7:$B$306,"&lt;="&amp;DATE($B$3,2,15),'Leave log'!$C$7:$C$306,"&gt;="&amp;DATE($B$3,2,15),'Leave log'!$F$7:$F$306,"Pending")&gt;0,"P",""))))</f>
        <v/>
      </c>
      <c r="Q59" s="23" t="str">
        <f>IF(A59="","",IF(IF(OR(DATE($B$3,2,16)&gt;EOMONTH(DATE($B$3,2,1),0),NETWORKDAYS.INTL(DATE($B$3,2,16),DATE($B$3,2,16),1,'Non-working days'!$A$6:$A$45)=0),"",IF(COUNTIFS('Leave log'!$A$7:$A$306,Employees!$A$24,'Leave log'!$B$7:$B$306,"&lt;="&amp;DATE($B$3,2,16),'Leave log'!$C$7:$C$306,"&gt;="&amp;DATE($B$3,2,16),'Leave log'!$F$7:$F$306,"Approved")&gt;0,"A",""))="A","A",IF(OR(DATE($B$3,2,16)&gt;EOMONTH(DATE($B$3,2,1),0),NETWORKDAYS.INTL(DATE($B$3,2,16),DATE($B$3,2,16),1,'Non-working days'!$A$6:$A$45)=0),"",IF(COUNTIFS('Leave log'!$A$7:$A$306,Employees!$A$24,'Leave log'!$B$7:$B$306,"&lt;="&amp;DATE($B$3,2,16),'Leave log'!$C$7:$C$306,"&gt;="&amp;DATE($B$3,2,16),'Leave log'!$F$7:$F$306,"Pending")&gt;0,"P",""))))</f>
        <v/>
      </c>
      <c r="R59" s="23" t="str">
        <f>IF(A59="","",IF(IF(OR(DATE($B$3,2,17)&gt;EOMONTH(DATE($B$3,2,1),0),NETWORKDAYS.INTL(DATE($B$3,2,17),DATE($B$3,2,17),1,'Non-working days'!$A$6:$A$45)=0),"",IF(COUNTIFS('Leave log'!$A$7:$A$306,Employees!$A$24,'Leave log'!$B$7:$B$306,"&lt;="&amp;DATE($B$3,2,17),'Leave log'!$C$7:$C$306,"&gt;="&amp;DATE($B$3,2,17),'Leave log'!$F$7:$F$306,"Approved")&gt;0,"A",""))="A","A",IF(OR(DATE($B$3,2,17)&gt;EOMONTH(DATE($B$3,2,1),0),NETWORKDAYS.INTL(DATE($B$3,2,17),DATE($B$3,2,17),1,'Non-working days'!$A$6:$A$45)=0),"",IF(COUNTIFS('Leave log'!$A$7:$A$306,Employees!$A$24,'Leave log'!$B$7:$B$306,"&lt;="&amp;DATE($B$3,2,17),'Leave log'!$C$7:$C$306,"&gt;="&amp;DATE($B$3,2,17),'Leave log'!$F$7:$F$306,"Pending")&gt;0,"P",""))))</f>
        <v/>
      </c>
      <c r="S59" s="23" t="str">
        <f>IF(A59="","",IF(IF(OR(DATE($B$3,2,18)&gt;EOMONTH(DATE($B$3,2,1),0),NETWORKDAYS.INTL(DATE($B$3,2,18),DATE($B$3,2,18),1,'Non-working days'!$A$6:$A$45)=0),"",IF(COUNTIFS('Leave log'!$A$7:$A$306,Employees!$A$24,'Leave log'!$B$7:$B$306,"&lt;="&amp;DATE($B$3,2,18),'Leave log'!$C$7:$C$306,"&gt;="&amp;DATE($B$3,2,18),'Leave log'!$F$7:$F$306,"Approved")&gt;0,"A",""))="A","A",IF(OR(DATE($B$3,2,18)&gt;EOMONTH(DATE($B$3,2,1),0),NETWORKDAYS.INTL(DATE($B$3,2,18),DATE($B$3,2,18),1,'Non-working days'!$A$6:$A$45)=0),"",IF(COUNTIFS('Leave log'!$A$7:$A$306,Employees!$A$24,'Leave log'!$B$7:$B$306,"&lt;="&amp;DATE($B$3,2,18),'Leave log'!$C$7:$C$306,"&gt;="&amp;DATE($B$3,2,18),'Leave log'!$F$7:$F$306,"Pending")&gt;0,"P",""))))</f>
        <v/>
      </c>
      <c r="T59" s="23" t="str">
        <f>IF(A59="","",IF(IF(OR(DATE($B$3,2,19)&gt;EOMONTH(DATE($B$3,2,1),0),NETWORKDAYS.INTL(DATE($B$3,2,19),DATE($B$3,2,19),1,'Non-working days'!$A$6:$A$45)=0),"",IF(COUNTIFS('Leave log'!$A$7:$A$306,Employees!$A$24,'Leave log'!$B$7:$B$306,"&lt;="&amp;DATE($B$3,2,19),'Leave log'!$C$7:$C$306,"&gt;="&amp;DATE($B$3,2,19),'Leave log'!$F$7:$F$306,"Approved")&gt;0,"A",""))="A","A",IF(OR(DATE($B$3,2,19)&gt;EOMONTH(DATE($B$3,2,1),0),NETWORKDAYS.INTL(DATE($B$3,2,19),DATE($B$3,2,19),1,'Non-working days'!$A$6:$A$45)=0),"",IF(COUNTIFS('Leave log'!$A$7:$A$306,Employees!$A$24,'Leave log'!$B$7:$B$306,"&lt;="&amp;DATE($B$3,2,19),'Leave log'!$C$7:$C$306,"&gt;="&amp;DATE($B$3,2,19),'Leave log'!$F$7:$F$306,"Pending")&gt;0,"P",""))))</f>
        <v/>
      </c>
      <c r="U59" s="23" t="str">
        <f>IF(A59="","",IF(IF(OR(DATE($B$3,2,20)&gt;EOMONTH(DATE($B$3,2,1),0),NETWORKDAYS.INTL(DATE($B$3,2,20),DATE($B$3,2,20),1,'Non-working days'!$A$6:$A$45)=0),"",IF(COUNTIFS('Leave log'!$A$7:$A$306,Employees!$A$24,'Leave log'!$B$7:$B$306,"&lt;="&amp;DATE($B$3,2,20),'Leave log'!$C$7:$C$306,"&gt;="&amp;DATE($B$3,2,20),'Leave log'!$F$7:$F$306,"Approved")&gt;0,"A",""))="A","A",IF(OR(DATE($B$3,2,20)&gt;EOMONTH(DATE($B$3,2,1),0),NETWORKDAYS.INTL(DATE($B$3,2,20),DATE($B$3,2,20),1,'Non-working days'!$A$6:$A$45)=0),"",IF(COUNTIFS('Leave log'!$A$7:$A$306,Employees!$A$24,'Leave log'!$B$7:$B$306,"&lt;="&amp;DATE($B$3,2,20),'Leave log'!$C$7:$C$306,"&gt;="&amp;DATE($B$3,2,20),'Leave log'!$F$7:$F$306,"Pending")&gt;0,"P",""))))</f>
        <v/>
      </c>
      <c r="V59" s="23" t="str">
        <f>IF(A59="","",IF(IF(OR(DATE($B$3,2,21)&gt;EOMONTH(DATE($B$3,2,1),0),NETWORKDAYS.INTL(DATE($B$3,2,21),DATE($B$3,2,21),1,'Non-working days'!$A$6:$A$45)=0),"",IF(COUNTIFS('Leave log'!$A$7:$A$306,Employees!$A$24,'Leave log'!$B$7:$B$306,"&lt;="&amp;DATE($B$3,2,21),'Leave log'!$C$7:$C$306,"&gt;="&amp;DATE($B$3,2,21),'Leave log'!$F$7:$F$306,"Approved")&gt;0,"A",""))="A","A",IF(OR(DATE($B$3,2,21)&gt;EOMONTH(DATE($B$3,2,1),0),NETWORKDAYS.INTL(DATE($B$3,2,21),DATE($B$3,2,21),1,'Non-working days'!$A$6:$A$45)=0),"",IF(COUNTIFS('Leave log'!$A$7:$A$306,Employees!$A$24,'Leave log'!$B$7:$B$306,"&lt;="&amp;DATE($B$3,2,21),'Leave log'!$C$7:$C$306,"&gt;="&amp;DATE($B$3,2,21),'Leave log'!$F$7:$F$306,"Pending")&gt;0,"P",""))))</f>
        <v/>
      </c>
      <c r="W59" s="23" t="str">
        <f>IF(A59="","",IF(IF(OR(DATE($B$3,2,22)&gt;EOMONTH(DATE($B$3,2,1),0),NETWORKDAYS.INTL(DATE($B$3,2,22),DATE($B$3,2,22),1,'Non-working days'!$A$6:$A$45)=0),"",IF(COUNTIFS('Leave log'!$A$7:$A$306,Employees!$A$24,'Leave log'!$B$7:$B$306,"&lt;="&amp;DATE($B$3,2,22),'Leave log'!$C$7:$C$306,"&gt;="&amp;DATE($B$3,2,22),'Leave log'!$F$7:$F$306,"Approved")&gt;0,"A",""))="A","A",IF(OR(DATE($B$3,2,22)&gt;EOMONTH(DATE($B$3,2,1),0),NETWORKDAYS.INTL(DATE($B$3,2,22),DATE($B$3,2,22),1,'Non-working days'!$A$6:$A$45)=0),"",IF(COUNTIFS('Leave log'!$A$7:$A$306,Employees!$A$24,'Leave log'!$B$7:$B$306,"&lt;="&amp;DATE($B$3,2,22),'Leave log'!$C$7:$C$306,"&gt;="&amp;DATE($B$3,2,22),'Leave log'!$F$7:$F$306,"Pending")&gt;0,"P",""))))</f>
        <v/>
      </c>
      <c r="X59" s="23" t="str">
        <f>IF(A59="","",IF(IF(OR(DATE($B$3,2,23)&gt;EOMONTH(DATE($B$3,2,1),0),NETWORKDAYS.INTL(DATE($B$3,2,23),DATE($B$3,2,23),1,'Non-working days'!$A$6:$A$45)=0),"",IF(COUNTIFS('Leave log'!$A$7:$A$306,Employees!$A$24,'Leave log'!$B$7:$B$306,"&lt;="&amp;DATE($B$3,2,23),'Leave log'!$C$7:$C$306,"&gt;="&amp;DATE($B$3,2,23),'Leave log'!$F$7:$F$306,"Approved")&gt;0,"A",""))="A","A",IF(OR(DATE($B$3,2,23)&gt;EOMONTH(DATE($B$3,2,1),0),NETWORKDAYS.INTL(DATE($B$3,2,23),DATE($B$3,2,23),1,'Non-working days'!$A$6:$A$45)=0),"",IF(COUNTIFS('Leave log'!$A$7:$A$306,Employees!$A$24,'Leave log'!$B$7:$B$306,"&lt;="&amp;DATE($B$3,2,23),'Leave log'!$C$7:$C$306,"&gt;="&amp;DATE($B$3,2,23),'Leave log'!$F$7:$F$306,"Pending")&gt;0,"P",""))))</f>
        <v/>
      </c>
      <c r="Y59" s="23" t="str">
        <f>IF(A59="","",IF(IF(OR(DATE($B$3,2,24)&gt;EOMONTH(DATE($B$3,2,1),0),NETWORKDAYS.INTL(DATE($B$3,2,24),DATE($B$3,2,24),1,'Non-working days'!$A$6:$A$45)=0),"",IF(COUNTIFS('Leave log'!$A$7:$A$306,Employees!$A$24,'Leave log'!$B$7:$B$306,"&lt;="&amp;DATE($B$3,2,24),'Leave log'!$C$7:$C$306,"&gt;="&amp;DATE($B$3,2,24),'Leave log'!$F$7:$F$306,"Approved")&gt;0,"A",""))="A","A",IF(OR(DATE($B$3,2,24)&gt;EOMONTH(DATE($B$3,2,1),0),NETWORKDAYS.INTL(DATE($B$3,2,24),DATE($B$3,2,24),1,'Non-working days'!$A$6:$A$45)=0),"",IF(COUNTIFS('Leave log'!$A$7:$A$306,Employees!$A$24,'Leave log'!$B$7:$B$306,"&lt;="&amp;DATE($B$3,2,24),'Leave log'!$C$7:$C$306,"&gt;="&amp;DATE($B$3,2,24),'Leave log'!$F$7:$F$306,"Pending")&gt;0,"P",""))))</f>
        <v/>
      </c>
      <c r="Z59" s="23" t="str">
        <f>IF(A59="","",IF(IF(OR(DATE($B$3,2,25)&gt;EOMONTH(DATE($B$3,2,1),0),NETWORKDAYS.INTL(DATE($B$3,2,25),DATE($B$3,2,25),1,'Non-working days'!$A$6:$A$45)=0),"",IF(COUNTIFS('Leave log'!$A$7:$A$306,Employees!$A$24,'Leave log'!$B$7:$B$306,"&lt;="&amp;DATE($B$3,2,25),'Leave log'!$C$7:$C$306,"&gt;="&amp;DATE($B$3,2,25),'Leave log'!$F$7:$F$306,"Approved")&gt;0,"A",""))="A","A",IF(OR(DATE($B$3,2,25)&gt;EOMONTH(DATE($B$3,2,1),0),NETWORKDAYS.INTL(DATE($B$3,2,25),DATE($B$3,2,25),1,'Non-working days'!$A$6:$A$45)=0),"",IF(COUNTIFS('Leave log'!$A$7:$A$306,Employees!$A$24,'Leave log'!$B$7:$B$306,"&lt;="&amp;DATE($B$3,2,25),'Leave log'!$C$7:$C$306,"&gt;="&amp;DATE($B$3,2,25),'Leave log'!$F$7:$F$306,"Pending")&gt;0,"P",""))))</f>
        <v/>
      </c>
      <c r="AA59" s="23" t="str">
        <f>IF(A59="","",IF(IF(OR(DATE($B$3,2,26)&gt;EOMONTH(DATE($B$3,2,1),0),NETWORKDAYS.INTL(DATE($B$3,2,26),DATE($B$3,2,26),1,'Non-working days'!$A$6:$A$45)=0),"",IF(COUNTIFS('Leave log'!$A$7:$A$306,Employees!$A$24,'Leave log'!$B$7:$B$306,"&lt;="&amp;DATE($B$3,2,26),'Leave log'!$C$7:$C$306,"&gt;="&amp;DATE($B$3,2,26),'Leave log'!$F$7:$F$306,"Approved")&gt;0,"A",""))="A","A",IF(OR(DATE($B$3,2,26)&gt;EOMONTH(DATE($B$3,2,1),0),NETWORKDAYS.INTL(DATE($B$3,2,26),DATE($B$3,2,26),1,'Non-working days'!$A$6:$A$45)=0),"",IF(COUNTIFS('Leave log'!$A$7:$A$306,Employees!$A$24,'Leave log'!$B$7:$B$306,"&lt;="&amp;DATE($B$3,2,26),'Leave log'!$C$7:$C$306,"&gt;="&amp;DATE($B$3,2,26),'Leave log'!$F$7:$F$306,"Pending")&gt;0,"P",""))))</f>
        <v/>
      </c>
      <c r="AB59" s="23" t="str">
        <f>IF(A59="","",IF(IF(OR(DATE($B$3,2,27)&gt;EOMONTH(DATE($B$3,2,1),0),NETWORKDAYS.INTL(DATE($B$3,2,27),DATE($B$3,2,27),1,'Non-working days'!$A$6:$A$45)=0),"",IF(COUNTIFS('Leave log'!$A$7:$A$306,Employees!$A$24,'Leave log'!$B$7:$B$306,"&lt;="&amp;DATE($B$3,2,27),'Leave log'!$C$7:$C$306,"&gt;="&amp;DATE($B$3,2,27),'Leave log'!$F$7:$F$306,"Approved")&gt;0,"A",""))="A","A",IF(OR(DATE($B$3,2,27)&gt;EOMONTH(DATE($B$3,2,1),0),NETWORKDAYS.INTL(DATE($B$3,2,27),DATE($B$3,2,27),1,'Non-working days'!$A$6:$A$45)=0),"",IF(COUNTIFS('Leave log'!$A$7:$A$306,Employees!$A$24,'Leave log'!$B$7:$B$306,"&lt;="&amp;DATE($B$3,2,27),'Leave log'!$C$7:$C$306,"&gt;="&amp;DATE($B$3,2,27),'Leave log'!$F$7:$F$306,"Pending")&gt;0,"P",""))))</f>
        <v/>
      </c>
      <c r="AC59" s="23" t="str">
        <f>IF(A59="","",IF(IF(OR(DATE($B$3,2,28)&gt;EOMONTH(DATE($B$3,2,1),0),NETWORKDAYS.INTL(DATE($B$3,2,28),DATE($B$3,2,28),1,'Non-working days'!$A$6:$A$45)=0),"",IF(COUNTIFS('Leave log'!$A$7:$A$306,Employees!$A$24,'Leave log'!$B$7:$B$306,"&lt;="&amp;DATE($B$3,2,28),'Leave log'!$C$7:$C$306,"&gt;="&amp;DATE($B$3,2,28),'Leave log'!$F$7:$F$306,"Approved")&gt;0,"A",""))="A","A",IF(OR(DATE($B$3,2,28)&gt;EOMONTH(DATE($B$3,2,1),0),NETWORKDAYS.INTL(DATE($B$3,2,28),DATE($B$3,2,28),1,'Non-working days'!$A$6:$A$45)=0),"",IF(COUNTIFS('Leave log'!$A$7:$A$306,Employees!$A$24,'Leave log'!$B$7:$B$306,"&lt;="&amp;DATE($B$3,2,28),'Leave log'!$C$7:$C$306,"&gt;="&amp;DATE($B$3,2,28),'Leave log'!$F$7:$F$306,"Pending")&gt;0,"P",""))))</f>
        <v/>
      </c>
      <c r="AD59" s="23" t="str">
        <f>IF(A59="","",IF(IF(OR(DATE($B$3,2,29)&gt;EOMONTH(DATE($B$3,2,1),0),NETWORKDAYS.INTL(DATE($B$3,2,29),DATE($B$3,2,29),1,'Non-working days'!$A$6:$A$45)=0),"",IF(COUNTIFS('Leave log'!$A$7:$A$306,Employees!$A$24,'Leave log'!$B$7:$B$306,"&lt;="&amp;DATE($B$3,2,29),'Leave log'!$C$7:$C$306,"&gt;="&amp;DATE($B$3,2,29),'Leave log'!$F$7:$F$306,"Approved")&gt;0,"A",""))="A","A",IF(OR(DATE($B$3,2,29)&gt;EOMONTH(DATE($B$3,2,1),0),NETWORKDAYS.INTL(DATE($B$3,2,29),DATE($B$3,2,29),1,'Non-working days'!$A$6:$A$45)=0),"",IF(COUNTIFS('Leave log'!$A$7:$A$306,Employees!$A$24,'Leave log'!$B$7:$B$306,"&lt;="&amp;DATE($B$3,2,29),'Leave log'!$C$7:$C$306,"&gt;="&amp;DATE($B$3,2,29),'Leave log'!$F$7:$F$306,"Pending")&gt;0,"P",""))))</f>
        <v/>
      </c>
      <c r="AE59" s="23" t="str">
        <f>IF(A59="","",IF(IF(OR(DATE($B$3,2,30)&gt;EOMONTH(DATE($B$3,2,1),0),NETWORKDAYS.INTL(DATE($B$3,2,30),DATE($B$3,2,30),1,'Non-working days'!$A$6:$A$45)=0),"",IF(COUNTIFS('Leave log'!$A$7:$A$306,Employees!$A$24,'Leave log'!$B$7:$B$306,"&lt;="&amp;DATE($B$3,2,30),'Leave log'!$C$7:$C$306,"&gt;="&amp;DATE($B$3,2,30),'Leave log'!$F$7:$F$306,"Approved")&gt;0,"A",""))="A","A",IF(OR(DATE($B$3,2,30)&gt;EOMONTH(DATE($B$3,2,1),0),NETWORKDAYS.INTL(DATE($B$3,2,30),DATE($B$3,2,30),1,'Non-working days'!$A$6:$A$45)=0),"",IF(COUNTIFS('Leave log'!$A$7:$A$306,Employees!$A$24,'Leave log'!$B$7:$B$306,"&lt;="&amp;DATE($B$3,2,30),'Leave log'!$C$7:$C$306,"&gt;="&amp;DATE($B$3,2,30),'Leave log'!$F$7:$F$306,"Pending")&gt;0,"P",""))))</f>
        <v/>
      </c>
      <c r="AF59" s="23" t="str">
        <f>IF(A59="","",IF(IF(OR(DATE($B$3,2,31)&gt;EOMONTH(DATE($B$3,2,1),0),NETWORKDAYS.INTL(DATE($B$3,2,31),DATE($B$3,2,31),1,'Non-working days'!$A$6:$A$45)=0),"",IF(COUNTIFS('Leave log'!$A$7:$A$306,Employees!$A$24,'Leave log'!$B$7:$B$306,"&lt;="&amp;DATE($B$3,2,31),'Leave log'!$C$7:$C$306,"&gt;="&amp;DATE($B$3,2,31),'Leave log'!$F$7:$F$306,"Approved")&gt;0,"A",""))="A","A",IF(OR(DATE($B$3,2,31)&gt;EOMONTH(DATE($B$3,2,1),0),NETWORKDAYS.INTL(DATE($B$3,2,31),DATE($B$3,2,31),1,'Non-working days'!$A$6:$A$45)=0),"",IF(COUNTIFS('Leave log'!$A$7:$A$306,Employees!$A$24,'Leave log'!$B$7:$B$306,"&lt;="&amp;DATE($B$3,2,31),'Leave log'!$C$7:$C$306,"&gt;="&amp;DATE($B$3,2,31),'Leave log'!$F$7:$F$306,"Pending")&gt;0,"P",""))))</f>
        <v/>
      </c>
    </row>
    <row r="60" spans="1:32" ht="18" customHeight="1" x14ac:dyDescent="0.3">
      <c r="A60" s="22" t="str">
        <f>IF(Employees!F25="Yes",Employees!B25,"")</f>
        <v/>
      </c>
      <c r="B60" s="23" t="str">
        <f>IF(A60="","",IF(IF(OR(DATE($B$3,2,1)&gt;EOMONTH(DATE($B$3,2,1),0),NETWORKDAYS.INTL(DATE($B$3,2,1),DATE($B$3,2,1),1,'Non-working days'!$A$6:$A$45)=0),"",IF(COUNTIFS('Leave log'!$A$7:$A$306,Employees!$A$25,'Leave log'!$B$7:$B$306,"&lt;="&amp;DATE($B$3,2,1),'Leave log'!$C$7:$C$306,"&gt;="&amp;DATE($B$3,2,1),'Leave log'!$F$7:$F$306,"Approved")&gt;0,"A",""))="A","A",IF(OR(DATE($B$3,2,1)&gt;EOMONTH(DATE($B$3,2,1),0),NETWORKDAYS.INTL(DATE($B$3,2,1),DATE($B$3,2,1),1,'Non-working days'!$A$6:$A$45)=0),"",IF(COUNTIFS('Leave log'!$A$7:$A$306,Employees!$A$25,'Leave log'!$B$7:$B$306,"&lt;="&amp;DATE($B$3,2,1),'Leave log'!$C$7:$C$306,"&gt;="&amp;DATE($B$3,2,1),'Leave log'!$F$7:$F$306,"Pending")&gt;0,"P",""))))</f>
        <v/>
      </c>
      <c r="C60" s="23" t="str">
        <f>IF(A60="","",IF(IF(OR(DATE($B$3,2,2)&gt;EOMONTH(DATE($B$3,2,1),0),NETWORKDAYS.INTL(DATE($B$3,2,2),DATE($B$3,2,2),1,'Non-working days'!$A$6:$A$45)=0),"",IF(COUNTIFS('Leave log'!$A$7:$A$306,Employees!$A$25,'Leave log'!$B$7:$B$306,"&lt;="&amp;DATE($B$3,2,2),'Leave log'!$C$7:$C$306,"&gt;="&amp;DATE($B$3,2,2),'Leave log'!$F$7:$F$306,"Approved")&gt;0,"A",""))="A","A",IF(OR(DATE($B$3,2,2)&gt;EOMONTH(DATE($B$3,2,1),0),NETWORKDAYS.INTL(DATE($B$3,2,2),DATE($B$3,2,2),1,'Non-working days'!$A$6:$A$45)=0),"",IF(COUNTIFS('Leave log'!$A$7:$A$306,Employees!$A$25,'Leave log'!$B$7:$B$306,"&lt;="&amp;DATE($B$3,2,2),'Leave log'!$C$7:$C$306,"&gt;="&amp;DATE($B$3,2,2),'Leave log'!$F$7:$F$306,"Pending")&gt;0,"P",""))))</f>
        <v/>
      </c>
      <c r="D60" s="23" t="str">
        <f>IF(A60="","",IF(IF(OR(DATE($B$3,2,3)&gt;EOMONTH(DATE($B$3,2,1),0),NETWORKDAYS.INTL(DATE($B$3,2,3),DATE($B$3,2,3),1,'Non-working days'!$A$6:$A$45)=0),"",IF(COUNTIFS('Leave log'!$A$7:$A$306,Employees!$A$25,'Leave log'!$B$7:$B$306,"&lt;="&amp;DATE($B$3,2,3),'Leave log'!$C$7:$C$306,"&gt;="&amp;DATE($B$3,2,3),'Leave log'!$F$7:$F$306,"Approved")&gt;0,"A",""))="A","A",IF(OR(DATE($B$3,2,3)&gt;EOMONTH(DATE($B$3,2,1),0),NETWORKDAYS.INTL(DATE($B$3,2,3),DATE($B$3,2,3),1,'Non-working days'!$A$6:$A$45)=0),"",IF(COUNTIFS('Leave log'!$A$7:$A$306,Employees!$A$25,'Leave log'!$B$7:$B$306,"&lt;="&amp;DATE($B$3,2,3),'Leave log'!$C$7:$C$306,"&gt;="&amp;DATE($B$3,2,3),'Leave log'!$F$7:$F$306,"Pending")&gt;0,"P",""))))</f>
        <v/>
      </c>
      <c r="E60" s="23" t="str">
        <f>IF(A60="","",IF(IF(OR(DATE($B$3,2,4)&gt;EOMONTH(DATE($B$3,2,1),0),NETWORKDAYS.INTL(DATE($B$3,2,4),DATE($B$3,2,4),1,'Non-working days'!$A$6:$A$45)=0),"",IF(COUNTIFS('Leave log'!$A$7:$A$306,Employees!$A$25,'Leave log'!$B$7:$B$306,"&lt;="&amp;DATE($B$3,2,4),'Leave log'!$C$7:$C$306,"&gt;="&amp;DATE($B$3,2,4),'Leave log'!$F$7:$F$306,"Approved")&gt;0,"A",""))="A","A",IF(OR(DATE($B$3,2,4)&gt;EOMONTH(DATE($B$3,2,1),0),NETWORKDAYS.INTL(DATE($B$3,2,4),DATE($B$3,2,4),1,'Non-working days'!$A$6:$A$45)=0),"",IF(COUNTIFS('Leave log'!$A$7:$A$306,Employees!$A$25,'Leave log'!$B$7:$B$306,"&lt;="&amp;DATE($B$3,2,4),'Leave log'!$C$7:$C$306,"&gt;="&amp;DATE($B$3,2,4),'Leave log'!$F$7:$F$306,"Pending")&gt;0,"P",""))))</f>
        <v/>
      </c>
      <c r="F60" s="23" t="str">
        <f>IF(A60="","",IF(IF(OR(DATE($B$3,2,5)&gt;EOMONTH(DATE($B$3,2,1),0),NETWORKDAYS.INTL(DATE($B$3,2,5),DATE($B$3,2,5),1,'Non-working days'!$A$6:$A$45)=0),"",IF(COUNTIFS('Leave log'!$A$7:$A$306,Employees!$A$25,'Leave log'!$B$7:$B$306,"&lt;="&amp;DATE($B$3,2,5),'Leave log'!$C$7:$C$306,"&gt;="&amp;DATE($B$3,2,5),'Leave log'!$F$7:$F$306,"Approved")&gt;0,"A",""))="A","A",IF(OR(DATE($B$3,2,5)&gt;EOMONTH(DATE($B$3,2,1),0),NETWORKDAYS.INTL(DATE($B$3,2,5),DATE($B$3,2,5),1,'Non-working days'!$A$6:$A$45)=0),"",IF(COUNTIFS('Leave log'!$A$7:$A$306,Employees!$A$25,'Leave log'!$B$7:$B$306,"&lt;="&amp;DATE($B$3,2,5),'Leave log'!$C$7:$C$306,"&gt;="&amp;DATE($B$3,2,5),'Leave log'!$F$7:$F$306,"Pending")&gt;0,"P",""))))</f>
        <v/>
      </c>
      <c r="G60" s="23" t="str">
        <f>IF(A60="","",IF(IF(OR(DATE($B$3,2,6)&gt;EOMONTH(DATE($B$3,2,1),0),NETWORKDAYS.INTL(DATE($B$3,2,6),DATE($B$3,2,6),1,'Non-working days'!$A$6:$A$45)=0),"",IF(COUNTIFS('Leave log'!$A$7:$A$306,Employees!$A$25,'Leave log'!$B$7:$B$306,"&lt;="&amp;DATE($B$3,2,6),'Leave log'!$C$7:$C$306,"&gt;="&amp;DATE($B$3,2,6),'Leave log'!$F$7:$F$306,"Approved")&gt;0,"A",""))="A","A",IF(OR(DATE($B$3,2,6)&gt;EOMONTH(DATE($B$3,2,1),0),NETWORKDAYS.INTL(DATE($B$3,2,6),DATE($B$3,2,6),1,'Non-working days'!$A$6:$A$45)=0),"",IF(COUNTIFS('Leave log'!$A$7:$A$306,Employees!$A$25,'Leave log'!$B$7:$B$306,"&lt;="&amp;DATE($B$3,2,6),'Leave log'!$C$7:$C$306,"&gt;="&amp;DATE($B$3,2,6),'Leave log'!$F$7:$F$306,"Pending")&gt;0,"P",""))))</f>
        <v/>
      </c>
      <c r="H60" s="23" t="str">
        <f>IF(A60="","",IF(IF(OR(DATE($B$3,2,7)&gt;EOMONTH(DATE($B$3,2,1),0),NETWORKDAYS.INTL(DATE($B$3,2,7),DATE($B$3,2,7),1,'Non-working days'!$A$6:$A$45)=0),"",IF(COUNTIFS('Leave log'!$A$7:$A$306,Employees!$A$25,'Leave log'!$B$7:$B$306,"&lt;="&amp;DATE($B$3,2,7),'Leave log'!$C$7:$C$306,"&gt;="&amp;DATE($B$3,2,7),'Leave log'!$F$7:$F$306,"Approved")&gt;0,"A",""))="A","A",IF(OR(DATE($B$3,2,7)&gt;EOMONTH(DATE($B$3,2,1),0),NETWORKDAYS.INTL(DATE($B$3,2,7),DATE($B$3,2,7),1,'Non-working days'!$A$6:$A$45)=0),"",IF(COUNTIFS('Leave log'!$A$7:$A$306,Employees!$A$25,'Leave log'!$B$7:$B$306,"&lt;="&amp;DATE($B$3,2,7),'Leave log'!$C$7:$C$306,"&gt;="&amp;DATE($B$3,2,7),'Leave log'!$F$7:$F$306,"Pending")&gt;0,"P",""))))</f>
        <v/>
      </c>
      <c r="I60" s="23" t="str">
        <f>IF(A60="","",IF(IF(OR(DATE($B$3,2,8)&gt;EOMONTH(DATE($B$3,2,1),0),NETWORKDAYS.INTL(DATE($B$3,2,8),DATE($B$3,2,8),1,'Non-working days'!$A$6:$A$45)=0),"",IF(COUNTIFS('Leave log'!$A$7:$A$306,Employees!$A$25,'Leave log'!$B$7:$B$306,"&lt;="&amp;DATE($B$3,2,8),'Leave log'!$C$7:$C$306,"&gt;="&amp;DATE($B$3,2,8),'Leave log'!$F$7:$F$306,"Approved")&gt;0,"A",""))="A","A",IF(OR(DATE($B$3,2,8)&gt;EOMONTH(DATE($B$3,2,1),0),NETWORKDAYS.INTL(DATE($B$3,2,8),DATE($B$3,2,8),1,'Non-working days'!$A$6:$A$45)=0),"",IF(COUNTIFS('Leave log'!$A$7:$A$306,Employees!$A$25,'Leave log'!$B$7:$B$306,"&lt;="&amp;DATE($B$3,2,8),'Leave log'!$C$7:$C$306,"&gt;="&amp;DATE($B$3,2,8),'Leave log'!$F$7:$F$306,"Pending")&gt;0,"P",""))))</f>
        <v/>
      </c>
      <c r="J60" s="23" t="str">
        <f>IF(A60="","",IF(IF(OR(DATE($B$3,2,9)&gt;EOMONTH(DATE($B$3,2,1),0),NETWORKDAYS.INTL(DATE($B$3,2,9),DATE($B$3,2,9),1,'Non-working days'!$A$6:$A$45)=0),"",IF(COUNTIFS('Leave log'!$A$7:$A$306,Employees!$A$25,'Leave log'!$B$7:$B$306,"&lt;="&amp;DATE($B$3,2,9),'Leave log'!$C$7:$C$306,"&gt;="&amp;DATE($B$3,2,9),'Leave log'!$F$7:$F$306,"Approved")&gt;0,"A",""))="A","A",IF(OR(DATE($B$3,2,9)&gt;EOMONTH(DATE($B$3,2,1),0),NETWORKDAYS.INTL(DATE($B$3,2,9),DATE($B$3,2,9),1,'Non-working days'!$A$6:$A$45)=0),"",IF(COUNTIFS('Leave log'!$A$7:$A$306,Employees!$A$25,'Leave log'!$B$7:$B$306,"&lt;="&amp;DATE($B$3,2,9),'Leave log'!$C$7:$C$306,"&gt;="&amp;DATE($B$3,2,9),'Leave log'!$F$7:$F$306,"Pending")&gt;0,"P",""))))</f>
        <v/>
      </c>
      <c r="K60" s="23" t="str">
        <f>IF(A60="","",IF(IF(OR(DATE($B$3,2,10)&gt;EOMONTH(DATE($B$3,2,1),0),NETWORKDAYS.INTL(DATE($B$3,2,10),DATE($B$3,2,10),1,'Non-working days'!$A$6:$A$45)=0),"",IF(COUNTIFS('Leave log'!$A$7:$A$306,Employees!$A$25,'Leave log'!$B$7:$B$306,"&lt;="&amp;DATE($B$3,2,10),'Leave log'!$C$7:$C$306,"&gt;="&amp;DATE($B$3,2,10),'Leave log'!$F$7:$F$306,"Approved")&gt;0,"A",""))="A","A",IF(OR(DATE($B$3,2,10)&gt;EOMONTH(DATE($B$3,2,1),0),NETWORKDAYS.INTL(DATE($B$3,2,10),DATE($B$3,2,10),1,'Non-working days'!$A$6:$A$45)=0),"",IF(COUNTIFS('Leave log'!$A$7:$A$306,Employees!$A$25,'Leave log'!$B$7:$B$306,"&lt;="&amp;DATE($B$3,2,10),'Leave log'!$C$7:$C$306,"&gt;="&amp;DATE($B$3,2,10),'Leave log'!$F$7:$F$306,"Pending")&gt;0,"P",""))))</f>
        <v/>
      </c>
      <c r="L60" s="23" t="str">
        <f>IF(A60="","",IF(IF(OR(DATE($B$3,2,11)&gt;EOMONTH(DATE($B$3,2,1),0),NETWORKDAYS.INTL(DATE($B$3,2,11),DATE($B$3,2,11),1,'Non-working days'!$A$6:$A$45)=0),"",IF(COUNTIFS('Leave log'!$A$7:$A$306,Employees!$A$25,'Leave log'!$B$7:$B$306,"&lt;="&amp;DATE($B$3,2,11),'Leave log'!$C$7:$C$306,"&gt;="&amp;DATE($B$3,2,11),'Leave log'!$F$7:$F$306,"Approved")&gt;0,"A",""))="A","A",IF(OR(DATE($B$3,2,11)&gt;EOMONTH(DATE($B$3,2,1),0),NETWORKDAYS.INTL(DATE($B$3,2,11),DATE($B$3,2,11),1,'Non-working days'!$A$6:$A$45)=0),"",IF(COUNTIFS('Leave log'!$A$7:$A$306,Employees!$A$25,'Leave log'!$B$7:$B$306,"&lt;="&amp;DATE($B$3,2,11),'Leave log'!$C$7:$C$306,"&gt;="&amp;DATE($B$3,2,11),'Leave log'!$F$7:$F$306,"Pending")&gt;0,"P",""))))</f>
        <v/>
      </c>
      <c r="M60" s="23" t="str">
        <f>IF(A60="","",IF(IF(OR(DATE($B$3,2,12)&gt;EOMONTH(DATE($B$3,2,1),0),NETWORKDAYS.INTL(DATE($B$3,2,12),DATE($B$3,2,12),1,'Non-working days'!$A$6:$A$45)=0),"",IF(COUNTIFS('Leave log'!$A$7:$A$306,Employees!$A$25,'Leave log'!$B$7:$B$306,"&lt;="&amp;DATE($B$3,2,12),'Leave log'!$C$7:$C$306,"&gt;="&amp;DATE($B$3,2,12),'Leave log'!$F$7:$F$306,"Approved")&gt;0,"A",""))="A","A",IF(OR(DATE($B$3,2,12)&gt;EOMONTH(DATE($B$3,2,1),0),NETWORKDAYS.INTL(DATE($B$3,2,12),DATE($B$3,2,12),1,'Non-working days'!$A$6:$A$45)=0),"",IF(COUNTIFS('Leave log'!$A$7:$A$306,Employees!$A$25,'Leave log'!$B$7:$B$306,"&lt;="&amp;DATE($B$3,2,12),'Leave log'!$C$7:$C$306,"&gt;="&amp;DATE($B$3,2,12),'Leave log'!$F$7:$F$306,"Pending")&gt;0,"P",""))))</f>
        <v/>
      </c>
      <c r="N60" s="23" t="str">
        <f>IF(A60="","",IF(IF(OR(DATE($B$3,2,13)&gt;EOMONTH(DATE($B$3,2,1),0),NETWORKDAYS.INTL(DATE($B$3,2,13),DATE($B$3,2,13),1,'Non-working days'!$A$6:$A$45)=0),"",IF(COUNTIFS('Leave log'!$A$7:$A$306,Employees!$A$25,'Leave log'!$B$7:$B$306,"&lt;="&amp;DATE($B$3,2,13),'Leave log'!$C$7:$C$306,"&gt;="&amp;DATE($B$3,2,13),'Leave log'!$F$7:$F$306,"Approved")&gt;0,"A",""))="A","A",IF(OR(DATE($B$3,2,13)&gt;EOMONTH(DATE($B$3,2,1),0),NETWORKDAYS.INTL(DATE($B$3,2,13),DATE($B$3,2,13),1,'Non-working days'!$A$6:$A$45)=0),"",IF(COUNTIFS('Leave log'!$A$7:$A$306,Employees!$A$25,'Leave log'!$B$7:$B$306,"&lt;="&amp;DATE($B$3,2,13),'Leave log'!$C$7:$C$306,"&gt;="&amp;DATE($B$3,2,13),'Leave log'!$F$7:$F$306,"Pending")&gt;0,"P",""))))</f>
        <v/>
      </c>
      <c r="O60" s="23" t="str">
        <f>IF(A60="","",IF(IF(OR(DATE($B$3,2,14)&gt;EOMONTH(DATE($B$3,2,1),0),NETWORKDAYS.INTL(DATE($B$3,2,14),DATE($B$3,2,14),1,'Non-working days'!$A$6:$A$45)=0),"",IF(COUNTIFS('Leave log'!$A$7:$A$306,Employees!$A$25,'Leave log'!$B$7:$B$306,"&lt;="&amp;DATE($B$3,2,14),'Leave log'!$C$7:$C$306,"&gt;="&amp;DATE($B$3,2,14),'Leave log'!$F$7:$F$306,"Approved")&gt;0,"A",""))="A","A",IF(OR(DATE($B$3,2,14)&gt;EOMONTH(DATE($B$3,2,1),0),NETWORKDAYS.INTL(DATE($B$3,2,14),DATE($B$3,2,14),1,'Non-working days'!$A$6:$A$45)=0),"",IF(COUNTIFS('Leave log'!$A$7:$A$306,Employees!$A$25,'Leave log'!$B$7:$B$306,"&lt;="&amp;DATE($B$3,2,14),'Leave log'!$C$7:$C$306,"&gt;="&amp;DATE($B$3,2,14),'Leave log'!$F$7:$F$306,"Pending")&gt;0,"P",""))))</f>
        <v/>
      </c>
      <c r="P60" s="23" t="str">
        <f>IF(A60="","",IF(IF(OR(DATE($B$3,2,15)&gt;EOMONTH(DATE($B$3,2,1),0),NETWORKDAYS.INTL(DATE($B$3,2,15),DATE($B$3,2,15),1,'Non-working days'!$A$6:$A$45)=0),"",IF(COUNTIFS('Leave log'!$A$7:$A$306,Employees!$A$25,'Leave log'!$B$7:$B$306,"&lt;="&amp;DATE($B$3,2,15),'Leave log'!$C$7:$C$306,"&gt;="&amp;DATE($B$3,2,15),'Leave log'!$F$7:$F$306,"Approved")&gt;0,"A",""))="A","A",IF(OR(DATE($B$3,2,15)&gt;EOMONTH(DATE($B$3,2,1),0),NETWORKDAYS.INTL(DATE($B$3,2,15),DATE($B$3,2,15),1,'Non-working days'!$A$6:$A$45)=0),"",IF(COUNTIFS('Leave log'!$A$7:$A$306,Employees!$A$25,'Leave log'!$B$7:$B$306,"&lt;="&amp;DATE($B$3,2,15),'Leave log'!$C$7:$C$306,"&gt;="&amp;DATE($B$3,2,15),'Leave log'!$F$7:$F$306,"Pending")&gt;0,"P",""))))</f>
        <v/>
      </c>
      <c r="Q60" s="23" t="str">
        <f>IF(A60="","",IF(IF(OR(DATE($B$3,2,16)&gt;EOMONTH(DATE($B$3,2,1),0),NETWORKDAYS.INTL(DATE($B$3,2,16),DATE($B$3,2,16),1,'Non-working days'!$A$6:$A$45)=0),"",IF(COUNTIFS('Leave log'!$A$7:$A$306,Employees!$A$25,'Leave log'!$B$7:$B$306,"&lt;="&amp;DATE($B$3,2,16),'Leave log'!$C$7:$C$306,"&gt;="&amp;DATE($B$3,2,16),'Leave log'!$F$7:$F$306,"Approved")&gt;0,"A",""))="A","A",IF(OR(DATE($B$3,2,16)&gt;EOMONTH(DATE($B$3,2,1),0),NETWORKDAYS.INTL(DATE($B$3,2,16),DATE($B$3,2,16),1,'Non-working days'!$A$6:$A$45)=0),"",IF(COUNTIFS('Leave log'!$A$7:$A$306,Employees!$A$25,'Leave log'!$B$7:$B$306,"&lt;="&amp;DATE($B$3,2,16),'Leave log'!$C$7:$C$306,"&gt;="&amp;DATE($B$3,2,16),'Leave log'!$F$7:$F$306,"Pending")&gt;0,"P",""))))</f>
        <v/>
      </c>
      <c r="R60" s="23" t="str">
        <f>IF(A60="","",IF(IF(OR(DATE($B$3,2,17)&gt;EOMONTH(DATE($B$3,2,1),0),NETWORKDAYS.INTL(DATE($B$3,2,17),DATE($B$3,2,17),1,'Non-working days'!$A$6:$A$45)=0),"",IF(COUNTIFS('Leave log'!$A$7:$A$306,Employees!$A$25,'Leave log'!$B$7:$B$306,"&lt;="&amp;DATE($B$3,2,17),'Leave log'!$C$7:$C$306,"&gt;="&amp;DATE($B$3,2,17),'Leave log'!$F$7:$F$306,"Approved")&gt;0,"A",""))="A","A",IF(OR(DATE($B$3,2,17)&gt;EOMONTH(DATE($B$3,2,1),0),NETWORKDAYS.INTL(DATE($B$3,2,17),DATE($B$3,2,17),1,'Non-working days'!$A$6:$A$45)=0),"",IF(COUNTIFS('Leave log'!$A$7:$A$306,Employees!$A$25,'Leave log'!$B$7:$B$306,"&lt;="&amp;DATE($B$3,2,17),'Leave log'!$C$7:$C$306,"&gt;="&amp;DATE($B$3,2,17),'Leave log'!$F$7:$F$306,"Pending")&gt;0,"P",""))))</f>
        <v/>
      </c>
      <c r="S60" s="23" t="str">
        <f>IF(A60="","",IF(IF(OR(DATE($B$3,2,18)&gt;EOMONTH(DATE($B$3,2,1),0),NETWORKDAYS.INTL(DATE($B$3,2,18),DATE($B$3,2,18),1,'Non-working days'!$A$6:$A$45)=0),"",IF(COUNTIFS('Leave log'!$A$7:$A$306,Employees!$A$25,'Leave log'!$B$7:$B$306,"&lt;="&amp;DATE($B$3,2,18),'Leave log'!$C$7:$C$306,"&gt;="&amp;DATE($B$3,2,18),'Leave log'!$F$7:$F$306,"Approved")&gt;0,"A",""))="A","A",IF(OR(DATE($B$3,2,18)&gt;EOMONTH(DATE($B$3,2,1),0),NETWORKDAYS.INTL(DATE($B$3,2,18),DATE($B$3,2,18),1,'Non-working days'!$A$6:$A$45)=0),"",IF(COUNTIFS('Leave log'!$A$7:$A$306,Employees!$A$25,'Leave log'!$B$7:$B$306,"&lt;="&amp;DATE($B$3,2,18),'Leave log'!$C$7:$C$306,"&gt;="&amp;DATE($B$3,2,18),'Leave log'!$F$7:$F$306,"Pending")&gt;0,"P",""))))</f>
        <v/>
      </c>
      <c r="T60" s="23" t="str">
        <f>IF(A60="","",IF(IF(OR(DATE($B$3,2,19)&gt;EOMONTH(DATE($B$3,2,1),0),NETWORKDAYS.INTL(DATE($B$3,2,19),DATE($B$3,2,19),1,'Non-working days'!$A$6:$A$45)=0),"",IF(COUNTIFS('Leave log'!$A$7:$A$306,Employees!$A$25,'Leave log'!$B$7:$B$306,"&lt;="&amp;DATE($B$3,2,19),'Leave log'!$C$7:$C$306,"&gt;="&amp;DATE($B$3,2,19),'Leave log'!$F$7:$F$306,"Approved")&gt;0,"A",""))="A","A",IF(OR(DATE($B$3,2,19)&gt;EOMONTH(DATE($B$3,2,1),0),NETWORKDAYS.INTL(DATE($B$3,2,19),DATE($B$3,2,19),1,'Non-working days'!$A$6:$A$45)=0),"",IF(COUNTIFS('Leave log'!$A$7:$A$306,Employees!$A$25,'Leave log'!$B$7:$B$306,"&lt;="&amp;DATE($B$3,2,19),'Leave log'!$C$7:$C$306,"&gt;="&amp;DATE($B$3,2,19),'Leave log'!$F$7:$F$306,"Pending")&gt;0,"P",""))))</f>
        <v/>
      </c>
      <c r="U60" s="23" t="str">
        <f>IF(A60="","",IF(IF(OR(DATE($B$3,2,20)&gt;EOMONTH(DATE($B$3,2,1),0),NETWORKDAYS.INTL(DATE($B$3,2,20),DATE($B$3,2,20),1,'Non-working days'!$A$6:$A$45)=0),"",IF(COUNTIFS('Leave log'!$A$7:$A$306,Employees!$A$25,'Leave log'!$B$7:$B$306,"&lt;="&amp;DATE($B$3,2,20),'Leave log'!$C$7:$C$306,"&gt;="&amp;DATE($B$3,2,20),'Leave log'!$F$7:$F$306,"Approved")&gt;0,"A",""))="A","A",IF(OR(DATE($B$3,2,20)&gt;EOMONTH(DATE($B$3,2,1),0),NETWORKDAYS.INTL(DATE($B$3,2,20),DATE($B$3,2,20),1,'Non-working days'!$A$6:$A$45)=0),"",IF(COUNTIFS('Leave log'!$A$7:$A$306,Employees!$A$25,'Leave log'!$B$7:$B$306,"&lt;="&amp;DATE($B$3,2,20),'Leave log'!$C$7:$C$306,"&gt;="&amp;DATE($B$3,2,20),'Leave log'!$F$7:$F$306,"Pending")&gt;0,"P",""))))</f>
        <v/>
      </c>
      <c r="V60" s="23" t="str">
        <f>IF(A60="","",IF(IF(OR(DATE($B$3,2,21)&gt;EOMONTH(DATE($B$3,2,1),0),NETWORKDAYS.INTL(DATE($B$3,2,21),DATE($B$3,2,21),1,'Non-working days'!$A$6:$A$45)=0),"",IF(COUNTIFS('Leave log'!$A$7:$A$306,Employees!$A$25,'Leave log'!$B$7:$B$306,"&lt;="&amp;DATE($B$3,2,21),'Leave log'!$C$7:$C$306,"&gt;="&amp;DATE($B$3,2,21),'Leave log'!$F$7:$F$306,"Approved")&gt;0,"A",""))="A","A",IF(OR(DATE($B$3,2,21)&gt;EOMONTH(DATE($B$3,2,1),0),NETWORKDAYS.INTL(DATE($B$3,2,21),DATE($B$3,2,21),1,'Non-working days'!$A$6:$A$45)=0),"",IF(COUNTIFS('Leave log'!$A$7:$A$306,Employees!$A$25,'Leave log'!$B$7:$B$306,"&lt;="&amp;DATE($B$3,2,21),'Leave log'!$C$7:$C$306,"&gt;="&amp;DATE($B$3,2,21),'Leave log'!$F$7:$F$306,"Pending")&gt;0,"P",""))))</f>
        <v/>
      </c>
      <c r="W60" s="23" t="str">
        <f>IF(A60="","",IF(IF(OR(DATE($B$3,2,22)&gt;EOMONTH(DATE($B$3,2,1),0),NETWORKDAYS.INTL(DATE($B$3,2,22),DATE($B$3,2,22),1,'Non-working days'!$A$6:$A$45)=0),"",IF(COUNTIFS('Leave log'!$A$7:$A$306,Employees!$A$25,'Leave log'!$B$7:$B$306,"&lt;="&amp;DATE($B$3,2,22),'Leave log'!$C$7:$C$306,"&gt;="&amp;DATE($B$3,2,22),'Leave log'!$F$7:$F$306,"Approved")&gt;0,"A",""))="A","A",IF(OR(DATE($B$3,2,22)&gt;EOMONTH(DATE($B$3,2,1),0),NETWORKDAYS.INTL(DATE($B$3,2,22),DATE($B$3,2,22),1,'Non-working days'!$A$6:$A$45)=0),"",IF(COUNTIFS('Leave log'!$A$7:$A$306,Employees!$A$25,'Leave log'!$B$7:$B$306,"&lt;="&amp;DATE($B$3,2,22),'Leave log'!$C$7:$C$306,"&gt;="&amp;DATE($B$3,2,22),'Leave log'!$F$7:$F$306,"Pending")&gt;0,"P",""))))</f>
        <v/>
      </c>
      <c r="X60" s="23" t="str">
        <f>IF(A60="","",IF(IF(OR(DATE($B$3,2,23)&gt;EOMONTH(DATE($B$3,2,1),0),NETWORKDAYS.INTL(DATE($B$3,2,23),DATE($B$3,2,23),1,'Non-working days'!$A$6:$A$45)=0),"",IF(COUNTIFS('Leave log'!$A$7:$A$306,Employees!$A$25,'Leave log'!$B$7:$B$306,"&lt;="&amp;DATE($B$3,2,23),'Leave log'!$C$7:$C$306,"&gt;="&amp;DATE($B$3,2,23),'Leave log'!$F$7:$F$306,"Approved")&gt;0,"A",""))="A","A",IF(OR(DATE($B$3,2,23)&gt;EOMONTH(DATE($B$3,2,1),0),NETWORKDAYS.INTL(DATE($B$3,2,23),DATE($B$3,2,23),1,'Non-working days'!$A$6:$A$45)=0),"",IF(COUNTIFS('Leave log'!$A$7:$A$306,Employees!$A$25,'Leave log'!$B$7:$B$306,"&lt;="&amp;DATE($B$3,2,23),'Leave log'!$C$7:$C$306,"&gt;="&amp;DATE($B$3,2,23),'Leave log'!$F$7:$F$306,"Pending")&gt;0,"P",""))))</f>
        <v/>
      </c>
      <c r="Y60" s="23" t="str">
        <f>IF(A60="","",IF(IF(OR(DATE($B$3,2,24)&gt;EOMONTH(DATE($B$3,2,1),0),NETWORKDAYS.INTL(DATE($B$3,2,24),DATE($B$3,2,24),1,'Non-working days'!$A$6:$A$45)=0),"",IF(COUNTIFS('Leave log'!$A$7:$A$306,Employees!$A$25,'Leave log'!$B$7:$B$306,"&lt;="&amp;DATE($B$3,2,24),'Leave log'!$C$7:$C$306,"&gt;="&amp;DATE($B$3,2,24),'Leave log'!$F$7:$F$306,"Approved")&gt;0,"A",""))="A","A",IF(OR(DATE($B$3,2,24)&gt;EOMONTH(DATE($B$3,2,1),0),NETWORKDAYS.INTL(DATE($B$3,2,24),DATE($B$3,2,24),1,'Non-working days'!$A$6:$A$45)=0),"",IF(COUNTIFS('Leave log'!$A$7:$A$306,Employees!$A$25,'Leave log'!$B$7:$B$306,"&lt;="&amp;DATE($B$3,2,24),'Leave log'!$C$7:$C$306,"&gt;="&amp;DATE($B$3,2,24),'Leave log'!$F$7:$F$306,"Pending")&gt;0,"P",""))))</f>
        <v/>
      </c>
      <c r="Z60" s="23" t="str">
        <f>IF(A60="","",IF(IF(OR(DATE($B$3,2,25)&gt;EOMONTH(DATE($B$3,2,1),0),NETWORKDAYS.INTL(DATE($B$3,2,25),DATE($B$3,2,25),1,'Non-working days'!$A$6:$A$45)=0),"",IF(COUNTIFS('Leave log'!$A$7:$A$306,Employees!$A$25,'Leave log'!$B$7:$B$306,"&lt;="&amp;DATE($B$3,2,25),'Leave log'!$C$7:$C$306,"&gt;="&amp;DATE($B$3,2,25),'Leave log'!$F$7:$F$306,"Approved")&gt;0,"A",""))="A","A",IF(OR(DATE($B$3,2,25)&gt;EOMONTH(DATE($B$3,2,1),0),NETWORKDAYS.INTL(DATE($B$3,2,25),DATE($B$3,2,25),1,'Non-working days'!$A$6:$A$45)=0),"",IF(COUNTIFS('Leave log'!$A$7:$A$306,Employees!$A$25,'Leave log'!$B$7:$B$306,"&lt;="&amp;DATE($B$3,2,25),'Leave log'!$C$7:$C$306,"&gt;="&amp;DATE($B$3,2,25),'Leave log'!$F$7:$F$306,"Pending")&gt;0,"P",""))))</f>
        <v/>
      </c>
      <c r="AA60" s="23" t="str">
        <f>IF(A60="","",IF(IF(OR(DATE($B$3,2,26)&gt;EOMONTH(DATE($B$3,2,1),0),NETWORKDAYS.INTL(DATE($B$3,2,26),DATE($B$3,2,26),1,'Non-working days'!$A$6:$A$45)=0),"",IF(COUNTIFS('Leave log'!$A$7:$A$306,Employees!$A$25,'Leave log'!$B$7:$B$306,"&lt;="&amp;DATE($B$3,2,26),'Leave log'!$C$7:$C$306,"&gt;="&amp;DATE($B$3,2,26),'Leave log'!$F$7:$F$306,"Approved")&gt;0,"A",""))="A","A",IF(OR(DATE($B$3,2,26)&gt;EOMONTH(DATE($B$3,2,1),0),NETWORKDAYS.INTL(DATE($B$3,2,26),DATE($B$3,2,26),1,'Non-working days'!$A$6:$A$45)=0),"",IF(COUNTIFS('Leave log'!$A$7:$A$306,Employees!$A$25,'Leave log'!$B$7:$B$306,"&lt;="&amp;DATE($B$3,2,26),'Leave log'!$C$7:$C$306,"&gt;="&amp;DATE($B$3,2,26),'Leave log'!$F$7:$F$306,"Pending")&gt;0,"P",""))))</f>
        <v/>
      </c>
      <c r="AB60" s="23" t="str">
        <f>IF(A60="","",IF(IF(OR(DATE($B$3,2,27)&gt;EOMONTH(DATE($B$3,2,1),0),NETWORKDAYS.INTL(DATE($B$3,2,27),DATE($B$3,2,27),1,'Non-working days'!$A$6:$A$45)=0),"",IF(COUNTIFS('Leave log'!$A$7:$A$306,Employees!$A$25,'Leave log'!$B$7:$B$306,"&lt;="&amp;DATE($B$3,2,27),'Leave log'!$C$7:$C$306,"&gt;="&amp;DATE($B$3,2,27),'Leave log'!$F$7:$F$306,"Approved")&gt;0,"A",""))="A","A",IF(OR(DATE($B$3,2,27)&gt;EOMONTH(DATE($B$3,2,1),0),NETWORKDAYS.INTL(DATE($B$3,2,27),DATE($B$3,2,27),1,'Non-working days'!$A$6:$A$45)=0),"",IF(COUNTIFS('Leave log'!$A$7:$A$306,Employees!$A$25,'Leave log'!$B$7:$B$306,"&lt;="&amp;DATE($B$3,2,27),'Leave log'!$C$7:$C$306,"&gt;="&amp;DATE($B$3,2,27),'Leave log'!$F$7:$F$306,"Pending")&gt;0,"P",""))))</f>
        <v/>
      </c>
      <c r="AC60" s="23" t="str">
        <f>IF(A60="","",IF(IF(OR(DATE($B$3,2,28)&gt;EOMONTH(DATE($B$3,2,1),0),NETWORKDAYS.INTL(DATE($B$3,2,28),DATE($B$3,2,28),1,'Non-working days'!$A$6:$A$45)=0),"",IF(COUNTIFS('Leave log'!$A$7:$A$306,Employees!$A$25,'Leave log'!$B$7:$B$306,"&lt;="&amp;DATE($B$3,2,28),'Leave log'!$C$7:$C$306,"&gt;="&amp;DATE($B$3,2,28),'Leave log'!$F$7:$F$306,"Approved")&gt;0,"A",""))="A","A",IF(OR(DATE($B$3,2,28)&gt;EOMONTH(DATE($B$3,2,1),0),NETWORKDAYS.INTL(DATE($B$3,2,28),DATE($B$3,2,28),1,'Non-working days'!$A$6:$A$45)=0),"",IF(COUNTIFS('Leave log'!$A$7:$A$306,Employees!$A$25,'Leave log'!$B$7:$B$306,"&lt;="&amp;DATE($B$3,2,28),'Leave log'!$C$7:$C$306,"&gt;="&amp;DATE($B$3,2,28),'Leave log'!$F$7:$F$306,"Pending")&gt;0,"P",""))))</f>
        <v/>
      </c>
      <c r="AD60" s="23" t="str">
        <f>IF(A60="","",IF(IF(OR(DATE($B$3,2,29)&gt;EOMONTH(DATE($B$3,2,1),0),NETWORKDAYS.INTL(DATE($B$3,2,29),DATE($B$3,2,29),1,'Non-working days'!$A$6:$A$45)=0),"",IF(COUNTIFS('Leave log'!$A$7:$A$306,Employees!$A$25,'Leave log'!$B$7:$B$306,"&lt;="&amp;DATE($B$3,2,29),'Leave log'!$C$7:$C$306,"&gt;="&amp;DATE($B$3,2,29),'Leave log'!$F$7:$F$306,"Approved")&gt;0,"A",""))="A","A",IF(OR(DATE($B$3,2,29)&gt;EOMONTH(DATE($B$3,2,1),0),NETWORKDAYS.INTL(DATE($B$3,2,29),DATE($B$3,2,29),1,'Non-working days'!$A$6:$A$45)=0),"",IF(COUNTIFS('Leave log'!$A$7:$A$306,Employees!$A$25,'Leave log'!$B$7:$B$306,"&lt;="&amp;DATE($B$3,2,29),'Leave log'!$C$7:$C$306,"&gt;="&amp;DATE($B$3,2,29),'Leave log'!$F$7:$F$306,"Pending")&gt;0,"P",""))))</f>
        <v/>
      </c>
      <c r="AE60" s="23" t="str">
        <f>IF(A60="","",IF(IF(OR(DATE($B$3,2,30)&gt;EOMONTH(DATE($B$3,2,1),0),NETWORKDAYS.INTL(DATE($B$3,2,30),DATE($B$3,2,30),1,'Non-working days'!$A$6:$A$45)=0),"",IF(COUNTIFS('Leave log'!$A$7:$A$306,Employees!$A$25,'Leave log'!$B$7:$B$306,"&lt;="&amp;DATE($B$3,2,30),'Leave log'!$C$7:$C$306,"&gt;="&amp;DATE($B$3,2,30),'Leave log'!$F$7:$F$306,"Approved")&gt;0,"A",""))="A","A",IF(OR(DATE($B$3,2,30)&gt;EOMONTH(DATE($B$3,2,1),0),NETWORKDAYS.INTL(DATE($B$3,2,30),DATE($B$3,2,30),1,'Non-working days'!$A$6:$A$45)=0),"",IF(COUNTIFS('Leave log'!$A$7:$A$306,Employees!$A$25,'Leave log'!$B$7:$B$306,"&lt;="&amp;DATE($B$3,2,30),'Leave log'!$C$7:$C$306,"&gt;="&amp;DATE($B$3,2,30),'Leave log'!$F$7:$F$306,"Pending")&gt;0,"P",""))))</f>
        <v/>
      </c>
      <c r="AF60" s="23" t="str">
        <f>IF(A60="","",IF(IF(OR(DATE($B$3,2,31)&gt;EOMONTH(DATE($B$3,2,1),0),NETWORKDAYS.INTL(DATE($B$3,2,31),DATE($B$3,2,31),1,'Non-working days'!$A$6:$A$45)=0),"",IF(COUNTIFS('Leave log'!$A$7:$A$306,Employees!$A$25,'Leave log'!$B$7:$B$306,"&lt;="&amp;DATE($B$3,2,31),'Leave log'!$C$7:$C$306,"&gt;="&amp;DATE($B$3,2,31),'Leave log'!$F$7:$F$306,"Approved")&gt;0,"A",""))="A","A",IF(OR(DATE($B$3,2,31)&gt;EOMONTH(DATE($B$3,2,1),0),NETWORKDAYS.INTL(DATE($B$3,2,31),DATE($B$3,2,31),1,'Non-working days'!$A$6:$A$45)=0),"",IF(COUNTIFS('Leave log'!$A$7:$A$306,Employees!$A$25,'Leave log'!$B$7:$B$306,"&lt;="&amp;DATE($B$3,2,31),'Leave log'!$C$7:$C$306,"&gt;="&amp;DATE($B$3,2,31),'Leave log'!$F$7:$F$306,"Pending")&gt;0,"P",""))))</f>
        <v/>
      </c>
    </row>
    <row r="61" spans="1:32" ht="18" customHeight="1" x14ac:dyDescent="0.3">
      <c r="A61" s="22" t="str">
        <f>IF(Employees!F26="Yes",Employees!B26,"")</f>
        <v/>
      </c>
      <c r="B61" s="23" t="str">
        <f>IF(A61="","",IF(IF(OR(DATE($B$3,2,1)&gt;EOMONTH(DATE($B$3,2,1),0),NETWORKDAYS.INTL(DATE($B$3,2,1),DATE($B$3,2,1),1,'Non-working days'!$A$6:$A$45)=0),"",IF(COUNTIFS('Leave log'!$A$7:$A$306,Employees!$A$26,'Leave log'!$B$7:$B$306,"&lt;="&amp;DATE($B$3,2,1),'Leave log'!$C$7:$C$306,"&gt;="&amp;DATE($B$3,2,1),'Leave log'!$F$7:$F$306,"Approved")&gt;0,"A",""))="A","A",IF(OR(DATE($B$3,2,1)&gt;EOMONTH(DATE($B$3,2,1),0),NETWORKDAYS.INTL(DATE($B$3,2,1),DATE($B$3,2,1),1,'Non-working days'!$A$6:$A$45)=0),"",IF(COUNTIFS('Leave log'!$A$7:$A$306,Employees!$A$26,'Leave log'!$B$7:$B$306,"&lt;="&amp;DATE($B$3,2,1),'Leave log'!$C$7:$C$306,"&gt;="&amp;DATE($B$3,2,1),'Leave log'!$F$7:$F$306,"Pending")&gt;0,"P",""))))</f>
        <v/>
      </c>
      <c r="C61" s="23" t="str">
        <f>IF(A61="","",IF(IF(OR(DATE($B$3,2,2)&gt;EOMONTH(DATE($B$3,2,1),0),NETWORKDAYS.INTL(DATE($B$3,2,2),DATE($B$3,2,2),1,'Non-working days'!$A$6:$A$45)=0),"",IF(COUNTIFS('Leave log'!$A$7:$A$306,Employees!$A$26,'Leave log'!$B$7:$B$306,"&lt;="&amp;DATE($B$3,2,2),'Leave log'!$C$7:$C$306,"&gt;="&amp;DATE($B$3,2,2),'Leave log'!$F$7:$F$306,"Approved")&gt;0,"A",""))="A","A",IF(OR(DATE($B$3,2,2)&gt;EOMONTH(DATE($B$3,2,1),0),NETWORKDAYS.INTL(DATE($B$3,2,2),DATE($B$3,2,2),1,'Non-working days'!$A$6:$A$45)=0),"",IF(COUNTIFS('Leave log'!$A$7:$A$306,Employees!$A$26,'Leave log'!$B$7:$B$306,"&lt;="&amp;DATE($B$3,2,2),'Leave log'!$C$7:$C$306,"&gt;="&amp;DATE($B$3,2,2),'Leave log'!$F$7:$F$306,"Pending")&gt;0,"P",""))))</f>
        <v/>
      </c>
      <c r="D61" s="23" t="str">
        <f>IF(A61="","",IF(IF(OR(DATE($B$3,2,3)&gt;EOMONTH(DATE($B$3,2,1),0),NETWORKDAYS.INTL(DATE($B$3,2,3),DATE($B$3,2,3),1,'Non-working days'!$A$6:$A$45)=0),"",IF(COUNTIFS('Leave log'!$A$7:$A$306,Employees!$A$26,'Leave log'!$B$7:$B$306,"&lt;="&amp;DATE($B$3,2,3),'Leave log'!$C$7:$C$306,"&gt;="&amp;DATE($B$3,2,3),'Leave log'!$F$7:$F$306,"Approved")&gt;0,"A",""))="A","A",IF(OR(DATE($B$3,2,3)&gt;EOMONTH(DATE($B$3,2,1),0),NETWORKDAYS.INTL(DATE($B$3,2,3),DATE($B$3,2,3),1,'Non-working days'!$A$6:$A$45)=0),"",IF(COUNTIFS('Leave log'!$A$7:$A$306,Employees!$A$26,'Leave log'!$B$7:$B$306,"&lt;="&amp;DATE($B$3,2,3),'Leave log'!$C$7:$C$306,"&gt;="&amp;DATE($B$3,2,3),'Leave log'!$F$7:$F$306,"Pending")&gt;0,"P",""))))</f>
        <v/>
      </c>
      <c r="E61" s="23" t="str">
        <f>IF(A61="","",IF(IF(OR(DATE($B$3,2,4)&gt;EOMONTH(DATE($B$3,2,1),0),NETWORKDAYS.INTL(DATE($B$3,2,4),DATE($B$3,2,4),1,'Non-working days'!$A$6:$A$45)=0),"",IF(COUNTIFS('Leave log'!$A$7:$A$306,Employees!$A$26,'Leave log'!$B$7:$B$306,"&lt;="&amp;DATE($B$3,2,4),'Leave log'!$C$7:$C$306,"&gt;="&amp;DATE($B$3,2,4),'Leave log'!$F$7:$F$306,"Approved")&gt;0,"A",""))="A","A",IF(OR(DATE($B$3,2,4)&gt;EOMONTH(DATE($B$3,2,1),0),NETWORKDAYS.INTL(DATE($B$3,2,4),DATE($B$3,2,4),1,'Non-working days'!$A$6:$A$45)=0),"",IF(COUNTIFS('Leave log'!$A$7:$A$306,Employees!$A$26,'Leave log'!$B$7:$B$306,"&lt;="&amp;DATE($B$3,2,4),'Leave log'!$C$7:$C$306,"&gt;="&amp;DATE($B$3,2,4),'Leave log'!$F$7:$F$306,"Pending")&gt;0,"P",""))))</f>
        <v/>
      </c>
      <c r="F61" s="23" t="str">
        <f>IF(A61="","",IF(IF(OR(DATE($B$3,2,5)&gt;EOMONTH(DATE($B$3,2,1),0),NETWORKDAYS.INTL(DATE($B$3,2,5),DATE($B$3,2,5),1,'Non-working days'!$A$6:$A$45)=0),"",IF(COUNTIFS('Leave log'!$A$7:$A$306,Employees!$A$26,'Leave log'!$B$7:$B$306,"&lt;="&amp;DATE($B$3,2,5),'Leave log'!$C$7:$C$306,"&gt;="&amp;DATE($B$3,2,5),'Leave log'!$F$7:$F$306,"Approved")&gt;0,"A",""))="A","A",IF(OR(DATE($B$3,2,5)&gt;EOMONTH(DATE($B$3,2,1),0),NETWORKDAYS.INTL(DATE($B$3,2,5),DATE($B$3,2,5),1,'Non-working days'!$A$6:$A$45)=0),"",IF(COUNTIFS('Leave log'!$A$7:$A$306,Employees!$A$26,'Leave log'!$B$7:$B$306,"&lt;="&amp;DATE($B$3,2,5),'Leave log'!$C$7:$C$306,"&gt;="&amp;DATE($B$3,2,5),'Leave log'!$F$7:$F$306,"Pending")&gt;0,"P",""))))</f>
        <v/>
      </c>
      <c r="G61" s="23" t="str">
        <f>IF(A61="","",IF(IF(OR(DATE($B$3,2,6)&gt;EOMONTH(DATE($B$3,2,1),0),NETWORKDAYS.INTL(DATE($B$3,2,6),DATE($B$3,2,6),1,'Non-working days'!$A$6:$A$45)=0),"",IF(COUNTIFS('Leave log'!$A$7:$A$306,Employees!$A$26,'Leave log'!$B$7:$B$306,"&lt;="&amp;DATE($B$3,2,6),'Leave log'!$C$7:$C$306,"&gt;="&amp;DATE($B$3,2,6),'Leave log'!$F$7:$F$306,"Approved")&gt;0,"A",""))="A","A",IF(OR(DATE($B$3,2,6)&gt;EOMONTH(DATE($B$3,2,1),0),NETWORKDAYS.INTL(DATE($B$3,2,6),DATE($B$3,2,6),1,'Non-working days'!$A$6:$A$45)=0),"",IF(COUNTIFS('Leave log'!$A$7:$A$306,Employees!$A$26,'Leave log'!$B$7:$B$306,"&lt;="&amp;DATE($B$3,2,6),'Leave log'!$C$7:$C$306,"&gt;="&amp;DATE($B$3,2,6),'Leave log'!$F$7:$F$306,"Pending")&gt;0,"P",""))))</f>
        <v/>
      </c>
      <c r="H61" s="23" t="str">
        <f>IF(A61="","",IF(IF(OR(DATE($B$3,2,7)&gt;EOMONTH(DATE($B$3,2,1),0),NETWORKDAYS.INTL(DATE($B$3,2,7),DATE($B$3,2,7),1,'Non-working days'!$A$6:$A$45)=0),"",IF(COUNTIFS('Leave log'!$A$7:$A$306,Employees!$A$26,'Leave log'!$B$7:$B$306,"&lt;="&amp;DATE($B$3,2,7),'Leave log'!$C$7:$C$306,"&gt;="&amp;DATE($B$3,2,7),'Leave log'!$F$7:$F$306,"Approved")&gt;0,"A",""))="A","A",IF(OR(DATE($B$3,2,7)&gt;EOMONTH(DATE($B$3,2,1),0),NETWORKDAYS.INTL(DATE($B$3,2,7),DATE($B$3,2,7),1,'Non-working days'!$A$6:$A$45)=0),"",IF(COUNTIFS('Leave log'!$A$7:$A$306,Employees!$A$26,'Leave log'!$B$7:$B$306,"&lt;="&amp;DATE($B$3,2,7),'Leave log'!$C$7:$C$306,"&gt;="&amp;DATE($B$3,2,7),'Leave log'!$F$7:$F$306,"Pending")&gt;0,"P",""))))</f>
        <v/>
      </c>
      <c r="I61" s="23" t="str">
        <f>IF(A61="","",IF(IF(OR(DATE($B$3,2,8)&gt;EOMONTH(DATE($B$3,2,1),0),NETWORKDAYS.INTL(DATE($B$3,2,8),DATE($B$3,2,8),1,'Non-working days'!$A$6:$A$45)=0),"",IF(COUNTIFS('Leave log'!$A$7:$A$306,Employees!$A$26,'Leave log'!$B$7:$B$306,"&lt;="&amp;DATE($B$3,2,8),'Leave log'!$C$7:$C$306,"&gt;="&amp;DATE($B$3,2,8),'Leave log'!$F$7:$F$306,"Approved")&gt;0,"A",""))="A","A",IF(OR(DATE($B$3,2,8)&gt;EOMONTH(DATE($B$3,2,1),0),NETWORKDAYS.INTL(DATE($B$3,2,8),DATE($B$3,2,8),1,'Non-working days'!$A$6:$A$45)=0),"",IF(COUNTIFS('Leave log'!$A$7:$A$306,Employees!$A$26,'Leave log'!$B$7:$B$306,"&lt;="&amp;DATE($B$3,2,8),'Leave log'!$C$7:$C$306,"&gt;="&amp;DATE($B$3,2,8),'Leave log'!$F$7:$F$306,"Pending")&gt;0,"P",""))))</f>
        <v/>
      </c>
      <c r="J61" s="23" t="str">
        <f>IF(A61="","",IF(IF(OR(DATE($B$3,2,9)&gt;EOMONTH(DATE($B$3,2,1),0),NETWORKDAYS.INTL(DATE($B$3,2,9),DATE($B$3,2,9),1,'Non-working days'!$A$6:$A$45)=0),"",IF(COUNTIFS('Leave log'!$A$7:$A$306,Employees!$A$26,'Leave log'!$B$7:$B$306,"&lt;="&amp;DATE($B$3,2,9),'Leave log'!$C$7:$C$306,"&gt;="&amp;DATE($B$3,2,9),'Leave log'!$F$7:$F$306,"Approved")&gt;0,"A",""))="A","A",IF(OR(DATE($B$3,2,9)&gt;EOMONTH(DATE($B$3,2,1),0),NETWORKDAYS.INTL(DATE($B$3,2,9),DATE($B$3,2,9),1,'Non-working days'!$A$6:$A$45)=0),"",IF(COUNTIFS('Leave log'!$A$7:$A$306,Employees!$A$26,'Leave log'!$B$7:$B$306,"&lt;="&amp;DATE($B$3,2,9),'Leave log'!$C$7:$C$306,"&gt;="&amp;DATE($B$3,2,9),'Leave log'!$F$7:$F$306,"Pending")&gt;0,"P",""))))</f>
        <v/>
      </c>
      <c r="K61" s="23" t="str">
        <f>IF(A61="","",IF(IF(OR(DATE($B$3,2,10)&gt;EOMONTH(DATE($B$3,2,1),0),NETWORKDAYS.INTL(DATE($B$3,2,10),DATE($B$3,2,10),1,'Non-working days'!$A$6:$A$45)=0),"",IF(COUNTIFS('Leave log'!$A$7:$A$306,Employees!$A$26,'Leave log'!$B$7:$B$306,"&lt;="&amp;DATE($B$3,2,10),'Leave log'!$C$7:$C$306,"&gt;="&amp;DATE($B$3,2,10),'Leave log'!$F$7:$F$306,"Approved")&gt;0,"A",""))="A","A",IF(OR(DATE($B$3,2,10)&gt;EOMONTH(DATE($B$3,2,1),0),NETWORKDAYS.INTL(DATE($B$3,2,10),DATE($B$3,2,10),1,'Non-working days'!$A$6:$A$45)=0),"",IF(COUNTIFS('Leave log'!$A$7:$A$306,Employees!$A$26,'Leave log'!$B$7:$B$306,"&lt;="&amp;DATE($B$3,2,10),'Leave log'!$C$7:$C$306,"&gt;="&amp;DATE($B$3,2,10),'Leave log'!$F$7:$F$306,"Pending")&gt;0,"P",""))))</f>
        <v/>
      </c>
      <c r="L61" s="23" t="str">
        <f>IF(A61="","",IF(IF(OR(DATE($B$3,2,11)&gt;EOMONTH(DATE($B$3,2,1),0),NETWORKDAYS.INTL(DATE($B$3,2,11),DATE($B$3,2,11),1,'Non-working days'!$A$6:$A$45)=0),"",IF(COUNTIFS('Leave log'!$A$7:$A$306,Employees!$A$26,'Leave log'!$B$7:$B$306,"&lt;="&amp;DATE($B$3,2,11),'Leave log'!$C$7:$C$306,"&gt;="&amp;DATE($B$3,2,11),'Leave log'!$F$7:$F$306,"Approved")&gt;0,"A",""))="A","A",IF(OR(DATE($B$3,2,11)&gt;EOMONTH(DATE($B$3,2,1),0),NETWORKDAYS.INTL(DATE($B$3,2,11),DATE($B$3,2,11),1,'Non-working days'!$A$6:$A$45)=0),"",IF(COUNTIFS('Leave log'!$A$7:$A$306,Employees!$A$26,'Leave log'!$B$7:$B$306,"&lt;="&amp;DATE($B$3,2,11),'Leave log'!$C$7:$C$306,"&gt;="&amp;DATE($B$3,2,11),'Leave log'!$F$7:$F$306,"Pending")&gt;0,"P",""))))</f>
        <v/>
      </c>
      <c r="M61" s="23" t="str">
        <f>IF(A61="","",IF(IF(OR(DATE($B$3,2,12)&gt;EOMONTH(DATE($B$3,2,1),0),NETWORKDAYS.INTL(DATE($B$3,2,12),DATE($B$3,2,12),1,'Non-working days'!$A$6:$A$45)=0),"",IF(COUNTIFS('Leave log'!$A$7:$A$306,Employees!$A$26,'Leave log'!$B$7:$B$306,"&lt;="&amp;DATE($B$3,2,12),'Leave log'!$C$7:$C$306,"&gt;="&amp;DATE($B$3,2,12),'Leave log'!$F$7:$F$306,"Approved")&gt;0,"A",""))="A","A",IF(OR(DATE($B$3,2,12)&gt;EOMONTH(DATE($B$3,2,1),0),NETWORKDAYS.INTL(DATE($B$3,2,12),DATE($B$3,2,12),1,'Non-working days'!$A$6:$A$45)=0),"",IF(COUNTIFS('Leave log'!$A$7:$A$306,Employees!$A$26,'Leave log'!$B$7:$B$306,"&lt;="&amp;DATE($B$3,2,12),'Leave log'!$C$7:$C$306,"&gt;="&amp;DATE($B$3,2,12),'Leave log'!$F$7:$F$306,"Pending")&gt;0,"P",""))))</f>
        <v/>
      </c>
      <c r="N61" s="23" t="str">
        <f>IF(A61="","",IF(IF(OR(DATE($B$3,2,13)&gt;EOMONTH(DATE($B$3,2,1),0),NETWORKDAYS.INTL(DATE($B$3,2,13),DATE($B$3,2,13),1,'Non-working days'!$A$6:$A$45)=0),"",IF(COUNTIFS('Leave log'!$A$7:$A$306,Employees!$A$26,'Leave log'!$B$7:$B$306,"&lt;="&amp;DATE($B$3,2,13),'Leave log'!$C$7:$C$306,"&gt;="&amp;DATE($B$3,2,13),'Leave log'!$F$7:$F$306,"Approved")&gt;0,"A",""))="A","A",IF(OR(DATE($B$3,2,13)&gt;EOMONTH(DATE($B$3,2,1),0),NETWORKDAYS.INTL(DATE($B$3,2,13),DATE($B$3,2,13),1,'Non-working days'!$A$6:$A$45)=0),"",IF(COUNTIFS('Leave log'!$A$7:$A$306,Employees!$A$26,'Leave log'!$B$7:$B$306,"&lt;="&amp;DATE($B$3,2,13),'Leave log'!$C$7:$C$306,"&gt;="&amp;DATE($B$3,2,13),'Leave log'!$F$7:$F$306,"Pending")&gt;0,"P",""))))</f>
        <v/>
      </c>
      <c r="O61" s="23" t="str">
        <f>IF(A61="","",IF(IF(OR(DATE($B$3,2,14)&gt;EOMONTH(DATE($B$3,2,1),0),NETWORKDAYS.INTL(DATE($B$3,2,14),DATE($B$3,2,14),1,'Non-working days'!$A$6:$A$45)=0),"",IF(COUNTIFS('Leave log'!$A$7:$A$306,Employees!$A$26,'Leave log'!$B$7:$B$306,"&lt;="&amp;DATE($B$3,2,14),'Leave log'!$C$7:$C$306,"&gt;="&amp;DATE($B$3,2,14),'Leave log'!$F$7:$F$306,"Approved")&gt;0,"A",""))="A","A",IF(OR(DATE($B$3,2,14)&gt;EOMONTH(DATE($B$3,2,1),0),NETWORKDAYS.INTL(DATE($B$3,2,14),DATE($B$3,2,14),1,'Non-working days'!$A$6:$A$45)=0),"",IF(COUNTIFS('Leave log'!$A$7:$A$306,Employees!$A$26,'Leave log'!$B$7:$B$306,"&lt;="&amp;DATE($B$3,2,14),'Leave log'!$C$7:$C$306,"&gt;="&amp;DATE($B$3,2,14),'Leave log'!$F$7:$F$306,"Pending")&gt;0,"P",""))))</f>
        <v/>
      </c>
      <c r="P61" s="23" t="str">
        <f>IF(A61="","",IF(IF(OR(DATE($B$3,2,15)&gt;EOMONTH(DATE($B$3,2,1),0),NETWORKDAYS.INTL(DATE($B$3,2,15),DATE($B$3,2,15),1,'Non-working days'!$A$6:$A$45)=0),"",IF(COUNTIFS('Leave log'!$A$7:$A$306,Employees!$A$26,'Leave log'!$B$7:$B$306,"&lt;="&amp;DATE($B$3,2,15),'Leave log'!$C$7:$C$306,"&gt;="&amp;DATE($B$3,2,15),'Leave log'!$F$7:$F$306,"Approved")&gt;0,"A",""))="A","A",IF(OR(DATE($B$3,2,15)&gt;EOMONTH(DATE($B$3,2,1),0),NETWORKDAYS.INTL(DATE($B$3,2,15),DATE($B$3,2,15),1,'Non-working days'!$A$6:$A$45)=0),"",IF(COUNTIFS('Leave log'!$A$7:$A$306,Employees!$A$26,'Leave log'!$B$7:$B$306,"&lt;="&amp;DATE($B$3,2,15),'Leave log'!$C$7:$C$306,"&gt;="&amp;DATE($B$3,2,15),'Leave log'!$F$7:$F$306,"Pending")&gt;0,"P",""))))</f>
        <v/>
      </c>
      <c r="Q61" s="23" t="str">
        <f>IF(A61="","",IF(IF(OR(DATE($B$3,2,16)&gt;EOMONTH(DATE($B$3,2,1),0),NETWORKDAYS.INTL(DATE($B$3,2,16),DATE($B$3,2,16),1,'Non-working days'!$A$6:$A$45)=0),"",IF(COUNTIFS('Leave log'!$A$7:$A$306,Employees!$A$26,'Leave log'!$B$7:$B$306,"&lt;="&amp;DATE($B$3,2,16),'Leave log'!$C$7:$C$306,"&gt;="&amp;DATE($B$3,2,16),'Leave log'!$F$7:$F$306,"Approved")&gt;0,"A",""))="A","A",IF(OR(DATE($B$3,2,16)&gt;EOMONTH(DATE($B$3,2,1),0),NETWORKDAYS.INTL(DATE($B$3,2,16),DATE($B$3,2,16),1,'Non-working days'!$A$6:$A$45)=0),"",IF(COUNTIFS('Leave log'!$A$7:$A$306,Employees!$A$26,'Leave log'!$B$7:$B$306,"&lt;="&amp;DATE($B$3,2,16),'Leave log'!$C$7:$C$306,"&gt;="&amp;DATE($B$3,2,16),'Leave log'!$F$7:$F$306,"Pending")&gt;0,"P",""))))</f>
        <v/>
      </c>
      <c r="R61" s="23" t="str">
        <f>IF(A61="","",IF(IF(OR(DATE($B$3,2,17)&gt;EOMONTH(DATE($B$3,2,1),0),NETWORKDAYS.INTL(DATE($B$3,2,17),DATE($B$3,2,17),1,'Non-working days'!$A$6:$A$45)=0),"",IF(COUNTIFS('Leave log'!$A$7:$A$306,Employees!$A$26,'Leave log'!$B$7:$B$306,"&lt;="&amp;DATE($B$3,2,17),'Leave log'!$C$7:$C$306,"&gt;="&amp;DATE($B$3,2,17),'Leave log'!$F$7:$F$306,"Approved")&gt;0,"A",""))="A","A",IF(OR(DATE($B$3,2,17)&gt;EOMONTH(DATE($B$3,2,1),0),NETWORKDAYS.INTL(DATE($B$3,2,17),DATE($B$3,2,17),1,'Non-working days'!$A$6:$A$45)=0),"",IF(COUNTIFS('Leave log'!$A$7:$A$306,Employees!$A$26,'Leave log'!$B$7:$B$306,"&lt;="&amp;DATE($B$3,2,17),'Leave log'!$C$7:$C$306,"&gt;="&amp;DATE($B$3,2,17),'Leave log'!$F$7:$F$306,"Pending")&gt;0,"P",""))))</f>
        <v/>
      </c>
      <c r="S61" s="23" t="str">
        <f>IF(A61="","",IF(IF(OR(DATE($B$3,2,18)&gt;EOMONTH(DATE($B$3,2,1),0),NETWORKDAYS.INTL(DATE($B$3,2,18),DATE($B$3,2,18),1,'Non-working days'!$A$6:$A$45)=0),"",IF(COUNTIFS('Leave log'!$A$7:$A$306,Employees!$A$26,'Leave log'!$B$7:$B$306,"&lt;="&amp;DATE($B$3,2,18),'Leave log'!$C$7:$C$306,"&gt;="&amp;DATE($B$3,2,18),'Leave log'!$F$7:$F$306,"Approved")&gt;0,"A",""))="A","A",IF(OR(DATE($B$3,2,18)&gt;EOMONTH(DATE($B$3,2,1),0),NETWORKDAYS.INTL(DATE($B$3,2,18),DATE($B$3,2,18),1,'Non-working days'!$A$6:$A$45)=0),"",IF(COUNTIFS('Leave log'!$A$7:$A$306,Employees!$A$26,'Leave log'!$B$7:$B$306,"&lt;="&amp;DATE($B$3,2,18),'Leave log'!$C$7:$C$306,"&gt;="&amp;DATE($B$3,2,18),'Leave log'!$F$7:$F$306,"Pending")&gt;0,"P",""))))</f>
        <v/>
      </c>
      <c r="T61" s="23" t="str">
        <f>IF(A61="","",IF(IF(OR(DATE($B$3,2,19)&gt;EOMONTH(DATE($B$3,2,1),0),NETWORKDAYS.INTL(DATE($B$3,2,19),DATE($B$3,2,19),1,'Non-working days'!$A$6:$A$45)=0),"",IF(COUNTIFS('Leave log'!$A$7:$A$306,Employees!$A$26,'Leave log'!$B$7:$B$306,"&lt;="&amp;DATE($B$3,2,19),'Leave log'!$C$7:$C$306,"&gt;="&amp;DATE($B$3,2,19),'Leave log'!$F$7:$F$306,"Approved")&gt;0,"A",""))="A","A",IF(OR(DATE($B$3,2,19)&gt;EOMONTH(DATE($B$3,2,1),0),NETWORKDAYS.INTL(DATE($B$3,2,19),DATE($B$3,2,19),1,'Non-working days'!$A$6:$A$45)=0),"",IF(COUNTIFS('Leave log'!$A$7:$A$306,Employees!$A$26,'Leave log'!$B$7:$B$306,"&lt;="&amp;DATE($B$3,2,19),'Leave log'!$C$7:$C$306,"&gt;="&amp;DATE($B$3,2,19),'Leave log'!$F$7:$F$306,"Pending")&gt;0,"P",""))))</f>
        <v/>
      </c>
      <c r="U61" s="23" t="str">
        <f>IF(A61="","",IF(IF(OR(DATE($B$3,2,20)&gt;EOMONTH(DATE($B$3,2,1),0),NETWORKDAYS.INTL(DATE($B$3,2,20),DATE($B$3,2,20),1,'Non-working days'!$A$6:$A$45)=0),"",IF(COUNTIFS('Leave log'!$A$7:$A$306,Employees!$A$26,'Leave log'!$B$7:$B$306,"&lt;="&amp;DATE($B$3,2,20),'Leave log'!$C$7:$C$306,"&gt;="&amp;DATE($B$3,2,20),'Leave log'!$F$7:$F$306,"Approved")&gt;0,"A",""))="A","A",IF(OR(DATE($B$3,2,20)&gt;EOMONTH(DATE($B$3,2,1),0),NETWORKDAYS.INTL(DATE($B$3,2,20),DATE($B$3,2,20),1,'Non-working days'!$A$6:$A$45)=0),"",IF(COUNTIFS('Leave log'!$A$7:$A$306,Employees!$A$26,'Leave log'!$B$7:$B$306,"&lt;="&amp;DATE($B$3,2,20),'Leave log'!$C$7:$C$306,"&gt;="&amp;DATE($B$3,2,20),'Leave log'!$F$7:$F$306,"Pending")&gt;0,"P",""))))</f>
        <v/>
      </c>
      <c r="V61" s="23" t="str">
        <f>IF(A61="","",IF(IF(OR(DATE($B$3,2,21)&gt;EOMONTH(DATE($B$3,2,1),0),NETWORKDAYS.INTL(DATE($B$3,2,21),DATE($B$3,2,21),1,'Non-working days'!$A$6:$A$45)=0),"",IF(COUNTIFS('Leave log'!$A$7:$A$306,Employees!$A$26,'Leave log'!$B$7:$B$306,"&lt;="&amp;DATE($B$3,2,21),'Leave log'!$C$7:$C$306,"&gt;="&amp;DATE($B$3,2,21),'Leave log'!$F$7:$F$306,"Approved")&gt;0,"A",""))="A","A",IF(OR(DATE($B$3,2,21)&gt;EOMONTH(DATE($B$3,2,1),0),NETWORKDAYS.INTL(DATE($B$3,2,21),DATE($B$3,2,21),1,'Non-working days'!$A$6:$A$45)=0),"",IF(COUNTIFS('Leave log'!$A$7:$A$306,Employees!$A$26,'Leave log'!$B$7:$B$306,"&lt;="&amp;DATE($B$3,2,21),'Leave log'!$C$7:$C$306,"&gt;="&amp;DATE($B$3,2,21),'Leave log'!$F$7:$F$306,"Pending")&gt;0,"P",""))))</f>
        <v/>
      </c>
      <c r="W61" s="23" t="str">
        <f>IF(A61="","",IF(IF(OR(DATE($B$3,2,22)&gt;EOMONTH(DATE($B$3,2,1),0),NETWORKDAYS.INTL(DATE($B$3,2,22),DATE($B$3,2,22),1,'Non-working days'!$A$6:$A$45)=0),"",IF(COUNTIFS('Leave log'!$A$7:$A$306,Employees!$A$26,'Leave log'!$B$7:$B$306,"&lt;="&amp;DATE($B$3,2,22),'Leave log'!$C$7:$C$306,"&gt;="&amp;DATE($B$3,2,22),'Leave log'!$F$7:$F$306,"Approved")&gt;0,"A",""))="A","A",IF(OR(DATE($B$3,2,22)&gt;EOMONTH(DATE($B$3,2,1),0),NETWORKDAYS.INTL(DATE($B$3,2,22),DATE($B$3,2,22),1,'Non-working days'!$A$6:$A$45)=0),"",IF(COUNTIFS('Leave log'!$A$7:$A$306,Employees!$A$26,'Leave log'!$B$7:$B$306,"&lt;="&amp;DATE($B$3,2,22),'Leave log'!$C$7:$C$306,"&gt;="&amp;DATE($B$3,2,22),'Leave log'!$F$7:$F$306,"Pending")&gt;0,"P",""))))</f>
        <v/>
      </c>
      <c r="X61" s="23" t="str">
        <f>IF(A61="","",IF(IF(OR(DATE($B$3,2,23)&gt;EOMONTH(DATE($B$3,2,1),0),NETWORKDAYS.INTL(DATE($B$3,2,23),DATE($B$3,2,23),1,'Non-working days'!$A$6:$A$45)=0),"",IF(COUNTIFS('Leave log'!$A$7:$A$306,Employees!$A$26,'Leave log'!$B$7:$B$306,"&lt;="&amp;DATE($B$3,2,23),'Leave log'!$C$7:$C$306,"&gt;="&amp;DATE($B$3,2,23),'Leave log'!$F$7:$F$306,"Approved")&gt;0,"A",""))="A","A",IF(OR(DATE($B$3,2,23)&gt;EOMONTH(DATE($B$3,2,1),0),NETWORKDAYS.INTL(DATE($B$3,2,23),DATE($B$3,2,23),1,'Non-working days'!$A$6:$A$45)=0),"",IF(COUNTIFS('Leave log'!$A$7:$A$306,Employees!$A$26,'Leave log'!$B$7:$B$306,"&lt;="&amp;DATE($B$3,2,23),'Leave log'!$C$7:$C$306,"&gt;="&amp;DATE($B$3,2,23),'Leave log'!$F$7:$F$306,"Pending")&gt;0,"P",""))))</f>
        <v/>
      </c>
      <c r="Y61" s="23" t="str">
        <f>IF(A61="","",IF(IF(OR(DATE($B$3,2,24)&gt;EOMONTH(DATE($B$3,2,1),0),NETWORKDAYS.INTL(DATE($B$3,2,24),DATE($B$3,2,24),1,'Non-working days'!$A$6:$A$45)=0),"",IF(COUNTIFS('Leave log'!$A$7:$A$306,Employees!$A$26,'Leave log'!$B$7:$B$306,"&lt;="&amp;DATE($B$3,2,24),'Leave log'!$C$7:$C$306,"&gt;="&amp;DATE($B$3,2,24),'Leave log'!$F$7:$F$306,"Approved")&gt;0,"A",""))="A","A",IF(OR(DATE($B$3,2,24)&gt;EOMONTH(DATE($B$3,2,1),0),NETWORKDAYS.INTL(DATE($B$3,2,24),DATE($B$3,2,24),1,'Non-working days'!$A$6:$A$45)=0),"",IF(COUNTIFS('Leave log'!$A$7:$A$306,Employees!$A$26,'Leave log'!$B$7:$B$306,"&lt;="&amp;DATE($B$3,2,24),'Leave log'!$C$7:$C$306,"&gt;="&amp;DATE($B$3,2,24),'Leave log'!$F$7:$F$306,"Pending")&gt;0,"P",""))))</f>
        <v/>
      </c>
      <c r="Z61" s="23" t="str">
        <f>IF(A61="","",IF(IF(OR(DATE($B$3,2,25)&gt;EOMONTH(DATE($B$3,2,1),0),NETWORKDAYS.INTL(DATE($B$3,2,25),DATE($B$3,2,25),1,'Non-working days'!$A$6:$A$45)=0),"",IF(COUNTIFS('Leave log'!$A$7:$A$306,Employees!$A$26,'Leave log'!$B$7:$B$306,"&lt;="&amp;DATE($B$3,2,25),'Leave log'!$C$7:$C$306,"&gt;="&amp;DATE($B$3,2,25),'Leave log'!$F$7:$F$306,"Approved")&gt;0,"A",""))="A","A",IF(OR(DATE($B$3,2,25)&gt;EOMONTH(DATE($B$3,2,1),0),NETWORKDAYS.INTL(DATE($B$3,2,25),DATE($B$3,2,25),1,'Non-working days'!$A$6:$A$45)=0),"",IF(COUNTIFS('Leave log'!$A$7:$A$306,Employees!$A$26,'Leave log'!$B$7:$B$306,"&lt;="&amp;DATE($B$3,2,25),'Leave log'!$C$7:$C$306,"&gt;="&amp;DATE($B$3,2,25),'Leave log'!$F$7:$F$306,"Pending")&gt;0,"P",""))))</f>
        <v/>
      </c>
      <c r="AA61" s="23" t="str">
        <f>IF(A61="","",IF(IF(OR(DATE($B$3,2,26)&gt;EOMONTH(DATE($B$3,2,1),0),NETWORKDAYS.INTL(DATE($B$3,2,26),DATE($B$3,2,26),1,'Non-working days'!$A$6:$A$45)=0),"",IF(COUNTIFS('Leave log'!$A$7:$A$306,Employees!$A$26,'Leave log'!$B$7:$B$306,"&lt;="&amp;DATE($B$3,2,26),'Leave log'!$C$7:$C$306,"&gt;="&amp;DATE($B$3,2,26),'Leave log'!$F$7:$F$306,"Approved")&gt;0,"A",""))="A","A",IF(OR(DATE($B$3,2,26)&gt;EOMONTH(DATE($B$3,2,1),0),NETWORKDAYS.INTL(DATE($B$3,2,26),DATE($B$3,2,26),1,'Non-working days'!$A$6:$A$45)=0),"",IF(COUNTIFS('Leave log'!$A$7:$A$306,Employees!$A$26,'Leave log'!$B$7:$B$306,"&lt;="&amp;DATE($B$3,2,26),'Leave log'!$C$7:$C$306,"&gt;="&amp;DATE($B$3,2,26),'Leave log'!$F$7:$F$306,"Pending")&gt;0,"P",""))))</f>
        <v/>
      </c>
      <c r="AB61" s="23" t="str">
        <f>IF(A61="","",IF(IF(OR(DATE($B$3,2,27)&gt;EOMONTH(DATE($B$3,2,1),0),NETWORKDAYS.INTL(DATE($B$3,2,27),DATE($B$3,2,27),1,'Non-working days'!$A$6:$A$45)=0),"",IF(COUNTIFS('Leave log'!$A$7:$A$306,Employees!$A$26,'Leave log'!$B$7:$B$306,"&lt;="&amp;DATE($B$3,2,27),'Leave log'!$C$7:$C$306,"&gt;="&amp;DATE($B$3,2,27),'Leave log'!$F$7:$F$306,"Approved")&gt;0,"A",""))="A","A",IF(OR(DATE($B$3,2,27)&gt;EOMONTH(DATE($B$3,2,1),0),NETWORKDAYS.INTL(DATE($B$3,2,27),DATE($B$3,2,27),1,'Non-working days'!$A$6:$A$45)=0),"",IF(COUNTIFS('Leave log'!$A$7:$A$306,Employees!$A$26,'Leave log'!$B$7:$B$306,"&lt;="&amp;DATE($B$3,2,27),'Leave log'!$C$7:$C$306,"&gt;="&amp;DATE($B$3,2,27),'Leave log'!$F$7:$F$306,"Pending")&gt;0,"P",""))))</f>
        <v/>
      </c>
      <c r="AC61" s="23" t="str">
        <f>IF(A61="","",IF(IF(OR(DATE($B$3,2,28)&gt;EOMONTH(DATE($B$3,2,1),0),NETWORKDAYS.INTL(DATE($B$3,2,28),DATE($B$3,2,28),1,'Non-working days'!$A$6:$A$45)=0),"",IF(COUNTIFS('Leave log'!$A$7:$A$306,Employees!$A$26,'Leave log'!$B$7:$B$306,"&lt;="&amp;DATE($B$3,2,28),'Leave log'!$C$7:$C$306,"&gt;="&amp;DATE($B$3,2,28),'Leave log'!$F$7:$F$306,"Approved")&gt;0,"A",""))="A","A",IF(OR(DATE($B$3,2,28)&gt;EOMONTH(DATE($B$3,2,1),0),NETWORKDAYS.INTL(DATE($B$3,2,28),DATE($B$3,2,28),1,'Non-working days'!$A$6:$A$45)=0),"",IF(COUNTIFS('Leave log'!$A$7:$A$306,Employees!$A$26,'Leave log'!$B$7:$B$306,"&lt;="&amp;DATE($B$3,2,28),'Leave log'!$C$7:$C$306,"&gt;="&amp;DATE($B$3,2,28),'Leave log'!$F$7:$F$306,"Pending")&gt;0,"P",""))))</f>
        <v/>
      </c>
      <c r="AD61" s="23" t="str">
        <f>IF(A61="","",IF(IF(OR(DATE($B$3,2,29)&gt;EOMONTH(DATE($B$3,2,1),0),NETWORKDAYS.INTL(DATE($B$3,2,29),DATE($B$3,2,29),1,'Non-working days'!$A$6:$A$45)=0),"",IF(COUNTIFS('Leave log'!$A$7:$A$306,Employees!$A$26,'Leave log'!$B$7:$B$306,"&lt;="&amp;DATE($B$3,2,29),'Leave log'!$C$7:$C$306,"&gt;="&amp;DATE($B$3,2,29),'Leave log'!$F$7:$F$306,"Approved")&gt;0,"A",""))="A","A",IF(OR(DATE($B$3,2,29)&gt;EOMONTH(DATE($B$3,2,1),0),NETWORKDAYS.INTL(DATE($B$3,2,29),DATE($B$3,2,29),1,'Non-working days'!$A$6:$A$45)=0),"",IF(COUNTIFS('Leave log'!$A$7:$A$306,Employees!$A$26,'Leave log'!$B$7:$B$306,"&lt;="&amp;DATE($B$3,2,29),'Leave log'!$C$7:$C$306,"&gt;="&amp;DATE($B$3,2,29),'Leave log'!$F$7:$F$306,"Pending")&gt;0,"P",""))))</f>
        <v/>
      </c>
      <c r="AE61" s="23" t="str">
        <f>IF(A61="","",IF(IF(OR(DATE($B$3,2,30)&gt;EOMONTH(DATE($B$3,2,1),0),NETWORKDAYS.INTL(DATE($B$3,2,30),DATE($B$3,2,30),1,'Non-working days'!$A$6:$A$45)=0),"",IF(COUNTIFS('Leave log'!$A$7:$A$306,Employees!$A$26,'Leave log'!$B$7:$B$306,"&lt;="&amp;DATE($B$3,2,30),'Leave log'!$C$7:$C$306,"&gt;="&amp;DATE($B$3,2,30),'Leave log'!$F$7:$F$306,"Approved")&gt;0,"A",""))="A","A",IF(OR(DATE($B$3,2,30)&gt;EOMONTH(DATE($B$3,2,1),0),NETWORKDAYS.INTL(DATE($B$3,2,30),DATE($B$3,2,30),1,'Non-working days'!$A$6:$A$45)=0),"",IF(COUNTIFS('Leave log'!$A$7:$A$306,Employees!$A$26,'Leave log'!$B$7:$B$306,"&lt;="&amp;DATE($B$3,2,30),'Leave log'!$C$7:$C$306,"&gt;="&amp;DATE($B$3,2,30),'Leave log'!$F$7:$F$306,"Pending")&gt;0,"P",""))))</f>
        <v/>
      </c>
      <c r="AF61" s="23" t="str">
        <f>IF(A61="","",IF(IF(OR(DATE($B$3,2,31)&gt;EOMONTH(DATE($B$3,2,1),0),NETWORKDAYS.INTL(DATE($B$3,2,31),DATE($B$3,2,31),1,'Non-working days'!$A$6:$A$45)=0),"",IF(COUNTIFS('Leave log'!$A$7:$A$306,Employees!$A$26,'Leave log'!$B$7:$B$306,"&lt;="&amp;DATE($B$3,2,31),'Leave log'!$C$7:$C$306,"&gt;="&amp;DATE($B$3,2,31),'Leave log'!$F$7:$F$306,"Approved")&gt;0,"A",""))="A","A",IF(OR(DATE($B$3,2,31)&gt;EOMONTH(DATE($B$3,2,1),0),NETWORKDAYS.INTL(DATE($B$3,2,31),DATE($B$3,2,31),1,'Non-working days'!$A$6:$A$45)=0),"",IF(COUNTIFS('Leave log'!$A$7:$A$306,Employees!$A$26,'Leave log'!$B$7:$B$306,"&lt;="&amp;DATE($B$3,2,31),'Leave log'!$C$7:$C$306,"&gt;="&amp;DATE($B$3,2,31),'Leave log'!$F$7:$F$306,"Pending")&gt;0,"P",""))))</f>
        <v/>
      </c>
    </row>
    <row r="62" spans="1:32" ht="18" customHeight="1" x14ac:dyDescent="0.3">
      <c r="A62" s="22" t="str">
        <f>IF(Employees!F27="Yes",Employees!B27,"")</f>
        <v/>
      </c>
      <c r="B62" s="23" t="str">
        <f>IF(A62="","",IF(IF(OR(DATE($B$3,2,1)&gt;EOMONTH(DATE($B$3,2,1),0),NETWORKDAYS.INTL(DATE($B$3,2,1),DATE($B$3,2,1),1,'Non-working days'!$A$6:$A$45)=0),"",IF(COUNTIFS('Leave log'!$A$7:$A$306,Employees!$A$27,'Leave log'!$B$7:$B$306,"&lt;="&amp;DATE($B$3,2,1),'Leave log'!$C$7:$C$306,"&gt;="&amp;DATE($B$3,2,1),'Leave log'!$F$7:$F$306,"Approved")&gt;0,"A",""))="A","A",IF(OR(DATE($B$3,2,1)&gt;EOMONTH(DATE($B$3,2,1),0),NETWORKDAYS.INTL(DATE($B$3,2,1),DATE($B$3,2,1),1,'Non-working days'!$A$6:$A$45)=0),"",IF(COUNTIFS('Leave log'!$A$7:$A$306,Employees!$A$27,'Leave log'!$B$7:$B$306,"&lt;="&amp;DATE($B$3,2,1),'Leave log'!$C$7:$C$306,"&gt;="&amp;DATE($B$3,2,1),'Leave log'!$F$7:$F$306,"Pending")&gt;0,"P",""))))</f>
        <v/>
      </c>
      <c r="C62" s="23" t="str">
        <f>IF(A62="","",IF(IF(OR(DATE($B$3,2,2)&gt;EOMONTH(DATE($B$3,2,1),0),NETWORKDAYS.INTL(DATE($B$3,2,2),DATE($B$3,2,2),1,'Non-working days'!$A$6:$A$45)=0),"",IF(COUNTIFS('Leave log'!$A$7:$A$306,Employees!$A$27,'Leave log'!$B$7:$B$306,"&lt;="&amp;DATE($B$3,2,2),'Leave log'!$C$7:$C$306,"&gt;="&amp;DATE($B$3,2,2),'Leave log'!$F$7:$F$306,"Approved")&gt;0,"A",""))="A","A",IF(OR(DATE($B$3,2,2)&gt;EOMONTH(DATE($B$3,2,1),0),NETWORKDAYS.INTL(DATE($B$3,2,2),DATE($B$3,2,2),1,'Non-working days'!$A$6:$A$45)=0),"",IF(COUNTIFS('Leave log'!$A$7:$A$306,Employees!$A$27,'Leave log'!$B$7:$B$306,"&lt;="&amp;DATE($B$3,2,2),'Leave log'!$C$7:$C$306,"&gt;="&amp;DATE($B$3,2,2),'Leave log'!$F$7:$F$306,"Pending")&gt;0,"P",""))))</f>
        <v/>
      </c>
      <c r="D62" s="23" t="str">
        <f>IF(A62="","",IF(IF(OR(DATE($B$3,2,3)&gt;EOMONTH(DATE($B$3,2,1),0),NETWORKDAYS.INTL(DATE($B$3,2,3),DATE($B$3,2,3),1,'Non-working days'!$A$6:$A$45)=0),"",IF(COUNTIFS('Leave log'!$A$7:$A$306,Employees!$A$27,'Leave log'!$B$7:$B$306,"&lt;="&amp;DATE($B$3,2,3),'Leave log'!$C$7:$C$306,"&gt;="&amp;DATE($B$3,2,3),'Leave log'!$F$7:$F$306,"Approved")&gt;0,"A",""))="A","A",IF(OR(DATE($B$3,2,3)&gt;EOMONTH(DATE($B$3,2,1),0),NETWORKDAYS.INTL(DATE($B$3,2,3),DATE($B$3,2,3),1,'Non-working days'!$A$6:$A$45)=0),"",IF(COUNTIFS('Leave log'!$A$7:$A$306,Employees!$A$27,'Leave log'!$B$7:$B$306,"&lt;="&amp;DATE($B$3,2,3),'Leave log'!$C$7:$C$306,"&gt;="&amp;DATE($B$3,2,3),'Leave log'!$F$7:$F$306,"Pending")&gt;0,"P",""))))</f>
        <v/>
      </c>
      <c r="E62" s="23" t="str">
        <f>IF(A62="","",IF(IF(OR(DATE($B$3,2,4)&gt;EOMONTH(DATE($B$3,2,1),0),NETWORKDAYS.INTL(DATE($B$3,2,4),DATE($B$3,2,4),1,'Non-working days'!$A$6:$A$45)=0),"",IF(COUNTIFS('Leave log'!$A$7:$A$306,Employees!$A$27,'Leave log'!$B$7:$B$306,"&lt;="&amp;DATE($B$3,2,4),'Leave log'!$C$7:$C$306,"&gt;="&amp;DATE($B$3,2,4),'Leave log'!$F$7:$F$306,"Approved")&gt;0,"A",""))="A","A",IF(OR(DATE($B$3,2,4)&gt;EOMONTH(DATE($B$3,2,1),0),NETWORKDAYS.INTL(DATE($B$3,2,4),DATE($B$3,2,4),1,'Non-working days'!$A$6:$A$45)=0),"",IF(COUNTIFS('Leave log'!$A$7:$A$306,Employees!$A$27,'Leave log'!$B$7:$B$306,"&lt;="&amp;DATE($B$3,2,4),'Leave log'!$C$7:$C$306,"&gt;="&amp;DATE($B$3,2,4),'Leave log'!$F$7:$F$306,"Pending")&gt;0,"P",""))))</f>
        <v/>
      </c>
      <c r="F62" s="23" t="str">
        <f>IF(A62="","",IF(IF(OR(DATE($B$3,2,5)&gt;EOMONTH(DATE($B$3,2,1),0),NETWORKDAYS.INTL(DATE($B$3,2,5),DATE($B$3,2,5),1,'Non-working days'!$A$6:$A$45)=0),"",IF(COUNTIFS('Leave log'!$A$7:$A$306,Employees!$A$27,'Leave log'!$B$7:$B$306,"&lt;="&amp;DATE($B$3,2,5),'Leave log'!$C$7:$C$306,"&gt;="&amp;DATE($B$3,2,5),'Leave log'!$F$7:$F$306,"Approved")&gt;0,"A",""))="A","A",IF(OR(DATE($B$3,2,5)&gt;EOMONTH(DATE($B$3,2,1),0),NETWORKDAYS.INTL(DATE($B$3,2,5),DATE($B$3,2,5),1,'Non-working days'!$A$6:$A$45)=0),"",IF(COUNTIFS('Leave log'!$A$7:$A$306,Employees!$A$27,'Leave log'!$B$7:$B$306,"&lt;="&amp;DATE($B$3,2,5),'Leave log'!$C$7:$C$306,"&gt;="&amp;DATE($B$3,2,5),'Leave log'!$F$7:$F$306,"Pending")&gt;0,"P",""))))</f>
        <v/>
      </c>
      <c r="G62" s="23" t="str">
        <f>IF(A62="","",IF(IF(OR(DATE($B$3,2,6)&gt;EOMONTH(DATE($B$3,2,1),0),NETWORKDAYS.INTL(DATE($B$3,2,6),DATE($B$3,2,6),1,'Non-working days'!$A$6:$A$45)=0),"",IF(COUNTIFS('Leave log'!$A$7:$A$306,Employees!$A$27,'Leave log'!$B$7:$B$306,"&lt;="&amp;DATE($B$3,2,6),'Leave log'!$C$7:$C$306,"&gt;="&amp;DATE($B$3,2,6),'Leave log'!$F$7:$F$306,"Approved")&gt;0,"A",""))="A","A",IF(OR(DATE($B$3,2,6)&gt;EOMONTH(DATE($B$3,2,1),0),NETWORKDAYS.INTL(DATE($B$3,2,6),DATE($B$3,2,6),1,'Non-working days'!$A$6:$A$45)=0),"",IF(COUNTIFS('Leave log'!$A$7:$A$306,Employees!$A$27,'Leave log'!$B$7:$B$306,"&lt;="&amp;DATE($B$3,2,6),'Leave log'!$C$7:$C$306,"&gt;="&amp;DATE($B$3,2,6),'Leave log'!$F$7:$F$306,"Pending")&gt;0,"P",""))))</f>
        <v/>
      </c>
      <c r="H62" s="23" t="str">
        <f>IF(A62="","",IF(IF(OR(DATE($B$3,2,7)&gt;EOMONTH(DATE($B$3,2,1),0),NETWORKDAYS.INTL(DATE($B$3,2,7),DATE($B$3,2,7),1,'Non-working days'!$A$6:$A$45)=0),"",IF(COUNTIFS('Leave log'!$A$7:$A$306,Employees!$A$27,'Leave log'!$B$7:$B$306,"&lt;="&amp;DATE($B$3,2,7),'Leave log'!$C$7:$C$306,"&gt;="&amp;DATE($B$3,2,7),'Leave log'!$F$7:$F$306,"Approved")&gt;0,"A",""))="A","A",IF(OR(DATE($B$3,2,7)&gt;EOMONTH(DATE($B$3,2,1),0),NETWORKDAYS.INTL(DATE($B$3,2,7),DATE($B$3,2,7),1,'Non-working days'!$A$6:$A$45)=0),"",IF(COUNTIFS('Leave log'!$A$7:$A$306,Employees!$A$27,'Leave log'!$B$7:$B$306,"&lt;="&amp;DATE($B$3,2,7),'Leave log'!$C$7:$C$306,"&gt;="&amp;DATE($B$3,2,7),'Leave log'!$F$7:$F$306,"Pending")&gt;0,"P",""))))</f>
        <v/>
      </c>
      <c r="I62" s="23" t="str">
        <f>IF(A62="","",IF(IF(OR(DATE($B$3,2,8)&gt;EOMONTH(DATE($B$3,2,1),0),NETWORKDAYS.INTL(DATE($B$3,2,8),DATE($B$3,2,8),1,'Non-working days'!$A$6:$A$45)=0),"",IF(COUNTIFS('Leave log'!$A$7:$A$306,Employees!$A$27,'Leave log'!$B$7:$B$306,"&lt;="&amp;DATE($B$3,2,8),'Leave log'!$C$7:$C$306,"&gt;="&amp;DATE($B$3,2,8),'Leave log'!$F$7:$F$306,"Approved")&gt;0,"A",""))="A","A",IF(OR(DATE($B$3,2,8)&gt;EOMONTH(DATE($B$3,2,1),0),NETWORKDAYS.INTL(DATE($B$3,2,8),DATE($B$3,2,8),1,'Non-working days'!$A$6:$A$45)=0),"",IF(COUNTIFS('Leave log'!$A$7:$A$306,Employees!$A$27,'Leave log'!$B$7:$B$306,"&lt;="&amp;DATE($B$3,2,8),'Leave log'!$C$7:$C$306,"&gt;="&amp;DATE($B$3,2,8),'Leave log'!$F$7:$F$306,"Pending")&gt;0,"P",""))))</f>
        <v/>
      </c>
      <c r="J62" s="23" t="str">
        <f>IF(A62="","",IF(IF(OR(DATE($B$3,2,9)&gt;EOMONTH(DATE($B$3,2,1),0),NETWORKDAYS.INTL(DATE($B$3,2,9),DATE($B$3,2,9),1,'Non-working days'!$A$6:$A$45)=0),"",IF(COUNTIFS('Leave log'!$A$7:$A$306,Employees!$A$27,'Leave log'!$B$7:$B$306,"&lt;="&amp;DATE($B$3,2,9),'Leave log'!$C$7:$C$306,"&gt;="&amp;DATE($B$3,2,9),'Leave log'!$F$7:$F$306,"Approved")&gt;0,"A",""))="A","A",IF(OR(DATE($B$3,2,9)&gt;EOMONTH(DATE($B$3,2,1),0),NETWORKDAYS.INTL(DATE($B$3,2,9),DATE($B$3,2,9),1,'Non-working days'!$A$6:$A$45)=0),"",IF(COUNTIFS('Leave log'!$A$7:$A$306,Employees!$A$27,'Leave log'!$B$7:$B$306,"&lt;="&amp;DATE($B$3,2,9),'Leave log'!$C$7:$C$306,"&gt;="&amp;DATE($B$3,2,9),'Leave log'!$F$7:$F$306,"Pending")&gt;0,"P",""))))</f>
        <v/>
      </c>
      <c r="K62" s="23" t="str">
        <f>IF(A62="","",IF(IF(OR(DATE($B$3,2,10)&gt;EOMONTH(DATE($B$3,2,1),0),NETWORKDAYS.INTL(DATE($B$3,2,10),DATE($B$3,2,10),1,'Non-working days'!$A$6:$A$45)=0),"",IF(COUNTIFS('Leave log'!$A$7:$A$306,Employees!$A$27,'Leave log'!$B$7:$B$306,"&lt;="&amp;DATE($B$3,2,10),'Leave log'!$C$7:$C$306,"&gt;="&amp;DATE($B$3,2,10),'Leave log'!$F$7:$F$306,"Approved")&gt;0,"A",""))="A","A",IF(OR(DATE($B$3,2,10)&gt;EOMONTH(DATE($B$3,2,1),0),NETWORKDAYS.INTL(DATE($B$3,2,10),DATE($B$3,2,10),1,'Non-working days'!$A$6:$A$45)=0),"",IF(COUNTIFS('Leave log'!$A$7:$A$306,Employees!$A$27,'Leave log'!$B$7:$B$306,"&lt;="&amp;DATE($B$3,2,10),'Leave log'!$C$7:$C$306,"&gt;="&amp;DATE($B$3,2,10),'Leave log'!$F$7:$F$306,"Pending")&gt;0,"P",""))))</f>
        <v/>
      </c>
      <c r="L62" s="23" t="str">
        <f>IF(A62="","",IF(IF(OR(DATE($B$3,2,11)&gt;EOMONTH(DATE($B$3,2,1),0),NETWORKDAYS.INTL(DATE($B$3,2,11),DATE($B$3,2,11),1,'Non-working days'!$A$6:$A$45)=0),"",IF(COUNTIFS('Leave log'!$A$7:$A$306,Employees!$A$27,'Leave log'!$B$7:$B$306,"&lt;="&amp;DATE($B$3,2,11),'Leave log'!$C$7:$C$306,"&gt;="&amp;DATE($B$3,2,11),'Leave log'!$F$7:$F$306,"Approved")&gt;0,"A",""))="A","A",IF(OR(DATE($B$3,2,11)&gt;EOMONTH(DATE($B$3,2,1),0),NETWORKDAYS.INTL(DATE($B$3,2,11),DATE($B$3,2,11),1,'Non-working days'!$A$6:$A$45)=0),"",IF(COUNTIFS('Leave log'!$A$7:$A$306,Employees!$A$27,'Leave log'!$B$7:$B$306,"&lt;="&amp;DATE($B$3,2,11),'Leave log'!$C$7:$C$306,"&gt;="&amp;DATE($B$3,2,11),'Leave log'!$F$7:$F$306,"Pending")&gt;0,"P",""))))</f>
        <v/>
      </c>
      <c r="M62" s="23" t="str">
        <f>IF(A62="","",IF(IF(OR(DATE($B$3,2,12)&gt;EOMONTH(DATE($B$3,2,1),0),NETWORKDAYS.INTL(DATE($B$3,2,12),DATE($B$3,2,12),1,'Non-working days'!$A$6:$A$45)=0),"",IF(COUNTIFS('Leave log'!$A$7:$A$306,Employees!$A$27,'Leave log'!$B$7:$B$306,"&lt;="&amp;DATE($B$3,2,12),'Leave log'!$C$7:$C$306,"&gt;="&amp;DATE($B$3,2,12),'Leave log'!$F$7:$F$306,"Approved")&gt;0,"A",""))="A","A",IF(OR(DATE($B$3,2,12)&gt;EOMONTH(DATE($B$3,2,1),0),NETWORKDAYS.INTL(DATE($B$3,2,12),DATE($B$3,2,12),1,'Non-working days'!$A$6:$A$45)=0),"",IF(COUNTIFS('Leave log'!$A$7:$A$306,Employees!$A$27,'Leave log'!$B$7:$B$306,"&lt;="&amp;DATE($B$3,2,12),'Leave log'!$C$7:$C$306,"&gt;="&amp;DATE($B$3,2,12),'Leave log'!$F$7:$F$306,"Pending")&gt;0,"P",""))))</f>
        <v/>
      </c>
      <c r="N62" s="23" t="str">
        <f>IF(A62="","",IF(IF(OR(DATE($B$3,2,13)&gt;EOMONTH(DATE($B$3,2,1),0),NETWORKDAYS.INTL(DATE($B$3,2,13),DATE($B$3,2,13),1,'Non-working days'!$A$6:$A$45)=0),"",IF(COUNTIFS('Leave log'!$A$7:$A$306,Employees!$A$27,'Leave log'!$B$7:$B$306,"&lt;="&amp;DATE($B$3,2,13),'Leave log'!$C$7:$C$306,"&gt;="&amp;DATE($B$3,2,13),'Leave log'!$F$7:$F$306,"Approved")&gt;0,"A",""))="A","A",IF(OR(DATE($B$3,2,13)&gt;EOMONTH(DATE($B$3,2,1),0),NETWORKDAYS.INTL(DATE($B$3,2,13),DATE($B$3,2,13),1,'Non-working days'!$A$6:$A$45)=0),"",IF(COUNTIFS('Leave log'!$A$7:$A$306,Employees!$A$27,'Leave log'!$B$7:$B$306,"&lt;="&amp;DATE($B$3,2,13),'Leave log'!$C$7:$C$306,"&gt;="&amp;DATE($B$3,2,13),'Leave log'!$F$7:$F$306,"Pending")&gt;0,"P",""))))</f>
        <v/>
      </c>
      <c r="O62" s="23" t="str">
        <f>IF(A62="","",IF(IF(OR(DATE($B$3,2,14)&gt;EOMONTH(DATE($B$3,2,1),0),NETWORKDAYS.INTL(DATE($B$3,2,14),DATE($B$3,2,14),1,'Non-working days'!$A$6:$A$45)=0),"",IF(COUNTIFS('Leave log'!$A$7:$A$306,Employees!$A$27,'Leave log'!$B$7:$B$306,"&lt;="&amp;DATE($B$3,2,14),'Leave log'!$C$7:$C$306,"&gt;="&amp;DATE($B$3,2,14),'Leave log'!$F$7:$F$306,"Approved")&gt;0,"A",""))="A","A",IF(OR(DATE($B$3,2,14)&gt;EOMONTH(DATE($B$3,2,1),0),NETWORKDAYS.INTL(DATE($B$3,2,14),DATE($B$3,2,14),1,'Non-working days'!$A$6:$A$45)=0),"",IF(COUNTIFS('Leave log'!$A$7:$A$306,Employees!$A$27,'Leave log'!$B$7:$B$306,"&lt;="&amp;DATE($B$3,2,14),'Leave log'!$C$7:$C$306,"&gt;="&amp;DATE($B$3,2,14),'Leave log'!$F$7:$F$306,"Pending")&gt;0,"P",""))))</f>
        <v/>
      </c>
      <c r="P62" s="23" t="str">
        <f>IF(A62="","",IF(IF(OR(DATE($B$3,2,15)&gt;EOMONTH(DATE($B$3,2,1),0),NETWORKDAYS.INTL(DATE($B$3,2,15),DATE($B$3,2,15),1,'Non-working days'!$A$6:$A$45)=0),"",IF(COUNTIFS('Leave log'!$A$7:$A$306,Employees!$A$27,'Leave log'!$B$7:$B$306,"&lt;="&amp;DATE($B$3,2,15),'Leave log'!$C$7:$C$306,"&gt;="&amp;DATE($B$3,2,15),'Leave log'!$F$7:$F$306,"Approved")&gt;0,"A",""))="A","A",IF(OR(DATE($B$3,2,15)&gt;EOMONTH(DATE($B$3,2,1),0),NETWORKDAYS.INTL(DATE($B$3,2,15),DATE($B$3,2,15),1,'Non-working days'!$A$6:$A$45)=0),"",IF(COUNTIFS('Leave log'!$A$7:$A$306,Employees!$A$27,'Leave log'!$B$7:$B$306,"&lt;="&amp;DATE($B$3,2,15),'Leave log'!$C$7:$C$306,"&gt;="&amp;DATE($B$3,2,15),'Leave log'!$F$7:$F$306,"Pending")&gt;0,"P",""))))</f>
        <v/>
      </c>
      <c r="Q62" s="23" t="str">
        <f>IF(A62="","",IF(IF(OR(DATE($B$3,2,16)&gt;EOMONTH(DATE($B$3,2,1),0),NETWORKDAYS.INTL(DATE($B$3,2,16),DATE($B$3,2,16),1,'Non-working days'!$A$6:$A$45)=0),"",IF(COUNTIFS('Leave log'!$A$7:$A$306,Employees!$A$27,'Leave log'!$B$7:$B$306,"&lt;="&amp;DATE($B$3,2,16),'Leave log'!$C$7:$C$306,"&gt;="&amp;DATE($B$3,2,16),'Leave log'!$F$7:$F$306,"Approved")&gt;0,"A",""))="A","A",IF(OR(DATE($B$3,2,16)&gt;EOMONTH(DATE($B$3,2,1),0),NETWORKDAYS.INTL(DATE($B$3,2,16),DATE($B$3,2,16),1,'Non-working days'!$A$6:$A$45)=0),"",IF(COUNTIFS('Leave log'!$A$7:$A$306,Employees!$A$27,'Leave log'!$B$7:$B$306,"&lt;="&amp;DATE($B$3,2,16),'Leave log'!$C$7:$C$306,"&gt;="&amp;DATE($B$3,2,16),'Leave log'!$F$7:$F$306,"Pending")&gt;0,"P",""))))</f>
        <v/>
      </c>
      <c r="R62" s="23" t="str">
        <f>IF(A62="","",IF(IF(OR(DATE($B$3,2,17)&gt;EOMONTH(DATE($B$3,2,1),0),NETWORKDAYS.INTL(DATE($B$3,2,17),DATE($B$3,2,17),1,'Non-working days'!$A$6:$A$45)=0),"",IF(COUNTIFS('Leave log'!$A$7:$A$306,Employees!$A$27,'Leave log'!$B$7:$B$306,"&lt;="&amp;DATE($B$3,2,17),'Leave log'!$C$7:$C$306,"&gt;="&amp;DATE($B$3,2,17),'Leave log'!$F$7:$F$306,"Approved")&gt;0,"A",""))="A","A",IF(OR(DATE($B$3,2,17)&gt;EOMONTH(DATE($B$3,2,1),0),NETWORKDAYS.INTL(DATE($B$3,2,17),DATE($B$3,2,17),1,'Non-working days'!$A$6:$A$45)=0),"",IF(COUNTIFS('Leave log'!$A$7:$A$306,Employees!$A$27,'Leave log'!$B$7:$B$306,"&lt;="&amp;DATE($B$3,2,17),'Leave log'!$C$7:$C$306,"&gt;="&amp;DATE($B$3,2,17),'Leave log'!$F$7:$F$306,"Pending")&gt;0,"P",""))))</f>
        <v/>
      </c>
      <c r="S62" s="23" t="str">
        <f>IF(A62="","",IF(IF(OR(DATE($B$3,2,18)&gt;EOMONTH(DATE($B$3,2,1),0),NETWORKDAYS.INTL(DATE($B$3,2,18),DATE($B$3,2,18),1,'Non-working days'!$A$6:$A$45)=0),"",IF(COUNTIFS('Leave log'!$A$7:$A$306,Employees!$A$27,'Leave log'!$B$7:$B$306,"&lt;="&amp;DATE($B$3,2,18),'Leave log'!$C$7:$C$306,"&gt;="&amp;DATE($B$3,2,18),'Leave log'!$F$7:$F$306,"Approved")&gt;0,"A",""))="A","A",IF(OR(DATE($B$3,2,18)&gt;EOMONTH(DATE($B$3,2,1),0),NETWORKDAYS.INTL(DATE($B$3,2,18),DATE($B$3,2,18),1,'Non-working days'!$A$6:$A$45)=0),"",IF(COUNTIFS('Leave log'!$A$7:$A$306,Employees!$A$27,'Leave log'!$B$7:$B$306,"&lt;="&amp;DATE($B$3,2,18),'Leave log'!$C$7:$C$306,"&gt;="&amp;DATE($B$3,2,18),'Leave log'!$F$7:$F$306,"Pending")&gt;0,"P",""))))</f>
        <v/>
      </c>
      <c r="T62" s="23" t="str">
        <f>IF(A62="","",IF(IF(OR(DATE($B$3,2,19)&gt;EOMONTH(DATE($B$3,2,1),0),NETWORKDAYS.INTL(DATE($B$3,2,19),DATE($B$3,2,19),1,'Non-working days'!$A$6:$A$45)=0),"",IF(COUNTIFS('Leave log'!$A$7:$A$306,Employees!$A$27,'Leave log'!$B$7:$B$306,"&lt;="&amp;DATE($B$3,2,19),'Leave log'!$C$7:$C$306,"&gt;="&amp;DATE($B$3,2,19),'Leave log'!$F$7:$F$306,"Approved")&gt;0,"A",""))="A","A",IF(OR(DATE($B$3,2,19)&gt;EOMONTH(DATE($B$3,2,1),0),NETWORKDAYS.INTL(DATE($B$3,2,19),DATE($B$3,2,19),1,'Non-working days'!$A$6:$A$45)=0),"",IF(COUNTIFS('Leave log'!$A$7:$A$306,Employees!$A$27,'Leave log'!$B$7:$B$306,"&lt;="&amp;DATE($B$3,2,19),'Leave log'!$C$7:$C$306,"&gt;="&amp;DATE($B$3,2,19),'Leave log'!$F$7:$F$306,"Pending")&gt;0,"P",""))))</f>
        <v/>
      </c>
      <c r="U62" s="23" t="str">
        <f>IF(A62="","",IF(IF(OR(DATE($B$3,2,20)&gt;EOMONTH(DATE($B$3,2,1),0),NETWORKDAYS.INTL(DATE($B$3,2,20),DATE($B$3,2,20),1,'Non-working days'!$A$6:$A$45)=0),"",IF(COUNTIFS('Leave log'!$A$7:$A$306,Employees!$A$27,'Leave log'!$B$7:$B$306,"&lt;="&amp;DATE($B$3,2,20),'Leave log'!$C$7:$C$306,"&gt;="&amp;DATE($B$3,2,20),'Leave log'!$F$7:$F$306,"Approved")&gt;0,"A",""))="A","A",IF(OR(DATE($B$3,2,20)&gt;EOMONTH(DATE($B$3,2,1),0),NETWORKDAYS.INTL(DATE($B$3,2,20),DATE($B$3,2,20),1,'Non-working days'!$A$6:$A$45)=0),"",IF(COUNTIFS('Leave log'!$A$7:$A$306,Employees!$A$27,'Leave log'!$B$7:$B$306,"&lt;="&amp;DATE($B$3,2,20),'Leave log'!$C$7:$C$306,"&gt;="&amp;DATE($B$3,2,20),'Leave log'!$F$7:$F$306,"Pending")&gt;0,"P",""))))</f>
        <v/>
      </c>
      <c r="V62" s="23" t="str">
        <f>IF(A62="","",IF(IF(OR(DATE($B$3,2,21)&gt;EOMONTH(DATE($B$3,2,1),0),NETWORKDAYS.INTL(DATE($B$3,2,21),DATE($B$3,2,21),1,'Non-working days'!$A$6:$A$45)=0),"",IF(COUNTIFS('Leave log'!$A$7:$A$306,Employees!$A$27,'Leave log'!$B$7:$B$306,"&lt;="&amp;DATE($B$3,2,21),'Leave log'!$C$7:$C$306,"&gt;="&amp;DATE($B$3,2,21),'Leave log'!$F$7:$F$306,"Approved")&gt;0,"A",""))="A","A",IF(OR(DATE($B$3,2,21)&gt;EOMONTH(DATE($B$3,2,1),0),NETWORKDAYS.INTL(DATE($B$3,2,21),DATE($B$3,2,21),1,'Non-working days'!$A$6:$A$45)=0),"",IF(COUNTIFS('Leave log'!$A$7:$A$306,Employees!$A$27,'Leave log'!$B$7:$B$306,"&lt;="&amp;DATE($B$3,2,21),'Leave log'!$C$7:$C$306,"&gt;="&amp;DATE($B$3,2,21),'Leave log'!$F$7:$F$306,"Pending")&gt;0,"P",""))))</f>
        <v/>
      </c>
      <c r="W62" s="23" t="str">
        <f>IF(A62="","",IF(IF(OR(DATE($B$3,2,22)&gt;EOMONTH(DATE($B$3,2,1),0),NETWORKDAYS.INTL(DATE($B$3,2,22),DATE($B$3,2,22),1,'Non-working days'!$A$6:$A$45)=0),"",IF(COUNTIFS('Leave log'!$A$7:$A$306,Employees!$A$27,'Leave log'!$B$7:$B$306,"&lt;="&amp;DATE($B$3,2,22),'Leave log'!$C$7:$C$306,"&gt;="&amp;DATE($B$3,2,22),'Leave log'!$F$7:$F$306,"Approved")&gt;0,"A",""))="A","A",IF(OR(DATE($B$3,2,22)&gt;EOMONTH(DATE($B$3,2,1),0),NETWORKDAYS.INTL(DATE($B$3,2,22),DATE($B$3,2,22),1,'Non-working days'!$A$6:$A$45)=0),"",IF(COUNTIFS('Leave log'!$A$7:$A$306,Employees!$A$27,'Leave log'!$B$7:$B$306,"&lt;="&amp;DATE($B$3,2,22),'Leave log'!$C$7:$C$306,"&gt;="&amp;DATE($B$3,2,22),'Leave log'!$F$7:$F$306,"Pending")&gt;0,"P",""))))</f>
        <v/>
      </c>
      <c r="X62" s="23" t="str">
        <f>IF(A62="","",IF(IF(OR(DATE($B$3,2,23)&gt;EOMONTH(DATE($B$3,2,1),0),NETWORKDAYS.INTL(DATE($B$3,2,23),DATE($B$3,2,23),1,'Non-working days'!$A$6:$A$45)=0),"",IF(COUNTIFS('Leave log'!$A$7:$A$306,Employees!$A$27,'Leave log'!$B$7:$B$306,"&lt;="&amp;DATE($B$3,2,23),'Leave log'!$C$7:$C$306,"&gt;="&amp;DATE($B$3,2,23),'Leave log'!$F$7:$F$306,"Approved")&gt;0,"A",""))="A","A",IF(OR(DATE($B$3,2,23)&gt;EOMONTH(DATE($B$3,2,1),0),NETWORKDAYS.INTL(DATE($B$3,2,23),DATE($B$3,2,23),1,'Non-working days'!$A$6:$A$45)=0),"",IF(COUNTIFS('Leave log'!$A$7:$A$306,Employees!$A$27,'Leave log'!$B$7:$B$306,"&lt;="&amp;DATE($B$3,2,23),'Leave log'!$C$7:$C$306,"&gt;="&amp;DATE($B$3,2,23),'Leave log'!$F$7:$F$306,"Pending")&gt;0,"P",""))))</f>
        <v/>
      </c>
      <c r="Y62" s="23" t="str">
        <f>IF(A62="","",IF(IF(OR(DATE($B$3,2,24)&gt;EOMONTH(DATE($B$3,2,1),0),NETWORKDAYS.INTL(DATE($B$3,2,24),DATE($B$3,2,24),1,'Non-working days'!$A$6:$A$45)=0),"",IF(COUNTIFS('Leave log'!$A$7:$A$306,Employees!$A$27,'Leave log'!$B$7:$B$306,"&lt;="&amp;DATE($B$3,2,24),'Leave log'!$C$7:$C$306,"&gt;="&amp;DATE($B$3,2,24),'Leave log'!$F$7:$F$306,"Approved")&gt;0,"A",""))="A","A",IF(OR(DATE($B$3,2,24)&gt;EOMONTH(DATE($B$3,2,1),0),NETWORKDAYS.INTL(DATE($B$3,2,24),DATE($B$3,2,24),1,'Non-working days'!$A$6:$A$45)=0),"",IF(COUNTIFS('Leave log'!$A$7:$A$306,Employees!$A$27,'Leave log'!$B$7:$B$306,"&lt;="&amp;DATE($B$3,2,24),'Leave log'!$C$7:$C$306,"&gt;="&amp;DATE($B$3,2,24),'Leave log'!$F$7:$F$306,"Pending")&gt;0,"P",""))))</f>
        <v/>
      </c>
      <c r="Z62" s="23" t="str">
        <f>IF(A62="","",IF(IF(OR(DATE($B$3,2,25)&gt;EOMONTH(DATE($B$3,2,1),0),NETWORKDAYS.INTL(DATE($B$3,2,25),DATE($B$3,2,25),1,'Non-working days'!$A$6:$A$45)=0),"",IF(COUNTIFS('Leave log'!$A$7:$A$306,Employees!$A$27,'Leave log'!$B$7:$B$306,"&lt;="&amp;DATE($B$3,2,25),'Leave log'!$C$7:$C$306,"&gt;="&amp;DATE($B$3,2,25),'Leave log'!$F$7:$F$306,"Approved")&gt;0,"A",""))="A","A",IF(OR(DATE($B$3,2,25)&gt;EOMONTH(DATE($B$3,2,1),0),NETWORKDAYS.INTL(DATE($B$3,2,25),DATE($B$3,2,25),1,'Non-working days'!$A$6:$A$45)=0),"",IF(COUNTIFS('Leave log'!$A$7:$A$306,Employees!$A$27,'Leave log'!$B$7:$B$306,"&lt;="&amp;DATE($B$3,2,25),'Leave log'!$C$7:$C$306,"&gt;="&amp;DATE($B$3,2,25),'Leave log'!$F$7:$F$306,"Pending")&gt;0,"P",""))))</f>
        <v/>
      </c>
      <c r="AA62" s="23" t="str">
        <f>IF(A62="","",IF(IF(OR(DATE($B$3,2,26)&gt;EOMONTH(DATE($B$3,2,1),0),NETWORKDAYS.INTL(DATE($B$3,2,26),DATE($B$3,2,26),1,'Non-working days'!$A$6:$A$45)=0),"",IF(COUNTIFS('Leave log'!$A$7:$A$306,Employees!$A$27,'Leave log'!$B$7:$B$306,"&lt;="&amp;DATE($B$3,2,26),'Leave log'!$C$7:$C$306,"&gt;="&amp;DATE($B$3,2,26),'Leave log'!$F$7:$F$306,"Approved")&gt;0,"A",""))="A","A",IF(OR(DATE($B$3,2,26)&gt;EOMONTH(DATE($B$3,2,1),0),NETWORKDAYS.INTL(DATE($B$3,2,26),DATE($B$3,2,26),1,'Non-working days'!$A$6:$A$45)=0),"",IF(COUNTIFS('Leave log'!$A$7:$A$306,Employees!$A$27,'Leave log'!$B$7:$B$306,"&lt;="&amp;DATE($B$3,2,26),'Leave log'!$C$7:$C$306,"&gt;="&amp;DATE($B$3,2,26),'Leave log'!$F$7:$F$306,"Pending")&gt;0,"P",""))))</f>
        <v/>
      </c>
      <c r="AB62" s="23" t="str">
        <f>IF(A62="","",IF(IF(OR(DATE($B$3,2,27)&gt;EOMONTH(DATE($B$3,2,1),0),NETWORKDAYS.INTL(DATE($B$3,2,27),DATE($B$3,2,27),1,'Non-working days'!$A$6:$A$45)=0),"",IF(COUNTIFS('Leave log'!$A$7:$A$306,Employees!$A$27,'Leave log'!$B$7:$B$306,"&lt;="&amp;DATE($B$3,2,27),'Leave log'!$C$7:$C$306,"&gt;="&amp;DATE($B$3,2,27),'Leave log'!$F$7:$F$306,"Approved")&gt;0,"A",""))="A","A",IF(OR(DATE($B$3,2,27)&gt;EOMONTH(DATE($B$3,2,1),0),NETWORKDAYS.INTL(DATE($B$3,2,27),DATE($B$3,2,27),1,'Non-working days'!$A$6:$A$45)=0),"",IF(COUNTIFS('Leave log'!$A$7:$A$306,Employees!$A$27,'Leave log'!$B$7:$B$306,"&lt;="&amp;DATE($B$3,2,27),'Leave log'!$C$7:$C$306,"&gt;="&amp;DATE($B$3,2,27),'Leave log'!$F$7:$F$306,"Pending")&gt;0,"P",""))))</f>
        <v/>
      </c>
      <c r="AC62" s="23" t="str">
        <f>IF(A62="","",IF(IF(OR(DATE($B$3,2,28)&gt;EOMONTH(DATE($B$3,2,1),0),NETWORKDAYS.INTL(DATE($B$3,2,28),DATE($B$3,2,28),1,'Non-working days'!$A$6:$A$45)=0),"",IF(COUNTIFS('Leave log'!$A$7:$A$306,Employees!$A$27,'Leave log'!$B$7:$B$306,"&lt;="&amp;DATE($B$3,2,28),'Leave log'!$C$7:$C$306,"&gt;="&amp;DATE($B$3,2,28),'Leave log'!$F$7:$F$306,"Approved")&gt;0,"A",""))="A","A",IF(OR(DATE($B$3,2,28)&gt;EOMONTH(DATE($B$3,2,1),0),NETWORKDAYS.INTL(DATE($B$3,2,28),DATE($B$3,2,28),1,'Non-working days'!$A$6:$A$45)=0),"",IF(COUNTIFS('Leave log'!$A$7:$A$306,Employees!$A$27,'Leave log'!$B$7:$B$306,"&lt;="&amp;DATE($B$3,2,28),'Leave log'!$C$7:$C$306,"&gt;="&amp;DATE($B$3,2,28),'Leave log'!$F$7:$F$306,"Pending")&gt;0,"P",""))))</f>
        <v/>
      </c>
      <c r="AD62" s="23" t="str">
        <f>IF(A62="","",IF(IF(OR(DATE($B$3,2,29)&gt;EOMONTH(DATE($B$3,2,1),0),NETWORKDAYS.INTL(DATE($B$3,2,29),DATE($B$3,2,29),1,'Non-working days'!$A$6:$A$45)=0),"",IF(COUNTIFS('Leave log'!$A$7:$A$306,Employees!$A$27,'Leave log'!$B$7:$B$306,"&lt;="&amp;DATE($B$3,2,29),'Leave log'!$C$7:$C$306,"&gt;="&amp;DATE($B$3,2,29),'Leave log'!$F$7:$F$306,"Approved")&gt;0,"A",""))="A","A",IF(OR(DATE($B$3,2,29)&gt;EOMONTH(DATE($B$3,2,1),0),NETWORKDAYS.INTL(DATE($B$3,2,29),DATE($B$3,2,29),1,'Non-working days'!$A$6:$A$45)=0),"",IF(COUNTIFS('Leave log'!$A$7:$A$306,Employees!$A$27,'Leave log'!$B$7:$B$306,"&lt;="&amp;DATE($B$3,2,29),'Leave log'!$C$7:$C$306,"&gt;="&amp;DATE($B$3,2,29),'Leave log'!$F$7:$F$306,"Pending")&gt;0,"P",""))))</f>
        <v/>
      </c>
      <c r="AE62" s="23" t="str">
        <f>IF(A62="","",IF(IF(OR(DATE($B$3,2,30)&gt;EOMONTH(DATE($B$3,2,1),0),NETWORKDAYS.INTL(DATE($B$3,2,30),DATE($B$3,2,30),1,'Non-working days'!$A$6:$A$45)=0),"",IF(COUNTIFS('Leave log'!$A$7:$A$306,Employees!$A$27,'Leave log'!$B$7:$B$306,"&lt;="&amp;DATE($B$3,2,30),'Leave log'!$C$7:$C$306,"&gt;="&amp;DATE($B$3,2,30),'Leave log'!$F$7:$F$306,"Approved")&gt;0,"A",""))="A","A",IF(OR(DATE($B$3,2,30)&gt;EOMONTH(DATE($B$3,2,1),0),NETWORKDAYS.INTL(DATE($B$3,2,30),DATE($B$3,2,30),1,'Non-working days'!$A$6:$A$45)=0),"",IF(COUNTIFS('Leave log'!$A$7:$A$306,Employees!$A$27,'Leave log'!$B$7:$B$306,"&lt;="&amp;DATE($B$3,2,30),'Leave log'!$C$7:$C$306,"&gt;="&amp;DATE($B$3,2,30),'Leave log'!$F$7:$F$306,"Pending")&gt;0,"P",""))))</f>
        <v/>
      </c>
      <c r="AF62" s="23" t="str">
        <f>IF(A62="","",IF(IF(OR(DATE($B$3,2,31)&gt;EOMONTH(DATE($B$3,2,1),0),NETWORKDAYS.INTL(DATE($B$3,2,31),DATE($B$3,2,31),1,'Non-working days'!$A$6:$A$45)=0),"",IF(COUNTIFS('Leave log'!$A$7:$A$306,Employees!$A$27,'Leave log'!$B$7:$B$306,"&lt;="&amp;DATE($B$3,2,31),'Leave log'!$C$7:$C$306,"&gt;="&amp;DATE($B$3,2,31),'Leave log'!$F$7:$F$306,"Approved")&gt;0,"A",""))="A","A",IF(OR(DATE($B$3,2,31)&gt;EOMONTH(DATE($B$3,2,1),0),NETWORKDAYS.INTL(DATE($B$3,2,31),DATE($B$3,2,31),1,'Non-working days'!$A$6:$A$45)=0),"",IF(COUNTIFS('Leave log'!$A$7:$A$306,Employees!$A$27,'Leave log'!$B$7:$B$306,"&lt;="&amp;DATE($B$3,2,31),'Leave log'!$C$7:$C$306,"&gt;="&amp;DATE($B$3,2,31),'Leave log'!$F$7:$F$306,"Pending")&gt;0,"P",""))))</f>
        <v/>
      </c>
    </row>
    <row r="63" spans="1:32" ht="18" customHeight="1" x14ac:dyDescent="0.3">
      <c r="A63" s="22" t="str">
        <f>IF(Employees!F28="Yes",Employees!B28,"")</f>
        <v/>
      </c>
      <c r="B63" s="23" t="str">
        <f>IF(A63="","",IF(IF(OR(DATE($B$3,2,1)&gt;EOMONTH(DATE($B$3,2,1),0),NETWORKDAYS.INTL(DATE($B$3,2,1),DATE($B$3,2,1),1,'Non-working days'!$A$6:$A$45)=0),"",IF(COUNTIFS('Leave log'!$A$7:$A$306,Employees!$A$28,'Leave log'!$B$7:$B$306,"&lt;="&amp;DATE($B$3,2,1),'Leave log'!$C$7:$C$306,"&gt;="&amp;DATE($B$3,2,1),'Leave log'!$F$7:$F$306,"Approved")&gt;0,"A",""))="A","A",IF(OR(DATE($B$3,2,1)&gt;EOMONTH(DATE($B$3,2,1),0),NETWORKDAYS.INTL(DATE($B$3,2,1),DATE($B$3,2,1),1,'Non-working days'!$A$6:$A$45)=0),"",IF(COUNTIFS('Leave log'!$A$7:$A$306,Employees!$A$28,'Leave log'!$B$7:$B$306,"&lt;="&amp;DATE($B$3,2,1),'Leave log'!$C$7:$C$306,"&gt;="&amp;DATE($B$3,2,1),'Leave log'!$F$7:$F$306,"Pending")&gt;0,"P",""))))</f>
        <v/>
      </c>
      <c r="C63" s="23" t="str">
        <f>IF(A63="","",IF(IF(OR(DATE($B$3,2,2)&gt;EOMONTH(DATE($B$3,2,1),0),NETWORKDAYS.INTL(DATE($B$3,2,2),DATE($B$3,2,2),1,'Non-working days'!$A$6:$A$45)=0),"",IF(COUNTIFS('Leave log'!$A$7:$A$306,Employees!$A$28,'Leave log'!$B$7:$B$306,"&lt;="&amp;DATE($B$3,2,2),'Leave log'!$C$7:$C$306,"&gt;="&amp;DATE($B$3,2,2),'Leave log'!$F$7:$F$306,"Approved")&gt;0,"A",""))="A","A",IF(OR(DATE($B$3,2,2)&gt;EOMONTH(DATE($B$3,2,1),0),NETWORKDAYS.INTL(DATE($B$3,2,2),DATE($B$3,2,2),1,'Non-working days'!$A$6:$A$45)=0),"",IF(COUNTIFS('Leave log'!$A$7:$A$306,Employees!$A$28,'Leave log'!$B$7:$B$306,"&lt;="&amp;DATE($B$3,2,2),'Leave log'!$C$7:$C$306,"&gt;="&amp;DATE($B$3,2,2),'Leave log'!$F$7:$F$306,"Pending")&gt;0,"P",""))))</f>
        <v/>
      </c>
      <c r="D63" s="23" t="str">
        <f>IF(A63="","",IF(IF(OR(DATE($B$3,2,3)&gt;EOMONTH(DATE($B$3,2,1),0),NETWORKDAYS.INTL(DATE($B$3,2,3),DATE($B$3,2,3),1,'Non-working days'!$A$6:$A$45)=0),"",IF(COUNTIFS('Leave log'!$A$7:$A$306,Employees!$A$28,'Leave log'!$B$7:$B$306,"&lt;="&amp;DATE($B$3,2,3),'Leave log'!$C$7:$C$306,"&gt;="&amp;DATE($B$3,2,3),'Leave log'!$F$7:$F$306,"Approved")&gt;0,"A",""))="A","A",IF(OR(DATE($B$3,2,3)&gt;EOMONTH(DATE($B$3,2,1),0),NETWORKDAYS.INTL(DATE($B$3,2,3),DATE($B$3,2,3),1,'Non-working days'!$A$6:$A$45)=0),"",IF(COUNTIFS('Leave log'!$A$7:$A$306,Employees!$A$28,'Leave log'!$B$7:$B$306,"&lt;="&amp;DATE($B$3,2,3),'Leave log'!$C$7:$C$306,"&gt;="&amp;DATE($B$3,2,3),'Leave log'!$F$7:$F$306,"Pending")&gt;0,"P",""))))</f>
        <v/>
      </c>
      <c r="E63" s="23" t="str">
        <f>IF(A63="","",IF(IF(OR(DATE($B$3,2,4)&gt;EOMONTH(DATE($B$3,2,1),0),NETWORKDAYS.INTL(DATE($B$3,2,4),DATE($B$3,2,4),1,'Non-working days'!$A$6:$A$45)=0),"",IF(COUNTIFS('Leave log'!$A$7:$A$306,Employees!$A$28,'Leave log'!$B$7:$B$306,"&lt;="&amp;DATE($B$3,2,4),'Leave log'!$C$7:$C$306,"&gt;="&amp;DATE($B$3,2,4),'Leave log'!$F$7:$F$306,"Approved")&gt;0,"A",""))="A","A",IF(OR(DATE($B$3,2,4)&gt;EOMONTH(DATE($B$3,2,1),0),NETWORKDAYS.INTL(DATE($B$3,2,4),DATE($B$3,2,4),1,'Non-working days'!$A$6:$A$45)=0),"",IF(COUNTIFS('Leave log'!$A$7:$A$306,Employees!$A$28,'Leave log'!$B$7:$B$306,"&lt;="&amp;DATE($B$3,2,4),'Leave log'!$C$7:$C$306,"&gt;="&amp;DATE($B$3,2,4),'Leave log'!$F$7:$F$306,"Pending")&gt;0,"P",""))))</f>
        <v/>
      </c>
      <c r="F63" s="23" t="str">
        <f>IF(A63="","",IF(IF(OR(DATE($B$3,2,5)&gt;EOMONTH(DATE($B$3,2,1),0),NETWORKDAYS.INTL(DATE($B$3,2,5),DATE($B$3,2,5),1,'Non-working days'!$A$6:$A$45)=0),"",IF(COUNTIFS('Leave log'!$A$7:$A$306,Employees!$A$28,'Leave log'!$B$7:$B$306,"&lt;="&amp;DATE($B$3,2,5),'Leave log'!$C$7:$C$306,"&gt;="&amp;DATE($B$3,2,5),'Leave log'!$F$7:$F$306,"Approved")&gt;0,"A",""))="A","A",IF(OR(DATE($B$3,2,5)&gt;EOMONTH(DATE($B$3,2,1),0),NETWORKDAYS.INTL(DATE($B$3,2,5),DATE($B$3,2,5),1,'Non-working days'!$A$6:$A$45)=0),"",IF(COUNTIFS('Leave log'!$A$7:$A$306,Employees!$A$28,'Leave log'!$B$7:$B$306,"&lt;="&amp;DATE($B$3,2,5),'Leave log'!$C$7:$C$306,"&gt;="&amp;DATE($B$3,2,5),'Leave log'!$F$7:$F$306,"Pending")&gt;0,"P",""))))</f>
        <v/>
      </c>
      <c r="G63" s="23" t="str">
        <f>IF(A63="","",IF(IF(OR(DATE($B$3,2,6)&gt;EOMONTH(DATE($B$3,2,1),0),NETWORKDAYS.INTL(DATE($B$3,2,6),DATE($B$3,2,6),1,'Non-working days'!$A$6:$A$45)=0),"",IF(COUNTIFS('Leave log'!$A$7:$A$306,Employees!$A$28,'Leave log'!$B$7:$B$306,"&lt;="&amp;DATE($B$3,2,6),'Leave log'!$C$7:$C$306,"&gt;="&amp;DATE($B$3,2,6),'Leave log'!$F$7:$F$306,"Approved")&gt;0,"A",""))="A","A",IF(OR(DATE($B$3,2,6)&gt;EOMONTH(DATE($B$3,2,1),0),NETWORKDAYS.INTL(DATE($B$3,2,6),DATE($B$3,2,6),1,'Non-working days'!$A$6:$A$45)=0),"",IF(COUNTIFS('Leave log'!$A$7:$A$306,Employees!$A$28,'Leave log'!$B$7:$B$306,"&lt;="&amp;DATE($B$3,2,6),'Leave log'!$C$7:$C$306,"&gt;="&amp;DATE($B$3,2,6),'Leave log'!$F$7:$F$306,"Pending")&gt;0,"P",""))))</f>
        <v/>
      </c>
      <c r="H63" s="23" t="str">
        <f>IF(A63="","",IF(IF(OR(DATE($B$3,2,7)&gt;EOMONTH(DATE($B$3,2,1),0),NETWORKDAYS.INTL(DATE($B$3,2,7),DATE($B$3,2,7),1,'Non-working days'!$A$6:$A$45)=0),"",IF(COUNTIFS('Leave log'!$A$7:$A$306,Employees!$A$28,'Leave log'!$B$7:$B$306,"&lt;="&amp;DATE($B$3,2,7),'Leave log'!$C$7:$C$306,"&gt;="&amp;DATE($B$3,2,7),'Leave log'!$F$7:$F$306,"Approved")&gt;0,"A",""))="A","A",IF(OR(DATE($B$3,2,7)&gt;EOMONTH(DATE($B$3,2,1),0),NETWORKDAYS.INTL(DATE($B$3,2,7),DATE($B$3,2,7),1,'Non-working days'!$A$6:$A$45)=0),"",IF(COUNTIFS('Leave log'!$A$7:$A$306,Employees!$A$28,'Leave log'!$B$7:$B$306,"&lt;="&amp;DATE($B$3,2,7),'Leave log'!$C$7:$C$306,"&gt;="&amp;DATE($B$3,2,7),'Leave log'!$F$7:$F$306,"Pending")&gt;0,"P",""))))</f>
        <v/>
      </c>
      <c r="I63" s="23" t="str">
        <f>IF(A63="","",IF(IF(OR(DATE($B$3,2,8)&gt;EOMONTH(DATE($B$3,2,1),0),NETWORKDAYS.INTL(DATE($B$3,2,8),DATE($B$3,2,8),1,'Non-working days'!$A$6:$A$45)=0),"",IF(COUNTIFS('Leave log'!$A$7:$A$306,Employees!$A$28,'Leave log'!$B$7:$B$306,"&lt;="&amp;DATE($B$3,2,8),'Leave log'!$C$7:$C$306,"&gt;="&amp;DATE($B$3,2,8),'Leave log'!$F$7:$F$306,"Approved")&gt;0,"A",""))="A","A",IF(OR(DATE($B$3,2,8)&gt;EOMONTH(DATE($B$3,2,1),0),NETWORKDAYS.INTL(DATE($B$3,2,8),DATE($B$3,2,8),1,'Non-working days'!$A$6:$A$45)=0),"",IF(COUNTIFS('Leave log'!$A$7:$A$306,Employees!$A$28,'Leave log'!$B$7:$B$306,"&lt;="&amp;DATE($B$3,2,8),'Leave log'!$C$7:$C$306,"&gt;="&amp;DATE($B$3,2,8),'Leave log'!$F$7:$F$306,"Pending")&gt;0,"P",""))))</f>
        <v/>
      </c>
      <c r="J63" s="23" t="str">
        <f>IF(A63="","",IF(IF(OR(DATE($B$3,2,9)&gt;EOMONTH(DATE($B$3,2,1),0),NETWORKDAYS.INTL(DATE($B$3,2,9),DATE($B$3,2,9),1,'Non-working days'!$A$6:$A$45)=0),"",IF(COUNTIFS('Leave log'!$A$7:$A$306,Employees!$A$28,'Leave log'!$B$7:$B$306,"&lt;="&amp;DATE($B$3,2,9),'Leave log'!$C$7:$C$306,"&gt;="&amp;DATE($B$3,2,9),'Leave log'!$F$7:$F$306,"Approved")&gt;0,"A",""))="A","A",IF(OR(DATE($B$3,2,9)&gt;EOMONTH(DATE($B$3,2,1),0),NETWORKDAYS.INTL(DATE($B$3,2,9),DATE($B$3,2,9),1,'Non-working days'!$A$6:$A$45)=0),"",IF(COUNTIFS('Leave log'!$A$7:$A$306,Employees!$A$28,'Leave log'!$B$7:$B$306,"&lt;="&amp;DATE($B$3,2,9),'Leave log'!$C$7:$C$306,"&gt;="&amp;DATE($B$3,2,9),'Leave log'!$F$7:$F$306,"Pending")&gt;0,"P",""))))</f>
        <v/>
      </c>
      <c r="K63" s="23" t="str">
        <f>IF(A63="","",IF(IF(OR(DATE($B$3,2,10)&gt;EOMONTH(DATE($B$3,2,1),0),NETWORKDAYS.INTL(DATE($B$3,2,10),DATE($B$3,2,10),1,'Non-working days'!$A$6:$A$45)=0),"",IF(COUNTIFS('Leave log'!$A$7:$A$306,Employees!$A$28,'Leave log'!$B$7:$B$306,"&lt;="&amp;DATE($B$3,2,10),'Leave log'!$C$7:$C$306,"&gt;="&amp;DATE($B$3,2,10),'Leave log'!$F$7:$F$306,"Approved")&gt;0,"A",""))="A","A",IF(OR(DATE($B$3,2,10)&gt;EOMONTH(DATE($B$3,2,1),0),NETWORKDAYS.INTL(DATE($B$3,2,10),DATE($B$3,2,10),1,'Non-working days'!$A$6:$A$45)=0),"",IF(COUNTIFS('Leave log'!$A$7:$A$306,Employees!$A$28,'Leave log'!$B$7:$B$306,"&lt;="&amp;DATE($B$3,2,10),'Leave log'!$C$7:$C$306,"&gt;="&amp;DATE($B$3,2,10),'Leave log'!$F$7:$F$306,"Pending")&gt;0,"P",""))))</f>
        <v/>
      </c>
      <c r="L63" s="23" t="str">
        <f>IF(A63="","",IF(IF(OR(DATE($B$3,2,11)&gt;EOMONTH(DATE($B$3,2,1),0),NETWORKDAYS.INTL(DATE($B$3,2,11),DATE($B$3,2,11),1,'Non-working days'!$A$6:$A$45)=0),"",IF(COUNTIFS('Leave log'!$A$7:$A$306,Employees!$A$28,'Leave log'!$B$7:$B$306,"&lt;="&amp;DATE($B$3,2,11),'Leave log'!$C$7:$C$306,"&gt;="&amp;DATE($B$3,2,11),'Leave log'!$F$7:$F$306,"Approved")&gt;0,"A",""))="A","A",IF(OR(DATE($B$3,2,11)&gt;EOMONTH(DATE($B$3,2,1),0),NETWORKDAYS.INTL(DATE($B$3,2,11),DATE($B$3,2,11),1,'Non-working days'!$A$6:$A$45)=0),"",IF(COUNTIFS('Leave log'!$A$7:$A$306,Employees!$A$28,'Leave log'!$B$7:$B$306,"&lt;="&amp;DATE($B$3,2,11),'Leave log'!$C$7:$C$306,"&gt;="&amp;DATE($B$3,2,11),'Leave log'!$F$7:$F$306,"Pending")&gt;0,"P",""))))</f>
        <v/>
      </c>
      <c r="M63" s="23" t="str">
        <f>IF(A63="","",IF(IF(OR(DATE($B$3,2,12)&gt;EOMONTH(DATE($B$3,2,1),0),NETWORKDAYS.INTL(DATE($B$3,2,12),DATE($B$3,2,12),1,'Non-working days'!$A$6:$A$45)=0),"",IF(COUNTIFS('Leave log'!$A$7:$A$306,Employees!$A$28,'Leave log'!$B$7:$B$306,"&lt;="&amp;DATE($B$3,2,12),'Leave log'!$C$7:$C$306,"&gt;="&amp;DATE($B$3,2,12),'Leave log'!$F$7:$F$306,"Approved")&gt;0,"A",""))="A","A",IF(OR(DATE($B$3,2,12)&gt;EOMONTH(DATE($B$3,2,1),0),NETWORKDAYS.INTL(DATE($B$3,2,12),DATE($B$3,2,12),1,'Non-working days'!$A$6:$A$45)=0),"",IF(COUNTIFS('Leave log'!$A$7:$A$306,Employees!$A$28,'Leave log'!$B$7:$B$306,"&lt;="&amp;DATE($B$3,2,12),'Leave log'!$C$7:$C$306,"&gt;="&amp;DATE($B$3,2,12),'Leave log'!$F$7:$F$306,"Pending")&gt;0,"P",""))))</f>
        <v/>
      </c>
      <c r="N63" s="23" t="str">
        <f>IF(A63="","",IF(IF(OR(DATE($B$3,2,13)&gt;EOMONTH(DATE($B$3,2,1),0),NETWORKDAYS.INTL(DATE($B$3,2,13),DATE($B$3,2,13),1,'Non-working days'!$A$6:$A$45)=0),"",IF(COUNTIFS('Leave log'!$A$7:$A$306,Employees!$A$28,'Leave log'!$B$7:$B$306,"&lt;="&amp;DATE($B$3,2,13),'Leave log'!$C$7:$C$306,"&gt;="&amp;DATE($B$3,2,13),'Leave log'!$F$7:$F$306,"Approved")&gt;0,"A",""))="A","A",IF(OR(DATE($B$3,2,13)&gt;EOMONTH(DATE($B$3,2,1),0),NETWORKDAYS.INTL(DATE($B$3,2,13),DATE($B$3,2,13),1,'Non-working days'!$A$6:$A$45)=0),"",IF(COUNTIFS('Leave log'!$A$7:$A$306,Employees!$A$28,'Leave log'!$B$7:$B$306,"&lt;="&amp;DATE($B$3,2,13),'Leave log'!$C$7:$C$306,"&gt;="&amp;DATE($B$3,2,13),'Leave log'!$F$7:$F$306,"Pending")&gt;0,"P",""))))</f>
        <v/>
      </c>
      <c r="O63" s="23" t="str">
        <f>IF(A63="","",IF(IF(OR(DATE($B$3,2,14)&gt;EOMONTH(DATE($B$3,2,1),0),NETWORKDAYS.INTL(DATE($B$3,2,14),DATE($B$3,2,14),1,'Non-working days'!$A$6:$A$45)=0),"",IF(COUNTIFS('Leave log'!$A$7:$A$306,Employees!$A$28,'Leave log'!$B$7:$B$306,"&lt;="&amp;DATE($B$3,2,14),'Leave log'!$C$7:$C$306,"&gt;="&amp;DATE($B$3,2,14),'Leave log'!$F$7:$F$306,"Approved")&gt;0,"A",""))="A","A",IF(OR(DATE($B$3,2,14)&gt;EOMONTH(DATE($B$3,2,1),0),NETWORKDAYS.INTL(DATE($B$3,2,14),DATE($B$3,2,14),1,'Non-working days'!$A$6:$A$45)=0),"",IF(COUNTIFS('Leave log'!$A$7:$A$306,Employees!$A$28,'Leave log'!$B$7:$B$306,"&lt;="&amp;DATE($B$3,2,14),'Leave log'!$C$7:$C$306,"&gt;="&amp;DATE($B$3,2,14),'Leave log'!$F$7:$F$306,"Pending")&gt;0,"P",""))))</f>
        <v/>
      </c>
      <c r="P63" s="23" t="str">
        <f>IF(A63="","",IF(IF(OR(DATE($B$3,2,15)&gt;EOMONTH(DATE($B$3,2,1),0),NETWORKDAYS.INTL(DATE($B$3,2,15),DATE($B$3,2,15),1,'Non-working days'!$A$6:$A$45)=0),"",IF(COUNTIFS('Leave log'!$A$7:$A$306,Employees!$A$28,'Leave log'!$B$7:$B$306,"&lt;="&amp;DATE($B$3,2,15),'Leave log'!$C$7:$C$306,"&gt;="&amp;DATE($B$3,2,15),'Leave log'!$F$7:$F$306,"Approved")&gt;0,"A",""))="A","A",IF(OR(DATE($B$3,2,15)&gt;EOMONTH(DATE($B$3,2,1),0),NETWORKDAYS.INTL(DATE($B$3,2,15),DATE($B$3,2,15),1,'Non-working days'!$A$6:$A$45)=0),"",IF(COUNTIFS('Leave log'!$A$7:$A$306,Employees!$A$28,'Leave log'!$B$7:$B$306,"&lt;="&amp;DATE($B$3,2,15),'Leave log'!$C$7:$C$306,"&gt;="&amp;DATE($B$3,2,15),'Leave log'!$F$7:$F$306,"Pending")&gt;0,"P",""))))</f>
        <v/>
      </c>
      <c r="Q63" s="23" t="str">
        <f>IF(A63="","",IF(IF(OR(DATE($B$3,2,16)&gt;EOMONTH(DATE($B$3,2,1),0),NETWORKDAYS.INTL(DATE($B$3,2,16),DATE($B$3,2,16),1,'Non-working days'!$A$6:$A$45)=0),"",IF(COUNTIFS('Leave log'!$A$7:$A$306,Employees!$A$28,'Leave log'!$B$7:$B$306,"&lt;="&amp;DATE($B$3,2,16),'Leave log'!$C$7:$C$306,"&gt;="&amp;DATE($B$3,2,16),'Leave log'!$F$7:$F$306,"Approved")&gt;0,"A",""))="A","A",IF(OR(DATE($B$3,2,16)&gt;EOMONTH(DATE($B$3,2,1),0),NETWORKDAYS.INTL(DATE($B$3,2,16),DATE($B$3,2,16),1,'Non-working days'!$A$6:$A$45)=0),"",IF(COUNTIFS('Leave log'!$A$7:$A$306,Employees!$A$28,'Leave log'!$B$7:$B$306,"&lt;="&amp;DATE($B$3,2,16),'Leave log'!$C$7:$C$306,"&gt;="&amp;DATE($B$3,2,16),'Leave log'!$F$7:$F$306,"Pending")&gt;0,"P",""))))</f>
        <v/>
      </c>
      <c r="R63" s="23" t="str">
        <f>IF(A63="","",IF(IF(OR(DATE($B$3,2,17)&gt;EOMONTH(DATE($B$3,2,1),0),NETWORKDAYS.INTL(DATE($B$3,2,17),DATE($B$3,2,17),1,'Non-working days'!$A$6:$A$45)=0),"",IF(COUNTIFS('Leave log'!$A$7:$A$306,Employees!$A$28,'Leave log'!$B$7:$B$306,"&lt;="&amp;DATE($B$3,2,17),'Leave log'!$C$7:$C$306,"&gt;="&amp;DATE($B$3,2,17),'Leave log'!$F$7:$F$306,"Approved")&gt;0,"A",""))="A","A",IF(OR(DATE($B$3,2,17)&gt;EOMONTH(DATE($B$3,2,1),0),NETWORKDAYS.INTL(DATE($B$3,2,17),DATE($B$3,2,17),1,'Non-working days'!$A$6:$A$45)=0),"",IF(COUNTIFS('Leave log'!$A$7:$A$306,Employees!$A$28,'Leave log'!$B$7:$B$306,"&lt;="&amp;DATE($B$3,2,17),'Leave log'!$C$7:$C$306,"&gt;="&amp;DATE($B$3,2,17),'Leave log'!$F$7:$F$306,"Pending")&gt;0,"P",""))))</f>
        <v/>
      </c>
      <c r="S63" s="23" t="str">
        <f>IF(A63="","",IF(IF(OR(DATE($B$3,2,18)&gt;EOMONTH(DATE($B$3,2,1),0),NETWORKDAYS.INTL(DATE($B$3,2,18),DATE($B$3,2,18),1,'Non-working days'!$A$6:$A$45)=0),"",IF(COUNTIFS('Leave log'!$A$7:$A$306,Employees!$A$28,'Leave log'!$B$7:$B$306,"&lt;="&amp;DATE($B$3,2,18),'Leave log'!$C$7:$C$306,"&gt;="&amp;DATE($B$3,2,18),'Leave log'!$F$7:$F$306,"Approved")&gt;0,"A",""))="A","A",IF(OR(DATE($B$3,2,18)&gt;EOMONTH(DATE($B$3,2,1),0),NETWORKDAYS.INTL(DATE($B$3,2,18),DATE($B$3,2,18),1,'Non-working days'!$A$6:$A$45)=0),"",IF(COUNTIFS('Leave log'!$A$7:$A$306,Employees!$A$28,'Leave log'!$B$7:$B$306,"&lt;="&amp;DATE($B$3,2,18),'Leave log'!$C$7:$C$306,"&gt;="&amp;DATE($B$3,2,18),'Leave log'!$F$7:$F$306,"Pending")&gt;0,"P",""))))</f>
        <v/>
      </c>
      <c r="T63" s="23" t="str">
        <f>IF(A63="","",IF(IF(OR(DATE($B$3,2,19)&gt;EOMONTH(DATE($B$3,2,1),0),NETWORKDAYS.INTL(DATE($B$3,2,19),DATE($B$3,2,19),1,'Non-working days'!$A$6:$A$45)=0),"",IF(COUNTIFS('Leave log'!$A$7:$A$306,Employees!$A$28,'Leave log'!$B$7:$B$306,"&lt;="&amp;DATE($B$3,2,19),'Leave log'!$C$7:$C$306,"&gt;="&amp;DATE($B$3,2,19),'Leave log'!$F$7:$F$306,"Approved")&gt;0,"A",""))="A","A",IF(OR(DATE($B$3,2,19)&gt;EOMONTH(DATE($B$3,2,1),0),NETWORKDAYS.INTL(DATE($B$3,2,19),DATE($B$3,2,19),1,'Non-working days'!$A$6:$A$45)=0),"",IF(COUNTIFS('Leave log'!$A$7:$A$306,Employees!$A$28,'Leave log'!$B$7:$B$306,"&lt;="&amp;DATE($B$3,2,19),'Leave log'!$C$7:$C$306,"&gt;="&amp;DATE($B$3,2,19),'Leave log'!$F$7:$F$306,"Pending")&gt;0,"P",""))))</f>
        <v/>
      </c>
      <c r="U63" s="23" t="str">
        <f>IF(A63="","",IF(IF(OR(DATE($B$3,2,20)&gt;EOMONTH(DATE($B$3,2,1),0),NETWORKDAYS.INTL(DATE($B$3,2,20),DATE($B$3,2,20),1,'Non-working days'!$A$6:$A$45)=0),"",IF(COUNTIFS('Leave log'!$A$7:$A$306,Employees!$A$28,'Leave log'!$B$7:$B$306,"&lt;="&amp;DATE($B$3,2,20),'Leave log'!$C$7:$C$306,"&gt;="&amp;DATE($B$3,2,20),'Leave log'!$F$7:$F$306,"Approved")&gt;0,"A",""))="A","A",IF(OR(DATE($B$3,2,20)&gt;EOMONTH(DATE($B$3,2,1),0),NETWORKDAYS.INTL(DATE($B$3,2,20),DATE($B$3,2,20),1,'Non-working days'!$A$6:$A$45)=0),"",IF(COUNTIFS('Leave log'!$A$7:$A$306,Employees!$A$28,'Leave log'!$B$7:$B$306,"&lt;="&amp;DATE($B$3,2,20),'Leave log'!$C$7:$C$306,"&gt;="&amp;DATE($B$3,2,20),'Leave log'!$F$7:$F$306,"Pending")&gt;0,"P",""))))</f>
        <v/>
      </c>
      <c r="V63" s="23" t="str">
        <f>IF(A63="","",IF(IF(OR(DATE($B$3,2,21)&gt;EOMONTH(DATE($B$3,2,1),0),NETWORKDAYS.INTL(DATE($B$3,2,21),DATE($B$3,2,21),1,'Non-working days'!$A$6:$A$45)=0),"",IF(COUNTIFS('Leave log'!$A$7:$A$306,Employees!$A$28,'Leave log'!$B$7:$B$306,"&lt;="&amp;DATE($B$3,2,21),'Leave log'!$C$7:$C$306,"&gt;="&amp;DATE($B$3,2,21),'Leave log'!$F$7:$F$306,"Approved")&gt;0,"A",""))="A","A",IF(OR(DATE($B$3,2,21)&gt;EOMONTH(DATE($B$3,2,1),0),NETWORKDAYS.INTL(DATE($B$3,2,21),DATE($B$3,2,21),1,'Non-working days'!$A$6:$A$45)=0),"",IF(COUNTIFS('Leave log'!$A$7:$A$306,Employees!$A$28,'Leave log'!$B$7:$B$306,"&lt;="&amp;DATE($B$3,2,21),'Leave log'!$C$7:$C$306,"&gt;="&amp;DATE($B$3,2,21),'Leave log'!$F$7:$F$306,"Pending")&gt;0,"P",""))))</f>
        <v/>
      </c>
      <c r="W63" s="23" t="str">
        <f>IF(A63="","",IF(IF(OR(DATE($B$3,2,22)&gt;EOMONTH(DATE($B$3,2,1),0),NETWORKDAYS.INTL(DATE($B$3,2,22),DATE($B$3,2,22),1,'Non-working days'!$A$6:$A$45)=0),"",IF(COUNTIFS('Leave log'!$A$7:$A$306,Employees!$A$28,'Leave log'!$B$7:$B$306,"&lt;="&amp;DATE($B$3,2,22),'Leave log'!$C$7:$C$306,"&gt;="&amp;DATE($B$3,2,22),'Leave log'!$F$7:$F$306,"Approved")&gt;0,"A",""))="A","A",IF(OR(DATE($B$3,2,22)&gt;EOMONTH(DATE($B$3,2,1),0),NETWORKDAYS.INTL(DATE($B$3,2,22),DATE($B$3,2,22),1,'Non-working days'!$A$6:$A$45)=0),"",IF(COUNTIFS('Leave log'!$A$7:$A$306,Employees!$A$28,'Leave log'!$B$7:$B$306,"&lt;="&amp;DATE($B$3,2,22),'Leave log'!$C$7:$C$306,"&gt;="&amp;DATE($B$3,2,22),'Leave log'!$F$7:$F$306,"Pending")&gt;0,"P",""))))</f>
        <v/>
      </c>
      <c r="X63" s="23" t="str">
        <f>IF(A63="","",IF(IF(OR(DATE($B$3,2,23)&gt;EOMONTH(DATE($B$3,2,1),0),NETWORKDAYS.INTL(DATE($B$3,2,23),DATE($B$3,2,23),1,'Non-working days'!$A$6:$A$45)=0),"",IF(COUNTIFS('Leave log'!$A$7:$A$306,Employees!$A$28,'Leave log'!$B$7:$B$306,"&lt;="&amp;DATE($B$3,2,23),'Leave log'!$C$7:$C$306,"&gt;="&amp;DATE($B$3,2,23),'Leave log'!$F$7:$F$306,"Approved")&gt;0,"A",""))="A","A",IF(OR(DATE($B$3,2,23)&gt;EOMONTH(DATE($B$3,2,1),0),NETWORKDAYS.INTL(DATE($B$3,2,23),DATE($B$3,2,23),1,'Non-working days'!$A$6:$A$45)=0),"",IF(COUNTIFS('Leave log'!$A$7:$A$306,Employees!$A$28,'Leave log'!$B$7:$B$306,"&lt;="&amp;DATE($B$3,2,23),'Leave log'!$C$7:$C$306,"&gt;="&amp;DATE($B$3,2,23),'Leave log'!$F$7:$F$306,"Pending")&gt;0,"P",""))))</f>
        <v/>
      </c>
      <c r="Y63" s="23" t="str">
        <f>IF(A63="","",IF(IF(OR(DATE($B$3,2,24)&gt;EOMONTH(DATE($B$3,2,1),0),NETWORKDAYS.INTL(DATE($B$3,2,24),DATE($B$3,2,24),1,'Non-working days'!$A$6:$A$45)=0),"",IF(COUNTIFS('Leave log'!$A$7:$A$306,Employees!$A$28,'Leave log'!$B$7:$B$306,"&lt;="&amp;DATE($B$3,2,24),'Leave log'!$C$7:$C$306,"&gt;="&amp;DATE($B$3,2,24),'Leave log'!$F$7:$F$306,"Approved")&gt;0,"A",""))="A","A",IF(OR(DATE($B$3,2,24)&gt;EOMONTH(DATE($B$3,2,1),0),NETWORKDAYS.INTL(DATE($B$3,2,24),DATE($B$3,2,24),1,'Non-working days'!$A$6:$A$45)=0),"",IF(COUNTIFS('Leave log'!$A$7:$A$306,Employees!$A$28,'Leave log'!$B$7:$B$306,"&lt;="&amp;DATE($B$3,2,24),'Leave log'!$C$7:$C$306,"&gt;="&amp;DATE($B$3,2,24),'Leave log'!$F$7:$F$306,"Pending")&gt;0,"P",""))))</f>
        <v/>
      </c>
      <c r="Z63" s="23" t="str">
        <f>IF(A63="","",IF(IF(OR(DATE($B$3,2,25)&gt;EOMONTH(DATE($B$3,2,1),0),NETWORKDAYS.INTL(DATE($B$3,2,25),DATE($B$3,2,25),1,'Non-working days'!$A$6:$A$45)=0),"",IF(COUNTIFS('Leave log'!$A$7:$A$306,Employees!$A$28,'Leave log'!$B$7:$B$306,"&lt;="&amp;DATE($B$3,2,25),'Leave log'!$C$7:$C$306,"&gt;="&amp;DATE($B$3,2,25),'Leave log'!$F$7:$F$306,"Approved")&gt;0,"A",""))="A","A",IF(OR(DATE($B$3,2,25)&gt;EOMONTH(DATE($B$3,2,1),0),NETWORKDAYS.INTL(DATE($B$3,2,25),DATE($B$3,2,25),1,'Non-working days'!$A$6:$A$45)=0),"",IF(COUNTIFS('Leave log'!$A$7:$A$306,Employees!$A$28,'Leave log'!$B$7:$B$306,"&lt;="&amp;DATE($B$3,2,25),'Leave log'!$C$7:$C$306,"&gt;="&amp;DATE($B$3,2,25),'Leave log'!$F$7:$F$306,"Pending")&gt;0,"P",""))))</f>
        <v/>
      </c>
      <c r="AA63" s="23" t="str">
        <f>IF(A63="","",IF(IF(OR(DATE($B$3,2,26)&gt;EOMONTH(DATE($B$3,2,1),0),NETWORKDAYS.INTL(DATE($B$3,2,26),DATE($B$3,2,26),1,'Non-working days'!$A$6:$A$45)=0),"",IF(COUNTIFS('Leave log'!$A$7:$A$306,Employees!$A$28,'Leave log'!$B$7:$B$306,"&lt;="&amp;DATE($B$3,2,26),'Leave log'!$C$7:$C$306,"&gt;="&amp;DATE($B$3,2,26),'Leave log'!$F$7:$F$306,"Approved")&gt;0,"A",""))="A","A",IF(OR(DATE($B$3,2,26)&gt;EOMONTH(DATE($B$3,2,1),0),NETWORKDAYS.INTL(DATE($B$3,2,26),DATE($B$3,2,26),1,'Non-working days'!$A$6:$A$45)=0),"",IF(COUNTIFS('Leave log'!$A$7:$A$306,Employees!$A$28,'Leave log'!$B$7:$B$306,"&lt;="&amp;DATE($B$3,2,26),'Leave log'!$C$7:$C$306,"&gt;="&amp;DATE($B$3,2,26),'Leave log'!$F$7:$F$306,"Pending")&gt;0,"P",""))))</f>
        <v/>
      </c>
      <c r="AB63" s="23" t="str">
        <f>IF(A63="","",IF(IF(OR(DATE($B$3,2,27)&gt;EOMONTH(DATE($B$3,2,1),0),NETWORKDAYS.INTL(DATE($B$3,2,27),DATE($B$3,2,27),1,'Non-working days'!$A$6:$A$45)=0),"",IF(COUNTIFS('Leave log'!$A$7:$A$306,Employees!$A$28,'Leave log'!$B$7:$B$306,"&lt;="&amp;DATE($B$3,2,27),'Leave log'!$C$7:$C$306,"&gt;="&amp;DATE($B$3,2,27),'Leave log'!$F$7:$F$306,"Approved")&gt;0,"A",""))="A","A",IF(OR(DATE($B$3,2,27)&gt;EOMONTH(DATE($B$3,2,1),0),NETWORKDAYS.INTL(DATE($B$3,2,27),DATE($B$3,2,27),1,'Non-working days'!$A$6:$A$45)=0),"",IF(COUNTIFS('Leave log'!$A$7:$A$306,Employees!$A$28,'Leave log'!$B$7:$B$306,"&lt;="&amp;DATE($B$3,2,27),'Leave log'!$C$7:$C$306,"&gt;="&amp;DATE($B$3,2,27),'Leave log'!$F$7:$F$306,"Pending")&gt;0,"P",""))))</f>
        <v/>
      </c>
      <c r="AC63" s="23" t="str">
        <f>IF(A63="","",IF(IF(OR(DATE($B$3,2,28)&gt;EOMONTH(DATE($B$3,2,1),0),NETWORKDAYS.INTL(DATE($B$3,2,28),DATE($B$3,2,28),1,'Non-working days'!$A$6:$A$45)=0),"",IF(COUNTIFS('Leave log'!$A$7:$A$306,Employees!$A$28,'Leave log'!$B$7:$B$306,"&lt;="&amp;DATE($B$3,2,28),'Leave log'!$C$7:$C$306,"&gt;="&amp;DATE($B$3,2,28),'Leave log'!$F$7:$F$306,"Approved")&gt;0,"A",""))="A","A",IF(OR(DATE($B$3,2,28)&gt;EOMONTH(DATE($B$3,2,1),0),NETWORKDAYS.INTL(DATE($B$3,2,28),DATE($B$3,2,28),1,'Non-working days'!$A$6:$A$45)=0),"",IF(COUNTIFS('Leave log'!$A$7:$A$306,Employees!$A$28,'Leave log'!$B$7:$B$306,"&lt;="&amp;DATE($B$3,2,28),'Leave log'!$C$7:$C$306,"&gt;="&amp;DATE($B$3,2,28),'Leave log'!$F$7:$F$306,"Pending")&gt;0,"P",""))))</f>
        <v/>
      </c>
      <c r="AD63" s="23" t="str">
        <f>IF(A63="","",IF(IF(OR(DATE($B$3,2,29)&gt;EOMONTH(DATE($B$3,2,1),0),NETWORKDAYS.INTL(DATE($B$3,2,29),DATE($B$3,2,29),1,'Non-working days'!$A$6:$A$45)=0),"",IF(COUNTIFS('Leave log'!$A$7:$A$306,Employees!$A$28,'Leave log'!$B$7:$B$306,"&lt;="&amp;DATE($B$3,2,29),'Leave log'!$C$7:$C$306,"&gt;="&amp;DATE($B$3,2,29),'Leave log'!$F$7:$F$306,"Approved")&gt;0,"A",""))="A","A",IF(OR(DATE($B$3,2,29)&gt;EOMONTH(DATE($B$3,2,1),0),NETWORKDAYS.INTL(DATE($B$3,2,29),DATE($B$3,2,29),1,'Non-working days'!$A$6:$A$45)=0),"",IF(COUNTIFS('Leave log'!$A$7:$A$306,Employees!$A$28,'Leave log'!$B$7:$B$306,"&lt;="&amp;DATE($B$3,2,29),'Leave log'!$C$7:$C$306,"&gt;="&amp;DATE($B$3,2,29),'Leave log'!$F$7:$F$306,"Pending")&gt;0,"P",""))))</f>
        <v/>
      </c>
      <c r="AE63" s="23" t="str">
        <f>IF(A63="","",IF(IF(OR(DATE($B$3,2,30)&gt;EOMONTH(DATE($B$3,2,1),0),NETWORKDAYS.INTL(DATE($B$3,2,30),DATE($B$3,2,30),1,'Non-working days'!$A$6:$A$45)=0),"",IF(COUNTIFS('Leave log'!$A$7:$A$306,Employees!$A$28,'Leave log'!$B$7:$B$306,"&lt;="&amp;DATE($B$3,2,30),'Leave log'!$C$7:$C$306,"&gt;="&amp;DATE($B$3,2,30),'Leave log'!$F$7:$F$306,"Approved")&gt;0,"A",""))="A","A",IF(OR(DATE($B$3,2,30)&gt;EOMONTH(DATE($B$3,2,1),0),NETWORKDAYS.INTL(DATE($B$3,2,30),DATE($B$3,2,30),1,'Non-working days'!$A$6:$A$45)=0),"",IF(COUNTIFS('Leave log'!$A$7:$A$306,Employees!$A$28,'Leave log'!$B$7:$B$306,"&lt;="&amp;DATE($B$3,2,30),'Leave log'!$C$7:$C$306,"&gt;="&amp;DATE($B$3,2,30),'Leave log'!$F$7:$F$306,"Pending")&gt;0,"P",""))))</f>
        <v/>
      </c>
      <c r="AF63" s="23" t="str">
        <f>IF(A63="","",IF(IF(OR(DATE($B$3,2,31)&gt;EOMONTH(DATE($B$3,2,1),0),NETWORKDAYS.INTL(DATE($B$3,2,31),DATE($B$3,2,31),1,'Non-working days'!$A$6:$A$45)=0),"",IF(COUNTIFS('Leave log'!$A$7:$A$306,Employees!$A$28,'Leave log'!$B$7:$B$306,"&lt;="&amp;DATE($B$3,2,31),'Leave log'!$C$7:$C$306,"&gt;="&amp;DATE($B$3,2,31),'Leave log'!$F$7:$F$306,"Approved")&gt;0,"A",""))="A","A",IF(OR(DATE($B$3,2,31)&gt;EOMONTH(DATE($B$3,2,1),0),NETWORKDAYS.INTL(DATE($B$3,2,31),DATE($B$3,2,31),1,'Non-working days'!$A$6:$A$45)=0),"",IF(COUNTIFS('Leave log'!$A$7:$A$306,Employees!$A$28,'Leave log'!$B$7:$B$306,"&lt;="&amp;DATE($B$3,2,31),'Leave log'!$C$7:$C$306,"&gt;="&amp;DATE($B$3,2,31),'Leave log'!$F$7:$F$306,"Pending")&gt;0,"P",""))))</f>
        <v/>
      </c>
    </row>
    <row r="64" spans="1:32" ht="18" customHeight="1" x14ac:dyDescent="0.3">
      <c r="A64" s="22" t="str">
        <f>IF(Employees!F29="Yes",Employees!B29,"")</f>
        <v/>
      </c>
      <c r="B64" s="23" t="str">
        <f>IF(A64="","",IF(IF(OR(DATE($B$3,2,1)&gt;EOMONTH(DATE($B$3,2,1),0),NETWORKDAYS.INTL(DATE($B$3,2,1),DATE($B$3,2,1),1,'Non-working days'!$A$6:$A$45)=0),"",IF(COUNTIFS('Leave log'!$A$7:$A$306,Employees!$A$29,'Leave log'!$B$7:$B$306,"&lt;="&amp;DATE($B$3,2,1),'Leave log'!$C$7:$C$306,"&gt;="&amp;DATE($B$3,2,1),'Leave log'!$F$7:$F$306,"Approved")&gt;0,"A",""))="A","A",IF(OR(DATE($B$3,2,1)&gt;EOMONTH(DATE($B$3,2,1),0),NETWORKDAYS.INTL(DATE($B$3,2,1),DATE($B$3,2,1),1,'Non-working days'!$A$6:$A$45)=0),"",IF(COUNTIFS('Leave log'!$A$7:$A$306,Employees!$A$29,'Leave log'!$B$7:$B$306,"&lt;="&amp;DATE($B$3,2,1),'Leave log'!$C$7:$C$306,"&gt;="&amp;DATE($B$3,2,1),'Leave log'!$F$7:$F$306,"Pending")&gt;0,"P",""))))</f>
        <v/>
      </c>
      <c r="C64" s="23" t="str">
        <f>IF(A64="","",IF(IF(OR(DATE($B$3,2,2)&gt;EOMONTH(DATE($B$3,2,1),0),NETWORKDAYS.INTL(DATE($B$3,2,2),DATE($B$3,2,2),1,'Non-working days'!$A$6:$A$45)=0),"",IF(COUNTIFS('Leave log'!$A$7:$A$306,Employees!$A$29,'Leave log'!$B$7:$B$306,"&lt;="&amp;DATE($B$3,2,2),'Leave log'!$C$7:$C$306,"&gt;="&amp;DATE($B$3,2,2),'Leave log'!$F$7:$F$306,"Approved")&gt;0,"A",""))="A","A",IF(OR(DATE($B$3,2,2)&gt;EOMONTH(DATE($B$3,2,1),0),NETWORKDAYS.INTL(DATE($B$3,2,2),DATE($B$3,2,2),1,'Non-working days'!$A$6:$A$45)=0),"",IF(COUNTIFS('Leave log'!$A$7:$A$306,Employees!$A$29,'Leave log'!$B$7:$B$306,"&lt;="&amp;DATE($B$3,2,2),'Leave log'!$C$7:$C$306,"&gt;="&amp;DATE($B$3,2,2),'Leave log'!$F$7:$F$306,"Pending")&gt;0,"P",""))))</f>
        <v/>
      </c>
      <c r="D64" s="23" t="str">
        <f>IF(A64="","",IF(IF(OR(DATE($B$3,2,3)&gt;EOMONTH(DATE($B$3,2,1),0),NETWORKDAYS.INTL(DATE($B$3,2,3),DATE($B$3,2,3),1,'Non-working days'!$A$6:$A$45)=0),"",IF(COUNTIFS('Leave log'!$A$7:$A$306,Employees!$A$29,'Leave log'!$B$7:$B$306,"&lt;="&amp;DATE($B$3,2,3),'Leave log'!$C$7:$C$306,"&gt;="&amp;DATE($B$3,2,3),'Leave log'!$F$7:$F$306,"Approved")&gt;0,"A",""))="A","A",IF(OR(DATE($B$3,2,3)&gt;EOMONTH(DATE($B$3,2,1),0),NETWORKDAYS.INTL(DATE($B$3,2,3),DATE($B$3,2,3),1,'Non-working days'!$A$6:$A$45)=0),"",IF(COUNTIFS('Leave log'!$A$7:$A$306,Employees!$A$29,'Leave log'!$B$7:$B$306,"&lt;="&amp;DATE($B$3,2,3),'Leave log'!$C$7:$C$306,"&gt;="&amp;DATE($B$3,2,3),'Leave log'!$F$7:$F$306,"Pending")&gt;0,"P",""))))</f>
        <v/>
      </c>
      <c r="E64" s="23" t="str">
        <f>IF(A64="","",IF(IF(OR(DATE($B$3,2,4)&gt;EOMONTH(DATE($B$3,2,1),0),NETWORKDAYS.INTL(DATE($B$3,2,4),DATE($B$3,2,4),1,'Non-working days'!$A$6:$A$45)=0),"",IF(COUNTIFS('Leave log'!$A$7:$A$306,Employees!$A$29,'Leave log'!$B$7:$B$306,"&lt;="&amp;DATE($B$3,2,4),'Leave log'!$C$7:$C$306,"&gt;="&amp;DATE($B$3,2,4),'Leave log'!$F$7:$F$306,"Approved")&gt;0,"A",""))="A","A",IF(OR(DATE($B$3,2,4)&gt;EOMONTH(DATE($B$3,2,1),0),NETWORKDAYS.INTL(DATE($B$3,2,4),DATE($B$3,2,4),1,'Non-working days'!$A$6:$A$45)=0),"",IF(COUNTIFS('Leave log'!$A$7:$A$306,Employees!$A$29,'Leave log'!$B$7:$B$306,"&lt;="&amp;DATE($B$3,2,4),'Leave log'!$C$7:$C$306,"&gt;="&amp;DATE($B$3,2,4),'Leave log'!$F$7:$F$306,"Pending")&gt;0,"P",""))))</f>
        <v/>
      </c>
      <c r="F64" s="23" t="str">
        <f>IF(A64="","",IF(IF(OR(DATE($B$3,2,5)&gt;EOMONTH(DATE($B$3,2,1),0),NETWORKDAYS.INTL(DATE($B$3,2,5),DATE($B$3,2,5),1,'Non-working days'!$A$6:$A$45)=0),"",IF(COUNTIFS('Leave log'!$A$7:$A$306,Employees!$A$29,'Leave log'!$B$7:$B$306,"&lt;="&amp;DATE($B$3,2,5),'Leave log'!$C$7:$C$306,"&gt;="&amp;DATE($B$3,2,5),'Leave log'!$F$7:$F$306,"Approved")&gt;0,"A",""))="A","A",IF(OR(DATE($B$3,2,5)&gt;EOMONTH(DATE($B$3,2,1),0),NETWORKDAYS.INTL(DATE($B$3,2,5),DATE($B$3,2,5),1,'Non-working days'!$A$6:$A$45)=0),"",IF(COUNTIFS('Leave log'!$A$7:$A$306,Employees!$A$29,'Leave log'!$B$7:$B$306,"&lt;="&amp;DATE($B$3,2,5),'Leave log'!$C$7:$C$306,"&gt;="&amp;DATE($B$3,2,5),'Leave log'!$F$7:$F$306,"Pending")&gt;0,"P",""))))</f>
        <v/>
      </c>
      <c r="G64" s="23" t="str">
        <f>IF(A64="","",IF(IF(OR(DATE($B$3,2,6)&gt;EOMONTH(DATE($B$3,2,1),0),NETWORKDAYS.INTL(DATE($B$3,2,6),DATE($B$3,2,6),1,'Non-working days'!$A$6:$A$45)=0),"",IF(COUNTIFS('Leave log'!$A$7:$A$306,Employees!$A$29,'Leave log'!$B$7:$B$306,"&lt;="&amp;DATE($B$3,2,6),'Leave log'!$C$7:$C$306,"&gt;="&amp;DATE($B$3,2,6),'Leave log'!$F$7:$F$306,"Approved")&gt;0,"A",""))="A","A",IF(OR(DATE($B$3,2,6)&gt;EOMONTH(DATE($B$3,2,1),0),NETWORKDAYS.INTL(DATE($B$3,2,6),DATE($B$3,2,6),1,'Non-working days'!$A$6:$A$45)=0),"",IF(COUNTIFS('Leave log'!$A$7:$A$306,Employees!$A$29,'Leave log'!$B$7:$B$306,"&lt;="&amp;DATE($B$3,2,6),'Leave log'!$C$7:$C$306,"&gt;="&amp;DATE($B$3,2,6),'Leave log'!$F$7:$F$306,"Pending")&gt;0,"P",""))))</f>
        <v/>
      </c>
      <c r="H64" s="23" t="str">
        <f>IF(A64="","",IF(IF(OR(DATE($B$3,2,7)&gt;EOMONTH(DATE($B$3,2,1),0),NETWORKDAYS.INTL(DATE($B$3,2,7),DATE($B$3,2,7),1,'Non-working days'!$A$6:$A$45)=0),"",IF(COUNTIFS('Leave log'!$A$7:$A$306,Employees!$A$29,'Leave log'!$B$7:$B$306,"&lt;="&amp;DATE($B$3,2,7),'Leave log'!$C$7:$C$306,"&gt;="&amp;DATE($B$3,2,7),'Leave log'!$F$7:$F$306,"Approved")&gt;0,"A",""))="A","A",IF(OR(DATE($B$3,2,7)&gt;EOMONTH(DATE($B$3,2,1),0),NETWORKDAYS.INTL(DATE($B$3,2,7),DATE($B$3,2,7),1,'Non-working days'!$A$6:$A$45)=0),"",IF(COUNTIFS('Leave log'!$A$7:$A$306,Employees!$A$29,'Leave log'!$B$7:$B$306,"&lt;="&amp;DATE($B$3,2,7),'Leave log'!$C$7:$C$306,"&gt;="&amp;DATE($B$3,2,7),'Leave log'!$F$7:$F$306,"Pending")&gt;0,"P",""))))</f>
        <v/>
      </c>
      <c r="I64" s="23" t="str">
        <f>IF(A64="","",IF(IF(OR(DATE($B$3,2,8)&gt;EOMONTH(DATE($B$3,2,1),0),NETWORKDAYS.INTL(DATE($B$3,2,8),DATE($B$3,2,8),1,'Non-working days'!$A$6:$A$45)=0),"",IF(COUNTIFS('Leave log'!$A$7:$A$306,Employees!$A$29,'Leave log'!$B$7:$B$306,"&lt;="&amp;DATE($B$3,2,8),'Leave log'!$C$7:$C$306,"&gt;="&amp;DATE($B$3,2,8),'Leave log'!$F$7:$F$306,"Approved")&gt;0,"A",""))="A","A",IF(OR(DATE($B$3,2,8)&gt;EOMONTH(DATE($B$3,2,1),0),NETWORKDAYS.INTL(DATE($B$3,2,8),DATE($B$3,2,8),1,'Non-working days'!$A$6:$A$45)=0),"",IF(COUNTIFS('Leave log'!$A$7:$A$306,Employees!$A$29,'Leave log'!$B$7:$B$306,"&lt;="&amp;DATE($B$3,2,8),'Leave log'!$C$7:$C$306,"&gt;="&amp;DATE($B$3,2,8),'Leave log'!$F$7:$F$306,"Pending")&gt;0,"P",""))))</f>
        <v/>
      </c>
      <c r="J64" s="23" t="str">
        <f>IF(A64="","",IF(IF(OR(DATE($B$3,2,9)&gt;EOMONTH(DATE($B$3,2,1),0),NETWORKDAYS.INTL(DATE($B$3,2,9),DATE($B$3,2,9),1,'Non-working days'!$A$6:$A$45)=0),"",IF(COUNTIFS('Leave log'!$A$7:$A$306,Employees!$A$29,'Leave log'!$B$7:$B$306,"&lt;="&amp;DATE($B$3,2,9),'Leave log'!$C$7:$C$306,"&gt;="&amp;DATE($B$3,2,9),'Leave log'!$F$7:$F$306,"Approved")&gt;0,"A",""))="A","A",IF(OR(DATE($B$3,2,9)&gt;EOMONTH(DATE($B$3,2,1),0),NETWORKDAYS.INTL(DATE($B$3,2,9),DATE($B$3,2,9),1,'Non-working days'!$A$6:$A$45)=0),"",IF(COUNTIFS('Leave log'!$A$7:$A$306,Employees!$A$29,'Leave log'!$B$7:$B$306,"&lt;="&amp;DATE($B$3,2,9),'Leave log'!$C$7:$C$306,"&gt;="&amp;DATE($B$3,2,9),'Leave log'!$F$7:$F$306,"Pending")&gt;0,"P",""))))</f>
        <v/>
      </c>
      <c r="K64" s="23" t="str">
        <f>IF(A64="","",IF(IF(OR(DATE($B$3,2,10)&gt;EOMONTH(DATE($B$3,2,1),0),NETWORKDAYS.INTL(DATE($B$3,2,10),DATE($B$3,2,10),1,'Non-working days'!$A$6:$A$45)=0),"",IF(COUNTIFS('Leave log'!$A$7:$A$306,Employees!$A$29,'Leave log'!$B$7:$B$306,"&lt;="&amp;DATE($B$3,2,10),'Leave log'!$C$7:$C$306,"&gt;="&amp;DATE($B$3,2,10),'Leave log'!$F$7:$F$306,"Approved")&gt;0,"A",""))="A","A",IF(OR(DATE($B$3,2,10)&gt;EOMONTH(DATE($B$3,2,1),0),NETWORKDAYS.INTL(DATE($B$3,2,10),DATE($B$3,2,10),1,'Non-working days'!$A$6:$A$45)=0),"",IF(COUNTIFS('Leave log'!$A$7:$A$306,Employees!$A$29,'Leave log'!$B$7:$B$306,"&lt;="&amp;DATE($B$3,2,10),'Leave log'!$C$7:$C$306,"&gt;="&amp;DATE($B$3,2,10),'Leave log'!$F$7:$F$306,"Pending")&gt;0,"P",""))))</f>
        <v/>
      </c>
      <c r="L64" s="23" t="str">
        <f>IF(A64="","",IF(IF(OR(DATE($B$3,2,11)&gt;EOMONTH(DATE($B$3,2,1),0),NETWORKDAYS.INTL(DATE($B$3,2,11),DATE($B$3,2,11),1,'Non-working days'!$A$6:$A$45)=0),"",IF(COUNTIFS('Leave log'!$A$7:$A$306,Employees!$A$29,'Leave log'!$B$7:$B$306,"&lt;="&amp;DATE($B$3,2,11),'Leave log'!$C$7:$C$306,"&gt;="&amp;DATE($B$3,2,11),'Leave log'!$F$7:$F$306,"Approved")&gt;0,"A",""))="A","A",IF(OR(DATE($B$3,2,11)&gt;EOMONTH(DATE($B$3,2,1),0),NETWORKDAYS.INTL(DATE($B$3,2,11),DATE($B$3,2,11),1,'Non-working days'!$A$6:$A$45)=0),"",IF(COUNTIFS('Leave log'!$A$7:$A$306,Employees!$A$29,'Leave log'!$B$7:$B$306,"&lt;="&amp;DATE($B$3,2,11),'Leave log'!$C$7:$C$306,"&gt;="&amp;DATE($B$3,2,11),'Leave log'!$F$7:$F$306,"Pending")&gt;0,"P",""))))</f>
        <v/>
      </c>
      <c r="M64" s="23" t="str">
        <f>IF(A64="","",IF(IF(OR(DATE($B$3,2,12)&gt;EOMONTH(DATE($B$3,2,1),0),NETWORKDAYS.INTL(DATE($B$3,2,12),DATE($B$3,2,12),1,'Non-working days'!$A$6:$A$45)=0),"",IF(COUNTIFS('Leave log'!$A$7:$A$306,Employees!$A$29,'Leave log'!$B$7:$B$306,"&lt;="&amp;DATE($B$3,2,12),'Leave log'!$C$7:$C$306,"&gt;="&amp;DATE($B$3,2,12),'Leave log'!$F$7:$F$306,"Approved")&gt;0,"A",""))="A","A",IF(OR(DATE($B$3,2,12)&gt;EOMONTH(DATE($B$3,2,1),0),NETWORKDAYS.INTL(DATE($B$3,2,12),DATE($B$3,2,12),1,'Non-working days'!$A$6:$A$45)=0),"",IF(COUNTIFS('Leave log'!$A$7:$A$306,Employees!$A$29,'Leave log'!$B$7:$B$306,"&lt;="&amp;DATE($B$3,2,12),'Leave log'!$C$7:$C$306,"&gt;="&amp;DATE($B$3,2,12),'Leave log'!$F$7:$F$306,"Pending")&gt;0,"P",""))))</f>
        <v/>
      </c>
      <c r="N64" s="23" t="str">
        <f>IF(A64="","",IF(IF(OR(DATE($B$3,2,13)&gt;EOMONTH(DATE($B$3,2,1),0),NETWORKDAYS.INTL(DATE($B$3,2,13),DATE($B$3,2,13),1,'Non-working days'!$A$6:$A$45)=0),"",IF(COUNTIFS('Leave log'!$A$7:$A$306,Employees!$A$29,'Leave log'!$B$7:$B$306,"&lt;="&amp;DATE($B$3,2,13),'Leave log'!$C$7:$C$306,"&gt;="&amp;DATE($B$3,2,13),'Leave log'!$F$7:$F$306,"Approved")&gt;0,"A",""))="A","A",IF(OR(DATE($B$3,2,13)&gt;EOMONTH(DATE($B$3,2,1),0),NETWORKDAYS.INTL(DATE($B$3,2,13),DATE($B$3,2,13),1,'Non-working days'!$A$6:$A$45)=0),"",IF(COUNTIFS('Leave log'!$A$7:$A$306,Employees!$A$29,'Leave log'!$B$7:$B$306,"&lt;="&amp;DATE($B$3,2,13),'Leave log'!$C$7:$C$306,"&gt;="&amp;DATE($B$3,2,13),'Leave log'!$F$7:$F$306,"Pending")&gt;0,"P",""))))</f>
        <v/>
      </c>
      <c r="O64" s="23" t="str">
        <f>IF(A64="","",IF(IF(OR(DATE($B$3,2,14)&gt;EOMONTH(DATE($B$3,2,1),0),NETWORKDAYS.INTL(DATE($B$3,2,14),DATE($B$3,2,14),1,'Non-working days'!$A$6:$A$45)=0),"",IF(COUNTIFS('Leave log'!$A$7:$A$306,Employees!$A$29,'Leave log'!$B$7:$B$306,"&lt;="&amp;DATE($B$3,2,14),'Leave log'!$C$7:$C$306,"&gt;="&amp;DATE($B$3,2,14),'Leave log'!$F$7:$F$306,"Approved")&gt;0,"A",""))="A","A",IF(OR(DATE($B$3,2,14)&gt;EOMONTH(DATE($B$3,2,1),0),NETWORKDAYS.INTL(DATE($B$3,2,14),DATE($B$3,2,14),1,'Non-working days'!$A$6:$A$45)=0),"",IF(COUNTIFS('Leave log'!$A$7:$A$306,Employees!$A$29,'Leave log'!$B$7:$B$306,"&lt;="&amp;DATE($B$3,2,14),'Leave log'!$C$7:$C$306,"&gt;="&amp;DATE($B$3,2,14),'Leave log'!$F$7:$F$306,"Pending")&gt;0,"P",""))))</f>
        <v/>
      </c>
      <c r="P64" s="23" t="str">
        <f>IF(A64="","",IF(IF(OR(DATE($B$3,2,15)&gt;EOMONTH(DATE($B$3,2,1),0),NETWORKDAYS.INTL(DATE($B$3,2,15),DATE($B$3,2,15),1,'Non-working days'!$A$6:$A$45)=0),"",IF(COUNTIFS('Leave log'!$A$7:$A$306,Employees!$A$29,'Leave log'!$B$7:$B$306,"&lt;="&amp;DATE($B$3,2,15),'Leave log'!$C$7:$C$306,"&gt;="&amp;DATE($B$3,2,15),'Leave log'!$F$7:$F$306,"Approved")&gt;0,"A",""))="A","A",IF(OR(DATE($B$3,2,15)&gt;EOMONTH(DATE($B$3,2,1),0),NETWORKDAYS.INTL(DATE($B$3,2,15),DATE($B$3,2,15),1,'Non-working days'!$A$6:$A$45)=0),"",IF(COUNTIFS('Leave log'!$A$7:$A$306,Employees!$A$29,'Leave log'!$B$7:$B$306,"&lt;="&amp;DATE($B$3,2,15),'Leave log'!$C$7:$C$306,"&gt;="&amp;DATE($B$3,2,15),'Leave log'!$F$7:$F$306,"Pending")&gt;0,"P",""))))</f>
        <v/>
      </c>
      <c r="Q64" s="23" t="str">
        <f>IF(A64="","",IF(IF(OR(DATE($B$3,2,16)&gt;EOMONTH(DATE($B$3,2,1),0),NETWORKDAYS.INTL(DATE($B$3,2,16),DATE($B$3,2,16),1,'Non-working days'!$A$6:$A$45)=0),"",IF(COUNTIFS('Leave log'!$A$7:$A$306,Employees!$A$29,'Leave log'!$B$7:$B$306,"&lt;="&amp;DATE($B$3,2,16),'Leave log'!$C$7:$C$306,"&gt;="&amp;DATE($B$3,2,16),'Leave log'!$F$7:$F$306,"Approved")&gt;0,"A",""))="A","A",IF(OR(DATE($B$3,2,16)&gt;EOMONTH(DATE($B$3,2,1),0),NETWORKDAYS.INTL(DATE($B$3,2,16),DATE($B$3,2,16),1,'Non-working days'!$A$6:$A$45)=0),"",IF(COUNTIFS('Leave log'!$A$7:$A$306,Employees!$A$29,'Leave log'!$B$7:$B$306,"&lt;="&amp;DATE($B$3,2,16),'Leave log'!$C$7:$C$306,"&gt;="&amp;DATE($B$3,2,16),'Leave log'!$F$7:$F$306,"Pending")&gt;0,"P",""))))</f>
        <v/>
      </c>
      <c r="R64" s="23" t="str">
        <f>IF(A64="","",IF(IF(OR(DATE($B$3,2,17)&gt;EOMONTH(DATE($B$3,2,1),0),NETWORKDAYS.INTL(DATE($B$3,2,17),DATE($B$3,2,17),1,'Non-working days'!$A$6:$A$45)=0),"",IF(COUNTIFS('Leave log'!$A$7:$A$306,Employees!$A$29,'Leave log'!$B$7:$B$306,"&lt;="&amp;DATE($B$3,2,17),'Leave log'!$C$7:$C$306,"&gt;="&amp;DATE($B$3,2,17),'Leave log'!$F$7:$F$306,"Approved")&gt;0,"A",""))="A","A",IF(OR(DATE($B$3,2,17)&gt;EOMONTH(DATE($B$3,2,1),0),NETWORKDAYS.INTL(DATE($B$3,2,17),DATE($B$3,2,17),1,'Non-working days'!$A$6:$A$45)=0),"",IF(COUNTIFS('Leave log'!$A$7:$A$306,Employees!$A$29,'Leave log'!$B$7:$B$306,"&lt;="&amp;DATE($B$3,2,17),'Leave log'!$C$7:$C$306,"&gt;="&amp;DATE($B$3,2,17),'Leave log'!$F$7:$F$306,"Pending")&gt;0,"P",""))))</f>
        <v/>
      </c>
      <c r="S64" s="23" t="str">
        <f>IF(A64="","",IF(IF(OR(DATE($B$3,2,18)&gt;EOMONTH(DATE($B$3,2,1),0),NETWORKDAYS.INTL(DATE($B$3,2,18),DATE($B$3,2,18),1,'Non-working days'!$A$6:$A$45)=0),"",IF(COUNTIFS('Leave log'!$A$7:$A$306,Employees!$A$29,'Leave log'!$B$7:$B$306,"&lt;="&amp;DATE($B$3,2,18),'Leave log'!$C$7:$C$306,"&gt;="&amp;DATE($B$3,2,18),'Leave log'!$F$7:$F$306,"Approved")&gt;0,"A",""))="A","A",IF(OR(DATE($B$3,2,18)&gt;EOMONTH(DATE($B$3,2,1),0),NETWORKDAYS.INTL(DATE($B$3,2,18),DATE($B$3,2,18),1,'Non-working days'!$A$6:$A$45)=0),"",IF(COUNTIFS('Leave log'!$A$7:$A$306,Employees!$A$29,'Leave log'!$B$7:$B$306,"&lt;="&amp;DATE($B$3,2,18),'Leave log'!$C$7:$C$306,"&gt;="&amp;DATE($B$3,2,18),'Leave log'!$F$7:$F$306,"Pending")&gt;0,"P",""))))</f>
        <v/>
      </c>
      <c r="T64" s="23" t="str">
        <f>IF(A64="","",IF(IF(OR(DATE($B$3,2,19)&gt;EOMONTH(DATE($B$3,2,1),0),NETWORKDAYS.INTL(DATE($B$3,2,19),DATE($B$3,2,19),1,'Non-working days'!$A$6:$A$45)=0),"",IF(COUNTIFS('Leave log'!$A$7:$A$306,Employees!$A$29,'Leave log'!$B$7:$B$306,"&lt;="&amp;DATE($B$3,2,19),'Leave log'!$C$7:$C$306,"&gt;="&amp;DATE($B$3,2,19),'Leave log'!$F$7:$F$306,"Approved")&gt;0,"A",""))="A","A",IF(OR(DATE($B$3,2,19)&gt;EOMONTH(DATE($B$3,2,1),0),NETWORKDAYS.INTL(DATE($B$3,2,19),DATE($B$3,2,19),1,'Non-working days'!$A$6:$A$45)=0),"",IF(COUNTIFS('Leave log'!$A$7:$A$306,Employees!$A$29,'Leave log'!$B$7:$B$306,"&lt;="&amp;DATE($B$3,2,19),'Leave log'!$C$7:$C$306,"&gt;="&amp;DATE($B$3,2,19),'Leave log'!$F$7:$F$306,"Pending")&gt;0,"P",""))))</f>
        <v/>
      </c>
      <c r="U64" s="23" t="str">
        <f>IF(A64="","",IF(IF(OR(DATE($B$3,2,20)&gt;EOMONTH(DATE($B$3,2,1),0),NETWORKDAYS.INTL(DATE($B$3,2,20),DATE($B$3,2,20),1,'Non-working days'!$A$6:$A$45)=0),"",IF(COUNTIFS('Leave log'!$A$7:$A$306,Employees!$A$29,'Leave log'!$B$7:$B$306,"&lt;="&amp;DATE($B$3,2,20),'Leave log'!$C$7:$C$306,"&gt;="&amp;DATE($B$3,2,20),'Leave log'!$F$7:$F$306,"Approved")&gt;0,"A",""))="A","A",IF(OR(DATE($B$3,2,20)&gt;EOMONTH(DATE($B$3,2,1),0),NETWORKDAYS.INTL(DATE($B$3,2,20),DATE($B$3,2,20),1,'Non-working days'!$A$6:$A$45)=0),"",IF(COUNTIFS('Leave log'!$A$7:$A$306,Employees!$A$29,'Leave log'!$B$7:$B$306,"&lt;="&amp;DATE($B$3,2,20),'Leave log'!$C$7:$C$306,"&gt;="&amp;DATE($B$3,2,20),'Leave log'!$F$7:$F$306,"Pending")&gt;0,"P",""))))</f>
        <v/>
      </c>
      <c r="V64" s="23" t="str">
        <f>IF(A64="","",IF(IF(OR(DATE($B$3,2,21)&gt;EOMONTH(DATE($B$3,2,1),0),NETWORKDAYS.INTL(DATE($B$3,2,21),DATE($B$3,2,21),1,'Non-working days'!$A$6:$A$45)=0),"",IF(COUNTIFS('Leave log'!$A$7:$A$306,Employees!$A$29,'Leave log'!$B$7:$B$306,"&lt;="&amp;DATE($B$3,2,21),'Leave log'!$C$7:$C$306,"&gt;="&amp;DATE($B$3,2,21),'Leave log'!$F$7:$F$306,"Approved")&gt;0,"A",""))="A","A",IF(OR(DATE($B$3,2,21)&gt;EOMONTH(DATE($B$3,2,1),0),NETWORKDAYS.INTL(DATE($B$3,2,21),DATE($B$3,2,21),1,'Non-working days'!$A$6:$A$45)=0),"",IF(COUNTIFS('Leave log'!$A$7:$A$306,Employees!$A$29,'Leave log'!$B$7:$B$306,"&lt;="&amp;DATE($B$3,2,21),'Leave log'!$C$7:$C$306,"&gt;="&amp;DATE($B$3,2,21),'Leave log'!$F$7:$F$306,"Pending")&gt;0,"P",""))))</f>
        <v/>
      </c>
      <c r="W64" s="23" t="str">
        <f>IF(A64="","",IF(IF(OR(DATE($B$3,2,22)&gt;EOMONTH(DATE($B$3,2,1),0),NETWORKDAYS.INTL(DATE($B$3,2,22),DATE($B$3,2,22),1,'Non-working days'!$A$6:$A$45)=0),"",IF(COUNTIFS('Leave log'!$A$7:$A$306,Employees!$A$29,'Leave log'!$B$7:$B$306,"&lt;="&amp;DATE($B$3,2,22),'Leave log'!$C$7:$C$306,"&gt;="&amp;DATE($B$3,2,22),'Leave log'!$F$7:$F$306,"Approved")&gt;0,"A",""))="A","A",IF(OR(DATE($B$3,2,22)&gt;EOMONTH(DATE($B$3,2,1),0),NETWORKDAYS.INTL(DATE($B$3,2,22),DATE($B$3,2,22),1,'Non-working days'!$A$6:$A$45)=0),"",IF(COUNTIFS('Leave log'!$A$7:$A$306,Employees!$A$29,'Leave log'!$B$7:$B$306,"&lt;="&amp;DATE($B$3,2,22),'Leave log'!$C$7:$C$306,"&gt;="&amp;DATE($B$3,2,22),'Leave log'!$F$7:$F$306,"Pending")&gt;0,"P",""))))</f>
        <v/>
      </c>
      <c r="X64" s="23" t="str">
        <f>IF(A64="","",IF(IF(OR(DATE($B$3,2,23)&gt;EOMONTH(DATE($B$3,2,1),0),NETWORKDAYS.INTL(DATE($B$3,2,23),DATE($B$3,2,23),1,'Non-working days'!$A$6:$A$45)=0),"",IF(COUNTIFS('Leave log'!$A$7:$A$306,Employees!$A$29,'Leave log'!$B$7:$B$306,"&lt;="&amp;DATE($B$3,2,23),'Leave log'!$C$7:$C$306,"&gt;="&amp;DATE($B$3,2,23),'Leave log'!$F$7:$F$306,"Approved")&gt;0,"A",""))="A","A",IF(OR(DATE($B$3,2,23)&gt;EOMONTH(DATE($B$3,2,1),0),NETWORKDAYS.INTL(DATE($B$3,2,23),DATE($B$3,2,23),1,'Non-working days'!$A$6:$A$45)=0),"",IF(COUNTIFS('Leave log'!$A$7:$A$306,Employees!$A$29,'Leave log'!$B$7:$B$306,"&lt;="&amp;DATE($B$3,2,23),'Leave log'!$C$7:$C$306,"&gt;="&amp;DATE($B$3,2,23),'Leave log'!$F$7:$F$306,"Pending")&gt;0,"P",""))))</f>
        <v/>
      </c>
      <c r="Y64" s="23" t="str">
        <f>IF(A64="","",IF(IF(OR(DATE($B$3,2,24)&gt;EOMONTH(DATE($B$3,2,1),0),NETWORKDAYS.INTL(DATE($B$3,2,24),DATE($B$3,2,24),1,'Non-working days'!$A$6:$A$45)=0),"",IF(COUNTIFS('Leave log'!$A$7:$A$306,Employees!$A$29,'Leave log'!$B$7:$B$306,"&lt;="&amp;DATE($B$3,2,24),'Leave log'!$C$7:$C$306,"&gt;="&amp;DATE($B$3,2,24),'Leave log'!$F$7:$F$306,"Approved")&gt;0,"A",""))="A","A",IF(OR(DATE($B$3,2,24)&gt;EOMONTH(DATE($B$3,2,1),0),NETWORKDAYS.INTL(DATE($B$3,2,24),DATE($B$3,2,24),1,'Non-working days'!$A$6:$A$45)=0),"",IF(COUNTIFS('Leave log'!$A$7:$A$306,Employees!$A$29,'Leave log'!$B$7:$B$306,"&lt;="&amp;DATE($B$3,2,24),'Leave log'!$C$7:$C$306,"&gt;="&amp;DATE($B$3,2,24),'Leave log'!$F$7:$F$306,"Pending")&gt;0,"P",""))))</f>
        <v/>
      </c>
      <c r="Z64" s="23" t="str">
        <f>IF(A64="","",IF(IF(OR(DATE($B$3,2,25)&gt;EOMONTH(DATE($B$3,2,1),0),NETWORKDAYS.INTL(DATE($B$3,2,25),DATE($B$3,2,25),1,'Non-working days'!$A$6:$A$45)=0),"",IF(COUNTIFS('Leave log'!$A$7:$A$306,Employees!$A$29,'Leave log'!$B$7:$B$306,"&lt;="&amp;DATE($B$3,2,25),'Leave log'!$C$7:$C$306,"&gt;="&amp;DATE($B$3,2,25),'Leave log'!$F$7:$F$306,"Approved")&gt;0,"A",""))="A","A",IF(OR(DATE($B$3,2,25)&gt;EOMONTH(DATE($B$3,2,1),0),NETWORKDAYS.INTL(DATE($B$3,2,25),DATE($B$3,2,25),1,'Non-working days'!$A$6:$A$45)=0),"",IF(COUNTIFS('Leave log'!$A$7:$A$306,Employees!$A$29,'Leave log'!$B$7:$B$306,"&lt;="&amp;DATE($B$3,2,25),'Leave log'!$C$7:$C$306,"&gt;="&amp;DATE($B$3,2,25),'Leave log'!$F$7:$F$306,"Pending")&gt;0,"P",""))))</f>
        <v/>
      </c>
      <c r="AA64" s="23" t="str">
        <f>IF(A64="","",IF(IF(OR(DATE($B$3,2,26)&gt;EOMONTH(DATE($B$3,2,1),0),NETWORKDAYS.INTL(DATE($B$3,2,26),DATE($B$3,2,26),1,'Non-working days'!$A$6:$A$45)=0),"",IF(COUNTIFS('Leave log'!$A$7:$A$306,Employees!$A$29,'Leave log'!$B$7:$B$306,"&lt;="&amp;DATE($B$3,2,26),'Leave log'!$C$7:$C$306,"&gt;="&amp;DATE($B$3,2,26),'Leave log'!$F$7:$F$306,"Approved")&gt;0,"A",""))="A","A",IF(OR(DATE($B$3,2,26)&gt;EOMONTH(DATE($B$3,2,1),0),NETWORKDAYS.INTL(DATE($B$3,2,26),DATE($B$3,2,26),1,'Non-working days'!$A$6:$A$45)=0),"",IF(COUNTIFS('Leave log'!$A$7:$A$306,Employees!$A$29,'Leave log'!$B$7:$B$306,"&lt;="&amp;DATE($B$3,2,26),'Leave log'!$C$7:$C$306,"&gt;="&amp;DATE($B$3,2,26),'Leave log'!$F$7:$F$306,"Pending")&gt;0,"P",""))))</f>
        <v/>
      </c>
      <c r="AB64" s="23" t="str">
        <f>IF(A64="","",IF(IF(OR(DATE($B$3,2,27)&gt;EOMONTH(DATE($B$3,2,1),0),NETWORKDAYS.INTL(DATE($B$3,2,27),DATE($B$3,2,27),1,'Non-working days'!$A$6:$A$45)=0),"",IF(COUNTIFS('Leave log'!$A$7:$A$306,Employees!$A$29,'Leave log'!$B$7:$B$306,"&lt;="&amp;DATE($B$3,2,27),'Leave log'!$C$7:$C$306,"&gt;="&amp;DATE($B$3,2,27),'Leave log'!$F$7:$F$306,"Approved")&gt;0,"A",""))="A","A",IF(OR(DATE($B$3,2,27)&gt;EOMONTH(DATE($B$3,2,1),0),NETWORKDAYS.INTL(DATE($B$3,2,27),DATE($B$3,2,27),1,'Non-working days'!$A$6:$A$45)=0),"",IF(COUNTIFS('Leave log'!$A$7:$A$306,Employees!$A$29,'Leave log'!$B$7:$B$306,"&lt;="&amp;DATE($B$3,2,27),'Leave log'!$C$7:$C$306,"&gt;="&amp;DATE($B$3,2,27),'Leave log'!$F$7:$F$306,"Pending")&gt;0,"P",""))))</f>
        <v/>
      </c>
      <c r="AC64" s="23" t="str">
        <f>IF(A64="","",IF(IF(OR(DATE($B$3,2,28)&gt;EOMONTH(DATE($B$3,2,1),0),NETWORKDAYS.INTL(DATE($B$3,2,28),DATE($B$3,2,28),1,'Non-working days'!$A$6:$A$45)=0),"",IF(COUNTIFS('Leave log'!$A$7:$A$306,Employees!$A$29,'Leave log'!$B$7:$B$306,"&lt;="&amp;DATE($B$3,2,28),'Leave log'!$C$7:$C$306,"&gt;="&amp;DATE($B$3,2,28),'Leave log'!$F$7:$F$306,"Approved")&gt;0,"A",""))="A","A",IF(OR(DATE($B$3,2,28)&gt;EOMONTH(DATE($B$3,2,1),0),NETWORKDAYS.INTL(DATE($B$3,2,28),DATE($B$3,2,28),1,'Non-working days'!$A$6:$A$45)=0),"",IF(COUNTIFS('Leave log'!$A$7:$A$306,Employees!$A$29,'Leave log'!$B$7:$B$306,"&lt;="&amp;DATE($B$3,2,28),'Leave log'!$C$7:$C$306,"&gt;="&amp;DATE($B$3,2,28),'Leave log'!$F$7:$F$306,"Pending")&gt;0,"P",""))))</f>
        <v/>
      </c>
      <c r="AD64" s="23" t="str">
        <f>IF(A64="","",IF(IF(OR(DATE($B$3,2,29)&gt;EOMONTH(DATE($B$3,2,1),0),NETWORKDAYS.INTL(DATE($B$3,2,29),DATE($B$3,2,29),1,'Non-working days'!$A$6:$A$45)=0),"",IF(COUNTIFS('Leave log'!$A$7:$A$306,Employees!$A$29,'Leave log'!$B$7:$B$306,"&lt;="&amp;DATE($B$3,2,29),'Leave log'!$C$7:$C$306,"&gt;="&amp;DATE($B$3,2,29),'Leave log'!$F$7:$F$306,"Approved")&gt;0,"A",""))="A","A",IF(OR(DATE($B$3,2,29)&gt;EOMONTH(DATE($B$3,2,1),0),NETWORKDAYS.INTL(DATE($B$3,2,29),DATE($B$3,2,29),1,'Non-working days'!$A$6:$A$45)=0),"",IF(COUNTIFS('Leave log'!$A$7:$A$306,Employees!$A$29,'Leave log'!$B$7:$B$306,"&lt;="&amp;DATE($B$3,2,29),'Leave log'!$C$7:$C$306,"&gt;="&amp;DATE($B$3,2,29),'Leave log'!$F$7:$F$306,"Pending")&gt;0,"P",""))))</f>
        <v/>
      </c>
      <c r="AE64" s="23" t="str">
        <f>IF(A64="","",IF(IF(OR(DATE($B$3,2,30)&gt;EOMONTH(DATE($B$3,2,1),0),NETWORKDAYS.INTL(DATE($B$3,2,30),DATE($B$3,2,30),1,'Non-working days'!$A$6:$A$45)=0),"",IF(COUNTIFS('Leave log'!$A$7:$A$306,Employees!$A$29,'Leave log'!$B$7:$B$306,"&lt;="&amp;DATE($B$3,2,30),'Leave log'!$C$7:$C$306,"&gt;="&amp;DATE($B$3,2,30),'Leave log'!$F$7:$F$306,"Approved")&gt;0,"A",""))="A","A",IF(OR(DATE($B$3,2,30)&gt;EOMONTH(DATE($B$3,2,1),0),NETWORKDAYS.INTL(DATE($B$3,2,30),DATE($B$3,2,30),1,'Non-working days'!$A$6:$A$45)=0),"",IF(COUNTIFS('Leave log'!$A$7:$A$306,Employees!$A$29,'Leave log'!$B$7:$B$306,"&lt;="&amp;DATE($B$3,2,30),'Leave log'!$C$7:$C$306,"&gt;="&amp;DATE($B$3,2,30),'Leave log'!$F$7:$F$306,"Pending")&gt;0,"P",""))))</f>
        <v/>
      </c>
      <c r="AF64" s="23" t="str">
        <f>IF(A64="","",IF(IF(OR(DATE($B$3,2,31)&gt;EOMONTH(DATE($B$3,2,1),0),NETWORKDAYS.INTL(DATE($B$3,2,31),DATE($B$3,2,31),1,'Non-working days'!$A$6:$A$45)=0),"",IF(COUNTIFS('Leave log'!$A$7:$A$306,Employees!$A$29,'Leave log'!$B$7:$B$306,"&lt;="&amp;DATE($B$3,2,31),'Leave log'!$C$7:$C$306,"&gt;="&amp;DATE($B$3,2,31),'Leave log'!$F$7:$F$306,"Approved")&gt;0,"A",""))="A","A",IF(OR(DATE($B$3,2,31)&gt;EOMONTH(DATE($B$3,2,1),0),NETWORKDAYS.INTL(DATE($B$3,2,31),DATE($B$3,2,31),1,'Non-working days'!$A$6:$A$45)=0),"",IF(COUNTIFS('Leave log'!$A$7:$A$306,Employees!$A$29,'Leave log'!$B$7:$B$306,"&lt;="&amp;DATE($B$3,2,31),'Leave log'!$C$7:$C$306,"&gt;="&amp;DATE($B$3,2,31),'Leave log'!$F$7:$F$306,"Pending")&gt;0,"P",""))))</f>
        <v/>
      </c>
    </row>
    <row r="65" spans="1:32" ht="18" customHeight="1" x14ac:dyDescent="0.3">
      <c r="A65" s="22" t="str">
        <f>IF(Employees!F30="Yes",Employees!B30,"")</f>
        <v/>
      </c>
      <c r="B65" s="23" t="str">
        <f>IF(A65="","",IF(IF(OR(DATE($B$3,2,1)&gt;EOMONTH(DATE($B$3,2,1),0),NETWORKDAYS.INTL(DATE($B$3,2,1),DATE($B$3,2,1),1,'Non-working days'!$A$6:$A$45)=0),"",IF(COUNTIFS('Leave log'!$A$7:$A$306,Employees!$A$30,'Leave log'!$B$7:$B$306,"&lt;="&amp;DATE($B$3,2,1),'Leave log'!$C$7:$C$306,"&gt;="&amp;DATE($B$3,2,1),'Leave log'!$F$7:$F$306,"Approved")&gt;0,"A",""))="A","A",IF(OR(DATE($B$3,2,1)&gt;EOMONTH(DATE($B$3,2,1),0),NETWORKDAYS.INTL(DATE($B$3,2,1),DATE($B$3,2,1),1,'Non-working days'!$A$6:$A$45)=0),"",IF(COUNTIFS('Leave log'!$A$7:$A$306,Employees!$A$30,'Leave log'!$B$7:$B$306,"&lt;="&amp;DATE($B$3,2,1),'Leave log'!$C$7:$C$306,"&gt;="&amp;DATE($B$3,2,1),'Leave log'!$F$7:$F$306,"Pending")&gt;0,"P",""))))</f>
        <v/>
      </c>
      <c r="C65" s="23" t="str">
        <f>IF(A65="","",IF(IF(OR(DATE($B$3,2,2)&gt;EOMONTH(DATE($B$3,2,1),0),NETWORKDAYS.INTL(DATE($B$3,2,2),DATE($B$3,2,2),1,'Non-working days'!$A$6:$A$45)=0),"",IF(COUNTIFS('Leave log'!$A$7:$A$306,Employees!$A$30,'Leave log'!$B$7:$B$306,"&lt;="&amp;DATE($B$3,2,2),'Leave log'!$C$7:$C$306,"&gt;="&amp;DATE($B$3,2,2),'Leave log'!$F$7:$F$306,"Approved")&gt;0,"A",""))="A","A",IF(OR(DATE($B$3,2,2)&gt;EOMONTH(DATE($B$3,2,1),0),NETWORKDAYS.INTL(DATE($B$3,2,2),DATE($B$3,2,2),1,'Non-working days'!$A$6:$A$45)=0),"",IF(COUNTIFS('Leave log'!$A$7:$A$306,Employees!$A$30,'Leave log'!$B$7:$B$306,"&lt;="&amp;DATE($B$3,2,2),'Leave log'!$C$7:$C$306,"&gt;="&amp;DATE($B$3,2,2),'Leave log'!$F$7:$F$306,"Pending")&gt;0,"P",""))))</f>
        <v/>
      </c>
      <c r="D65" s="23" t="str">
        <f>IF(A65="","",IF(IF(OR(DATE($B$3,2,3)&gt;EOMONTH(DATE($B$3,2,1),0),NETWORKDAYS.INTL(DATE($B$3,2,3),DATE($B$3,2,3),1,'Non-working days'!$A$6:$A$45)=0),"",IF(COUNTIFS('Leave log'!$A$7:$A$306,Employees!$A$30,'Leave log'!$B$7:$B$306,"&lt;="&amp;DATE($B$3,2,3),'Leave log'!$C$7:$C$306,"&gt;="&amp;DATE($B$3,2,3),'Leave log'!$F$7:$F$306,"Approved")&gt;0,"A",""))="A","A",IF(OR(DATE($B$3,2,3)&gt;EOMONTH(DATE($B$3,2,1),0),NETWORKDAYS.INTL(DATE($B$3,2,3),DATE($B$3,2,3),1,'Non-working days'!$A$6:$A$45)=0),"",IF(COUNTIFS('Leave log'!$A$7:$A$306,Employees!$A$30,'Leave log'!$B$7:$B$306,"&lt;="&amp;DATE($B$3,2,3),'Leave log'!$C$7:$C$306,"&gt;="&amp;DATE($B$3,2,3),'Leave log'!$F$7:$F$306,"Pending")&gt;0,"P",""))))</f>
        <v/>
      </c>
      <c r="E65" s="23" t="str">
        <f>IF(A65="","",IF(IF(OR(DATE($B$3,2,4)&gt;EOMONTH(DATE($B$3,2,1),0),NETWORKDAYS.INTL(DATE($B$3,2,4),DATE($B$3,2,4),1,'Non-working days'!$A$6:$A$45)=0),"",IF(COUNTIFS('Leave log'!$A$7:$A$306,Employees!$A$30,'Leave log'!$B$7:$B$306,"&lt;="&amp;DATE($B$3,2,4),'Leave log'!$C$7:$C$306,"&gt;="&amp;DATE($B$3,2,4),'Leave log'!$F$7:$F$306,"Approved")&gt;0,"A",""))="A","A",IF(OR(DATE($B$3,2,4)&gt;EOMONTH(DATE($B$3,2,1),0),NETWORKDAYS.INTL(DATE($B$3,2,4),DATE($B$3,2,4),1,'Non-working days'!$A$6:$A$45)=0),"",IF(COUNTIFS('Leave log'!$A$7:$A$306,Employees!$A$30,'Leave log'!$B$7:$B$306,"&lt;="&amp;DATE($B$3,2,4),'Leave log'!$C$7:$C$306,"&gt;="&amp;DATE($B$3,2,4),'Leave log'!$F$7:$F$306,"Pending")&gt;0,"P",""))))</f>
        <v/>
      </c>
      <c r="F65" s="23" t="str">
        <f>IF(A65="","",IF(IF(OR(DATE($B$3,2,5)&gt;EOMONTH(DATE($B$3,2,1),0),NETWORKDAYS.INTL(DATE($B$3,2,5),DATE($B$3,2,5),1,'Non-working days'!$A$6:$A$45)=0),"",IF(COUNTIFS('Leave log'!$A$7:$A$306,Employees!$A$30,'Leave log'!$B$7:$B$306,"&lt;="&amp;DATE($B$3,2,5),'Leave log'!$C$7:$C$306,"&gt;="&amp;DATE($B$3,2,5),'Leave log'!$F$7:$F$306,"Approved")&gt;0,"A",""))="A","A",IF(OR(DATE($B$3,2,5)&gt;EOMONTH(DATE($B$3,2,1),0),NETWORKDAYS.INTL(DATE($B$3,2,5),DATE($B$3,2,5),1,'Non-working days'!$A$6:$A$45)=0),"",IF(COUNTIFS('Leave log'!$A$7:$A$306,Employees!$A$30,'Leave log'!$B$7:$B$306,"&lt;="&amp;DATE($B$3,2,5),'Leave log'!$C$7:$C$306,"&gt;="&amp;DATE($B$3,2,5),'Leave log'!$F$7:$F$306,"Pending")&gt;0,"P",""))))</f>
        <v/>
      </c>
      <c r="G65" s="23" t="str">
        <f>IF(A65="","",IF(IF(OR(DATE($B$3,2,6)&gt;EOMONTH(DATE($B$3,2,1),0),NETWORKDAYS.INTL(DATE($B$3,2,6),DATE($B$3,2,6),1,'Non-working days'!$A$6:$A$45)=0),"",IF(COUNTIFS('Leave log'!$A$7:$A$306,Employees!$A$30,'Leave log'!$B$7:$B$306,"&lt;="&amp;DATE($B$3,2,6),'Leave log'!$C$7:$C$306,"&gt;="&amp;DATE($B$3,2,6),'Leave log'!$F$7:$F$306,"Approved")&gt;0,"A",""))="A","A",IF(OR(DATE($B$3,2,6)&gt;EOMONTH(DATE($B$3,2,1),0),NETWORKDAYS.INTL(DATE($B$3,2,6),DATE($B$3,2,6),1,'Non-working days'!$A$6:$A$45)=0),"",IF(COUNTIFS('Leave log'!$A$7:$A$306,Employees!$A$30,'Leave log'!$B$7:$B$306,"&lt;="&amp;DATE($B$3,2,6),'Leave log'!$C$7:$C$306,"&gt;="&amp;DATE($B$3,2,6),'Leave log'!$F$7:$F$306,"Pending")&gt;0,"P",""))))</f>
        <v/>
      </c>
      <c r="H65" s="23" t="str">
        <f>IF(A65="","",IF(IF(OR(DATE($B$3,2,7)&gt;EOMONTH(DATE($B$3,2,1),0),NETWORKDAYS.INTL(DATE($B$3,2,7),DATE($B$3,2,7),1,'Non-working days'!$A$6:$A$45)=0),"",IF(COUNTIFS('Leave log'!$A$7:$A$306,Employees!$A$30,'Leave log'!$B$7:$B$306,"&lt;="&amp;DATE($B$3,2,7),'Leave log'!$C$7:$C$306,"&gt;="&amp;DATE($B$3,2,7),'Leave log'!$F$7:$F$306,"Approved")&gt;0,"A",""))="A","A",IF(OR(DATE($B$3,2,7)&gt;EOMONTH(DATE($B$3,2,1),0),NETWORKDAYS.INTL(DATE($B$3,2,7),DATE($B$3,2,7),1,'Non-working days'!$A$6:$A$45)=0),"",IF(COUNTIFS('Leave log'!$A$7:$A$306,Employees!$A$30,'Leave log'!$B$7:$B$306,"&lt;="&amp;DATE($B$3,2,7),'Leave log'!$C$7:$C$306,"&gt;="&amp;DATE($B$3,2,7),'Leave log'!$F$7:$F$306,"Pending")&gt;0,"P",""))))</f>
        <v/>
      </c>
      <c r="I65" s="23" t="str">
        <f>IF(A65="","",IF(IF(OR(DATE($B$3,2,8)&gt;EOMONTH(DATE($B$3,2,1),0),NETWORKDAYS.INTL(DATE($B$3,2,8),DATE($B$3,2,8),1,'Non-working days'!$A$6:$A$45)=0),"",IF(COUNTIFS('Leave log'!$A$7:$A$306,Employees!$A$30,'Leave log'!$B$7:$B$306,"&lt;="&amp;DATE($B$3,2,8),'Leave log'!$C$7:$C$306,"&gt;="&amp;DATE($B$3,2,8),'Leave log'!$F$7:$F$306,"Approved")&gt;0,"A",""))="A","A",IF(OR(DATE($B$3,2,8)&gt;EOMONTH(DATE($B$3,2,1),0),NETWORKDAYS.INTL(DATE($B$3,2,8),DATE($B$3,2,8),1,'Non-working days'!$A$6:$A$45)=0),"",IF(COUNTIFS('Leave log'!$A$7:$A$306,Employees!$A$30,'Leave log'!$B$7:$B$306,"&lt;="&amp;DATE($B$3,2,8),'Leave log'!$C$7:$C$306,"&gt;="&amp;DATE($B$3,2,8),'Leave log'!$F$7:$F$306,"Pending")&gt;0,"P",""))))</f>
        <v/>
      </c>
      <c r="J65" s="23" t="str">
        <f>IF(A65="","",IF(IF(OR(DATE($B$3,2,9)&gt;EOMONTH(DATE($B$3,2,1),0),NETWORKDAYS.INTL(DATE($B$3,2,9),DATE($B$3,2,9),1,'Non-working days'!$A$6:$A$45)=0),"",IF(COUNTIFS('Leave log'!$A$7:$A$306,Employees!$A$30,'Leave log'!$B$7:$B$306,"&lt;="&amp;DATE($B$3,2,9),'Leave log'!$C$7:$C$306,"&gt;="&amp;DATE($B$3,2,9),'Leave log'!$F$7:$F$306,"Approved")&gt;0,"A",""))="A","A",IF(OR(DATE($B$3,2,9)&gt;EOMONTH(DATE($B$3,2,1),0),NETWORKDAYS.INTL(DATE($B$3,2,9),DATE($B$3,2,9),1,'Non-working days'!$A$6:$A$45)=0),"",IF(COUNTIFS('Leave log'!$A$7:$A$306,Employees!$A$30,'Leave log'!$B$7:$B$306,"&lt;="&amp;DATE($B$3,2,9),'Leave log'!$C$7:$C$306,"&gt;="&amp;DATE($B$3,2,9),'Leave log'!$F$7:$F$306,"Pending")&gt;0,"P",""))))</f>
        <v/>
      </c>
      <c r="K65" s="23" t="str">
        <f>IF(A65="","",IF(IF(OR(DATE($B$3,2,10)&gt;EOMONTH(DATE($B$3,2,1),0),NETWORKDAYS.INTL(DATE($B$3,2,10),DATE($B$3,2,10),1,'Non-working days'!$A$6:$A$45)=0),"",IF(COUNTIFS('Leave log'!$A$7:$A$306,Employees!$A$30,'Leave log'!$B$7:$B$306,"&lt;="&amp;DATE($B$3,2,10),'Leave log'!$C$7:$C$306,"&gt;="&amp;DATE($B$3,2,10),'Leave log'!$F$7:$F$306,"Approved")&gt;0,"A",""))="A","A",IF(OR(DATE($B$3,2,10)&gt;EOMONTH(DATE($B$3,2,1),0),NETWORKDAYS.INTL(DATE($B$3,2,10),DATE($B$3,2,10),1,'Non-working days'!$A$6:$A$45)=0),"",IF(COUNTIFS('Leave log'!$A$7:$A$306,Employees!$A$30,'Leave log'!$B$7:$B$306,"&lt;="&amp;DATE($B$3,2,10),'Leave log'!$C$7:$C$306,"&gt;="&amp;DATE($B$3,2,10),'Leave log'!$F$7:$F$306,"Pending")&gt;0,"P",""))))</f>
        <v/>
      </c>
      <c r="L65" s="23" t="str">
        <f>IF(A65="","",IF(IF(OR(DATE($B$3,2,11)&gt;EOMONTH(DATE($B$3,2,1),0),NETWORKDAYS.INTL(DATE($B$3,2,11),DATE($B$3,2,11),1,'Non-working days'!$A$6:$A$45)=0),"",IF(COUNTIFS('Leave log'!$A$7:$A$306,Employees!$A$30,'Leave log'!$B$7:$B$306,"&lt;="&amp;DATE($B$3,2,11),'Leave log'!$C$7:$C$306,"&gt;="&amp;DATE($B$3,2,11),'Leave log'!$F$7:$F$306,"Approved")&gt;0,"A",""))="A","A",IF(OR(DATE($B$3,2,11)&gt;EOMONTH(DATE($B$3,2,1),0),NETWORKDAYS.INTL(DATE($B$3,2,11),DATE($B$3,2,11),1,'Non-working days'!$A$6:$A$45)=0),"",IF(COUNTIFS('Leave log'!$A$7:$A$306,Employees!$A$30,'Leave log'!$B$7:$B$306,"&lt;="&amp;DATE($B$3,2,11),'Leave log'!$C$7:$C$306,"&gt;="&amp;DATE($B$3,2,11),'Leave log'!$F$7:$F$306,"Pending")&gt;0,"P",""))))</f>
        <v/>
      </c>
      <c r="M65" s="23" t="str">
        <f>IF(A65="","",IF(IF(OR(DATE($B$3,2,12)&gt;EOMONTH(DATE($B$3,2,1),0),NETWORKDAYS.INTL(DATE($B$3,2,12),DATE($B$3,2,12),1,'Non-working days'!$A$6:$A$45)=0),"",IF(COUNTIFS('Leave log'!$A$7:$A$306,Employees!$A$30,'Leave log'!$B$7:$B$306,"&lt;="&amp;DATE($B$3,2,12),'Leave log'!$C$7:$C$306,"&gt;="&amp;DATE($B$3,2,12),'Leave log'!$F$7:$F$306,"Approved")&gt;0,"A",""))="A","A",IF(OR(DATE($B$3,2,12)&gt;EOMONTH(DATE($B$3,2,1),0),NETWORKDAYS.INTL(DATE($B$3,2,12),DATE($B$3,2,12),1,'Non-working days'!$A$6:$A$45)=0),"",IF(COUNTIFS('Leave log'!$A$7:$A$306,Employees!$A$30,'Leave log'!$B$7:$B$306,"&lt;="&amp;DATE($B$3,2,12),'Leave log'!$C$7:$C$306,"&gt;="&amp;DATE($B$3,2,12),'Leave log'!$F$7:$F$306,"Pending")&gt;0,"P",""))))</f>
        <v/>
      </c>
      <c r="N65" s="23" t="str">
        <f>IF(A65="","",IF(IF(OR(DATE($B$3,2,13)&gt;EOMONTH(DATE($B$3,2,1),0),NETWORKDAYS.INTL(DATE($B$3,2,13),DATE($B$3,2,13),1,'Non-working days'!$A$6:$A$45)=0),"",IF(COUNTIFS('Leave log'!$A$7:$A$306,Employees!$A$30,'Leave log'!$B$7:$B$306,"&lt;="&amp;DATE($B$3,2,13),'Leave log'!$C$7:$C$306,"&gt;="&amp;DATE($B$3,2,13),'Leave log'!$F$7:$F$306,"Approved")&gt;0,"A",""))="A","A",IF(OR(DATE($B$3,2,13)&gt;EOMONTH(DATE($B$3,2,1),0),NETWORKDAYS.INTL(DATE($B$3,2,13),DATE($B$3,2,13),1,'Non-working days'!$A$6:$A$45)=0),"",IF(COUNTIFS('Leave log'!$A$7:$A$306,Employees!$A$30,'Leave log'!$B$7:$B$306,"&lt;="&amp;DATE($B$3,2,13),'Leave log'!$C$7:$C$306,"&gt;="&amp;DATE($B$3,2,13),'Leave log'!$F$7:$F$306,"Pending")&gt;0,"P",""))))</f>
        <v/>
      </c>
      <c r="O65" s="23" t="str">
        <f>IF(A65="","",IF(IF(OR(DATE($B$3,2,14)&gt;EOMONTH(DATE($B$3,2,1),0),NETWORKDAYS.INTL(DATE($B$3,2,14),DATE($B$3,2,14),1,'Non-working days'!$A$6:$A$45)=0),"",IF(COUNTIFS('Leave log'!$A$7:$A$306,Employees!$A$30,'Leave log'!$B$7:$B$306,"&lt;="&amp;DATE($B$3,2,14),'Leave log'!$C$7:$C$306,"&gt;="&amp;DATE($B$3,2,14),'Leave log'!$F$7:$F$306,"Approved")&gt;0,"A",""))="A","A",IF(OR(DATE($B$3,2,14)&gt;EOMONTH(DATE($B$3,2,1),0),NETWORKDAYS.INTL(DATE($B$3,2,14),DATE($B$3,2,14),1,'Non-working days'!$A$6:$A$45)=0),"",IF(COUNTIFS('Leave log'!$A$7:$A$306,Employees!$A$30,'Leave log'!$B$7:$B$306,"&lt;="&amp;DATE($B$3,2,14),'Leave log'!$C$7:$C$306,"&gt;="&amp;DATE($B$3,2,14),'Leave log'!$F$7:$F$306,"Pending")&gt;0,"P",""))))</f>
        <v/>
      </c>
      <c r="P65" s="23" t="str">
        <f>IF(A65="","",IF(IF(OR(DATE($B$3,2,15)&gt;EOMONTH(DATE($B$3,2,1),0),NETWORKDAYS.INTL(DATE($B$3,2,15),DATE($B$3,2,15),1,'Non-working days'!$A$6:$A$45)=0),"",IF(COUNTIFS('Leave log'!$A$7:$A$306,Employees!$A$30,'Leave log'!$B$7:$B$306,"&lt;="&amp;DATE($B$3,2,15),'Leave log'!$C$7:$C$306,"&gt;="&amp;DATE($B$3,2,15),'Leave log'!$F$7:$F$306,"Approved")&gt;0,"A",""))="A","A",IF(OR(DATE($B$3,2,15)&gt;EOMONTH(DATE($B$3,2,1),0),NETWORKDAYS.INTL(DATE($B$3,2,15),DATE($B$3,2,15),1,'Non-working days'!$A$6:$A$45)=0),"",IF(COUNTIFS('Leave log'!$A$7:$A$306,Employees!$A$30,'Leave log'!$B$7:$B$306,"&lt;="&amp;DATE($B$3,2,15),'Leave log'!$C$7:$C$306,"&gt;="&amp;DATE($B$3,2,15),'Leave log'!$F$7:$F$306,"Pending")&gt;0,"P",""))))</f>
        <v/>
      </c>
      <c r="Q65" s="23" t="str">
        <f>IF(A65="","",IF(IF(OR(DATE($B$3,2,16)&gt;EOMONTH(DATE($B$3,2,1),0),NETWORKDAYS.INTL(DATE($B$3,2,16),DATE($B$3,2,16),1,'Non-working days'!$A$6:$A$45)=0),"",IF(COUNTIFS('Leave log'!$A$7:$A$306,Employees!$A$30,'Leave log'!$B$7:$B$306,"&lt;="&amp;DATE($B$3,2,16),'Leave log'!$C$7:$C$306,"&gt;="&amp;DATE($B$3,2,16),'Leave log'!$F$7:$F$306,"Approved")&gt;0,"A",""))="A","A",IF(OR(DATE($B$3,2,16)&gt;EOMONTH(DATE($B$3,2,1),0),NETWORKDAYS.INTL(DATE($B$3,2,16),DATE($B$3,2,16),1,'Non-working days'!$A$6:$A$45)=0),"",IF(COUNTIFS('Leave log'!$A$7:$A$306,Employees!$A$30,'Leave log'!$B$7:$B$306,"&lt;="&amp;DATE($B$3,2,16),'Leave log'!$C$7:$C$306,"&gt;="&amp;DATE($B$3,2,16),'Leave log'!$F$7:$F$306,"Pending")&gt;0,"P",""))))</f>
        <v/>
      </c>
      <c r="R65" s="23" t="str">
        <f>IF(A65="","",IF(IF(OR(DATE($B$3,2,17)&gt;EOMONTH(DATE($B$3,2,1),0),NETWORKDAYS.INTL(DATE($B$3,2,17),DATE($B$3,2,17),1,'Non-working days'!$A$6:$A$45)=0),"",IF(COUNTIFS('Leave log'!$A$7:$A$306,Employees!$A$30,'Leave log'!$B$7:$B$306,"&lt;="&amp;DATE($B$3,2,17),'Leave log'!$C$7:$C$306,"&gt;="&amp;DATE($B$3,2,17),'Leave log'!$F$7:$F$306,"Approved")&gt;0,"A",""))="A","A",IF(OR(DATE($B$3,2,17)&gt;EOMONTH(DATE($B$3,2,1),0),NETWORKDAYS.INTL(DATE($B$3,2,17),DATE($B$3,2,17),1,'Non-working days'!$A$6:$A$45)=0),"",IF(COUNTIFS('Leave log'!$A$7:$A$306,Employees!$A$30,'Leave log'!$B$7:$B$306,"&lt;="&amp;DATE($B$3,2,17),'Leave log'!$C$7:$C$306,"&gt;="&amp;DATE($B$3,2,17),'Leave log'!$F$7:$F$306,"Pending")&gt;0,"P",""))))</f>
        <v/>
      </c>
      <c r="S65" s="23" t="str">
        <f>IF(A65="","",IF(IF(OR(DATE($B$3,2,18)&gt;EOMONTH(DATE($B$3,2,1),0),NETWORKDAYS.INTL(DATE($B$3,2,18),DATE($B$3,2,18),1,'Non-working days'!$A$6:$A$45)=0),"",IF(COUNTIFS('Leave log'!$A$7:$A$306,Employees!$A$30,'Leave log'!$B$7:$B$306,"&lt;="&amp;DATE($B$3,2,18),'Leave log'!$C$7:$C$306,"&gt;="&amp;DATE($B$3,2,18),'Leave log'!$F$7:$F$306,"Approved")&gt;0,"A",""))="A","A",IF(OR(DATE($B$3,2,18)&gt;EOMONTH(DATE($B$3,2,1),0),NETWORKDAYS.INTL(DATE($B$3,2,18),DATE($B$3,2,18),1,'Non-working days'!$A$6:$A$45)=0),"",IF(COUNTIFS('Leave log'!$A$7:$A$306,Employees!$A$30,'Leave log'!$B$7:$B$306,"&lt;="&amp;DATE($B$3,2,18),'Leave log'!$C$7:$C$306,"&gt;="&amp;DATE($B$3,2,18),'Leave log'!$F$7:$F$306,"Pending")&gt;0,"P",""))))</f>
        <v/>
      </c>
      <c r="T65" s="23" t="str">
        <f>IF(A65="","",IF(IF(OR(DATE($B$3,2,19)&gt;EOMONTH(DATE($B$3,2,1),0),NETWORKDAYS.INTL(DATE($B$3,2,19),DATE($B$3,2,19),1,'Non-working days'!$A$6:$A$45)=0),"",IF(COUNTIFS('Leave log'!$A$7:$A$306,Employees!$A$30,'Leave log'!$B$7:$B$306,"&lt;="&amp;DATE($B$3,2,19),'Leave log'!$C$7:$C$306,"&gt;="&amp;DATE($B$3,2,19),'Leave log'!$F$7:$F$306,"Approved")&gt;0,"A",""))="A","A",IF(OR(DATE($B$3,2,19)&gt;EOMONTH(DATE($B$3,2,1),0),NETWORKDAYS.INTL(DATE($B$3,2,19),DATE($B$3,2,19),1,'Non-working days'!$A$6:$A$45)=0),"",IF(COUNTIFS('Leave log'!$A$7:$A$306,Employees!$A$30,'Leave log'!$B$7:$B$306,"&lt;="&amp;DATE($B$3,2,19),'Leave log'!$C$7:$C$306,"&gt;="&amp;DATE($B$3,2,19),'Leave log'!$F$7:$F$306,"Pending")&gt;0,"P",""))))</f>
        <v/>
      </c>
      <c r="U65" s="23" t="str">
        <f>IF(A65="","",IF(IF(OR(DATE($B$3,2,20)&gt;EOMONTH(DATE($B$3,2,1),0),NETWORKDAYS.INTL(DATE($B$3,2,20),DATE($B$3,2,20),1,'Non-working days'!$A$6:$A$45)=0),"",IF(COUNTIFS('Leave log'!$A$7:$A$306,Employees!$A$30,'Leave log'!$B$7:$B$306,"&lt;="&amp;DATE($B$3,2,20),'Leave log'!$C$7:$C$306,"&gt;="&amp;DATE($B$3,2,20),'Leave log'!$F$7:$F$306,"Approved")&gt;0,"A",""))="A","A",IF(OR(DATE($B$3,2,20)&gt;EOMONTH(DATE($B$3,2,1),0),NETWORKDAYS.INTL(DATE($B$3,2,20),DATE($B$3,2,20),1,'Non-working days'!$A$6:$A$45)=0),"",IF(COUNTIFS('Leave log'!$A$7:$A$306,Employees!$A$30,'Leave log'!$B$7:$B$306,"&lt;="&amp;DATE($B$3,2,20),'Leave log'!$C$7:$C$306,"&gt;="&amp;DATE($B$3,2,20),'Leave log'!$F$7:$F$306,"Pending")&gt;0,"P",""))))</f>
        <v/>
      </c>
      <c r="V65" s="23" t="str">
        <f>IF(A65="","",IF(IF(OR(DATE($B$3,2,21)&gt;EOMONTH(DATE($B$3,2,1),0),NETWORKDAYS.INTL(DATE($B$3,2,21),DATE($B$3,2,21),1,'Non-working days'!$A$6:$A$45)=0),"",IF(COUNTIFS('Leave log'!$A$7:$A$306,Employees!$A$30,'Leave log'!$B$7:$B$306,"&lt;="&amp;DATE($B$3,2,21),'Leave log'!$C$7:$C$306,"&gt;="&amp;DATE($B$3,2,21),'Leave log'!$F$7:$F$306,"Approved")&gt;0,"A",""))="A","A",IF(OR(DATE($B$3,2,21)&gt;EOMONTH(DATE($B$3,2,1),0),NETWORKDAYS.INTL(DATE($B$3,2,21),DATE($B$3,2,21),1,'Non-working days'!$A$6:$A$45)=0),"",IF(COUNTIFS('Leave log'!$A$7:$A$306,Employees!$A$30,'Leave log'!$B$7:$B$306,"&lt;="&amp;DATE($B$3,2,21),'Leave log'!$C$7:$C$306,"&gt;="&amp;DATE($B$3,2,21),'Leave log'!$F$7:$F$306,"Pending")&gt;0,"P",""))))</f>
        <v/>
      </c>
      <c r="W65" s="23" t="str">
        <f>IF(A65="","",IF(IF(OR(DATE($B$3,2,22)&gt;EOMONTH(DATE($B$3,2,1),0),NETWORKDAYS.INTL(DATE($B$3,2,22),DATE($B$3,2,22),1,'Non-working days'!$A$6:$A$45)=0),"",IF(COUNTIFS('Leave log'!$A$7:$A$306,Employees!$A$30,'Leave log'!$B$7:$B$306,"&lt;="&amp;DATE($B$3,2,22),'Leave log'!$C$7:$C$306,"&gt;="&amp;DATE($B$3,2,22),'Leave log'!$F$7:$F$306,"Approved")&gt;0,"A",""))="A","A",IF(OR(DATE($B$3,2,22)&gt;EOMONTH(DATE($B$3,2,1),0),NETWORKDAYS.INTL(DATE($B$3,2,22),DATE($B$3,2,22),1,'Non-working days'!$A$6:$A$45)=0),"",IF(COUNTIFS('Leave log'!$A$7:$A$306,Employees!$A$30,'Leave log'!$B$7:$B$306,"&lt;="&amp;DATE($B$3,2,22),'Leave log'!$C$7:$C$306,"&gt;="&amp;DATE($B$3,2,22),'Leave log'!$F$7:$F$306,"Pending")&gt;0,"P",""))))</f>
        <v/>
      </c>
      <c r="X65" s="23" t="str">
        <f>IF(A65="","",IF(IF(OR(DATE($B$3,2,23)&gt;EOMONTH(DATE($B$3,2,1),0),NETWORKDAYS.INTL(DATE($B$3,2,23),DATE($B$3,2,23),1,'Non-working days'!$A$6:$A$45)=0),"",IF(COUNTIFS('Leave log'!$A$7:$A$306,Employees!$A$30,'Leave log'!$B$7:$B$306,"&lt;="&amp;DATE($B$3,2,23),'Leave log'!$C$7:$C$306,"&gt;="&amp;DATE($B$3,2,23),'Leave log'!$F$7:$F$306,"Approved")&gt;0,"A",""))="A","A",IF(OR(DATE($B$3,2,23)&gt;EOMONTH(DATE($B$3,2,1),0),NETWORKDAYS.INTL(DATE($B$3,2,23),DATE($B$3,2,23),1,'Non-working days'!$A$6:$A$45)=0),"",IF(COUNTIFS('Leave log'!$A$7:$A$306,Employees!$A$30,'Leave log'!$B$7:$B$306,"&lt;="&amp;DATE($B$3,2,23),'Leave log'!$C$7:$C$306,"&gt;="&amp;DATE($B$3,2,23),'Leave log'!$F$7:$F$306,"Pending")&gt;0,"P",""))))</f>
        <v/>
      </c>
      <c r="Y65" s="23" t="str">
        <f>IF(A65="","",IF(IF(OR(DATE($B$3,2,24)&gt;EOMONTH(DATE($B$3,2,1),0),NETWORKDAYS.INTL(DATE($B$3,2,24),DATE($B$3,2,24),1,'Non-working days'!$A$6:$A$45)=0),"",IF(COUNTIFS('Leave log'!$A$7:$A$306,Employees!$A$30,'Leave log'!$B$7:$B$306,"&lt;="&amp;DATE($B$3,2,24),'Leave log'!$C$7:$C$306,"&gt;="&amp;DATE($B$3,2,24),'Leave log'!$F$7:$F$306,"Approved")&gt;0,"A",""))="A","A",IF(OR(DATE($B$3,2,24)&gt;EOMONTH(DATE($B$3,2,1),0),NETWORKDAYS.INTL(DATE($B$3,2,24),DATE($B$3,2,24),1,'Non-working days'!$A$6:$A$45)=0),"",IF(COUNTIFS('Leave log'!$A$7:$A$306,Employees!$A$30,'Leave log'!$B$7:$B$306,"&lt;="&amp;DATE($B$3,2,24),'Leave log'!$C$7:$C$306,"&gt;="&amp;DATE($B$3,2,24),'Leave log'!$F$7:$F$306,"Pending")&gt;0,"P",""))))</f>
        <v/>
      </c>
      <c r="Z65" s="23" t="str">
        <f>IF(A65="","",IF(IF(OR(DATE($B$3,2,25)&gt;EOMONTH(DATE($B$3,2,1),0),NETWORKDAYS.INTL(DATE($B$3,2,25),DATE($B$3,2,25),1,'Non-working days'!$A$6:$A$45)=0),"",IF(COUNTIFS('Leave log'!$A$7:$A$306,Employees!$A$30,'Leave log'!$B$7:$B$306,"&lt;="&amp;DATE($B$3,2,25),'Leave log'!$C$7:$C$306,"&gt;="&amp;DATE($B$3,2,25),'Leave log'!$F$7:$F$306,"Approved")&gt;0,"A",""))="A","A",IF(OR(DATE($B$3,2,25)&gt;EOMONTH(DATE($B$3,2,1),0),NETWORKDAYS.INTL(DATE($B$3,2,25),DATE($B$3,2,25),1,'Non-working days'!$A$6:$A$45)=0),"",IF(COUNTIFS('Leave log'!$A$7:$A$306,Employees!$A$30,'Leave log'!$B$7:$B$306,"&lt;="&amp;DATE($B$3,2,25),'Leave log'!$C$7:$C$306,"&gt;="&amp;DATE($B$3,2,25),'Leave log'!$F$7:$F$306,"Pending")&gt;0,"P",""))))</f>
        <v/>
      </c>
      <c r="AA65" s="23" t="str">
        <f>IF(A65="","",IF(IF(OR(DATE($B$3,2,26)&gt;EOMONTH(DATE($B$3,2,1),0),NETWORKDAYS.INTL(DATE($B$3,2,26),DATE($B$3,2,26),1,'Non-working days'!$A$6:$A$45)=0),"",IF(COUNTIFS('Leave log'!$A$7:$A$306,Employees!$A$30,'Leave log'!$B$7:$B$306,"&lt;="&amp;DATE($B$3,2,26),'Leave log'!$C$7:$C$306,"&gt;="&amp;DATE($B$3,2,26),'Leave log'!$F$7:$F$306,"Approved")&gt;0,"A",""))="A","A",IF(OR(DATE($B$3,2,26)&gt;EOMONTH(DATE($B$3,2,1),0),NETWORKDAYS.INTL(DATE($B$3,2,26),DATE($B$3,2,26),1,'Non-working days'!$A$6:$A$45)=0),"",IF(COUNTIFS('Leave log'!$A$7:$A$306,Employees!$A$30,'Leave log'!$B$7:$B$306,"&lt;="&amp;DATE($B$3,2,26),'Leave log'!$C$7:$C$306,"&gt;="&amp;DATE($B$3,2,26),'Leave log'!$F$7:$F$306,"Pending")&gt;0,"P",""))))</f>
        <v/>
      </c>
      <c r="AB65" s="23" t="str">
        <f>IF(A65="","",IF(IF(OR(DATE($B$3,2,27)&gt;EOMONTH(DATE($B$3,2,1),0),NETWORKDAYS.INTL(DATE($B$3,2,27),DATE($B$3,2,27),1,'Non-working days'!$A$6:$A$45)=0),"",IF(COUNTIFS('Leave log'!$A$7:$A$306,Employees!$A$30,'Leave log'!$B$7:$B$306,"&lt;="&amp;DATE($B$3,2,27),'Leave log'!$C$7:$C$306,"&gt;="&amp;DATE($B$3,2,27),'Leave log'!$F$7:$F$306,"Approved")&gt;0,"A",""))="A","A",IF(OR(DATE($B$3,2,27)&gt;EOMONTH(DATE($B$3,2,1),0),NETWORKDAYS.INTL(DATE($B$3,2,27),DATE($B$3,2,27),1,'Non-working days'!$A$6:$A$45)=0),"",IF(COUNTIFS('Leave log'!$A$7:$A$306,Employees!$A$30,'Leave log'!$B$7:$B$306,"&lt;="&amp;DATE($B$3,2,27),'Leave log'!$C$7:$C$306,"&gt;="&amp;DATE($B$3,2,27),'Leave log'!$F$7:$F$306,"Pending")&gt;0,"P",""))))</f>
        <v/>
      </c>
      <c r="AC65" s="23" t="str">
        <f>IF(A65="","",IF(IF(OR(DATE($B$3,2,28)&gt;EOMONTH(DATE($B$3,2,1),0),NETWORKDAYS.INTL(DATE($B$3,2,28),DATE($B$3,2,28),1,'Non-working days'!$A$6:$A$45)=0),"",IF(COUNTIFS('Leave log'!$A$7:$A$306,Employees!$A$30,'Leave log'!$B$7:$B$306,"&lt;="&amp;DATE($B$3,2,28),'Leave log'!$C$7:$C$306,"&gt;="&amp;DATE($B$3,2,28),'Leave log'!$F$7:$F$306,"Approved")&gt;0,"A",""))="A","A",IF(OR(DATE($B$3,2,28)&gt;EOMONTH(DATE($B$3,2,1),0),NETWORKDAYS.INTL(DATE($B$3,2,28),DATE($B$3,2,28),1,'Non-working days'!$A$6:$A$45)=0),"",IF(COUNTIFS('Leave log'!$A$7:$A$306,Employees!$A$30,'Leave log'!$B$7:$B$306,"&lt;="&amp;DATE($B$3,2,28),'Leave log'!$C$7:$C$306,"&gt;="&amp;DATE($B$3,2,28),'Leave log'!$F$7:$F$306,"Pending")&gt;0,"P",""))))</f>
        <v/>
      </c>
      <c r="AD65" s="23" t="str">
        <f>IF(A65="","",IF(IF(OR(DATE($B$3,2,29)&gt;EOMONTH(DATE($B$3,2,1),0),NETWORKDAYS.INTL(DATE($B$3,2,29),DATE($B$3,2,29),1,'Non-working days'!$A$6:$A$45)=0),"",IF(COUNTIFS('Leave log'!$A$7:$A$306,Employees!$A$30,'Leave log'!$B$7:$B$306,"&lt;="&amp;DATE($B$3,2,29),'Leave log'!$C$7:$C$306,"&gt;="&amp;DATE($B$3,2,29),'Leave log'!$F$7:$F$306,"Approved")&gt;0,"A",""))="A","A",IF(OR(DATE($B$3,2,29)&gt;EOMONTH(DATE($B$3,2,1),0),NETWORKDAYS.INTL(DATE($B$3,2,29),DATE($B$3,2,29),1,'Non-working days'!$A$6:$A$45)=0),"",IF(COUNTIFS('Leave log'!$A$7:$A$306,Employees!$A$30,'Leave log'!$B$7:$B$306,"&lt;="&amp;DATE($B$3,2,29),'Leave log'!$C$7:$C$306,"&gt;="&amp;DATE($B$3,2,29),'Leave log'!$F$7:$F$306,"Pending")&gt;0,"P",""))))</f>
        <v/>
      </c>
      <c r="AE65" s="23" t="str">
        <f>IF(A65="","",IF(IF(OR(DATE($B$3,2,30)&gt;EOMONTH(DATE($B$3,2,1),0),NETWORKDAYS.INTL(DATE($B$3,2,30),DATE($B$3,2,30),1,'Non-working days'!$A$6:$A$45)=0),"",IF(COUNTIFS('Leave log'!$A$7:$A$306,Employees!$A$30,'Leave log'!$B$7:$B$306,"&lt;="&amp;DATE($B$3,2,30),'Leave log'!$C$7:$C$306,"&gt;="&amp;DATE($B$3,2,30),'Leave log'!$F$7:$F$306,"Approved")&gt;0,"A",""))="A","A",IF(OR(DATE($B$3,2,30)&gt;EOMONTH(DATE($B$3,2,1),0),NETWORKDAYS.INTL(DATE($B$3,2,30),DATE($B$3,2,30),1,'Non-working days'!$A$6:$A$45)=0),"",IF(COUNTIFS('Leave log'!$A$7:$A$306,Employees!$A$30,'Leave log'!$B$7:$B$306,"&lt;="&amp;DATE($B$3,2,30),'Leave log'!$C$7:$C$306,"&gt;="&amp;DATE($B$3,2,30),'Leave log'!$F$7:$F$306,"Pending")&gt;0,"P",""))))</f>
        <v/>
      </c>
      <c r="AF65" s="23" t="str">
        <f>IF(A65="","",IF(IF(OR(DATE($B$3,2,31)&gt;EOMONTH(DATE($B$3,2,1),0),NETWORKDAYS.INTL(DATE($B$3,2,31),DATE($B$3,2,31),1,'Non-working days'!$A$6:$A$45)=0),"",IF(COUNTIFS('Leave log'!$A$7:$A$306,Employees!$A$30,'Leave log'!$B$7:$B$306,"&lt;="&amp;DATE($B$3,2,31),'Leave log'!$C$7:$C$306,"&gt;="&amp;DATE($B$3,2,31),'Leave log'!$F$7:$F$306,"Approved")&gt;0,"A",""))="A","A",IF(OR(DATE($B$3,2,31)&gt;EOMONTH(DATE($B$3,2,1),0),NETWORKDAYS.INTL(DATE($B$3,2,31),DATE($B$3,2,31),1,'Non-working days'!$A$6:$A$45)=0),"",IF(COUNTIFS('Leave log'!$A$7:$A$306,Employees!$A$30,'Leave log'!$B$7:$B$306,"&lt;="&amp;DATE($B$3,2,31),'Leave log'!$C$7:$C$306,"&gt;="&amp;DATE($B$3,2,31),'Leave log'!$F$7:$F$306,"Pending")&gt;0,"P",""))))</f>
        <v/>
      </c>
    </row>
    <row r="66" spans="1:32" ht="18" customHeight="1" x14ac:dyDescent="0.3">
      <c r="A66" s="22" t="str">
        <f>IF(Employees!F31="Yes",Employees!B31,"")</f>
        <v/>
      </c>
      <c r="B66" s="23" t="str">
        <f>IF(A66="","",IF(IF(OR(DATE($B$3,2,1)&gt;EOMONTH(DATE($B$3,2,1),0),NETWORKDAYS.INTL(DATE($B$3,2,1),DATE($B$3,2,1),1,'Non-working days'!$A$6:$A$45)=0),"",IF(COUNTIFS('Leave log'!$A$7:$A$306,Employees!$A$31,'Leave log'!$B$7:$B$306,"&lt;="&amp;DATE($B$3,2,1),'Leave log'!$C$7:$C$306,"&gt;="&amp;DATE($B$3,2,1),'Leave log'!$F$7:$F$306,"Approved")&gt;0,"A",""))="A","A",IF(OR(DATE($B$3,2,1)&gt;EOMONTH(DATE($B$3,2,1),0),NETWORKDAYS.INTL(DATE($B$3,2,1),DATE($B$3,2,1),1,'Non-working days'!$A$6:$A$45)=0),"",IF(COUNTIFS('Leave log'!$A$7:$A$306,Employees!$A$31,'Leave log'!$B$7:$B$306,"&lt;="&amp;DATE($B$3,2,1),'Leave log'!$C$7:$C$306,"&gt;="&amp;DATE($B$3,2,1),'Leave log'!$F$7:$F$306,"Pending")&gt;0,"P",""))))</f>
        <v/>
      </c>
      <c r="C66" s="23" t="str">
        <f>IF(A66="","",IF(IF(OR(DATE($B$3,2,2)&gt;EOMONTH(DATE($B$3,2,1),0),NETWORKDAYS.INTL(DATE($B$3,2,2),DATE($B$3,2,2),1,'Non-working days'!$A$6:$A$45)=0),"",IF(COUNTIFS('Leave log'!$A$7:$A$306,Employees!$A$31,'Leave log'!$B$7:$B$306,"&lt;="&amp;DATE($B$3,2,2),'Leave log'!$C$7:$C$306,"&gt;="&amp;DATE($B$3,2,2),'Leave log'!$F$7:$F$306,"Approved")&gt;0,"A",""))="A","A",IF(OR(DATE($B$3,2,2)&gt;EOMONTH(DATE($B$3,2,1),0),NETWORKDAYS.INTL(DATE($B$3,2,2),DATE($B$3,2,2),1,'Non-working days'!$A$6:$A$45)=0),"",IF(COUNTIFS('Leave log'!$A$7:$A$306,Employees!$A$31,'Leave log'!$B$7:$B$306,"&lt;="&amp;DATE($B$3,2,2),'Leave log'!$C$7:$C$306,"&gt;="&amp;DATE($B$3,2,2),'Leave log'!$F$7:$F$306,"Pending")&gt;0,"P",""))))</f>
        <v/>
      </c>
      <c r="D66" s="23" t="str">
        <f>IF(A66="","",IF(IF(OR(DATE($B$3,2,3)&gt;EOMONTH(DATE($B$3,2,1),0),NETWORKDAYS.INTL(DATE($B$3,2,3),DATE($B$3,2,3),1,'Non-working days'!$A$6:$A$45)=0),"",IF(COUNTIFS('Leave log'!$A$7:$A$306,Employees!$A$31,'Leave log'!$B$7:$B$306,"&lt;="&amp;DATE($B$3,2,3),'Leave log'!$C$7:$C$306,"&gt;="&amp;DATE($B$3,2,3),'Leave log'!$F$7:$F$306,"Approved")&gt;0,"A",""))="A","A",IF(OR(DATE($B$3,2,3)&gt;EOMONTH(DATE($B$3,2,1),0),NETWORKDAYS.INTL(DATE($B$3,2,3),DATE($B$3,2,3),1,'Non-working days'!$A$6:$A$45)=0),"",IF(COUNTIFS('Leave log'!$A$7:$A$306,Employees!$A$31,'Leave log'!$B$7:$B$306,"&lt;="&amp;DATE($B$3,2,3),'Leave log'!$C$7:$C$306,"&gt;="&amp;DATE($B$3,2,3),'Leave log'!$F$7:$F$306,"Pending")&gt;0,"P",""))))</f>
        <v/>
      </c>
      <c r="E66" s="23" t="str">
        <f>IF(A66="","",IF(IF(OR(DATE($B$3,2,4)&gt;EOMONTH(DATE($B$3,2,1),0),NETWORKDAYS.INTL(DATE($B$3,2,4),DATE($B$3,2,4),1,'Non-working days'!$A$6:$A$45)=0),"",IF(COUNTIFS('Leave log'!$A$7:$A$306,Employees!$A$31,'Leave log'!$B$7:$B$306,"&lt;="&amp;DATE($B$3,2,4),'Leave log'!$C$7:$C$306,"&gt;="&amp;DATE($B$3,2,4),'Leave log'!$F$7:$F$306,"Approved")&gt;0,"A",""))="A","A",IF(OR(DATE($B$3,2,4)&gt;EOMONTH(DATE($B$3,2,1),0),NETWORKDAYS.INTL(DATE($B$3,2,4),DATE($B$3,2,4),1,'Non-working days'!$A$6:$A$45)=0),"",IF(COUNTIFS('Leave log'!$A$7:$A$306,Employees!$A$31,'Leave log'!$B$7:$B$306,"&lt;="&amp;DATE($B$3,2,4),'Leave log'!$C$7:$C$306,"&gt;="&amp;DATE($B$3,2,4),'Leave log'!$F$7:$F$306,"Pending")&gt;0,"P",""))))</f>
        <v/>
      </c>
      <c r="F66" s="23" t="str">
        <f>IF(A66="","",IF(IF(OR(DATE($B$3,2,5)&gt;EOMONTH(DATE($B$3,2,1),0),NETWORKDAYS.INTL(DATE($B$3,2,5),DATE($B$3,2,5),1,'Non-working days'!$A$6:$A$45)=0),"",IF(COUNTIFS('Leave log'!$A$7:$A$306,Employees!$A$31,'Leave log'!$B$7:$B$306,"&lt;="&amp;DATE($B$3,2,5),'Leave log'!$C$7:$C$306,"&gt;="&amp;DATE($B$3,2,5),'Leave log'!$F$7:$F$306,"Approved")&gt;0,"A",""))="A","A",IF(OR(DATE($B$3,2,5)&gt;EOMONTH(DATE($B$3,2,1),0),NETWORKDAYS.INTL(DATE($B$3,2,5),DATE($B$3,2,5),1,'Non-working days'!$A$6:$A$45)=0),"",IF(COUNTIFS('Leave log'!$A$7:$A$306,Employees!$A$31,'Leave log'!$B$7:$B$306,"&lt;="&amp;DATE($B$3,2,5),'Leave log'!$C$7:$C$306,"&gt;="&amp;DATE($B$3,2,5),'Leave log'!$F$7:$F$306,"Pending")&gt;0,"P",""))))</f>
        <v/>
      </c>
      <c r="G66" s="23" t="str">
        <f>IF(A66="","",IF(IF(OR(DATE($B$3,2,6)&gt;EOMONTH(DATE($B$3,2,1),0),NETWORKDAYS.INTL(DATE($B$3,2,6),DATE($B$3,2,6),1,'Non-working days'!$A$6:$A$45)=0),"",IF(COUNTIFS('Leave log'!$A$7:$A$306,Employees!$A$31,'Leave log'!$B$7:$B$306,"&lt;="&amp;DATE($B$3,2,6),'Leave log'!$C$7:$C$306,"&gt;="&amp;DATE($B$3,2,6),'Leave log'!$F$7:$F$306,"Approved")&gt;0,"A",""))="A","A",IF(OR(DATE($B$3,2,6)&gt;EOMONTH(DATE($B$3,2,1),0),NETWORKDAYS.INTL(DATE($B$3,2,6),DATE($B$3,2,6),1,'Non-working days'!$A$6:$A$45)=0),"",IF(COUNTIFS('Leave log'!$A$7:$A$306,Employees!$A$31,'Leave log'!$B$7:$B$306,"&lt;="&amp;DATE($B$3,2,6),'Leave log'!$C$7:$C$306,"&gt;="&amp;DATE($B$3,2,6),'Leave log'!$F$7:$F$306,"Pending")&gt;0,"P",""))))</f>
        <v/>
      </c>
      <c r="H66" s="23" t="str">
        <f>IF(A66="","",IF(IF(OR(DATE($B$3,2,7)&gt;EOMONTH(DATE($B$3,2,1),0),NETWORKDAYS.INTL(DATE($B$3,2,7),DATE($B$3,2,7),1,'Non-working days'!$A$6:$A$45)=0),"",IF(COUNTIFS('Leave log'!$A$7:$A$306,Employees!$A$31,'Leave log'!$B$7:$B$306,"&lt;="&amp;DATE($B$3,2,7),'Leave log'!$C$7:$C$306,"&gt;="&amp;DATE($B$3,2,7),'Leave log'!$F$7:$F$306,"Approved")&gt;0,"A",""))="A","A",IF(OR(DATE($B$3,2,7)&gt;EOMONTH(DATE($B$3,2,1),0),NETWORKDAYS.INTL(DATE($B$3,2,7),DATE($B$3,2,7),1,'Non-working days'!$A$6:$A$45)=0),"",IF(COUNTIFS('Leave log'!$A$7:$A$306,Employees!$A$31,'Leave log'!$B$7:$B$306,"&lt;="&amp;DATE($B$3,2,7),'Leave log'!$C$7:$C$306,"&gt;="&amp;DATE($B$3,2,7),'Leave log'!$F$7:$F$306,"Pending")&gt;0,"P",""))))</f>
        <v/>
      </c>
      <c r="I66" s="23" t="str">
        <f>IF(A66="","",IF(IF(OR(DATE($B$3,2,8)&gt;EOMONTH(DATE($B$3,2,1),0),NETWORKDAYS.INTL(DATE($B$3,2,8),DATE($B$3,2,8),1,'Non-working days'!$A$6:$A$45)=0),"",IF(COUNTIFS('Leave log'!$A$7:$A$306,Employees!$A$31,'Leave log'!$B$7:$B$306,"&lt;="&amp;DATE($B$3,2,8),'Leave log'!$C$7:$C$306,"&gt;="&amp;DATE($B$3,2,8),'Leave log'!$F$7:$F$306,"Approved")&gt;0,"A",""))="A","A",IF(OR(DATE($B$3,2,8)&gt;EOMONTH(DATE($B$3,2,1),0),NETWORKDAYS.INTL(DATE($B$3,2,8),DATE($B$3,2,8),1,'Non-working days'!$A$6:$A$45)=0),"",IF(COUNTIFS('Leave log'!$A$7:$A$306,Employees!$A$31,'Leave log'!$B$7:$B$306,"&lt;="&amp;DATE($B$3,2,8),'Leave log'!$C$7:$C$306,"&gt;="&amp;DATE($B$3,2,8),'Leave log'!$F$7:$F$306,"Pending")&gt;0,"P",""))))</f>
        <v/>
      </c>
      <c r="J66" s="23" t="str">
        <f>IF(A66="","",IF(IF(OR(DATE($B$3,2,9)&gt;EOMONTH(DATE($B$3,2,1),0),NETWORKDAYS.INTL(DATE($B$3,2,9),DATE($B$3,2,9),1,'Non-working days'!$A$6:$A$45)=0),"",IF(COUNTIFS('Leave log'!$A$7:$A$306,Employees!$A$31,'Leave log'!$B$7:$B$306,"&lt;="&amp;DATE($B$3,2,9),'Leave log'!$C$7:$C$306,"&gt;="&amp;DATE($B$3,2,9),'Leave log'!$F$7:$F$306,"Approved")&gt;0,"A",""))="A","A",IF(OR(DATE($B$3,2,9)&gt;EOMONTH(DATE($B$3,2,1),0),NETWORKDAYS.INTL(DATE($B$3,2,9),DATE($B$3,2,9),1,'Non-working days'!$A$6:$A$45)=0),"",IF(COUNTIFS('Leave log'!$A$7:$A$306,Employees!$A$31,'Leave log'!$B$7:$B$306,"&lt;="&amp;DATE($B$3,2,9),'Leave log'!$C$7:$C$306,"&gt;="&amp;DATE($B$3,2,9),'Leave log'!$F$7:$F$306,"Pending")&gt;0,"P",""))))</f>
        <v/>
      </c>
      <c r="K66" s="23" t="str">
        <f>IF(A66="","",IF(IF(OR(DATE($B$3,2,10)&gt;EOMONTH(DATE($B$3,2,1),0),NETWORKDAYS.INTL(DATE($B$3,2,10),DATE($B$3,2,10),1,'Non-working days'!$A$6:$A$45)=0),"",IF(COUNTIFS('Leave log'!$A$7:$A$306,Employees!$A$31,'Leave log'!$B$7:$B$306,"&lt;="&amp;DATE($B$3,2,10),'Leave log'!$C$7:$C$306,"&gt;="&amp;DATE($B$3,2,10),'Leave log'!$F$7:$F$306,"Approved")&gt;0,"A",""))="A","A",IF(OR(DATE($B$3,2,10)&gt;EOMONTH(DATE($B$3,2,1),0),NETWORKDAYS.INTL(DATE($B$3,2,10),DATE($B$3,2,10),1,'Non-working days'!$A$6:$A$45)=0),"",IF(COUNTIFS('Leave log'!$A$7:$A$306,Employees!$A$31,'Leave log'!$B$7:$B$306,"&lt;="&amp;DATE($B$3,2,10),'Leave log'!$C$7:$C$306,"&gt;="&amp;DATE($B$3,2,10),'Leave log'!$F$7:$F$306,"Pending")&gt;0,"P",""))))</f>
        <v/>
      </c>
      <c r="L66" s="23" t="str">
        <f>IF(A66="","",IF(IF(OR(DATE($B$3,2,11)&gt;EOMONTH(DATE($B$3,2,1),0),NETWORKDAYS.INTL(DATE($B$3,2,11),DATE($B$3,2,11),1,'Non-working days'!$A$6:$A$45)=0),"",IF(COUNTIFS('Leave log'!$A$7:$A$306,Employees!$A$31,'Leave log'!$B$7:$B$306,"&lt;="&amp;DATE($B$3,2,11),'Leave log'!$C$7:$C$306,"&gt;="&amp;DATE($B$3,2,11),'Leave log'!$F$7:$F$306,"Approved")&gt;0,"A",""))="A","A",IF(OR(DATE($B$3,2,11)&gt;EOMONTH(DATE($B$3,2,1),0),NETWORKDAYS.INTL(DATE($B$3,2,11),DATE($B$3,2,11),1,'Non-working days'!$A$6:$A$45)=0),"",IF(COUNTIFS('Leave log'!$A$7:$A$306,Employees!$A$31,'Leave log'!$B$7:$B$306,"&lt;="&amp;DATE($B$3,2,11),'Leave log'!$C$7:$C$306,"&gt;="&amp;DATE($B$3,2,11),'Leave log'!$F$7:$F$306,"Pending")&gt;0,"P",""))))</f>
        <v/>
      </c>
      <c r="M66" s="23" t="str">
        <f>IF(A66="","",IF(IF(OR(DATE($B$3,2,12)&gt;EOMONTH(DATE($B$3,2,1),0),NETWORKDAYS.INTL(DATE($B$3,2,12),DATE($B$3,2,12),1,'Non-working days'!$A$6:$A$45)=0),"",IF(COUNTIFS('Leave log'!$A$7:$A$306,Employees!$A$31,'Leave log'!$B$7:$B$306,"&lt;="&amp;DATE($B$3,2,12),'Leave log'!$C$7:$C$306,"&gt;="&amp;DATE($B$3,2,12),'Leave log'!$F$7:$F$306,"Approved")&gt;0,"A",""))="A","A",IF(OR(DATE($B$3,2,12)&gt;EOMONTH(DATE($B$3,2,1),0),NETWORKDAYS.INTL(DATE($B$3,2,12),DATE($B$3,2,12),1,'Non-working days'!$A$6:$A$45)=0),"",IF(COUNTIFS('Leave log'!$A$7:$A$306,Employees!$A$31,'Leave log'!$B$7:$B$306,"&lt;="&amp;DATE($B$3,2,12),'Leave log'!$C$7:$C$306,"&gt;="&amp;DATE($B$3,2,12),'Leave log'!$F$7:$F$306,"Pending")&gt;0,"P",""))))</f>
        <v/>
      </c>
      <c r="N66" s="23" t="str">
        <f>IF(A66="","",IF(IF(OR(DATE($B$3,2,13)&gt;EOMONTH(DATE($B$3,2,1),0),NETWORKDAYS.INTL(DATE($B$3,2,13),DATE($B$3,2,13),1,'Non-working days'!$A$6:$A$45)=0),"",IF(COUNTIFS('Leave log'!$A$7:$A$306,Employees!$A$31,'Leave log'!$B$7:$B$306,"&lt;="&amp;DATE($B$3,2,13),'Leave log'!$C$7:$C$306,"&gt;="&amp;DATE($B$3,2,13),'Leave log'!$F$7:$F$306,"Approved")&gt;0,"A",""))="A","A",IF(OR(DATE($B$3,2,13)&gt;EOMONTH(DATE($B$3,2,1),0),NETWORKDAYS.INTL(DATE($B$3,2,13),DATE($B$3,2,13),1,'Non-working days'!$A$6:$A$45)=0),"",IF(COUNTIFS('Leave log'!$A$7:$A$306,Employees!$A$31,'Leave log'!$B$7:$B$306,"&lt;="&amp;DATE($B$3,2,13),'Leave log'!$C$7:$C$306,"&gt;="&amp;DATE($B$3,2,13),'Leave log'!$F$7:$F$306,"Pending")&gt;0,"P",""))))</f>
        <v/>
      </c>
      <c r="O66" s="23" t="str">
        <f>IF(A66="","",IF(IF(OR(DATE($B$3,2,14)&gt;EOMONTH(DATE($B$3,2,1),0),NETWORKDAYS.INTL(DATE($B$3,2,14),DATE($B$3,2,14),1,'Non-working days'!$A$6:$A$45)=0),"",IF(COUNTIFS('Leave log'!$A$7:$A$306,Employees!$A$31,'Leave log'!$B$7:$B$306,"&lt;="&amp;DATE($B$3,2,14),'Leave log'!$C$7:$C$306,"&gt;="&amp;DATE($B$3,2,14),'Leave log'!$F$7:$F$306,"Approved")&gt;0,"A",""))="A","A",IF(OR(DATE($B$3,2,14)&gt;EOMONTH(DATE($B$3,2,1),0),NETWORKDAYS.INTL(DATE($B$3,2,14),DATE($B$3,2,14),1,'Non-working days'!$A$6:$A$45)=0),"",IF(COUNTIFS('Leave log'!$A$7:$A$306,Employees!$A$31,'Leave log'!$B$7:$B$306,"&lt;="&amp;DATE($B$3,2,14),'Leave log'!$C$7:$C$306,"&gt;="&amp;DATE($B$3,2,14),'Leave log'!$F$7:$F$306,"Pending")&gt;0,"P",""))))</f>
        <v/>
      </c>
      <c r="P66" s="23" t="str">
        <f>IF(A66="","",IF(IF(OR(DATE($B$3,2,15)&gt;EOMONTH(DATE($B$3,2,1),0),NETWORKDAYS.INTL(DATE($B$3,2,15),DATE($B$3,2,15),1,'Non-working days'!$A$6:$A$45)=0),"",IF(COUNTIFS('Leave log'!$A$7:$A$306,Employees!$A$31,'Leave log'!$B$7:$B$306,"&lt;="&amp;DATE($B$3,2,15),'Leave log'!$C$7:$C$306,"&gt;="&amp;DATE($B$3,2,15),'Leave log'!$F$7:$F$306,"Approved")&gt;0,"A",""))="A","A",IF(OR(DATE($B$3,2,15)&gt;EOMONTH(DATE($B$3,2,1),0),NETWORKDAYS.INTL(DATE($B$3,2,15),DATE($B$3,2,15),1,'Non-working days'!$A$6:$A$45)=0),"",IF(COUNTIFS('Leave log'!$A$7:$A$306,Employees!$A$31,'Leave log'!$B$7:$B$306,"&lt;="&amp;DATE($B$3,2,15),'Leave log'!$C$7:$C$306,"&gt;="&amp;DATE($B$3,2,15),'Leave log'!$F$7:$F$306,"Pending")&gt;0,"P",""))))</f>
        <v/>
      </c>
      <c r="Q66" s="23" t="str">
        <f>IF(A66="","",IF(IF(OR(DATE($B$3,2,16)&gt;EOMONTH(DATE($B$3,2,1),0),NETWORKDAYS.INTL(DATE($B$3,2,16),DATE($B$3,2,16),1,'Non-working days'!$A$6:$A$45)=0),"",IF(COUNTIFS('Leave log'!$A$7:$A$306,Employees!$A$31,'Leave log'!$B$7:$B$306,"&lt;="&amp;DATE($B$3,2,16),'Leave log'!$C$7:$C$306,"&gt;="&amp;DATE($B$3,2,16),'Leave log'!$F$7:$F$306,"Approved")&gt;0,"A",""))="A","A",IF(OR(DATE($B$3,2,16)&gt;EOMONTH(DATE($B$3,2,1),0),NETWORKDAYS.INTL(DATE($B$3,2,16),DATE($B$3,2,16),1,'Non-working days'!$A$6:$A$45)=0),"",IF(COUNTIFS('Leave log'!$A$7:$A$306,Employees!$A$31,'Leave log'!$B$7:$B$306,"&lt;="&amp;DATE($B$3,2,16),'Leave log'!$C$7:$C$306,"&gt;="&amp;DATE($B$3,2,16),'Leave log'!$F$7:$F$306,"Pending")&gt;0,"P",""))))</f>
        <v/>
      </c>
      <c r="R66" s="23" t="str">
        <f>IF(A66="","",IF(IF(OR(DATE($B$3,2,17)&gt;EOMONTH(DATE($B$3,2,1),0),NETWORKDAYS.INTL(DATE($B$3,2,17),DATE($B$3,2,17),1,'Non-working days'!$A$6:$A$45)=0),"",IF(COUNTIFS('Leave log'!$A$7:$A$306,Employees!$A$31,'Leave log'!$B$7:$B$306,"&lt;="&amp;DATE($B$3,2,17),'Leave log'!$C$7:$C$306,"&gt;="&amp;DATE($B$3,2,17),'Leave log'!$F$7:$F$306,"Approved")&gt;0,"A",""))="A","A",IF(OR(DATE($B$3,2,17)&gt;EOMONTH(DATE($B$3,2,1),0),NETWORKDAYS.INTL(DATE($B$3,2,17),DATE($B$3,2,17),1,'Non-working days'!$A$6:$A$45)=0),"",IF(COUNTIFS('Leave log'!$A$7:$A$306,Employees!$A$31,'Leave log'!$B$7:$B$306,"&lt;="&amp;DATE($B$3,2,17),'Leave log'!$C$7:$C$306,"&gt;="&amp;DATE($B$3,2,17),'Leave log'!$F$7:$F$306,"Pending")&gt;0,"P",""))))</f>
        <v/>
      </c>
      <c r="S66" s="23" t="str">
        <f>IF(A66="","",IF(IF(OR(DATE($B$3,2,18)&gt;EOMONTH(DATE($B$3,2,1),0),NETWORKDAYS.INTL(DATE($B$3,2,18),DATE($B$3,2,18),1,'Non-working days'!$A$6:$A$45)=0),"",IF(COUNTIFS('Leave log'!$A$7:$A$306,Employees!$A$31,'Leave log'!$B$7:$B$306,"&lt;="&amp;DATE($B$3,2,18),'Leave log'!$C$7:$C$306,"&gt;="&amp;DATE($B$3,2,18),'Leave log'!$F$7:$F$306,"Approved")&gt;0,"A",""))="A","A",IF(OR(DATE($B$3,2,18)&gt;EOMONTH(DATE($B$3,2,1),0),NETWORKDAYS.INTL(DATE($B$3,2,18),DATE($B$3,2,18),1,'Non-working days'!$A$6:$A$45)=0),"",IF(COUNTIFS('Leave log'!$A$7:$A$306,Employees!$A$31,'Leave log'!$B$7:$B$306,"&lt;="&amp;DATE($B$3,2,18),'Leave log'!$C$7:$C$306,"&gt;="&amp;DATE($B$3,2,18),'Leave log'!$F$7:$F$306,"Pending")&gt;0,"P",""))))</f>
        <v/>
      </c>
      <c r="T66" s="23" t="str">
        <f>IF(A66="","",IF(IF(OR(DATE($B$3,2,19)&gt;EOMONTH(DATE($B$3,2,1),0),NETWORKDAYS.INTL(DATE($B$3,2,19),DATE($B$3,2,19),1,'Non-working days'!$A$6:$A$45)=0),"",IF(COUNTIFS('Leave log'!$A$7:$A$306,Employees!$A$31,'Leave log'!$B$7:$B$306,"&lt;="&amp;DATE($B$3,2,19),'Leave log'!$C$7:$C$306,"&gt;="&amp;DATE($B$3,2,19),'Leave log'!$F$7:$F$306,"Approved")&gt;0,"A",""))="A","A",IF(OR(DATE($B$3,2,19)&gt;EOMONTH(DATE($B$3,2,1),0),NETWORKDAYS.INTL(DATE($B$3,2,19),DATE($B$3,2,19),1,'Non-working days'!$A$6:$A$45)=0),"",IF(COUNTIFS('Leave log'!$A$7:$A$306,Employees!$A$31,'Leave log'!$B$7:$B$306,"&lt;="&amp;DATE($B$3,2,19),'Leave log'!$C$7:$C$306,"&gt;="&amp;DATE($B$3,2,19),'Leave log'!$F$7:$F$306,"Pending")&gt;0,"P",""))))</f>
        <v/>
      </c>
      <c r="U66" s="23" t="str">
        <f>IF(A66="","",IF(IF(OR(DATE($B$3,2,20)&gt;EOMONTH(DATE($B$3,2,1),0),NETWORKDAYS.INTL(DATE($B$3,2,20),DATE($B$3,2,20),1,'Non-working days'!$A$6:$A$45)=0),"",IF(COUNTIFS('Leave log'!$A$7:$A$306,Employees!$A$31,'Leave log'!$B$7:$B$306,"&lt;="&amp;DATE($B$3,2,20),'Leave log'!$C$7:$C$306,"&gt;="&amp;DATE($B$3,2,20),'Leave log'!$F$7:$F$306,"Approved")&gt;0,"A",""))="A","A",IF(OR(DATE($B$3,2,20)&gt;EOMONTH(DATE($B$3,2,1),0),NETWORKDAYS.INTL(DATE($B$3,2,20),DATE($B$3,2,20),1,'Non-working days'!$A$6:$A$45)=0),"",IF(COUNTIFS('Leave log'!$A$7:$A$306,Employees!$A$31,'Leave log'!$B$7:$B$306,"&lt;="&amp;DATE($B$3,2,20),'Leave log'!$C$7:$C$306,"&gt;="&amp;DATE($B$3,2,20),'Leave log'!$F$7:$F$306,"Pending")&gt;0,"P",""))))</f>
        <v/>
      </c>
      <c r="V66" s="23" t="str">
        <f>IF(A66="","",IF(IF(OR(DATE($B$3,2,21)&gt;EOMONTH(DATE($B$3,2,1),0),NETWORKDAYS.INTL(DATE($B$3,2,21),DATE($B$3,2,21),1,'Non-working days'!$A$6:$A$45)=0),"",IF(COUNTIFS('Leave log'!$A$7:$A$306,Employees!$A$31,'Leave log'!$B$7:$B$306,"&lt;="&amp;DATE($B$3,2,21),'Leave log'!$C$7:$C$306,"&gt;="&amp;DATE($B$3,2,21),'Leave log'!$F$7:$F$306,"Approved")&gt;0,"A",""))="A","A",IF(OR(DATE($B$3,2,21)&gt;EOMONTH(DATE($B$3,2,1),0),NETWORKDAYS.INTL(DATE($B$3,2,21),DATE($B$3,2,21),1,'Non-working days'!$A$6:$A$45)=0),"",IF(COUNTIFS('Leave log'!$A$7:$A$306,Employees!$A$31,'Leave log'!$B$7:$B$306,"&lt;="&amp;DATE($B$3,2,21),'Leave log'!$C$7:$C$306,"&gt;="&amp;DATE($B$3,2,21),'Leave log'!$F$7:$F$306,"Pending")&gt;0,"P",""))))</f>
        <v/>
      </c>
      <c r="W66" s="23" t="str">
        <f>IF(A66="","",IF(IF(OR(DATE($B$3,2,22)&gt;EOMONTH(DATE($B$3,2,1),0),NETWORKDAYS.INTL(DATE($B$3,2,22),DATE($B$3,2,22),1,'Non-working days'!$A$6:$A$45)=0),"",IF(COUNTIFS('Leave log'!$A$7:$A$306,Employees!$A$31,'Leave log'!$B$7:$B$306,"&lt;="&amp;DATE($B$3,2,22),'Leave log'!$C$7:$C$306,"&gt;="&amp;DATE($B$3,2,22),'Leave log'!$F$7:$F$306,"Approved")&gt;0,"A",""))="A","A",IF(OR(DATE($B$3,2,22)&gt;EOMONTH(DATE($B$3,2,1),0),NETWORKDAYS.INTL(DATE($B$3,2,22),DATE($B$3,2,22),1,'Non-working days'!$A$6:$A$45)=0),"",IF(COUNTIFS('Leave log'!$A$7:$A$306,Employees!$A$31,'Leave log'!$B$7:$B$306,"&lt;="&amp;DATE($B$3,2,22),'Leave log'!$C$7:$C$306,"&gt;="&amp;DATE($B$3,2,22),'Leave log'!$F$7:$F$306,"Pending")&gt;0,"P",""))))</f>
        <v/>
      </c>
      <c r="X66" s="23" t="str">
        <f>IF(A66="","",IF(IF(OR(DATE($B$3,2,23)&gt;EOMONTH(DATE($B$3,2,1),0),NETWORKDAYS.INTL(DATE($B$3,2,23),DATE($B$3,2,23),1,'Non-working days'!$A$6:$A$45)=0),"",IF(COUNTIFS('Leave log'!$A$7:$A$306,Employees!$A$31,'Leave log'!$B$7:$B$306,"&lt;="&amp;DATE($B$3,2,23),'Leave log'!$C$7:$C$306,"&gt;="&amp;DATE($B$3,2,23),'Leave log'!$F$7:$F$306,"Approved")&gt;0,"A",""))="A","A",IF(OR(DATE($B$3,2,23)&gt;EOMONTH(DATE($B$3,2,1),0),NETWORKDAYS.INTL(DATE($B$3,2,23),DATE($B$3,2,23),1,'Non-working days'!$A$6:$A$45)=0),"",IF(COUNTIFS('Leave log'!$A$7:$A$306,Employees!$A$31,'Leave log'!$B$7:$B$306,"&lt;="&amp;DATE($B$3,2,23),'Leave log'!$C$7:$C$306,"&gt;="&amp;DATE($B$3,2,23),'Leave log'!$F$7:$F$306,"Pending")&gt;0,"P",""))))</f>
        <v/>
      </c>
      <c r="Y66" s="23" t="str">
        <f>IF(A66="","",IF(IF(OR(DATE($B$3,2,24)&gt;EOMONTH(DATE($B$3,2,1),0),NETWORKDAYS.INTL(DATE($B$3,2,24),DATE($B$3,2,24),1,'Non-working days'!$A$6:$A$45)=0),"",IF(COUNTIFS('Leave log'!$A$7:$A$306,Employees!$A$31,'Leave log'!$B$7:$B$306,"&lt;="&amp;DATE($B$3,2,24),'Leave log'!$C$7:$C$306,"&gt;="&amp;DATE($B$3,2,24),'Leave log'!$F$7:$F$306,"Approved")&gt;0,"A",""))="A","A",IF(OR(DATE($B$3,2,24)&gt;EOMONTH(DATE($B$3,2,1),0),NETWORKDAYS.INTL(DATE($B$3,2,24),DATE($B$3,2,24),1,'Non-working days'!$A$6:$A$45)=0),"",IF(COUNTIFS('Leave log'!$A$7:$A$306,Employees!$A$31,'Leave log'!$B$7:$B$306,"&lt;="&amp;DATE($B$3,2,24),'Leave log'!$C$7:$C$306,"&gt;="&amp;DATE($B$3,2,24),'Leave log'!$F$7:$F$306,"Pending")&gt;0,"P",""))))</f>
        <v/>
      </c>
      <c r="Z66" s="23" t="str">
        <f>IF(A66="","",IF(IF(OR(DATE($B$3,2,25)&gt;EOMONTH(DATE($B$3,2,1),0),NETWORKDAYS.INTL(DATE($B$3,2,25),DATE($B$3,2,25),1,'Non-working days'!$A$6:$A$45)=0),"",IF(COUNTIFS('Leave log'!$A$7:$A$306,Employees!$A$31,'Leave log'!$B$7:$B$306,"&lt;="&amp;DATE($B$3,2,25),'Leave log'!$C$7:$C$306,"&gt;="&amp;DATE($B$3,2,25),'Leave log'!$F$7:$F$306,"Approved")&gt;0,"A",""))="A","A",IF(OR(DATE($B$3,2,25)&gt;EOMONTH(DATE($B$3,2,1),0),NETWORKDAYS.INTL(DATE($B$3,2,25),DATE($B$3,2,25),1,'Non-working days'!$A$6:$A$45)=0),"",IF(COUNTIFS('Leave log'!$A$7:$A$306,Employees!$A$31,'Leave log'!$B$7:$B$306,"&lt;="&amp;DATE($B$3,2,25),'Leave log'!$C$7:$C$306,"&gt;="&amp;DATE($B$3,2,25),'Leave log'!$F$7:$F$306,"Pending")&gt;0,"P",""))))</f>
        <v/>
      </c>
      <c r="AA66" s="23" t="str">
        <f>IF(A66="","",IF(IF(OR(DATE($B$3,2,26)&gt;EOMONTH(DATE($B$3,2,1),0),NETWORKDAYS.INTL(DATE($B$3,2,26),DATE($B$3,2,26),1,'Non-working days'!$A$6:$A$45)=0),"",IF(COUNTIFS('Leave log'!$A$7:$A$306,Employees!$A$31,'Leave log'!$B$7:$B$306,"&lt;="&amp;DATE($B$3,2,26),'Leave log'!$C$7:$C$306,"&gt;="&amp;DATE($B$3,2,26),'Leave log'!$F$7:$F$306,"Approved")&gt;0,"A",""))="A","A",IF(OR(DATE($B$3,2,26)&gt;EOMONTH(DATE($B$3,2,1),0),NETWORKDAYS.INTL(DATE($B$3,2,26),DATE($B$3,2,26),1,'Non-working days'!$A$6:$A$45)=0),"",IF(COUNTIFS('Leave log'!$A$7:$A$306,Employees!$A$31,'Leave log'!$B$7:$B$306,"&lt;="&amp;DATE($B$3,2,26),'Leave log'!$C$7:$C$306,"&gt;="&amp;DATE($B$3,2,26),'Leave log'!$F$7:$F$306,"Pending")&gt;0,"P",""))))</f>
        <v/>
      </c>
      <c r="AB66" s="23" t="str">
        <f>IF(A66="","",IF(IF(OR(DATE($B$3,2,27)&gt;EOMONTH(DATE($B$3,2,1),0),NETWORKDAYS.INTL(DATE($B$3,2,27),DATE($B$3,2,27),1,'Non-working days'!$A$6:$A$45)=0),"",IF(COUNTIFS('Leave log'!$A$7:$A$306,Employees!$A$31,'Leave log'!$B$7:$B$306,"&lt;="&amp;DATE($B$3,2,27),'Leave log'!$C$7:$C$306,"&gt;="&amp;DATE($B$3,2,27),'Leave log'!$F$7:$F$306,"Approved")&gt;0,"A",""))="A","A",IF(OR(DATE($B$3,2,27)&gt;EOMONTH(DATE($B$3,2,1),0),NETWORKDAYS.INTL(DATE($B$3,2,27),DATE($B$3,2,27),1,'Non-working days'!$A$6:$A$45)=0),"",IF(COUNTIFS('Leave log'!$A$7:$A$306,Employees!$A$31,'Leave log'!$B$7:$B$306,"&lt;="&amp;DATE($B$3,2,27),'Leave log'!$C$7:$C$306,"&gt;="&amp;DATE($B$3,2,27),'Leave log'!$F$7:$F$306,"Pending")&gt;0,"P",""))))</f>
        <v/>
      </c>
      <c r="AC66" s="23" t="str">
        <f>IF(A66="","",IF(IF(OR(DATE($B$3,2,28)&gt;EOMONTH(DATE($B$3,2,1),0),NETWORKDAYS.INTL(DATE($B$3,2,28),DATE($B$3,2,28),1,'Non-working days'!$A$6:$A$45)=0),"",IF(COUNTIFS('Leave log'!$A$7:$A$306,Employees!$A$31,'Leave log'!$B$7:$B$306,"&lt;="&amp;DATE($B$3,2,28),'Leave log'!$C$7:$C$306,"&gt;="&amp;DATE($B$3,2,28),'Leave log'!$F$7:$F$306,"Approved")&gt;0,"A",""))="A","A",IF(OR(DATE($B$3,2,28)&gt;EOMONTH(DATE($B$3,2,1),0),NETWORKDAYS.INTL(DATE($B$3,2,28),DATE($B$3,2,28),1,'Non-working days'!$A$6:$A$45)=0),"",IF(COUNTIFS('Leave log'!$A$7:$A$306,Employees!$A$31,'Leave log'!$B$7:$B$306,"&lt;="&amp;DATE($B$3,2,28),'Leave log'!$C$7:$C$306,"&gt;="&amp;DATE($B$3,2,28),'Leave log'!$F$7:$F$306,"Pending")&gt;0,"P",""))))</f>
        <v/>
      </c>
      <c r="AD66" s="23" t="str">
        <f>IF(A66="","",IF(IF(OR(DATE($B$3,2,29)&gt;EOMONTH(DATE($B$3,2,1),0),NETWORKDAYS.INTL(DATE($B$3,2,29),DATE($B$3,2,29),1,'Non-working days'!$A$6:$A$45)=0),"",IF(COUNTIFS('Leave log'!$A$7:$A$306,Employees!$A$31,'Leave log'!$B$7:$B$306,"&lt;="&amp;DATE($B$3,2,29),'Leave log'!$C$7:$C$306,"&gt;="&amp;DATE($B$3,2,29),'Leave log'!$F$7:$F$306,"Approved")&gt;0,"A",""))="A","A",IF(OR(DATE($B$3,2,29)&gt;EOMONTH(DATE($B$3,2,1),0),NETWORKDAYS.INTL(DATE($B$3,2,29),DATE($B$3,2,29),1,'Non-working days'!$A$6:$A$45)=0),"",IF(COUNTIFS('Leave log'!$A$7:$A$306,Employees!$A$31,'Leave log'!$B$7:$B$306,"&lt;="&amp;DATE($B$3,2,29),'Leave log'!$C$7:$C$306,"&gt;="&amp;DATE($B$3,2,29),'Leave log'!$F$7:$F$306,"Pending")&gt;0,"P",""))))</f>
        <v/>
      </c>
      <c r="AE66" s="23" t="str">
        <f>IF(A66="","",IF(IF(OR(DATE($B$3,2,30)&gt;EOMONTH(DATE($B$3,2,1),0),NETWORKDAYS.INTL(DATE($B$3,2,30),DATE($B$3,2,30),1,'Non-working days'!$A$6:$A$45)=0),"",IF(COUNTIFS('Leave log'!$A$7:$A$306,Employees!$A$31,'Leave log'!$B$7:$B$306,"&lt;="&amp;DATE($B$3,2,30),'Leave log'!$C$7:$C$306,"&gt;="&amp;DATE($B$3,2,30),'Leave log'!$F$7:$F$306,"Approved")&gt;0,"A",""))="A","A",IF(OR(DATE($B$3,2,30)&gt;EOMONTH(DATE($B$3,2,1),0),NETWORKDAYS.INTL(DATE($B$3,2,30),DATE($B$3,2,30),1,'Non-working days'!$A$6:$A$45)=0),"",IF(COUNTIFS('Leave log'!$A$7:$A$306,Employees!$A$31,'Leave log'!$B$7:$B$306,"&lt;="&amp;DATE($B$3,2,30),'Leave log'!$C$7:$C$306,"&gt;="&amp;DATE($B$3,2,30),'Leave log'!$F$7:$F$306,"Pending")&gt;0,"P",""))))</f>
        <v/>
      </c>
      <c r="AF66" s="23" t="str">
        <f>IF(A66="","",IF(IF(OR(DATE($B$3,2,31)&gt;EOMONTH(DATE($B$3,2,1),0),NETWORKDAYS.INTL(DATE($B$3,2,31),DATE($B$3,2,31),1,'Non-working days'!$A$6:$A$45)=0),"",IF(COUNTIFS('Leave log'!$A$7:$A$306,Employees!$A$31,'Leave log'!$B$7:$B$306,"&lt;="&amp;DATE($B$3,2,31),'Leave log'!$C$7:$C$306,"&gt;="&amp;DATE($B$3,2,31),'Leave log'!$F$7:$F$306,"Approved")&gt;0,"A",""))="A","A",IF(OR(DATE($B$3,2,31)&gt;EOMONTH(DATE($B$3,2,1),0),NETWORKDAYS.INTL(DATE($B$3,2,31),DATE($B$3,2,31),1,'Non-working days'!$A$6:$A$45)=0),"",IF(COUNTIFS('Leave log'!$A$7:$A$306,Employees!$A$31,'Leave log'!$B$7:$B$306,"&lt;="&amp;DATE($B$3,2,31),'Leave log'!$C$7:$C$306,"&gt;="&amp;DATE($B$3,2,31),'Leave log'!$F$7:$F$306,"Pending")&gt;0,"P",""))))</f>
        <v/>
      </c>
    </row>
    <row r="67" spans="1:32" ht="18" customHeight="1" x14ac:dyDescent="0.3">
      <c r="A67" s="22" t="str">
        <f>IF(Employees!F32="Yes",Employees!B32,"")</f>
        <v/>
      </c>
      <c r="B67" s="23" t="str">
        <f>IF(A67="","",IF(IF(OR(DATE($B$3,2,1)&gt;EOMONTH(DATE($B$3,2,1),0),NETWORKDAYS.INTL(DATE($B$3,2,1),DATE($B$3,2,1),1,'Non-working days'!$A$6:$A$45)=0),"",IF(COUNTIFS('Leave log'!$A$7:$A$306,Employees!$A$32,'Leave log'!$B$7:$B$306,"&lt;="&amp;DATE($B$3,2,1),'Leave log'!$C$7:$C$306,"&gt;="&amp;DATE($B$3,2,1),'Leave log'!$F$7:$F$306,"Approved")&gt;0,"A",""))="A","A",IF(OR(DATE($B$3,2,1)&gt;EOMONTH(DATE($B$3,2,1),0),NETWORKDAYS.INTL(DATE($B$3,2,1),DATE($B$3,2,1),1,'Non-working days'!$A$6:$A$45)=0),"",IF(COUNTIFS('Leave log'!$A$7:$A$306,Employees!$A$32,'Leave log'!$B$7:$B$306,"&lt;="&amp;DATE($B$3,2,1),'Leave log'!$C$7:$C$306,"&gt;="&amp;DATE($B$3,2,1),'Leave log'!$F$7:$F$306,"Pending")&gt;0,"P",""))))</f>
        <v/>
      </c>
      <c r="C67" s="23" t="str">
        <f>IF(A67="","",IF(IF(OR(DATE($B$3,2,2)&gt;EOMONTH(DATE($B$3,2,1),0),NETWORKDAYS.INTL(DATE($B$3,2,2),DATE($B$3,2,2),1,'Non-working days'!$A$6:$A$45)=0),"",IF(COUNTIFS('Leave log'!$A$7:$A$306,Employees!$A$32,'Leave log'!$B$7:$B$306,"&lt;="&amp;DATE($B$3,2,2),'Leave log'!$C$7:$C$306,"&gt;="&amp;DATE($B$3,2,2),'Leave log'!$F$7:$F$306,"Approved")&gt;0,"A",""))="A","A",IF(OR(DATE($B$3,2,2)&gt;EOMONTH(DATE($B$3,2,1),0),NETWORKDAYS.INTL(DATE($B$3,2,2),DATE($B$3,2,2),1,'Non-working days'!$A$6:$A$45)=0),"",IF(COUNTIFS('Leave log'!$A$7:$A$306,Employees!$A$32,'Leave log'!$B$7:$B$306,"&lt;="&amp;DATE($B$3,2,2),'Leave log'!$C$7:$C$306,"&gt;="&amp;DATE($B$3,2,2),'Leave log'!$F$7:$F$306,"Pending")&gt;0,"P",""))))</f>
        <v/>
      </c>
      <c r="D67" s="23" t="str">
        <f>IF(A67="","",IF(IF(OR(DATE($B$3,2,3)&gt;EOMONTH(DATE($B$3,2,1),0),NETWORKDAYS.INTL(DATE($B$3,2,3),DATE($B$3,2,3),1,'Non-working days'!$A$6:$A$45)=0),"",IF(COUNTIFS('Leave log'!$A$7:$A$306,Employees!$A$32,'Leave log'!$B$7:$B$306,"&lt;="&amp;DATE($B$3,2,3),'Leave log'!$C$7:$C$306,"&gt;="&amp;DATE($B$3,2,3),'Leave log'!$F$7:$F$306,"Approved")&gt;0,"A",""))="A","A",IF(OR(DATE($B$3,2,3)&gt;EOMONTH(DATE($B$3,2,1),0),NETWORKDAYS.INTL(DATE($B$3,2,3),DATE($B$3,2,3),1,'Non-working days'!$A$6:$A$45)=0),"",IF(COUNTIFS('Leave log'!$A$7:$A$306,Employees!$A$32,'Leave log'!$B$7:$B$306,"&lt;="&amp;DATE($B$3,2,3),'Leave log'!$C$7:$C$306,"&gt;="&amp;DATE($B$3,2,3),'Leave log'!$F$7:$F$306,"Pending")&gt;0,"P",""))))</f>
        <v/>
      </c>
      <c r="E67" s="23" t="str">
        <f>IF(A67="","",IF(IF(OR(DATE($B$3,2,4)&gt;EOMONTH(DATE($B$3,2,1),0),NETWORKDAYS.INTL(DATE($B$3,2,4),DATE($B$3,2,4),1,'Non-working days'!$A$6:$A$45)=0),"",IF(COUNTIFS('Leave log'!$A$7:$A$306,Employees!$A$32,'Leave log'!$B$7:$B$306,"&lt;="&amp;DATE($B$3,2,4),'Leave log'!$C$7:$C$306,"&gt;="&amp;DATE($B$3,2,4),'Leave log'!$F$7:$F$306,"Approved")&gt;0,"A",""))="A","A",IF(OR(DATE($B$3,2,4)&gt;EOMONTH(DATE($B$3,2,1),0),NETWORKDAYS.INTL(DATE($B$3,2,4),DATE($B$3,2,4),1,'Non-working days'!$A$6:$A$45)=0),"",IF(COUNTIFS('Leave log'!$A$7:$A$306,Employees!$A$32,'Leave log'!$B$7:$B$306,"&lt;="&amp;DATE($B$3,2,4),'Leave log'!$C$7:$C$306,"&gt;="&amp;DATE($B$3,2,4),'Leave log'!$F$7:$F$306,"Pending")&gt;0,"P",""))))</f>
        <v/>
      </c>
      <c r="F67" s="23" t="str">
        <f>IF(A67="","",IF(IF(OR(DATE($B$3,2,5)&gt;EOMONTH(DATE($B$3,2,1),0),NETWORKDAYS.INTL(DATE($B$3,2,5),DATE($B$3,2,5),1,'Non-working days'!$A$6:$A$45)=0),"",IF(COUNTIFS('Leave log'!$A$7:$A$306,Employees!$A$32,'Leave log'!$B$7:$B$306,"&lt;="&amp;DATE($B$3,2,5),'Leave log'!$C$7:$C$306,"&gt;="&amp;DATE($B$3,2,5),'Leave log'!$F$7:$F$306,"Approved")&gt;0,"A",""))="A","A",IF(OR(DATE($B$3,2,5)&gt;EOMONTH(DATE($B$3,2,1),0),NETWORKDAYS.INTL(DATE($B$3,2,5),DATE($B$3,2,5),1,'Non-working days'!$A$6:$A$45)=0),"",IF(COUNTIFS('Leave log'!$A$7:$A$306,Employees!$A$32,'Leave log'!$B$7:$B$306,"&lt;="&amp;DATE($B$3,2,5),'Leave log'!$C$7:$C$306,"&gt;="&amp;DATE($B$3,2,5),'Leave log'!$F$7:$F$306,"Pending")&gt;0,"P",""))))</f>
        <v/>
      </c>
      <c r="G67" s="23" t="str">
        <f>IF(A67="","",IF(IF(OR(DATE($B$3,2,6)&gt;EOMONTH(DATE($B$3,2,1),0),NETWORKDAYS.INTL(DATE($B$3,2,6),DATE($B$3,2,6),1,'Non-working days'!$A$6:$A$45)=0),"",IF(COUNTIFS('Leave log'!$A$7:$A$306,Employees!$A$32,'Leave log'!$B$7:$B$306,"&lt;="&amp;DATE($B$3,2,6),'Leave log'!$C$7:$C$306,"&gt;="&amp;DATE($B$3,2,6),'Leave log'!$F$7:$F$306,"Approved")&gt;0,"A",""))="A","A",IF(OR(DATE($B$3,2,6)&gt;EOMONTH(DATE($B$3,2,1),0),NETWORKDAYS.INTL(DATE($B$3,2,6),DATE($B$3,2,6),1,'Non-working days'!$A$6:$A$45)=0),"",IF(COUNTIFS('Leave log'!$A$7:$A$306,Employees!$A$32,'Leave log'!$B$7:$B$306,"&lt;="&amp;DATE($B$3,2,6),'Leave log'!$C$7:$C$306,"&gt;="&amp;DATE($B$3,2,6),'Leave log'!$F$7:$F$306,"Pending")&gt;0,"P",""))))</f>
        <v/>
      </c>
      <c r="H67" s="23" t="str">
        <f>IF(A67="","",IF(IF(OR(DATE($B$3,2,7)&gt;EOMONTH(DATE($B$3,2,1),0),NETWORKDAYS.INTL(DATE($B$3,2,7),DATE($B$3,2,7),1,'Non-working days'!$A$6:$A$45)=0),"",IF(COUNTIFS('Leave log'!$A$7:$A$306,Employees!$A$32,'Leave log'!$B$7:$B$306,"&lt;="&amp;DATE($B$3,2,7),'Leave log'!$C$7:$C$306,"&gt;="&amp;DATE($B$3,2,7),'Leave log'!$F$7:$F$306,"Approved")&gt;0,"A",""))="A","A",IF(OR(DATE($B$3,2,7)&gt;EOMONTH(DATE($B$3,2,1),0),NETWORKDAYS.INTL(DATE($B$3,2,7),DATE($B$3,2,7),1,'Non-working days'!$A$6:$A$45)=0),"",IF(COUNTIFS('Leave log'!$A$7:$A$306,Employees!$A$32,'Leave log'!$B$7:$B$306,"&lt;="&amp;DATE($B$3,2,7),'Leave log'!$C$7:$C$306,"&gt;="&amp;DATE($B$3,2,7),'Leave log'!$F$7:$F$306,"Pending")&gt;0,"P",""))))</f>
        <v/>
      </c>
      <c r="I67" s="23" t="str">
        <f>IF(A67="","",IF(IF(OR(DATE($B$3,2,8)&gt;EOMONTH(DATE($B$3,2,1),0),NETWORKDAYS.INTL(DATE($B$3,2,8),DATE($B$3,2,8),1,'Non-working days'!$A$6:$A$45)=0),"",IF(COUNTIFS('Leave log'!$A$7:$A$306,Employees!$A$32,'Leave log'!$B$7:$B$306,"&lt;="&amp;DATE($B$3,2,8),'Leave log'!$C$7:$C$306,"&gt;="&amp;DATE($B$3,2,8),'Leave log'!$F$7:$F$306,"Approved")&gt;0,"A",""))="A","A",IF(OR(DATE($B$3,2,8)&gt;EOMONTH(DATE($B$3,2,1),0),NETWORKDAYS.INTL(DATE($B$3,2,8),DATE($B$3,2,8),1,'Non-working days'!$A$6:$A$45)=0),"",IF(COUNTIFS('Leave log'!$A$7:$A$306,Employees!$A$32,'Leave log'!$B$7:$B$306,"&lt;="&amp;DATE($B$3,2,8),'Leave log'!$C$7:$C$306,"&gt;="&amp;DATE($B$3,2,8),'Leave log'!$F$7:$F$306,"Pending")&gt;0,"P",""))))</f>
        <v/>
      </c>
      <c r="J67" s="23" t="str">
        <f>IF(A67="","",IF(IF(OR(DATE($B$3,2,9)&gt;EOMONTH(DATE($B$3,2,1),0),NETWORKDAYS.INTL(DATE($B$3,2,9),DATE($B$3,2,9),1,'Non-working days'!$A$6:$A$45)=0),"",IF(COUNTIFS('Leave log'!$A$7:$A$306,Employees!$A$32,'Leave log'!$B$7:$B$306,"&lt;="&amp;DATE($B$3,2,9),'Leave log'!$C$7:$C$306,"&gt;="&amp;DATE($B$3,2,9),'Leave log'!$F$7:$F$306,"Approved")&gt;0,"A",""))="A","A",IF(OR(DATE($B$3,2,9)&gt;EOMONTH(DATE($B$3,2,1),0),NETWORKDAYS.INTL(DATE($B$3,2,9),DATE($B$3,2,9),1,'Non-working days'!$A$6:$A$45)=0),"",IF(COUNTIFS('Leave log'!$A$7:$A$306,Employees!$A$32,'Leave log'!$B$7:$B$306,"&lt;="&amp;DATE($B$3,2,9),'Leave log'!$C$7:$C$306,"&gt;="&amp;DATE($B$3,2,9),'Leave log'!$F$7:$F$306,"Pending")&gt;0,"P",""))))</f>
        <v/>
      </c>
      <c r="K67" s="23" t="str">
        <f>IF(A67="","",IF(IF(OR(DATE($B$3,2,10)&gt;EOMONTH(DATE($B$3,2,1),0),NETWORKDAYS.INTL(DATE($B$3,2,10),DATE($B$3,2,10),1,'Non-working days'!$A$6:$A$45)=0),"",IF(COUNTIFS('Leave log'!$A$7:$A$306,Employees!$A$32,'Leave log'!$B$7:$B$306,"&lt;="&amp;DATE($B$3,2,10),'Leave log'!$C$7:$C$306,"&gt;="&amp;DATE($B$3,2,10),'Leave log'!$F$7:$F$306,"Approved")&gt;0,"A",""))="A","A",IF(OR(DATE($B$3,2,10)&gt;EOMONTH(DATE($B$3,2,1),0),NETWORKDAYS.INTL(DATE($B$3,2,10),DATE($B$3,2,10),1,'Non-working days'!$A$6:$A$45)=0),"",IF(COUNTIFS('Leave log'!$A$7:$A$306,Employees!$A$32,'Leave log'!$B$7:$B$306,"&lt;="&amp;DATE($B$3,2,10),'Leave log'!$C$7:$C$306,"&gt;="&amp;DATE($B$3,2,10),'Leave log'!$F$7:$F$306,"Pending")&gt;0,"P",""))))</f>
        <v/>
      </c>
      <c r="L67" s="23" t="str">
        <f>IF(A67="","",IF(IF(OR(DATE($B$3,2,11)&gt;EOMONTH(DATE($B$3,2,1),0),NETWORKDAYS.INTL(DATE($B$3,2,11),DATE($B$3,2,11),1,'Non-working days'!$A$6:$A$45)=0),"",IF(COUNTIFS('Leave log'!$A$7:$A$306,Employees!$A$32,'Leave log'!$B$7:$B$306,"&lt;="&amp;DATE($B$3,2,11),'Leave log'!$C$7:$C$306,"&gt;="&amp;DATE($B$3,2,11),'Leave log'!$F$7:$F$306,"Approved")&gt;0,"A",""))="A","A",IF(OR(DATE($B$3,2,11)&gt;EOMONTH(DATE($B$3,2,1),0),NETWORKDAYS.INTL(DATE($B$3,2,11),DATE($B$3,2,11),1,'Non-working days'!$A$6:$A$45)=0),"",IF(COUNTIFS('Leave log'!$A$7:$A$306,Employees!$A$32,'Leave log'!$B$7:$B$306,"&lt;="&amp;DATE($B$3,2,11),'Leave log'!$C$7:$C$306,"&gt;="&amp;DATE($B$3,2,11),'Leave log'!$F$7:$F$306,"Pending")&gt;0,"P",""))))</f>
        <v/>
      </c>
      <c r="M67" s="23" t="str">
        <f>IF(A67="","",IF(IF(OR(DATE($B$3,2,12)&gt;EOMONTH(DATE($B$3,2,1),0),NETWORKDAYS.INTL(DATE($B$3,2,12),DATE($B$3,2,12),1,'Non-working days'!$A$6:$A$45)=0),"",IF(COUNTIFS('Leave log'!$A$7:$A$306,Employees!$A$32,'Leave log'!$B$7:$B$306,"&lt;="&amp;DATE($B$3,2,12),'Leave log'!$C$7:$C$306,"&gt;="&amp;DATE($B$3,2,12),'Leave log'!$F$7:$F$306,"Approved")&gt;0,"A",""))="A","A",IF(OR(DATE($B$3,2,12)&gt;EOMONTH(DATE($B$3,2,1),0),NETWORKDAYS.INTL(DATE($B$3,2,12),DATE($B$3,2,12),1,'Non-working days'!$A$6:$A$45)=0),"",IF(COUNTIFS('Leave log'!$A$7:$A$306,Employees!$A$32,'Leave log'!$B$7:$B$306,"&lt;="&amp;DATE($B$3,2,12),'Leave log'!$C$7:$C$306,"&gt;="&amp;DATE($B$3,2,12),'Leave log'!$F$7:$F$306,"Pending")&gt;0,"P",""))))</f>
        <v/>
      </c>
      <c r="N67" s="23" t="str">
        <f>IF(A67="","",IF(IF(OR(DATE($B$3,2,13)&gt;EOMONTH(DATE($B$3,2,1),0),NETWORKDAYS.INTL(DATE($B$3,2,13),DATE($B$3,2,13),1,'Non-working days'!$A$6:$A$45)=0),"",IF(COUNTIFS('Leave log'!$A$7:$A$306,Employees!$A$32,'Leave log'!$B$7:$B$306,"&lt;="&amp;DATE($B$3,2,13),'Leave log'!$C$7:$C$306,"&gt;="&amp;DATE($B$3,2,13),'Leave log'!$F$7:$F$306,"Approved")&gt;0,"A",""))="A","A",IF(OR(DATE($B$3,2,13)&gt;EOMONTH(DATE($B$3,2,1),0),NETWORKDAYS.INTL(DATE($B$3,2,13),DATE($B$3,2,13),1,'Non-working days'!$A$6:$A$45)=0),"",IF(COUNTIFS('Leave log'!$A$7:$A$306,Employees!$A$32,'Leave log'!$B$7:$B$306,"&lt;="&amp;DATE($B$3,2,13),'Leave log'!$C$7:$C$306,"&gt;="&amp;DATE($B$3,2,13),'Leave log'!$F$7:$F$306,"Pending")&gt;0,"P",""))))</f>
        <v/>
      </c>
      <c r="O67" s="23" t="str">
        <f>IF(A67="","",IF(IF(OR(DATE($B$3,2,14)&gt;EOMONTH(DATE($B$3,2,1),0),NETWORKDAYS.INTL(DATE($B$3,2,14),DATE($B$3,2,14),1,'Non-working days'!$A$6:$A$45)=0),"",IF(COUNTIFS('Leave log'!$A$7:$A$306,Employees!$A$32,'Leave log'!$B$7:$B$306,"&lt;="&amp;DATE($B$3,2,14),'Leave log'!$C$7:$C$306,"&gt;="&amp;DATE($B$3,2,14),'Leave log'!$F$7:$F$306,"Approved")&gt;0,"A",""))="A","A",IF(OR(DATE($B$3,2,14)&gt;EOMONTH(DATE($B$3,2,1),0),NETWORKDAYS.INTL(DATE($B$3,2,14),DATE($B$3,2,14),1,'Non-working days'!$A$6:$A$45)=0),"",IF(COUNTIFS('Leave log'!$A$7:$A$306,Employees!$A$32,'Leave log'!$B$7:$B$306,"&lt;="&amp;DATE($B$3,2,14),'Leave log'!$C$7:$C$306,"&gt;="&amp;DATE($B$3,2,14),'Leave log'!$F$7:$F$306,"Pending")&gt;0,"P",""))))</f>
        <v/>
      </c>
      <c r="P67" s="23" t="str">
        <f>IF(A67="","",IF(IF(OR(DATE($B$3,2,15)&gt;EOMONTH(DATE($B$3,2,1),0),NETWORKDAYS.INTL(DATE($B$3,2,15),DATE($B$3,2,15),1,'Non-working days'!$A$6:$A$45)=0),"",IF(COUNTIFS('Leave log'!$A$7:$A$306,Employees!$A$32,'Leave log'!$B$7:$B$306,"&lt;="&amp;DATE($B$3,2,15),'Leave log'!$C$7:$C$306,"&gt;="&amp;DATE($B$3,2,15),'Leave log'!$F$7:$F$306,"Approved")&gt;0,"A",""))="A","A",IF(OR(DATE($B$3,2,15)&gt;EOMONTH(DATE($B$3,2,1),0),NETWORKDAYS.INTL(DATE($B$3,2,15),DATE($B$3,2,15),1,'Non-working days'!$A$6:$A$45)=0),"",IF(COUNTIFS('Leave log'!$A$7:$A$306,Employees!$A$32,'Leave log'!$B$7:$B$306,"&lt;="&amp;DATE($B$3,2,15),'Leave log'!$C$7:$C$306,"&gt;="&amp;DATE($B$3,2,15),'Leave log'!$F$7:$F$306,"Pending")&gt;0,"P",""))))</f>
        <v/>
      </c>
      <c r="Q67" s="23" t="str">
        <f>IF(A67="","",IF(IF(OR(DATE($B$3,2,16)&gt;EOMONTH(DATE($B$3,2,1),0),NETWORKDAYS.INTL(DATE($B$3,2,16),DATE($B$3,2,16),1,'Non-working days'!$A$6:$A$45)=0),"",IF(COUNTIFS('Leave log'!$A$7:$A$306,Employees!$A$32,'Leave log'!$B$7:$B$306,"&lt;="&amp;DATE($B$3,2,16),'Leave log'!$C$7:$C$306,"&gt;="&amp;DATE($B$3,2,16),'Leave log'!$F$7:$F$306,"Approved")&gt;0,"A",""))="A","A",IF(OR(DATE($B$3,2,16)&gt;EOMONTH(DATE($B$3,2,1),0),NETWORKDAYS.INTL(DATE($B$3,2,16),DATE($B$3,2,16),1,'Non-working days'!$A$6:$A$45)=0),"",IF(COUNTIFS('Leave log'!$A$7:$A$306,Employees!$A$32,'Leave log'!$B$7:$B$306,"&lt;="&amp;DATE($B$3,2,16),'Leave log'!$C$7:$C$306,"&gt;="&amp;DATE($B$3,2,16),'Leave log'!$F$7:$F$306,"Pending")&gt;0,"P",""))))</f>
        <v/>
      </c>
      <c r="R67" s="23" t="str">
        <f>IF(A67="","",IF(IF(OR(DATE($B$3,2,17)&gt;EOMONTH(DATE($B$3,2,1),0),NETWORKDAYS.INTL(DATE($B$3,2,17),DATE($B$3,2,17),1,'Non-working days'!$A$6:$A$45)=0),"",IF(COUNTIFS('Leave log'!$A$7:$A$306,Employees!$A$32,'Leave log'!$B$7:$B$306,"&lt;="&amp;DATE($B$3,2,17),'Leave log'!$C$7:$C$306,"&gt;="&amp;DATE($B$3,2,17),'Leave log'!$F$7:$F$306,"Approved")&gt;0,"A",""))="A","A",IF(OR(DATE($B$3,2,17)&gt;EOMONTH(DATE($B$3,2,1),0),NETWORKDAYS.INTL(DATE($B$3,2,17),DATE($B$3,2,17),1,'Non-working days'!$A$6:$A$45)=0),"",IF(COUNTIFS('Leave log'!$A$7:$A$306,Employees!$A$32,'Leave log'!$B$7:$B$306,"&lt;="&amp;DATE($B$3,2,17),'Leave log'!$C$7:$C$306,"&gt;="&amp;DATE($B$3,2,17),'Leave log'!$F$7:$F$306,"Pending")&gt;0,"P",""))))</f>
        <v/>
      </c>
      <c r="S67" s="23" t="str">
        <f>IF(A67="","",IF(IF(OR(DATE($B$3,2,18)&gt;EOMONTH(DATE($B$3,2,1),0),NETWORKDAYS.INTL(DATE($B$3,2,18),DATE($B$3,2,18),1,'Non-working days'!$A$6:$A$45)=0),"",IF(COUNTIFS('Leave log'!$A$7:$A$306,Employees!$A$32,'Leave log'!$B$7:$B$306,"&lt;="&amp;DATE($B$3,2,18),'Leave log'!$C$7:$C$306,"&gt;="&amp;DATE($B$3,2,18),'Leave log'!$F$7:$F$306,"Approved")&gt;0,"A",""))="A","A",IF(OR(DATE($B$3,2,18)&gt;EOMONTH(DATE($B$3,2,1),0),NETWORKDAYS.INTL(DATE($B$3,2,18),DATE($B$3,2,18),1,'Non-working days'!$A$6:$A$45)=0),"",IF(COUNTIFS('Leave log'!$A$7:$A$306,Employees!$A$32,'Leave log'!$B$7:$B$306,"&lt;="&amp;DATE($B$3,2,18),'Leave log'!$C$7:$C$306,"&gt;="&amp;DATE($B$3,2,18),'Leave log'!$F$7:$F$306,"Pending")&gt;0,"P",""))))</f>
        <v/>
      </c>
      <c r="T67" s="23" t="str">
        <f>IF(A67="","",IF(IF(OR(DATE($B$3,2,19)&gt;EOMONTH(DATE($B$3,2,1),0),NETWORKDAYS.INTL(DATE($B$3,2,19),DATE($B$3,2,19),1,'Non-working days'!$A$6:$A$45)=0),"",IF(COUNTIFS('Leave log'!$A$7:$A$306,Employees!$A$32,'Leave log'!$B$7:$B$306,"&lt;="&amp;DATE($B$3,2,19),'Leave log'!$C$7:$C$306,"&gt;="&amp;DATE($B$3,2,19),'Leave log'!$F$7:$F$306,"Approved")&gt;0,"A",""))="A","A",IF(OR(DATE($B$3,2,19)&gt;EOMONTH(DATE($B$3,2,1),0),NETWORKDAYS.INTL(DATE($B$3,2,19),DATE($B$3,2,19),1,'Non-working days'!$A$6:$A$45)=0),"",IF(COUNTIFS('Leave log'!$A$7:$A$306,Employees!$A$32,'Leave log'!$B$7:$B$306,"&lt;="&amp;DATE($B$3,2,19),'Leave log'!$C$7:$C$306,"&gt;="&amp;DATE($B$3,2,19),'Leave log'!$F$7:$F$306,"Pending")&gt;0,"P",""))))</f>
        <v/>
      </c>
      <c r="U67" s="23" t="str">
        <f>IF(A67="","",IF(IF(OR(DATE($B$3,2,20)&gt;EOMONTH(DATE($B$3,2,1),0),NETWORKDAYS.INTL(DATE($B$3,2,20),DATE($B$3,2,20),1,'Non-working days'!$A$6:$A$45)=0),"",IF(COUNTIFS('Leave log'!$A$7:$A$306,Employees!$A$32,'Leave log'!$B$7:$B$306,"&lt;="&amp;DATE($B$3,2,20),'Leave log'!$C$7:$C$306,"&gt;="&amp;DATE($B$3,2,20),'Leave log'!$F$7:$F$306,"Approved")&gt;0,"A",""))="A","A",IF(OR(DATE($B$3,2,20)&gt;EOMONTH(DATE($B$3,2,1),0),NETWORKDAYS.INTL(DATE($B$3,2,20),DATE($B$3,2,20),1,'Non-working days'!$A$6:$A$45)=0),"",IF(COUNTIFS('Leave log'!$A$7:$A$306,Employees!$A$32,'Leave log'!$B$7:$B$306,"&lt;="&amp;DATE($B$3,2,20),'Leave log'!$C$7:$C$306,"&gt;="&amp;DATE($B$3,2,20),'Leave log'!$F$7:$F$306,"Pending")&gt;0,"P",""))))</f>
        <v/>
      </c>
      <c r="V67" s="23" t="str">
        <f>IF(A67="","",IF(IF(OR(DATE($B$3,2,21)&gt;EOMONTH(DATE($B$3,2,1),0),NETWORKDAYS.INTL(DATE($B$3,2,21),DATE($B$3,2,21),1,'Non-working days'!$A$6:$A$45)=0),"",IF(COUNTIFS('Leave log'!$A$7:$A$306,Employees!$A$32,'Leave log'!$B$7:$B$306,"&lt;="&amp;DATE($B$3,2,21),'Leave log'!$C$7:$C$306,"&gt;="&amp;DATE($B$3,2,21),'Leave log'!$F$7:$F$306,"Approved")&gt;0,"A",""))="A","A",IF(OR(DATE($B$3,2,21)&gt;EOMONTH(DATE($B$3,2,1),0),NETWORKDAYS.INTL(DATE($B$3,2,21),DATE($B$3,2,21),1,'Non-working days'!$A$6:$A$45)=0),"",IF(COUNTIFS('Leave log'!$A$7:$A$306,Employees!$A$32,'Leave log'!$B$7:$B$306,"&lt;="&amp;DATE($B$3,2,21),'Leave log'!$C$7:$C$306,"&gt;="&amp;DATE($B$3,2,21),'Leave log'!$F$7:$F$306,"Pending")&gt;0,"P",""))))</f>
        <v/>
      </c>
      <c r="W67" s="23" t="str">
        <f>IF(A67="","",IF(IF(OR(DATE($B$3,2,22)&gt;EOMONTH(DATE($B$3,2,1),0),NETWORKDAYS.INTL(DATE($B$3,2,22),DATE($B$3,2,22),1,'Non-working days'!$A$6:$A$45)=0),"",IF(COUNTIFS('Leave log'!$A$7:$A$306,Employees!$A$32,'Leave log'!$B$7:$B$306,"&lt;="&amp;DATE($B$3,2,22),'Leave log'!$C$7:$C$306,"&gt;="&amp;DATE($B$3,2,22),'Leave log'!$F$7:$F$306,"Approved")&gt;0,"A",""))="A","A",IF(OR(DATE($B$3,2,22)&gt;EOMONTH(DATE($B$3,2,1),0),NETWORKDAYS.INTL(DATE($B$3,2,22),DATE($B$3,2,22),1,'Non-working days'!$A$6:$A$45)=0),"",IF(COUNTIFS('Leave log'!$A$7:$A$306,Employees!$A$32,'Leave log'!$B$7:$B$306,"&lt;="&amp;DATE($B$3,2,22),'Leave log'!$C$7:$C$306,"&gt;="&amp;DATE($B$3,2,22),'Leave log'!$F$7:$F$306,"Pending")&gt;0,"P",""))))</f>
        <v/>
      </c>
      <c r="X67" s="23" t="str">
        <f>IF(A67="","",IF(IF(OR(DATE($B$3,2,23)&gt;EOMONTH(DATE($B$3,2,1),0),NETWORKDAYS.INTL(DATE($B$3,2,23),DATE($B$3,2,23),1,'Non-working days'!$A$6:$A$45)=0),"",IF(COUNTIFS('Leave log'!$A$7:$A$306,Employees!$A$32,'Leave log'!$B$7:$B$306,"&lt;="&amp;DATE($B$3,2,23),'Leave log'!$C$7:$C$306,"&gt;="&amp;DATE($B$3,2,23),'Leave log'!$F$7:$F$306,"Approved")&gt;0,"A",""))="A","A",IF(OR(DATE($B$3,2,23)&gt;EOMONTH(DATE($B$3,2,1),0),NETWORKDAYS.INTL(DATE($B$3,2,23),DATE($B$3,2,23),1,'Non-working days'!$A$6:$A$45)=0),"",IF(COUNTIFS('Leave log'!$A$7:$A$306,Employees!$A$32,'Leave log'!$B$7:$B$306,"&lt;="&amp;DATE($B$3,2,23),'Leave log'!$C$7:$C$306,"&gt;="&amp;DATE($B$3,2,23),'Leave log'!$F$7:$F$306,"Pending")&gt;0,"P",""))))</f>
        <v/>
      </c>
      <c r="Y67" s="23" t="str">
        <f>IF(A67="","",IF(IF(OR(DATE($B$3,2,24)&gt;EOMONTH(DATE($B$3,2,1),0),NETWORKDAYS.INTL(DATE($B$3,2,24),DATE($B$3,2,24),1,'Non-working days'!$A$6:$A$45)=0),"",IF(COUNTIFS('Leave log'!$A$7:$A$306,Employees!$A$32,'Leave log'!$B$7:$B$306,"&lt;="&amp;DATE($B$3,2,24),'Leave log'!$C$7:$C$306,"&gt;="&amp;DATE($B$3,2,24),'Leave log'!$F$7:$F$306,"Approved")&gt;0,"A",""))="A","A",IF(OR(DATE($B$3,2,24)&gt;EOMONTH(DATE($B$3,2,1),0),NETWORKDAYS.INTL(DATE($B$3,2,24),DATE($B$3,2,24),1,'Non-working days'!$A$6:$A$45)=0),"",IF(COUNTIFS('Leave log'!$A$7:$A$306,Employees!$A$32,'Leave log'!$B$7:$B$306,"&lt;="&amp;DATE($B$3,2,24),'Leave log'!$C$7:$C$306,"&gt;="&amp;DATE($B$3,2,24),'Leave log'!$F$7:$F$306,"Pending")&gt;0,"P",""))))</f>
        <v/>
      </c>
      <c r="Z67" s="23" t="str">
        <f>IF(A67="","",IF(IF(OR(DATE($B$3,2,25)&gt;EOMONTH(DATE($B$3,2,1),0),NETWORKDAYS.INTL(DATE($B$3,2,25),DATE($B$3,2,25),1,'Non-working days'!$A$6:$A$45)=0),"",IF(COUNTIFS('Leave log'!$A$7:$A$306,Employees!$A$32,'Leave log'!$B$7:$B$306,"&lt;="&amp;DATE($B$3,2,25),'Leave log'!$C$7:$C$306,"&gt;="&amp;DATE($B$3,2,25),'Leave log'!$F$7:$F$306,"Approved")&gt;0,"A",""))="A","A",IF(OR(DATE($B$3,2,25)&gt;EOMONTH(DATE($B$3,2,1),0),NETWORKDAYS.INTL(DATE($B$3,2,25),DATE($B$3,2,25),1,'Non-working days'!$A$6:$A$45)=0),"",IF(COUNTIFS('Leave log'!$A$7:$A$306,Employees!$A$32,'Leave log'!$B$7:$B$306,"&lt;="&amp;DATE($B$3,2,25),'Leave log'!$C$7:$C$306,"&gt;="&amp;DATE($B$3,2,25),'Leave log'!$F$7:$F$306,"Pending")&gt;0,"P",""))))</f>
        <v/>
      </c>
      <c r="AA67" s="23" t="str">
        <f>IF(A67="","",IF(IF(OR(DATE($B$3,2,26)&gt;EOMONTH(DATE($B$3,2,1),0),NETWORKDAYS.INTL(DATE($B$3,2,26),DATE($B$3,2,26),1,'Non-working days'!$A$6:$A$45)=0),"",IF(COUNTIFS('Leave log'!$A$7:$A$306,Employees!$A$32,'Leave log'!$B$7:$B$306,"&lt;="&amp;DATE($B$3,2,26),'Leave log'!$C$7:$C$306,"&gt;="&amp;DATE($B$3,2,26),'Leave log'!$F$7:$F$306,"Approved")&gt;0,"A",""))="A","A",IF(OR(DATE($B$3,2,26)&gt;EOMONTH(DATE($B$3,2,1),0),NETWORKDAYS.INTL(DATE($B$3,2,26),DATE($B$3,2,26),1,'Non-working days'!$A$6:$A$45)=0),"",IF(COUNTIFS('Leave log'!$A$7:$A$306,Employees!$A$32,'Leave log'!$B$7:$B$306,"&lt;="&amp;DATE($B$3,2,26),'Leave log'!$C$7:$C$306,"&gt;="&amp;DATE($B$3,2,26),'Leave log'!$F$7:$F$306,"Pending")&gt;0,"P",""))))</f>
        <v/>
      </c>
      <c r="AB67" s="23" t="str">
        <f>IF(A67="","",IF(IF(OR(DATE($B$3,2,27)&gt;EOMONTH(DATE($B$3,2,1),0),NETWORKDAYS.INTL(DATE($B$3,2,27),DATE($B$3,2,27),1,'Non-working days'!$A$6:$A$45)=0),"",IF(COUNTIFS('Leave log'!$A$7:$A$306,Employees!$A$32,'Leave log'!$B$7:$B$306,"&lt;="&amp;DATE($B$3,2,27),'Leave log'!$C$7:$C$306,"&gt;="&amp;DATE($B$3,2,27),'Leave log'!$F$7:$F$306,"Approved")&gt;0,"A",""))="A","A",IF(OR(DATE($B$3,2,27)&gt;EOMONTH(DATE($B$3,2,1),0),NETWORKDAYS.INTL(DATE($B$3,2,27),DATE($B$3,2,27),1,'Non-working days'!$A$6:$A$45)=0),"",IF(COUNTIFS('Leave log'!$A$7:$A$306,Employees!$A$32,'Leave log'!$B$7:$B$306,"&lt;="&amp;DATE($B$3,2,27),'Leave log'!$C$7:$C$306,"&gt;="&amp;DATE($B$3,2,27),'Leave log'!$F$7:$F$306,"Pending")&gt;0,"P",""))))</f>
        <v/>
      </c>
      <c r="AC67" s="23" t="str">
        <f>IF(A67="","",IF(IF(OR(DATE($B$3,2,28)&gt;EOMONTH(DATE($B$3,2,1),0),NETWORKDAYS.INTL(DATE($B$3,2,28),DATE($B$3,2,28),1,'Non-working days'!$A$6:$A$45)=0),"",IF(COUNTIFS('Leave log'!$A$7:$A$306,Employees!$A$32,'Leave log'!$B$7:$B$306,"&lt;="&amp;DATE($B$3,2,28),'Leave log'!$C$7:$C$306,"&gt;="&amp;DATE($B$3,2,28),'Leave log'!$F$7:$F$306,"Approved")&gt;0,"A",""))="A","A",IF(OR(DATE($B$3,2,28)&gt;EOMONTH(DATE($B$3,2,1),0),NETWORKDAYS.INTL(DATE($B$3,2,28),DATE($B$3,2,28),1,'Non-working days'!$A$6:$A$45)=0),"",IF(COUNTIFS('Leave log'!$A$7:$A$306,Employees!$A$32,'Leave log'!$B$7:$B$306,"&lt;="&amp;DATE($B$3,2,28),'Leave log'!$C$7:$C$306,"&gt;="&amp;DATE($B$3,2,28),'Leave log'!$F$7:$F$306,"Pending")&gt;0,"P",""))))</f>
        <v/>
      </c>
      <c r="AD67" s="23" t="str">
        <f>IF(A67="","",IF(IF(OR(DATE($B$3,2,29)&gt;EOMONTH(DATE($B$3,2,1),0),NETWORKDAYS.INTL(DATE($B$3,2,29),DATE($B$3,2,29),1,'Non-working days'!$A$6:$A$45)=0),"",IF(COUNTIFS('Leave log'!$A$7:$A$306,Employees!$A$32,'Leave log'!$B$7:$B$306,"&lt;="&amp;DATE($B$3,2,29),'Leave log'!$C$7:$C$306,"&gt;="&amp;DATE($B$3,2,29),'Leave log'!$F$7:$F$306,"Approved")&gt;0,"A",""))="A","A",IF(OR(DATE($B$3,2,29)&gt;EOMONTH(DATE($B$3,2,1),0),NETWORKDAYS.INTL(DATE($B$3,2,29),DATE($B$3,2,29),1,'Non-working days'!$A$6:$A$45)=0),"",IF(COUNTIFS('Leave log'!$A$7:$A$306,Employees!$A$32,'Leave log'!$B$7:$B$306,"&lt;="&amp;DATE($B$3,2,29),'Leave log'!$C$7:$C$306,"&gt;="&amp;DATE($B$3,2,29),'Leave log'!$F$7:$F$306,"Pending")&gt;0,"P",""))))</f>
        <v/>
      </c>
      <c r="AE67" s="23" t="str">
        <f>IF(A67="","",IF(IF(OR(DATE($B$3,2,30)&gt;EOMONTH(DATE($B$3,2,1),0),NETWORKDAYS.INTL(DATE($B$3,2,30),DATE($B$3,2,30),1,'Non-working days'!$A$6:$A$45)=0),"",IF(COUNTIFS('Leave log'!$A$7:$A$306,Employees!$A$32,'Leave log'!$B$7:$B$306,"&lt;="&amp;DATE($B$3,2,30),'Leave log'!$C$7:$C$306,"&gt;="&amp;DATE($B$3,2,30),'Leave log'!$F$7:$F$306,"Approved")&gt;0,"A",""))="A","A",IF(OR(DATE($B$3,2,30)&gt;EOMONTH(DATE($B$3,2,1),0),NETWORKDAYS.INTL(DATE($B$3,2,30),DATE($B$3,2,30),1,'Non-working days'!$A$6:$A$45)=0),"",IF(COUNTIFS('Leave log'!$A$7:$A$306,Employees!$A$32,'Leave log'!$B$7:$B$306,"&lt;="&amp;DATE($B$3,2,30),'Leave log'!$C$7:$C$306,"&gt;="&amp;DATE($B$3,2,30),'Leave log'!$F$7:$F$306,"Pending")&gt;0,"P",""))))</f>
        <v/>
      </c>
      <c r="AF67" s="23" t="str">
        <f>IF(A67="","",IF(IF(OR(DATE($B$3,2,31)&gt;EOMONTH(DATE($B$3,2,1),0),NETWORKDAYS.INTL(DATE($B$3,2,31),DATE($B$3,2,31),1,'Non-working days'!$A$6:$A$45)=0),"",IF(COUNTIFS('Leave log'!$A$7:$A$306,Employees!$A$32,'Leave log'!$B$7:$B$306,"&lt;="&amp;DATE($B$3,2,31),'Leave log'!$C$7:$C$306,"&gt;="&amp;DATE($B$3,2,31),'Leave log'!$F$7:$F$306,"Approved")&gt;0,"A",""))="A","A",IF(OR(DATE($B$3,2,31)&gt;EOMONTH(DATE($B$3,2,1),0),NETWORKDAYS.INTL(DATE($B$3,2,31),DATE($B$3,2,31),1,'Non-working days'!$A$6:$A$45)=0),"",IF(COUNTIFS('Leave log'!$A$7:$A$306,Employees!$A$32,'Leave log'!$B$7:$B$306,"&lt;="&amp;DATE($B$3,2,31),'Leave log'!$C$7:$C$306,"&gt;="&amp;DATE($B$3,2,31),'Leave log'!$F$7:$F$306,"Pending")&gt;0,"P",""))))</f>
        <v/>
      </c>
    </row>
    <row r="68" spans="1:32" ht="18" customHeight="1" x14ac:dyDescent="0.3">
      <c r="A68" s="22" t="str">
        <f>IF(Employees!F33="Yes",Employees!B33,"")</f>
        <v/>
      </c>
      <c r="B68" s="23" t="str">
        <f>IF(A68="","",IF(IF(OR(DATE($B$3,2,1)&gt;EOMONTH(DATE($B$3,2,1),0),NETWORKDAYS.INTL(DATE($B$3,2,1),DATE($B$3,2,1),1,'Non-working days'!$A$6:$A$45)=0),"",IF(COUNTIFS('Leave log'!$A$7:$A$306,Employees!$A$33,'Leave log'!$B$7:$B$306,"&lt;="&amp;DATE($B$3,2,1),'Leave log'!$C$7:$C$306,"&gt;="&amp;DATE($B$3,2,1),'Leave log'!$F$7:$F$306,"Approved")&gt;0,"A",""))="A","A",IF(OR(DATE($B$3,2,1)&gt;EOMONTH(DATE($B$3,2,1),0),NETWORKDAYS.INTL(DATE($B$3,2,1),DATE($B$3,2,1),1,'Non-working days'!$A$6:$A$45)=0),"",IF(COUNTIFS('Leave log'!$A$7:$A$306,Employees!$A$33,'Leave log'!$B$7:$B$306,"&lt;="&amp;DATE($B$3,2,1),'Leave log'!$C$7:$C$306,"&gt;="&amp;DATE($B$3,2,1),'Leave log'!$F$7:$F$306,"Pending")&gt;0,"P",""))))</f>
        <v/>
      </c>
      <c r="C68" s="23" t="str">
        <f>IF(A68="","",IF(IF(OR(DATE($B$3,2,2)&gt;EOMONTH(DATE($B$3,2,1),0),NETWORKDAYS.INTL(DATE($B$3,2,2),DATE($B$3,2,2),1,'Non-working days'!$A$6:$A$45)=0),"",IF(COUNTIFS('Leave log'!$A$7:$A$306,Employees!$A$33,'Leave log'!$B$7:$B$306,"&lt;="&amp;DATE($B$3,2,2),'Leave log'!$C$7:$C$306,"&gt;="&amp;DATE($B$3,2,2),'Leave log'!$F$7:$F$306,"Approved")&gt;0,"A",""))="A","A",IF(OR(DATE($B$3,2,2)&gt;EOMONTH(DATE($B$3,2,1),0),NETWORKDAYS.INTL(DATE($B$3,2,2),DATE($B$3,2,2),1,'Non-working days'!$A$6:$A$45)=0),"",IF(COUNTIFS('Leave log'!$A$7:$A$306,Employees!$A$33,'Leave log'!$B$7:$B$306,"&lt;="&amp;DATE($B$3,2,2),'Leave log'!$C$7:$C$306,"&gt;="&amp;DATE($B$3,2,2),'Leave log'!$F$7:$F$306,"Pending")&gt;0,"P",""))))</f>
        <v/>
      </c>
      <c r="D68" s="23" t="str">
        <f>IF(A68="","",IF(IF(OR(DATE($B$3,2,3)&gt;EOMONTH(DATE($B$3,2,1),0),NETWORKDAYS.INTL(DATE($B$3,2,3),DATE($B$3,2,3),1,'Non-working days'!$A$6:$A$45)=0),"",IF(COUNTIFS('Leave log'!$A$7:$A$306,Employees!$A$33,'Leave log'!$B$7:$B$306,"&lt;="&amp;DATE($B$3,2,3),'Leave log'!$C$7:$C$306,"&gt;="&amp;DATE($B$3,2,3),'Leave log'!$F$7:$F$306,"Approved")&gt;0,"A",""))="A","A",IF(OR(DATE($B$3,2,3)&gt;EOMONTH(DATE($B$3,2,1),0),NETWORKDAYS.INTL(DATE($B$3,2,3),DATE($B$3,2,3),1,'Non-working days'!$A$6:$A$45)=0),"",IF(COUNTIFS('Leave log'!$A$7:$A$306,Employees!$A$33,'Leave log'!$B$7:$B$306,"&lt;="&amp;DATE($B$3,2,3),'Leave log'!$C$7:$C$306,"&gt;="&amp;DATE($B$3,2,3),'Leave log'!$F$7:$F$306,"Pending")&gt;0,"P",""))))</f>
        <v/>
      </c>
      <c r="E68" s="23" t="str">
        <f>IF(A68="","",IF(IF(OR(DATE($B$3,2,4)&gt;EOMONTH(DATE($B$3,2,1),0),NETWORKDAYS.INTL(DATE($B$3,2,4),DATE($B$3,2,4),1,'Non-working days'!$A$6:$A$45)=0),"",IF(COUNTIFS('Leave log'!$A$7:$A$306,Employees!$A$33,'Leave log'!$B$7:$B$306,"&lt;="&amp;DATE($B$3,2,4),'Leave log'!$C$7:$C$306,"&gt;="&amp;DATE($B$3,2,4),'Leave log'!$F$7:$F$306,"Approved")&gt;0,"A",""))="A","A",IF(OR(DATE($B$3,2,4)&gt;EOMONTH(DATE($B$3,2,1),0),NETWORKDAYS.INTL(DATE($B$3,2,4),DATE($B$3,2,4),1,'Non-working days'!$A$6:$A$45)=0),"",IF(COUNTIFS('Leave log'!$A$7:$A$306,Employees!$A$33,'Leave log'!$B$7:$B$306,"&lt;="&amp;DATE($B$3,2,4),'Leave log'!$C$7:$C$306,"&gt;="&amp;DATE($B$3,2,4),'Leave log'!$F$7:$F$306,"Pending")&gt;0,"P",""))))</f>
        <v/>
      </c>
      <c r="F68" s="23" t="str">
        <f>IF(A68="","",IF(IF(OR(DATE($B$3,2,5)&gt;EOMONTH(DATE($B$3,2,1),0),NETWORKDAYS.INTL(DATE($B$3,2,5),DATE($B$3,2,5),1,'Non-working days'!$A$6:$A$45)=0),"",IF(COUNTIFS('Leave log'!$A$7:$A$306,Employees!$A$33,'Leave log'!$B$7:$B$306,"&lt;="&amp;DATE($B$3,2,5),'Leave log'!$C$7:$C$306,"&gt;="&amp;DATE($B$3,2,5),'Leave log'!$F$7:$F$306,"Approved")&gt;0,"A",""))="A","A",IF(OR(DATE($B$3,2,5)&gt;EOMONTH(DATE($B$3,2,1),0),NETWORKDAYS.INTL(DATE($B$3,2,5),DATE($B$3,2,5),1,'Non-working days'!$A$6:$A$45)=0),"",IF(COUNTIFS('Leave log'!$A$7:$A$306,Employees!$A$33,'Leave log'!$B$7:$B$306,"&lt;="&amp;DATE($B$3,2,5),'Leave log'!$C$7:$C$306,"&gt;="&amp;DATE($B$3,2,5),'Leave log'!$F$7:$F$306,"Pending")&gt;0,"P",""))))</f>
        <v/>
      </c>
      <c r="G68" s="23" t="str">
        <f>IF(A68="","",IF(IF(OR(DATE($B$3,2,6)&gt;EOMONTH(DATE($B$3,2,1),0),NETWORKDAYS.INTL(DATE($B$3,2,6),DATE($B$3,2,6),1,'Non-working days'!$A$6:$A$45)=0),"",IF(COUNTIFS('Leave log'!$A$7:$A$306,Employees!$A$33,'Leave log'!$B$7:$B$306,"&lt;="&amp;DATE($B$3,2,6),'Leave log'!$C$7:$C$306,"&gt;="&amp;DATE($B$3,2,6),'Leave log'!$F$7:$F$306,"Approved")&gt;0,"A",""))="A","A",IF(OR(DATE($B$3,2,6)&gt;EOMONTH(DATE($B$3,2,1),0),NETWORKDAYS.INTL(DATE($B$3,2,6),DATE($B$3,2,6),1,'Non-working days'!$A$6:$A$45)=0),"",IF(COUNTIFS('Leave log'!$A$7:$A$306,Employees!$A$33,'Leave log'!$B$7:$B$306,"&lt;="&amp;DATE($B$3,2,6),'Leave log'!$C$7:$C$306,"&gt;="&amp;DATE($B$3,2,6),'Leave log'!$F$7:$F$306,"Pending")&gt;0,"P",""))))</f>
        <v/>
      </c>
      <c r="H68" s="23" t="str">
        <f>IF(A68="","",IF(IF(OR(DATE($B$3,2,7)&gt;EOMONTH(DATE($B$3,2,1),0),NETWORKDAYS.INTL(DATE($B$3,2,7),DATE($B$3,2,7),1,'Non-working days'!$A$6:$A$45)=0),"",IF(COUNTIFS('Leave log'!$A$7:$A$306,Employees!$A$33,'Leave log'!$B$7:$B$306,"&lt;="&amp;DATE($B$3,2,7),'Leave log'!$C$7:$C$306,"&gt;="&amp;DATE($B$3,2,7),'Leave log'!$F$7:$F$306,"Approved")&gt;0,"A",""))="A","A",IF(OR(DATE($B$3,2,7)&gt;EOMONTH(DATE($B$3,2,1),0),NETWORKDAYS.INTL(DATE($B$3,2,7),DATE($B$3,2,7),1,'Non-working days'!$A$6:$A$45)=0),"",IF(COUNTIFS('Leave log'!$A$7:$A$306,Employees!$A$33,'Leave log'!$B$7:$B$306,"&lt;="&amp;DATE($B$3,2,7),'Leave log'!$C$7:$C$306,"&gt;="&amp;DATE($B$3,2,7),'Leave log'!$F$7:$F$306,"Pending")&gt;0,"P",""))))</f>
        <v/>
      </c>
      <c r="I68" s="23" t="str">
        <f>IF(A68="","",IF(IF(OR(DATE($B$3,2,8)&gt;EOMONTH(DATE($B$3,2,1),0),NETWORKDAYS.INTL(DATE($B$3,2,8),DATE($B$3,2,8),1,'Non-working days'!$A$6:$A$45)=0),"",IF(COUNTIFS('Leave log'!$A$7:$A$306,Employees!$A$33,'Leave log'!$B$7:$B$306,"&lt;="&amp;DATE($B$3,2,8),'Leave log'!$C$7:$C$306,"&gt;="&amp;DATE($B$3,2,8),'Leave log'!$F$7:$F$306,"Approved")&gt;0,"A",""))="A","A",IF(OR(DATE($B$3,2,8)&gt;EOMONTH(DATE($B$3,2,1),0),NETWORKDAYS.INTL(DATE($B$3,2,8),DATE($B$3,2,8),1,'Non-working days'!$A$6:$A$45)=0),"",IF(COUNTIFS('Leave log'!$A$7:$A$306,Employees!$A$33,'Leave log'!$B$7:$B$306,"&lt;="&amp;DATE($B$3,2,8),'Leave log'!$C$7:$C$306,"&gt;="&amp;DATE($B$3,2,8),'Leave log'!$F$7:$F$306,"Pending")&gt;0,"P",""))))</f>
        <v/>
      </c>
      <c r="J68" s="23" t="str">
        <f>IF(A68="","",IF(IF(OR(DATE($B$3,2,9)&gt;EOMONTH(DATE($B$3,2,1),0),NETWORKDAYS.INTL(DATE($B$3,2,9),DATE($B$3,2,9),1,'Non-working days'!$A$6:$A$45)=0),"",IF(COUNTIFS('Leave log'!$A$7:$A$306,Employees!$A$33,'Leave log'!$B$7:$B$306,"&lt;="&amp;DATE($B$3,2,9),'Leave log'!$C$7:$C$306,"&gt;="&amp;DATE($B$3,2,9),'Leave log'!$F$7:$F$306,"Approved")&gt;0,"A",""))="A","A",IF(OR(DATE($B$3,2,9)&gt;EOMONTH(DATE($B$3,2,1),0),NETWORKDAYS.INTL(DATE($B$3,2,9),DATE($B$3,2,9),1,'Non-working days'!$A$6:$A$45)=0),"",IF(COUNTIFS('Leave log'!$A$7:$A$306,Employees!$A$33,'Leave log'!$B$7:$B$306,"&lt;="&amp;DATE($B$3,2,9),'Leave log'!$C$7:$C$306,"&gt;="&amp;DATE($B$3,2,9),'Leave log'!$F$7:$F$306,"Pending")&gt;0,"P",""))))</f>
        <v/>
      </c>
      <c r="K68" s="23" t="str">
        <f>IF(A68="","",IF(IF(OR(DATE($B$3,2,10)&gt;EOMONTH(DATE($B$3,2,1),0),NETWORKDAYS.INTL(DATE($B$3,2,10),DATE($B$3,2,10),1,'Non-working days'!$A$6:$A$45)=0),"",IF(COUNTIFS('Leave log'!$A$7:$A$306,Employees!$A$33,'Leave log'!$B$7:$B$306,"&lt;="&amp;DATE($B$3,2,10),'Leave log'!$C$7:$C$306,"&gt;="&amp;DATE($B$3,2,10),'Leave log'!$F$7:$F$306,"Approved")&gt;0,"A",""))="A","A",IF(OR(DATE($B$3,2,10)&gt;EOMONTH(DATE($B$3,2,1),0),NETWORKDAYS.INTL(DATE($B$3,2,10),DATE($B$3,2,10),1,'Non-working days'!$A$6:$A$45)=0),"",IF(COUNTIFS('Leave log'!$A$7:$A$306,Employees!$A$33,'Leave log'!$B$7:$B$306,"&lt;="&amp;DATE($B$3,2,10),'Leave log'!$C$7:$C$306,"&gt;="&amp;DATE($B$3,2,10),'Leave log'!$F$7:$F$306,"Pending")&gt;0,"P",""))))</f>
        <v/>
      </c>
      <c r="L68" s="23" t="str">
        <f>IF(A68="","",IF(IF(OR(DATE($B$3,2,11)&gt;EOMONTH(DATE($B$3,2,1),0),NETWORKDAYS.INTL(DATE($B$3,2,11),DATE($B$3,2,11),1,'Non-working days'!$A$6:$A$45)=0),"",IF(COUNTIFS('Leave log'!$A$7:$A$306,Employees!$A$33,'Leave log'!$B$7:$B$306,"&lt;="&amp;DATE($B$3,2,11),'Leave log'!$C$7:$C$306,"&gt;="&amp;DATE($B$3,2,11),'Leave log'!$F$7:$F$306,"Approved")&gt;0,"A",""))="A","A",IF(OR(DATE($B$3,2,11)&gt;EOMONTH(DATE($B$3,2,1),0),NETWORKDAYS.INTL(DATE($B$3,2,11),DATE($B$3,2,11),1,'Non-working days'!$A$6:$A$45)=0),"",IF(COUNTIFS('Leave log'!$A$7:$A$306,Employees!$A$33,'Leave log'!$B$7:$B$306,"&lt;="&amp;DATE($B$3,2,11),'Leave log'!$C$7:$C$306,"&gt;="&amp;DATE($B$3,2,11),'Leave log'!$F$7:$F$306,"Pending")&gt;0,"P",""))))</f>
        <v/>
      </c>
      <c r="M68" s="23" t="str">
        <f>IF(A68="","",IF(IF(OR(DATE($B$3,2,12)&gt;EOMONTH(DATE($B$3,2,1),0),NETWORKDAYS.INTL(DATE($B$3,2,12),DATE($B$3,2,12),1,'Non-working days'!$A$6:$A$45)=0),"",IF(COUNTIFS('Leave log'!$A$7:$A$306,Employees!$A$33,'Leave log'!$B$7:$B$306,"&lt;="&amp;DATE($B$3,2,12),'Leave log'!$C$7:$C$306,"&gt;="&amp;DATE($B$3,2,12),'Leave log'!$F$7:$F$306,"Approved")&gt;0,"A",""))="A","A",IF(OR(DATE($B$3,2,12)&gt;EOMONTH(DATE($B$3,2,1),0),NETWORKDAYS.INTL(DATE($B$3,2,12),DATE($B$3,2,12),1,'Non-working days'!$A$6:$A$45)=0),"",IF(COUNTIFS('Leave log'!$A$7:$A$306,Employees!$A$33,'Leave log'!$B$7:$B$306,"&lt;="&amp;DATE($B$3,2,12),'Leave log'!$C$7:$C$306,"&gt;="&amp;DATE($B$3,2,12),'Leave log'!$F$7:$F$306,"Pending")&gt;0,"P",""))))</f>
        <v/>
      </c>
      <c r="N68" s="23" t="str">
        <f>IF(A68="","",IF(IF(OR(DATE($B$3,2,13)&gt;EOMONTH(DATE($B$3,2,1),0),NETWORKDAYS.INTL(DATE($B$3,2,13),DATE($B$3,2,13),1,'Non-working days'!$A$6:$A$45)=0),"",IF(COUNTIFS('Leave log'!$A$7:$A$306,Employees!$A$33,'Leave log'!$B$7:$B$306,"&lt;="&amp;DATE($B$3,2,13),'Leave log'!$C$7:$C$306,"&gt;="&amp;DATE($B$3,2,13),'Leave log'!$F$7:$F$306,"Approved")&gt;0,"A",""))="A","A",IF(OR(DATE($B$3,2,13)&gt;EOMONTH(DATE($B$3,2,1),0),NETWORKDAYS.INTL(DATE($B$3,2,13),DATE($B$3,2,13),1,'Non-working days'!$A$6:$A$45)=0),"",IF(COUNTIFS('Leave log'!$A$7:$A$306,Employees!$A$33,'Leave log'!$B$7:$B$306,"&lt;="&amp;DATE($B$3,2,13),'Leave log'!$C$7:$C$306,"&gt;="&amp;DATE($B$3,2,13),'Leave log'!$F$7:$F$306,"Pending")&gt;0,"P",""))))</f>
        <v/>
      </c>
      <c r="O68" s="23" t="str">
        <f>IF(A68="","",IF(IF(OR(DATE($B$3,2,14)&gt;EOMONTH(DATE($B$3,2,1),0),NETWORKDAYS.INTL(DATE($B$3,2,14),DATE($B$3,2,14),1,'Non-working days'!$A$6:$A$45)=0),"",IF(COUNTIFS('Leave log'!$A$7:$A$306,Employees!$A$33,'Leave log'!$B$7:$B$306,"&lt;="&amp;DATE($B$3,2,14),'Leave log'!$C$7:$C$306,"&gt;="&amp;DATE($B$3,2,14),'Leave log'!$F$7:$F$306,"Approved")&gt;0,"A",""))="A","A",IF(OR(DATE($B$3,2,14)&gt;EOMONTH(DATE($B$3,2,1),0),NETWORKDAYS.INTL(DATE($B$3,2,14),DATE($B$3,2,14),1,'Non-working days'!$A$6:$A$45)=0),"",IF(COUNTIFS('Leave log'!$A$7:$A$306,Employees!$A$33,'Leave log'!$B$7:$B$306,"&lt;="&amp;DATE($B$3,2,14),'Leave log'!$C$7:$C$306,"&gt;="&amp;DATE($B$3,2,14),'Leave log'!$F$7:$F$306,"Pending")&gt;0,"P",""))))</f>
        <v/>
      </c>
      <c r="P68" s="23" t="str">
        <f>IF(A68="","",IF(IF(OR(DATE($B$3,2,15)&gt;EOMONTH(DATE($B$3,2,1),0),NETWORKDAYS.INTL(DATE($B$3,2,15),DATE($B$3,2,15),1,'Non-working days'!$A$6:$A$45)=0),"",IF(COUNTIFS('Leave log'!$A$7:$A$306,Employees!$A$33,'Leave log'!$B$7:$B$306,"&lt;="&amp;DATE($B$3,2,15),'Leave log'!$C$7:$C$306,"&gt;="&amp;DATE($B$3,2,15),'Leave log'!$F$7:$F$306,"Approved")&gt;0,"A",""))="A","A",IF(OR(DATE($B$3,2,15)&gt;EOMONTH(DATE($B$3,2,1),0),NETWORKDAYS.INTL(DATE($B$3,2,15),DATE($B$3,2,15),1,'Non-working days'!$A$6:$A$45)=0),"",IF(COUNTIFS('Leave log'!$A$7:$A$306,Employees!$A$33,'Leave log'!$B$7:$B$306,"&lt;="&amp;DATE($B$3,2,15),'Leave log'!$C$7:$C$306,"&gt;="&amp;DATE($B$3,2,15),'Leave log'!$F$7:$F$306,"Pending")&gt;0,"P",""))))</f>
        <v/>
      </c>
      <c r="Q68" s="23" t="str">
        <f>IF(A68="","",IF(IF(OR(DATE($B$3,2,16)&gt;EOMONTH(DATE($B$3,2,1),0),NETWORKDAYS.INTL(DATE($B$3,2,16),DATE($B$3,2,16),1,'Non-working days'!$A$6:$A$45)=0),"",IF(COUNTIFS('Leave log'!$A$7:$A$306,Employees!$A$33,'Leave log'!$B$7:$B$306,"&lt;="&amp;DATE($B$3,2,16),'Leave log'!$C$7:$C$306,"&gt;="&amp;DATE($B$3,2,16),'Leave log'!$F$7:$F$306,"Approved")&gt;0,"A",""))="A","A",IF(OR(DATE($B$3,2,16)&gt;EOMONTH(DATE($B$3,2,1),0),NETWORKDAYS.INTL(DATE($B$3,2,16),DATE($B$3,2,16),1,'Non-working days'!$A$6:$A$45)=0),"",IF(COUNTIFS('Leave log'!$A$7:$A$306,Employees!$A$33,'Leave log'!$B$7:$B$306,"&lt;="&amp;DATE($B$3,2,16),'Leave log'!$C$7:$C$306,"&gt;="&amp;DATE($B$3,2,16),'Leave log'!$F$7:$F$306,"Pending")&gt;0,"P",""))))</f>
        <v/>
      </c>
      <c r="R68" s="23" t="str">
        <f>IF(A68="","",IF(IF(OR(DATE($B$3,2,17)&gt;EOMONTH(DATE($B$3,2,1),0),NETWORKDAYS.INTL(DATE($B$3,2,17),DATE($B$3,2,17),1,'Non-working days'!$A$6:$A$45)=0),"",IF(COUNTIFS('Leave log'!$A$7:$A$306,Employees!$A$33,'Leave log'!$B$7:$B$306,"&lt;="&amp;DATE($B$3,2,17),'Leave log'!$C$7:$C$306,"&gt;="&amp;DATE($B$3,2,17),'Leave log'!$F$7:$F$306,"Approved")&gt;0,"A",""))="A","A",IF(OR(DATE($B$3,2,17)&gt;EOMONTH(DATE($B$3,2,1),0),NETWORKDAYS.INTL(DATE($B$3,2,17),DATE($B$3,2,17),1,'Non-working days'!$A$6:$A$45)=0),"",IF(COUNTIFS('Leave log'!$A$7:$A$306,Employees!$A$33,'Leave log'!$B$7:$B$306,"&lt;="&amp;DATE($B$3,2,17),'Leave log'!$C$7:$C$306,"&gt;="&amp;DATE($B$3,2,17),'Leave log'!$F$7:$F$306,"Pending")&gt;0,"P",""))))</f>
        <v/>
      </c>
      <c r="S68" s="23" t="str">
        <f>IF(A68="","",IF(IF(OR(DATE($B$3,2,18)&gt;EOMONTH(DATE($B$3,2,1),0),NETWORKDAYS.INTL(DATE($B$3,2,18),DATE($B$3,2,18),1,'Non-working days'!$A$6:$A$45)=0),"",IF(COUNTIFS('Leave log'!$A$7:$A$306,Employees!$A$33,'Leave log'!$B$7:$B$306,"&lt;="&amp;DATE($B$3,2,18),'Leave log'!$C$7:$C$306,"&gt;="&amp;DATE($B$3,2,18),'Leave log'!$F$7:$F$306,"Approved")&gt;0,"A",""))="A","A",IF(OR(DATE($B$3,2,18)&gt;EOMONTH(DATE($B$3,2,1),0),NETWORKDAYS.INTL(DATE($B$3,2,18),DATE($B$3,2,18),1,'Non-working days'!$A$6:$A$45)=0),"",IF(COUNTIFS('Leave log'!$A$7:$A$306,Employees!$A$33,'Leave log'!$B$7:$B$306,"&lt;="&amp;DATE($B$3,2,18),'Leave log'!$C$7:$C$306,"&gt;="&amp;DATE($B$3,2,18),'Leave log'!$F$7:$F$306,"Pending")&gt;0,"P",""))))</f>
        <v/>
      </c>
      <c r="T68" s="23" t="str">
        <f>IF(A68="","",IF(IF(OR(DATE($B$3,2,19)&gt;EOMONTH(DATE($B$3,2,1),0),NETWORKDAYS.INTL(DATE($B$3,2,19),DATE($B$3,2,19),1,'Non-working days'!$A$6:$A$45)=0),"",IF(COUNTIFS('Leave log'!$A$7:$A$306,Employees!$A$33,'Leave log'!$B$7:$B$306,"&lt;="&amp;DATE($B$3,2,19),'Leave log'!$C$7:$C$306,"&gt;="&amp;DATE($B$3,2,19),'Leave log'!$F$7:$F$306,"Approved")&gt;0,"A",""))="A","A",IF(OR(DATE($B$3,2,19)&gt;EOMONTH(DATE($B$3,2,1),0),NETWORKDAYS.INTL(DATE($B$3,2,19),DATE($B$3,2,19),1,'Non-working days'!$A$6:$A$45)=0),"",IF(COUNTIFS('Leave log'!$A$7:$A$306,Employees!$A$33,'Leave log'!$B$7:$B$306,"&lt;="&amp;DATE($B$3,2,19),'Leave log'!$C$7:$C$306,"&gt;="&amp;DATE($B$3,2,19),'Leave log'!$F$7:$F$306,"Pending")&gt;0,"P",""))))</f>
        <v/>
      </c>
      <c r="U68" s="23" t="str">
        <f>IF(A68="","",IF(IF(OR(DATE($B$3,2,20)&gt;EOMONTH(DATE($B$3,2,1),0),NETWORKDAYS.INTL(DATE($B$3,2,20),DATE($B$3,2,20),1,'Non-working days'!$A$6:$A$45)=0),"",IF(COUNTIFS('Leave log'!$A$7:$A$306,Employees!$A$33,'Leave log'!$B$7:$B$306,"&lt;="&amp;DATE($B$3,2,20),'Leave log'!$C$7:$C$306,"&gt;="&amp;DATE($B$3,2,20),'Leave log'!$F$7:$F$306,"Approved")&gt;0,"A",""))="A","A",IF(OR(DATE($B$3,2,20)&gt;EOMONTH(DATE($B$3,2,1),0),NETWORKDAYS.INTL(DATE($B$3,2,20),DATE($B$3,2,20),1,'Non-working days'!$A$6:$A$45)=0),"",IF(COUNTIFS('Leave log'!$A$7:$A$306,Employees!$A$33,'Leave log'!$B$7:$B$306,"&lt;="&amp;DATE($B$3,2,20),'Leave log'!$C$7:$C$306,"&gt;="&amp;DATE($B$3,2,20),'Leave log'!$F$7:$F$306,"Pending")&gt;0,"P",""))))</f>
        <v/>
      </c>
      <c r="V68" s="23" t="str">
        <f>IF(A68="","",IF(IF(OR(DATE($B$3,2,21)&gt;EOMONTH(DATE($B$3,2,1),0),NETWORKDAYS.INTL(DATE($B$3,2,21),DATE($B$3,2,21),1,'Non-working days'!$A$6:$A$45)=0),"",IF(COUNTIFS('Leave log'!$A$7:$A$306,Employees!$A$33,'Leave log'!$B$7:$B$306,"&lt;="&amp;DATE($B$3,2,21),'Leave log'!$C$7:$C$306,"&gt;="&amp;DATE($B$3,2,21),'Leave log'!$F$7:$F$306,"Approved")&gt;0,"A",""))="A","A",IF(OR(DATE($B$3,2,21)&gt;EOMONTH(DATE($B$3,2,1),0),NETWORKDAYS.INTL(DATE($B$3,2,21),DATE($B$3,2,21),1,'Non-working days'!$A$6:$A$45)=0),"",IF(COUNTIFS('Leave log'!$A$7:$A$306,Employees!$A$33,'Leave log'!$B$7:$B$306,"&lt;="&amp;DATE($B$3,2,21),'Leave log'!$C$7:$C$306,"&gt;="&amp;DATE($B$3,2,21),'Leave log'!$F$7:$F$306,"Pending")&gt;0,"P",""))))</f>
        <v/>
      </c>
      <c r="W68" s="23" t="str">
        <f>IF(A68="","",IF(IF(OR(DATE($B$3,2,22)&gt;EOMONTH(DATE($B$3,2,1),0),NETWORKDAYS.INTL(DATE($B$3,2,22),DATE($B$3,2,22),1,'Non-working days'!$A$6:$A$45)=0),"",IF(COUNTIFS('Leave log'!$A$7:$A$306,Employees!$A$33,'Leave log'!$B$7:$B$306,"&lt;="&amp;DATE($B$3,2,22),'Leave log'!$C$7:$C$306,"&gt;="&amp;DATE($B$3,2,22),'Leave log'!$F$7:$F$306,"Approved")&gt;0,"A",""))="A","A",IF(OR(DATE($B$3,2,22)&gt;EOMONTH(DATE($B$3,2,1),0),NETWORKDAYS.INTL(DATE($B$3,2,22),DATE($B$3,2,22),1,'Non-working days'!$A$6:$A$45)=0),"",IF(COUNTIFS('Leave log'!$A$7:$A$306,Employees!$A$33,'Leave log'!$B$7:$B$306,"&lt;="&amp;DATE($B$3,2,22),'Leave log'!$C$7:$C$306,"&gt;="&amp;DATE($B$3,2,22),'Leave log'!$F$7:$F$306,"Pending")&gt;0,"P",""))))</f>
        <v/>
      </c>
      <c r="X68" s="23" t="str">
        <f>IF(A68="","",IF(IF(OR(DATE($B$3,2,23)&gt;EOMONTH(DATE($B$3,2,1),0),NETWORKDAYS.INTL(DATE($B$3,2,23),DATE($B$3,2,23),1,'Non-working days'!$A$6:$A$45)=0),"",IF(COUNTIFS('Leave log'!$A$7:$A$306,Employees!$A$33,'Leave log'!$B$7:$B$306,"&lt;="&amp;DATE($B$3,2,23),'Leave log'!$C$7:$C$306,"&gt;="&amp;DATE($B$3,2,23),'Leave log'!$F$7:$F$306,"Approved")&gt;0,"A",""))="A","A",IF(OR(DATE($B$3,2,23)&gt;EOMONTH(DATE($B$3,2,1),0),NETWORKDAYS.INTL(DATE($B$3,2,23),DATE($B$3,2,23),1,'Non-working days'!$A$6:$A$45)=0),"",IF(COUNTIFS('Leave log'!$A$7:$A$306,Employees!$A$33,'Leave log'!$B$7:$B$306,"&lt;="&amp;DATE($B$3,2,23),'Leave log'!$C$7:$C$306,"&gt;="&amp;DATE($B$3,2,23),'Leave log'!$F$7:$F$306,"Pending")&gt;0,"P",""))))</f>
        <v/>
      </c>
      <c r="Y68" s="23" t="str">
        <f>IF(A68="","",IF(IF(OR(DATE($B$3,2,24)&gt;EOMONTH(DATE($B$3,2,1),0),NETWORKDAYS.INTL(DATE($B$3,2,24),DATE($B$3,2,24),1,'Non-working days'!$A$6:$A$45)=0),"",IF(COUNTIFS('Leave log'!$A$7:$A$306,Employees!$A$33,'Leave log'!$B$7:$B$306,"&lt;="&amp;DATE($B$3,2,24),'Leave log'!$C$7:$C$306,"&gt;="&amp;DATE($B$3,2,24),'Leave log'!$F$7:$F$306,"Approved")&gt;0,"A",""))="A","A",IF(OR(DATE($B$3,2,24)&gt;EOMONTH(DATE($B$3,2,1),0),NETWORKDAYS.INTL(DATE($B$3,2,24),DATE($B$3,2,24),1,'Non-working days'!$A$6:$A$45)=0),"",IF(COUNTIFS('Leave log'!$A$7:$A$306,Employees!$A$33,'Leave log'!$B$7:$B$306,"&lt;="&amp;DATE($B$3,2,24),'Leave log'!$C$7:$C$306,"&gt;="&amp;DATE($B$3,2,24),'Leave log'!$F$7:$F$306,"Pending")&gt;0,"P",""))))</f>
        <v/>
      </c>
      <c r="Z68" s="23" t="str">
        <f>IF(A68="","",IF(IF(OR(DATE($B$3,2,25)&gt;EOMONTH(DATE($B$3,2,1),0),NETWORKDAYS.INTL(DATE($B$3,2,25),DATE($B$3,2,25),1,'Non-working days'!$A$6:$A$45)=0),"",IF(COUNTIFS('Leave log'!$A$7:$A$306,Employees!$A$33,'Leave log'!$B$7:$B$306,"&lt;="&amp;DATE($B$3,2,25),'Leave log'!$C$7:$C$306,"&gt;="&amp;DATE($B$3,2,25),'Leave log'!$F$7:$F$306,"Approved")&gt;0,"A",""))="A","A",IF(OR(DATE($B$3,2,25)&gt;EOMONTH(DATE($B$3,2,1),0),NETWORKDAYS.INTL(DATE($B$3,2,25),DATE($B$3,2,25),1,'Non-working days'!$A$6:$A$45)=0),"",IF(COUNTIFS('Leave log'!$A$7:$A$306,Employees!$A$33,'Leave log'!$B$7:$B$306,"&lt;="&amp;DATE($B$3,2,25),'Leave log'!$C$7:$C$306,"&gt;="&amp;DATE($B$3,2,25),'Leave log'!$F$7:$F$306,"Pending")&gt;0,"P",""))))</f>
        <v/>
      </c>
      <c r="AA68" s="23" t="str">
        <f>IF(A68="","",IF(IF(OR(DATE($B$3,2,26)&gt;EOMONTH(DATE($B$3,2,1),0),NETWORKDAYS.INTL(DATE($B$3,2,26),DATE($B$3,2,26),1,'Non-working days'!$A$6:$A$45)=0),"",IF(COUNTIFS('Leave log'!$A$7:$A$306,Employees!$A$33,'Leave log'!$B$7:$B$306,"&lt;="&amp;DATE($B$3,2,26),'Leave log'!$C$7:$C$306,"&gt;="&amp;DATE($B$3,2,26),'Leave log'!$F$7:$F$306,"Approved")&gt;0,"A",""))="A","A",IF(OR(DATE($B$3,2,26)&gt;EOMONTH(DATE($B$3,2,1),0),NETWORKDAYS.INTL(DATE($B$3,2,26),DATE($B$3,2,26),1,'Non-working days'!$A$6:$A$45)=0),"",IF(COUNTIFS('Leave log'!$A$7:$A$306,Employees!$A$33,'Leave log'!$B$7:$B$306,"&lt;="&amp;DATE($B$3,2,26),'Leave log'!$C$7:$C$306,"&gt;="&amp;DATE($B$3,2,26),'Leave log'!$F$7:$F$306,"Pending")&gt;0,"P",""))))</f>
        <v/>
      </c>
      <c r="AB68" s="23" t="str">
        <f>IF(A68="","",IF(IF(OR(DATE($B$3,2,27)&gt;EOMONTH(DATE($B$3,2,1),0),NETWORKDAYS.INTL(DATE($B$3,2,27),DATE($B$3,2,27),1,'Non-working days'!$A$6:$A$45)=0),"",IF(COUNTIFS('Leave log'!$A$7:$A$306,Employees!$A$33,'Leave log'!$B$7:$B$306,"&lt;="&amp;DATE($B$3,2,27),'Leave log'!$C$7:$C$306,"&gt;="&amp;DATE($B$3,2,27),'Leave log'!$F$7:$F$306,"Approved")&gt;0,"A",""))="A","A",IF(OR(DATE($B$3,2,27)&gt;EOMONTH(DATE($B$3,2,1),0),NETWORKDAYS.INTL(DATE($B$3,2,27),DATE($B$3,2,27),1,'Non-working days'!$A$6:$A$45)=0),"",IF(COUNTIFS('Leave log'!$A$7:$A$306,Employees!$A$33,'Leave log'!$B$7:$B$306,"&lt;="&amp;DATE($B$3,2,27),'Leave log'!$C$7:$C$306,"&gt;="&amp;DATE($B$3,2,27),'Leave log'!$F$7:$F$306,"Pending")&gt;0,"P",""))))</f>
        <v/>
      </c>
      <c r="AC68" s="23" t="str">
        <f>IF(A68="","",IF(IF(OR(DATE($B$3,2,28)&gt;EOMONTH(DATE($B$3,2,1),0),NETWORKDAYS.INTL(DATE($B$3,2,28),DATE($B$3,2,28),1,'Non-working days'!$A$6:$A$45)=0),"",IF(COUNTIFS('Leave log'!$A$7:$A$306,Employees!$A$33,'Leave log'!$B$7:$B$306,"&lt;="&amp;DATE($B$3,2,28),'Leave log'!$C$7:$C$306,"&gt;="&amp;DATE($B$3,2,28),'Leave log'!$F$7:$F$306,"Approved")&gt;0,"A",""))="A","A",IF(OR(DATE($B$3,2,28)&gt;EOMONTH(DATE($B$3,2,1),0),NETWORKDAYS.INTL(DATE($B$3,2,28),DATE($B$3,2,28),1,'Non-working days'!$A$6:$A$45)=0),"",IF(COUNTIFS('Leave log'!$A$7:$A$306,Employees!$A$33,'Leave log'!$B$7:$B$306,"&lt;="&amp;DATE($B$3,2,28),'Leave log'!$C$7:$C$306,"&gt;="&amp;DATE($B$3,2,28),'Leave log'!$F$7:$F$306,"Pending")&gt;0,"P",""))))</f>
        <v/>
      </c>
      <c r="AD68" s="23" t="str">
        <f>IF(A68="","",IF(IF(OR(DATE($B$3,2,29)&gt;EOMONTH(DATE($B$3,2,1),0),NETWORKDAYS.INTL(DATE($B$3,2,29),DATE($B$3,2,29),1,'Non-working days'!$A$6:$A$45)=0),"",IF(COUNTIFS('Leave log'!$A$7:$A$306,Employees!$A$33,'Leave log'!$B$7:$B$306,"&lt;="&amp;DATE($B$3,2,29),'Leave log'!$C$7:$C$306,"&gt;="&amp;DATE($B$3,2,29),'Leave log'!$F$7:$F$306,"Approved")&gt;0,"A",""))="A","A",IF(OR(DATE($B$3,2,29)&gt;EOMONTH(DATE($B$3,2,1),0),NETWORKDAYS.INTL(DATE($B$3,2,29),DATE($B$3,2,29),1,'Non-working days'!$A$6:$A$45)=0),"",IF(COUNTIFS('Leave log'!$A$7:$A$306,Employees!$A$33,'Leave log'!$B$7:$B$306,"&lt;="&amp;DATE($B$3,2,29),'Leave log'!$C$7:$C$306,"&gt;="&amp;DATE($B$3,2,29),'Leave log'!$F$7:$F$306,"Pending")&gt;0,"P",""))))</f>
        <v/>
      </c>
      <c r="AE68" s="23" t="str">
        <f>IF(A68="","",IF(IF(OR(DATE($B$3,2,30)&gt;EOMONTH(DATE($B$3,2,1),0),NETWORKDAYS.INTL(DATE($B$3,2,30),DATE($B$3,2,30),1,'Non-working days'!$A$6:$A$45)=0),"",IF(COUNTIFS('Leave log'!$A$7:$A$306,Employees!$A$33,'Leave log'!$B$7:$B$306,"&lt;="&amp;DATE($B$3,2,30),'Leave log'!$C$7:$C$306,"&gt;="&amp;DATE($B$3,2,30),'Leave log'!$F$7:$F$306,"Approved")&gt;0,"A",""))="A","A",IF(OR(DATE($B$3,2,30)&gt;EOMONTH(DATE($B$3,2,1),0),NETWORKDAYS.INTL(DATE($B$3,2,30),DATE($B$3,2,30),1,'Non-working days'!$A$6:$A$45)=0),"",IF(COUNTIFS('Leave log'!$A$7:$A$306,Employees!$A$33,'Leave log'!$B$7:$B$306,"&lt;="&amp;DATE($B$3,2,30),'Leave log'!$C$7:$C$306,"&gt;="&amp;DATE($B$3,2,30),'Leave log'!$F$7:$F$306,"Pending")&gt;0,"P",""))))</f>
        <v/>
      </c>
      <c r="AF68" s="23" t="str">
        <f>IF(A68="","",IF(IF(OR(DATE($B$3,2,31)&gt;EOMONTH(DATE($B$3,2,1),0),NETWORKDAYS.INTL(DATE($B$3,2,31),DATE($B$3,2,31),1,'Non-working days'!$A$6:$A$45)=0),"",IF(COUNTIFS('Leave log'!$A$7:$A$306,Employees!$A$33,'Leave log'!$B$7:$B$306,"&lt;="&amp;DATE($B$3,2,31),'Leave log'!$C$7:$C$306,"&gt;="&amp;DATE($B$3,2,31),'Leave log'!$F$7:$F$306,"Approved")&gt;0,"A",""))="A","A",IF(OR(DATE($B$3,2,31)&gt;EOMONTH(DATE($B$3,2,1),0),NETWORKDAYS.INTL(DATE($B$3,2,31),DATE($B$3,2,31),1,'Non-working days'!$A$6:$A$45)=0),"",IF(COUNTIFS('Leave log'!$A$7:$A$306,Employees!$A$33,'Leave log'!$B$7:$B$306,"&lt;="&amp;DATE($B$3,2,31),'Leave log'!$C$7:$C$306,"&gt;="&amp;DATE($B$3,2,31),'Leave log'!$F$7:$F$306,"Pending")&gt;0,"P",""))))</f>
        <v/>
      </c>
    </row>
    <row r="69" spans="1:32" ht="18" customHeight="1" x14ac:dyDescent="0.3">
      <c r="A69" s="22" t="str">
        <f>IF(Employees!F34="Yes",Employees!B34,"")</f>
        <v/>
      </c>
      <c r="B69" s="23" t="str">
        <f>IF(A69="","",IF(IF(OR(DATE($B$3,2,1)&gt;EOMONTH(DATE($B$3,2,1),0),NETWORKDAYS.INTL(DATE($B$3,2,1),DATE($B$3,2,1),1,'Non-working days'!$A$6:$A$45)=0),"",IF(COUNTIFS('Leave log'!$A$7:$A$306,Employees!$A$34,'Leave log'!$B$7:$B$306,"&lt;="&amp;DATE($B$3,2,1),'Leave log'!$C$7:$C$306,"&gt;="&amp;DATE($B$3,2,1),'Leave log'!$F$7:$F$306,"Approved")&gt;0,"A",""))="A","A",IF(OR(DATE($B$3,2,1)&gt;EOMONTH(DATE($B$3,2,1),0),NETWORKDAYS.INTL(DATE($B$3,2,1),DATE($B$3,2,1),1,'Non-working days'!$A$6:$A$45)=0),"",IF(COUNTIFS('Leave log'!$A$7:$A$306,Employees!$A$34,'Leave log'!$B$7:$B$306,"&lt;="&amp;DATE($B$3,2,1),'Leave log'!$C$7:$C$306,"&gt;="&amp;DATE($B$3,2,1),'Leave log'!$F$7:$F$306,"Pending")&gt;0,"P",""))))</f>
        <v/>
      </c>
      <c r="C69" s="23" t="str">
        <f>IF(A69="","",IF(IF(OR(DATE($B$3,2,2)&gt;EOMONTH(DATE($B$3,2,1),0),NETWORKDAYS.INTL(DATE($B$3,2,2),DATE($B$3,2,2),1,'Non-working days'!$A$6:$A$45)=0),"",IF(COUNTIFS('Leave log'!$A$7:$A$306,Employees!$A$34,'Leave log'!$B$7:$B$306,"&lt;="&amp;DATE($B$3,2,2),'Leave log'!$C$7:$C$306,"&gt;="&amp;DATE($B$3,2,2),'Leave log'!$F$7:$F$306,"Approved")&gt;0,"A",""))="A","A",IF(OR(DATE($B$3,2,2)&gt;EOMONTH(DATE($B$3,2,1),0),NETWORKDAYS.INTL(DATE($B$3,2,2),DATE($B$3,2,2),1,'Non-working days'!$A$6:$A$45)=0),"",IF(COUNTIFS('Leave log'!$A$7:$A$306,Employees!$A$34,'Leave log'!$B$7:$B$306,"&lt;="&amp;DATE($B$3,2,2),'Leave log'!$C$7:$C$306,"&gt;="&amp;DATE($B$3,2,2),'Leave log'!$F$7:$F$306,"Pending")&gt;0,"P",""))))</f>
        <v/>
      </c>
      <c r="D69" s="23" t="str">
        <f>IF(A69="","",IF(IF(OR(DATE($B$3,2,3)&gt;EOMONTH(DATE($B$3,2,1),0),NETWORKDAYS.INTL(DATE($B$3,2,3),DATE($B$3,2,3),1,'Non-working days'!$A$6:$A$45)=0),"",IF(COUNTIFS('Leave log'!$A$7:$A$306,Employees!$A$34,'Leave log'!$B$7:$B$306,"&lt;="&amp;DATE($B$3,2,3),'Leave log'!$C$7:$C$306,"&gt;="&amp;DATE($B$3,2,3),'Leave log'!$F$7:$F$306,"Approved")&gt;0,"A",""))="A","A",IF(OR(DATE($B$3,2,3)&gt;EOMONTH(DATE($B$3,2,1),0),NETWORKDAYS.INTL(DATE($B$3,2,3),DATE($B$3,2,3),1,'Non-working days'!$A$6:$A$45)=0),"",IF(COUNTIFS('Leave log'!$A$7:$A$306,Employees!$A$34,'Leave log'!$B$7:$B$306,"&lt;="&amp;DATE($B$3,2,3),'Leave log'!$C$7:$C$306,"&gt;="&amp;DATE($B$3,2,3),'Leave log'!$F$7:$F$306,"Pending")&gt;0,"P",""))))</f>
        <v/>
      </c>
      <c r="E69" s="23" t="str">
        <f>IF(A69="","",IF(IF(OR(DATE($B$3,2,4)&gt;EOMONTH(DATE($B$3,2,1),0),NETWORKDAYS.INTL(DATE($B$3,2,4),DATE($B$3,2,4),1,'Non-working days'!$A$6:$A$45)=0),"",IF(COUNTIFS('Leave log'!$A$7:$A$306,Employees!$A$34,'Leave log'!$B$7:$B$306,"&lt;="&amp;DATE($B$3,2,4),'Leave log'!$C$7:$C$306,"&gt;="&amp;DATE($B$3,2,4),'Leave log'!$F$7:$F$306,"Approved")&gt;0,"A",""))="A","A",IF(OR(DATE($B$3,2,4)&gt;EOMONTH(DATE($B$3,2,1),0),NETWORKDAYS.INTL(DATE($B$3,2,4),DATE($B$3,2,4),1,'Non-working days'!$A$6:$A$45)=0),"",IF(COUNTIFS('Leave log'!$A$7:$A$306,Employees!$A$34,'Leave log'!$B$7:$B$306,"&lt;="&amp;DATE($B$3,2,4),'Leave log'!$C$7:$C$306,"&gt;="&amp;DATE($B$3,2,4),'Leave log'!$F$7:$F$306,"Pending")&gt;0,"P",""))))</f>
        <v/>
      </c>
      <c r="F69" s="23" t="str">
        <f>IF(A69="","",IF(IF(OR(DATE($B$3,2,5)&gt;EOMONTH(DATE($B$3,2,1),0),NETWORKDAYS.INTL(DATE($B$3,2,5),DATE($B$3,2,5),1,'Non-working days'!$A$6:$A$45)=0),"",IF(COUNTIFS('Leave log'!$A$7:$A$306,Employees!$A$34,'Leave log'!$B$7:$B$306,"&lt;="&amp;DATE($B$3,2,5),'Leave log'!$C$7:$C$306,"&gt;="&amp;DATE($B$3,2,5),'Leave log'!$F$7:$F$306,"Approved")&gt;0,"A",""))="A","A",IF(OR(DATE($B$3,2,5)&gt;EOMONTH(DATE($B$3,2,1),0),NETWORKDAYS.INTL(DATE($B$3,2,5),DATE($B$3,2,5),1,'Non-working days'!$A$6:$A$45)=0),"",IF(COUNTIFS('Leave log'!$A$7:$A$306,Employees!$A$34,'Leave log'!$B$7:$B$306,"&lt;="&amp;DATE($B$3,2,5),'Leave log'!$C$7:$C$306,"&gt;="&amp;DATE($B$3,2,5),'Leave log'!$F$7:$F$306,"Pending")&gt;0,"P",""))))</f>
        <v/>
      </c>
      <c r="G69" s="23" t="str">
        <f>IF(A69="","",IF(IF(OR(DATE($B$3,2,6)&gt;EOMONTH(DATE($B$3,2,1),0),NETWORKDAYS.INTL(DATE($B$3,2,6),DATE($B$3,2,6),1,'Non-working days'!$A$6:$A$45)=0),"",IF(COUNTIFS('Leave log'!$A$7:$A$306,Employees!$A$34,'Leave log'!$B$7:$B$306,"&lt;="&amp;DATE($B$3,2,6),'Leave log'!$C$7:$C$306,"&gt;="&amp;DATE($B$3,2,6),'Leave log'!$F$7:$F$306,"Approved")&gt;0,"A",""))="A","A",IF(OR(DATE($B$3,2,6)&gt;EOMONTH(DATE($B$3,2,1),0),NETWORKDAYS.INTL(DATE($B$3,2,6),DATE($B$3,2,6),1,'Non-working days'!$A$6:$A$45)=0),"",IF(COUNTIFS('Leave log'!$A$7:$A$306,Employees!$A$34,'Leave log'!$B$7:$B$306,"&lt;="&amp;DATE($B$3,2,6),'Leave log'!$C$7:$C$306,"&gt;="&amp;DATE($B$3,2,6),'Leave log'!$F$7:$F$306,"Pending")&gt;0,"P",""))))</f>
        <v/>
      </c>
      <c r="H69" s="23" t="str">
        <f>IF(A69="","",IF(IF(OR(DATE($B$3,2,7)&gt;EOMONTH(DATE($B$3,2,1),0),NETWORKDAYS.INTL(DATE($B$3,2,7),DATE($B$3,2,7),1,'Non-working days'!$A$6:$A$45)=0),"",IF(COUNTIFS('Leave log'!$A$7:$A$306,Employees!$A$34,'Leave log'!$B$7:$B$306,"&lt;="&amp;DATE($B$3,2,7),'Leave log'!$C$7:$C$306,"&gt;="&amp;DATE($B$3,2,7),'Leave log'!$F$7:$F$306,"Approved")&gt;0,"A",""))="A","A",IF(OR(DATE($B$3,2,7)&gt;EOMONTH(DATE($B$3,2,1),0),NETWORKDAYS.INTL(DATE($B$3,2,7),DATE($B$3,2,7),1,'Non-working days'!$A$6:$A$45)=0),"",IF(COUNTIFS('Leave log'!$A$7:$A$306,Employees!$A$34,'Leave log'!$B$7:$B$306,"&lt;="&amp;DATE($B$3,2,7),'Leave log'!$C$7:$C$306,"&gt;="&amp;DATE($B$3,2,7),'Leave log'!$F$7:$F$306,"Pending")&gt;0,"P",""))))</f>
        <v/>
      </c>
      <c r="I69" s="23" t="str">
        <f>IF(A69="","",IF(IF(OR(DATE($B$3,2,8)&gt;EOMONTH(DATE($B$3,2,1),0),NETWORKDAYS.INTL(DATE($B$3,2,8),DATE($B$3,2,8),1,'Non-working days'!$A$6:$A$45)=0),"",IF(COUNTIFS('Leave log'!$A$7:$A$306,Employees!$A$34,'Leave log'!$B$7:$B$306,"&lt;="&amp;DATE($B$3,2,8),'Leave log'!$C$7:$C$306,"&gt;="&amp;DATE($B$3,2,8),'Leave log'!$F$7:$F$306,"Approved")&gt;0,"A",""))="A","A",IF(OR(DATE($B$3,2,8)&gt;EOMONTH(DATE($B$3,2,1),0),NETWORKDAYS.INTL(DATE($B$3,2,8),DATE($B$3,2,8),1,'Non-working days'!$A$6:$A$45)=0),"",IF(COUNTIFS('Leave log'!$A$7:$A$306,Employees!$A$34,'Leave log'!$B$7:$B$306,"&lt;="&amp;DATE($B$3,2,8),'Leave log'!$C$7:$C$306,"&gt;="&amp;DATE($B$3,2,8),'Leave log'!$F$7:$F$306,"Pending")&gt;0,"P",""))))</f>
        <v/>
      </c>
      <c r="J69" s="23" t="str">
        <f>IF(A69="","",IF(IF(OR(DATE($B$3,2,9)&gt;EOMONTH(DATE($B$3,2,1),0),NETWORKDAYS.INTL(DATE($B$3,2,9),DATE($B$3,2,9),1,'Non-working days'!$A$6:$A$45)=0),"",IF(COUNTIFS('Leave log'!$A$7:$A$306,Employees!$A$34,'Leave log'!$B$7:$B$306,"&lt;="&amp;DATE($B$3,2,9),'Leave log'!$C$7:$C$306,"&gt;="&amp;DATE($B$3,2,9),'Leave log'!$F$7:$F$306,"Approved")&gt;0,"A",""))="A","A",IF(OR(DATE($B$3,2,9)&gt;EOMONTH(DATE($B$3,2,1),0),NETWORKDAYS.INTL(DATE($B$3,2,9),DATE($B$3,2,9),1,'Non-working days'!$A$6:$A$45)=0),"",IF(COUNTIFS('Leave log'!$A$7:$A$306,Employees!$A$34,'Leave log'!$B$7:$B$306,"&lt;="&amp;DATE($B$3,2,9),'Leave log'!$C$7:$C$306,"&gt;="&amp;DATE($B$3,2,9),'Leave log'!$F$7:$F$306,"Pending")&gt;0,"P",""))))</f>
        <v/>
      </c>
      <c r="K69" s="23" t="str">
        <f>IF(A69="","",IF(IF(OR(DATE($B$3,2,10)&gt;EOMONTH(DATE($B$3,2,1),0),NETWORKDAYS.INTL(DATE($B$3,2,10),DATE($B$3,2,10),1,'Non-working days'!$A$6:$A$45)=0),"",IF(COUNTIFS('Leave log'!$A$7:$A$306,Employees!$A$34,'Leave log'!$B$7:$B$306,"&lt;="&amp;DATE($B$3,2,10),'Leave log'!$C$7:$C$306,"&gt;="&amp;DATE($B$3,2,10),'Leave log'!$F$7:$F$306,"Approved")&gt;0,"A",""))="A","A",IF(OR(DATE($B$3,2,10)&gt;EOMONTH(DATE($B$3,2,1),0),NETWORKDAYS.INTL(DATE($B$3,2,10),DATE($B$3,2,10),1,'Non-working days'!$A$6:$A$45)=0),"",IF(COUNTIFS('Leave log'!$A$7:$A$306,Employees!$A$34,'Leave log'!$B$7:$B$306,"&lt;="&amp;DATE($B$3,2,10),'Leave log'!$C$7:$C$306,"&gt;="&amp;DATE($B$3,2,10),'Leave log'!$F$7:$F$306,"Pending")&gt;0,"P",""))))</f>
        <v/>
      </c>
      <c r="L69" s="23" t="str">
        <f>IF(A69="","",IF(IF(OR(DATE($B$3,2,11)&gt;EOMONTH(DATE($B$3,2,1),0),NETWORKDAYS.INTL(DATE($B$3,2,11),DATE($B$3,2,11),1,'Non-working days'!$A$6:$A$45)=0),"",IF(COUNTIFS('Leave log'!$A$7:$A$306,Employees!$A$34,'Leave log'!$B$7:$B$306,"&lt;="&amp;DATE($B$3,2,11),'Leave log'!$C$7:$C$306,"&gt;="&amp;DATE($B$3,2,11),'Leave log'!$F$7:$F$306,"Approved")&gt;0,"A",""))="A","A",IF(OR(DATE($B$3,2,11)&gt;EOMONTH(DATE($B$3,2,1),0),NETWORKDAYS.INTL(DATE($B$3,2,11),DATE($B$3,2,11),1,'Non-working days'!$A$6:$A$45)=0),"",IF(COUNTIFS('Leave log'!$A$7:$A$306,Employees!$A$34,'Leave log'!$B$7:$B$306,"&lt;="&amp;DATE($B$3,2,11),'Leave log'!$C$7:$C$306,"&gt;="&amp;DATE($B$3,2,11),'Leave log'!$F$7:$F$306,"Pending")&gt;0,"P",""))))</f>
        <v/>
      </c>
      <c r="M69" s="23" t="str">
        <f>IF(A69="","",IF(IF(OR(DATE($B$3,2,12)&gt;EOMONTH(DATE($B$3,2,1),0),NETWORKDAYS.INTL(DATE($B$3,2,12),DATE($B$3,2,12),1,'Non-working days'!$A$6:$A$45)=0),"",IF(COUNTIFS('Leave log'!$A$7:$A$306,Employees!$A$34,'Leave log'!$B$7:$B$306,"&lt;="&amp;DATE($B$3,2,12),'Leave log'!$C$7:$C$306,"&gt;="&amp;DATE($B$3,2,12),'Leave log'!$F$7:$F$306,"Approved")&gt;0,"A",""))="A","A",IF(OR(DATE($B$3,2,12)&gt;EOMONTH(DATE($B$3,2,1),0),NETWORKDAYS.INTL(DATE($B$3,2,12),DATE($B$3,2,12),1,'Non-working days'!$A$6:$A$45)=0),"",IF(COUNTIFS('Leave log'!$A$7:$A$306,Employees!$A$34,'Leave log'!$B$7:$B$306,"&lt;="&amp;DATE($B$3,2,12),'Leave log'!$C$7:$C$306,"&gt;="&amp;DATE($B$3,2,12),'Leave log'!$F$7:$F$306,"Pending")&gt;0,"P",""))))</f>
        <v/>
      </c>
      <c r="N69" s="23" t="str">
        <f>IF(A69="","",IF(IF(OR(DATE($B$3,2,13)&gt;EOMONTH(DATE($B$3,2,1),0),NETWORKDAYS.INTL(DATE($B$3,2,13),DATE($B$3,2,13),1,'Non-working days'!$A$6:$A$45)=0),"",IF(COUNTIFS('Leave log'!$A$7:$A$306,Employees!$A$34,'Leave log'!$B$7:$B$306,"&lt;="&amp;DATE($B$3,2,13),'Leave log'!$C$7:$C$306,"&gt;="&amp;DATE($B$3,2,13),'Leave log'!$F$7:$F$306,"Approved")&gt;0,"A",""))="A","A",IF(OR(DATE($B$3,2,13)&gt;EOMONTH(DATE($B$3,2,1),0),NETWORKDAYS.INTL(DATE($B$3,2,13),DATE($B$3,2,13),1,'Non-working days'!$A$6:$A$45)=0),"",IF(COUNTIFS('Leave log'!$A$7:$A$306,Employees!$A$34,'Leave log'!$B$7:$B$306,"&lt;="&amp;DATE($B$3,2,13),'Leave log'!$C$7:$C$306,"&gt;="&amp;DATE($B$3,2,13),'Leave log'!$F$7:$F$306,"Pending")&gt;0,"P",""))))</f>
        <v/>
      </c>
      <c r="O69" s="23" t="str">
        <f>IF(A69="","",IF(IF(OR(DATE($B$3,2,14)&gt;EOMONTH(DATE($B$3,2,1),0),NETWORKDAYS.INTL(DATE($B$3,2,14),DATE($B$3,2,14),1,'Non-working days'!$A$6:$A$45)=0),"",IF(COUNTIFS('Leave log'!$A$7:$A$306,Employees!$A$34,'Leave log'!$B$7:$B$306,"&lt;="&amp;DATE($B$3,2,14),'Leave log'!$C$7:$C$306,"&gt;="&amp;DATE($B$3,2,14),'Leave log'!$F$7:$F$306,"Approved")&gt;0,"A",""))="A","A",IF(OR(DATE($B$3,2,14)&gt;EOMONTH(DATE($B$3,2,1),0),NETWORKDAYS.INTL(DATE($B$3,2,14),DATE($B$3,2,14),1,'Non-working days'!$A$6:$A$45)=0),"",IF(COUNTIFS('Leave log'!$A$7:$A$306,Employees!$A$34,'Leave log'!$B$7:$B$306,"&lt;="&amp;DATE($B$3,2,14),'Leave log'!$C$7:$C$306,"&gt;="&amp;DATE($B$3,2,14),'Leave log'!$F$7:$F$306,"Pending")&gt;0,"P",""))))</f>
        <v/>
      </c>
      <c r="P69" s="23" t="str">
        <f>IF(A69="","",IF(IF(OR(DATE($B$3,2,15)&gt;EOMONTH(DATE($B$3,2,1),0),NETWORKDAYS.INTL(DATE($B$3,2,15),DATE($B$3,2,15),1,'Non-working days'!$A$6:$A$45)=0),"",IF(COUNTIFS('Leave log'!$A$7:$A$306,Employees!$A$34,'Leave log'!$B$7:$B$306,"&lt;="&amp;DATE($B$3,2,15),'Leave log'!$C$7:$C$306,"&gt;="&amp;DATE($B$3,2,15),'Leave log'!$F$7:$F$306,"Approved")&gt;0,"A",""))="A","A",IF(OR(DATE($B$3,2,15)&gt;EOMONTH(DATE($B$3,2,1),0),NETWORKDAYS.INTL(DATE($B$3,2,15),DATE($B$3,2,15),1,'Non-working days'!$A$6:$A$45)=0),"",IF(COUNTIFS('Leave log'!$A$7:$A$306,Employees!$A$34,'Leave log'!$B$7:$B$306,"&lt;="&amp;DATE($B$3,2,15),'Leave log'!$C$7:$C$306,"&gt;="&amp;DATE($B$3,2,15),'Leave log'!$F$7:$F$306,"Pending")&gt;0,"P",""))))</f>
        <v/>
      </c>
      <c r="Q69" s="23" t="str">
        <f>IF(A69="","",IF(IF(OR(DATE($B$3,2,16)&gt;EOMONTH(DATE($B$3,2,1),0),NETWORKDAYS.INTL(DATE($B$3,2,16),DATE($B$3,2,16),1,'Non-working days'!$A$6:$A$45)=0),"",IF(COUNTIFS('Leave log'!$A$7:$A$306,Employees!$A$34,'Leave log'!$B$7:$B$306,"&lt;="&amp;DATE($B$3,2,16),'Leave log'!$C$7:$C$306,"&gt;="&amp;DATE($B$3,2,16),'Leave log'!$F$7:$F$306,"Approved")&gt;0,"A",""))="A","A",IF(OR(DATE($B$3,2,16)&gt;EOMONTH(DATE($B$3,2,1),0),NETWORKDAYS.INTL(DATE($B$3,2,16),DATE($B$3,2,16),1,'Non-working days'!$A$6:$A$45)=0),"",IF(COUNTIFS('Leave log'!$A$7:$A$306,Employees!$A$34,'Leave log'!$B$7:$B$306,"&lt;="&amp;DATE($B$3,2,16),'Leave log'!$C$7:$C$306,"&gt;="&amp;DATE($B$3,2,16),'Leave log'!$F$7:$F$306,"Pending")&gt;0,"P",""))))</f>
        <v/>
      </c>
      <c r="R69" s="23" t="str">
        <f>IF(A69="","",IF(IF(OR(DATE($B$3,2,17)&gt;EOMONTH(DATE($B$3,2,1),0),NETWORKDAYS.INTL(DATE($B$3,2,17),DATE($B$3,2,17),1,'Non-working days'!$A$6:$A$45)=0),"",IF(COUNTIFS('Leave log'!$A$7:$A$306,Employees!$A$34,'Leave log'!$B$7:$B$306,"&lt;="&amp;DATE($B$3,2,17),'Leave log'!$C$7:$C$306,"&gt;="&amp;DATE($B$3,2,17),'Leave log'!$F$7:$F$306,"Approved")&gt;0,"A",""))="A","A",IF(OR(DATE($B$3,2,17)&gt;EOMONTH(DATE($B$3,2,1),0),NETWORKDAYS.INTL(DATE($B$3,2,17),DATE($B$3,2,17),1,'Non-working days'!$A$6:$A$45)=0),"",IF(COUNTIFS('Leave log'!$A$7:$A$306,Employees!$A$34,'Leave log'!$B$7:$B$306,"&lt;="&amp;DATE($B$3,2,17),'Leave log'!$C$7:$C$306,"&gt;="&amp;DATE($B$3,2,17),'Leave log'!$F$7:$F$306,"Pending")&gt;0,"P",""))))</f>
        <v/>
      </c>
      <c r="S69" s="23" t="str">
        <f>IF(A69="","",IF(IF(OR(DATE($B$3,2,18)&gt;EOMONTH(DATE($B$3,2,1),0),NETWORKDAYS.INTL(DATE($B$3,2,18),DATE($B$3,2,18),1,'Non-working days'!$A$6:$A$45)=0),"",IF(COUNTIFS('Leave log'!$A$7:$A$306,Employees!$A$34,'Leave log'!$B$7:$B$306,"&lt;="&amp;DATE($B$3,2,18),'Leave log'!$C$7:$C$306,"&gt;="&amp;DATE($B$3,2,18),'Leave log'!$F$7:$F$306,"Approved")&gt;0,"A",""))="A","A",IF(OR(DATE($B$3,2,18)&gt;EOMONTH(DATE($B$3,2,1),0),NETWORKDAYS.INTL(DATE($B$3,2,18),DATE($B$3,2,18),1,'Non-working days'!$A$6:$A$45)=0),"",IF(COUNTIFS('Leave log'!$A$7:$A$306,Employees!$A$34,'Leave log'!$B$7:$B$306,"&lt;="&amp;DATE($B$3,2,18),'Leave log'!$C$7:$C$306,"&gt;="&amp;DATE($B$3,2,18),'Leave log'!$F$7:$F$306,"Pending")&gt;0,"P",""))))</f>
        <v/>
      </c>
      <c r="T69" s="23" t="str">
        <f>IF(A69="","",IF(IF(OR(DATE($B$3,2,19)&gt;EOMONTH(DATE($B$3,2,1),0),NETWORKDAYS.INTL(DATE($B$3,2,19),DATE($B$3,2,19),1,'Non-working days'!$A$6:$A$45)=0),"",IF(COUNTIFS('Leave log'!$A$7:$A$306,Employees!$A$34,'Leave log'!$B$7:$B$306,"&lt;="&amp;DATE($B$3,2,19),'Leave log'!$C$7:$C$306,"&gt;="&amp;DATE($B$3,2,19),'Leave log'!$F$7:$F$306,"Approved")&gt;0,"A",""))="A","A",IF(OR(DATE($B$3,2,19)&gt;EOMONTH(DATE($B$3,2,1),0),NETWORKDAYS.INTL(DATE($B$3,2,19),DATE($B$3,2,19),1,'Non-working days'!$A$6:$A$45)=0),"",IF(COUNTIFS('Leave log'!$A$7:$A$306,Employees!$A$34,'Leave log'!$B$7:$B$306,"&lt;="&amp;DATE($B$3,2,19),'Leave log'!$C$7:$C$306,"&gt;="&amp;DATE($B$3,2,19),'Leave log'!$F$7:$F$306,"Pending")&gt;0,"P",""))))</f>
        <v/>
      </c>
      <c r="U69" s="23" t="str">
        <f>IF(A69="","",IF(IF(OR(DATE($B$3,2,20)&gt;EOMONTH(DATE($B$3,2,1),0),NETWORKDAYS.INTL(DATE($B$3,2,20),DATE($B$3,2,20),1,'Non-working days'!$A$6:$A$45)=0),"",IF(COUNTIFS('Leave log'!$A$7:$A$306,Employees!$A$34,'Leave log'!$B$7:$B$306,"&lt;="&amp;DATE($B$3,2,20),'Leave log'!$C$7:$C$306,"&gt;="&amp;DATE($B$3,2,20),'Leave log'!$F$7:$F$306,"Approved")&gt;0,"A",""))="A","A",IF(OR(DATE($B$3,2,20)&gt;EOMONTH(DATE($B$3,2,1),0),NETWORKDAYS.INTL(DATE($B$3,2,20),DATE($B$3,2,20),1,'Non-working days'!$A$6:$A$45)=0),"",IF(COUNTIFS('Leave log'!$A$7:$A$306,Employees!$A$34,'Leave log'!$B$7:$B$306,"&lt;="&amp;DATE($B$3,2,20),'Leave log'!$C$7:$C$306,"&gt;="&amp;DATE($B$3,2,20),'Leave log'!$F$7:$F$306,"Pending")&gt;0,"P",""))))</f>
        <v/>
      </c>
      <c r="V69" s="23" t="str">
        <f>IF(A69="","",IF(IF(OR(DATE($B$3,2,21)&gt;EOMONTH(DATE($B$3,2,1),0),NETWORKDAYS.INTL(DATE($B$3,2,21),DATE($B$3,2,21),1,'Non-working days'!$A$6:$A$45)=0),"",IF(COUNTIFS('Leave log'!$A$7:$A$306,Employees!$A$34,'Leave log'!$B$7:$B$306,"&lt;="&amp;DATE($B$3,2,21),'Leave log'!$C$7:$C$306,"&gt;="&amp;DATE($B$3,2,21),'Leave log'!$F$7:$F$306,"Approved")&gt;0,"A",""))="A","A",IF(OR(DATE($B$3,2,21)&gt;EOMONTH(DATE($B$3,2,1),0),NETWORKDAYS.INTL(DATE($B$3,2,21),DATE($B$3,2,21),1,'Non-working days'!$A$6:$A$45)=0),"",IF(COUNTIFS('Leave log'!$A$7:$A$306,Employees!$A$34,'Leave log'!$B$7:$B$306,"&lt;="&amp;DATE($B$3,2,21),'Leave log'!$C$7:$C$306,"&gt;="&amp;DATE($B$3,2,21),'Leave log'!$F$7:$F$306,"Pending")&gt;0,"P",""))))</f>
        <v/>
      </c>
      <c r="W69" s="23" t="str">
        <f>IF(A69="","",IF(IF(OR(DATE($B$3,2,22)&gt;EOMONTH(DATE($B$3,2,1),0),NETWORKDAYS.INTL(DATE($B$3,2,22),DATE($B$3,2,22),1,'Non-working days'!$A$6:$A$45)=0),"",IF(COUNTIFS('Leave log'!$A$7:$A$306,Employees!$A$34,'Leave log'!$B$7:$B$306,"&lt;="&amp;DATE($B$3,2,22),'Leave log'!$C$7:$C$306,"&gt;="&amp;DATE($B$3,2,22),'Leave log'!$F$7:$F$306,"Approved")&gt;0,"A",""))="A","A",IF(OR(DATE($B$3,2,22)&gt;EOMONTH(DATE($B$3,2,1),0),NETWORKDAYS.INTL(DATE($B$3,2,22),DATE($B$3,2,22),1,'Non-working days'!$A$6:$A$45)=0),"",IF(COUNTIFS('Leave log'!$A$7:$A$306,Employees!$A$34,'Leave log'!$B$7:$B$306,"&lt;="&amp;DATE($B$3,2,22),'Leave log'!$C$7:$C$306,"&gt;="&amp;DATE($B$3,2,22),'Leave log'!$F$7:$F$306,"Pending")&gt;0,"P",""))))</f>
        <v/>
      </c>
      <c r="X69" s="23" t="str">
        <f>IF(A69="","",IF(IF(OR(DATE($B$3,2,23)&gt;EOMONTH(DATE($B$3,2,1),0),NETWORKDAYS.INTL(DATE($B$3,2,23),DATE($B$3,2,23),1,'Non-working days'!$A$6:$A$45)=0),"",IF(COUNTIFS('Leave log'!$A$7:$A$306,Employees!$A$34,'Leave log'!$B$7:$B$306,"&lt;="&amp;DATE($B$3,2,23),'Leave log'!$C$7:$C$306,"&gt;="&amp;DATE($B$3,2,23),'Leave log'!$F$7:$F$306,"Approved")&gt;0,"A",""))="A","A",IF(OR(DATE($B$3,2,23)&gt;EOMONTH(DATE($B$3,2,1),0),NETWORKDAYS.INTL(DATE($B$3,2,23),DATE($B$3,2,23),1,'Non-working days'!$A$6:$A$45)=0),"",IF(COUNTIFS('Leave log'!$A$7:$A$306,Employees!$A$34,'Leave log'!$B$7:$B$306,"&lt;="&amp;DATE($B$3,2,23),'Leave log'!$C$7:$C$306,"&gt;="&amp;DATE($B$3,2,23),'Leave log'!$F$7:$F$306,"Pending")&gt;0,"P",""))))</f>
        <v/>
      </c>
      <c r="Y69" s="23" t="str">
        <f>IF(A69="","",IF(IF(OR(DATE($B$3,2,24)&gt;EOMONTH(DATE($B$3,2,1),0),NETWORKDAYS.INTL(DATE($B$3,2,24),DATE($B$3,2,24),1,'Non-working days'!$A$6:$A$45)=0),"",IF(COUNTIFS('Leave log'!$A$7:$A$306,Employees!$A$34,'Leave log'!$B$7:$B$306,"&lt;="&amp;DATE($B$3,2,24),'Leave log'!$C$7:$C$306,"&gt;="&amp;DATE($B$3,2,24),'Leave log'!$F$7:$F$306,"Approved")&gt;0,"A",""))="A","A",IF(OR(DATE($B$3,2,24)&gt;EOMONTH(DATE($B$3,2,1),0),NETWORKDAYS.INTL(DATE($B$3,2,24),DATE($B$3,2,24),1,'Non-working days'!$A$6:$A$45)=0),"",IF(COUNTIFS('Leave log'!$A$7:$A$306,Employees!$A$34,'Leave log'!$B$7:$B$306,"&lt;="&amp;DATE($B$3,2,24),'Leave log'!$C$7:$C$306,"&gt;="&amp;DATE($B$3,2,24),'Leave log'!$F$7:$F$306,"Pending")&gt;0,"P",""))))</f>
        <v/>
      </c>
      <c r="Z69" s="23" t="str">
        <f>IF(A69="","",IF(IF(OR(DATE($B$3,2,25)&gt;EOMONTH(DATE($B$3,2,1),0),NETWORKDAYS.INTL(DATE($B$3,2,25),DATE($B$3,2,25),1,'Non-working days'!$A$6:$A$45)=0),"",IF(COUNTIFS('Leave log'!$A$7:$A$306,Employees!$A$34,'Leave log'!$B$7:$B$306,"&lt;="&amp;DATE($B$3,2,25),'Leave log'!$C$7:$C$306,"&gt;="&amp;DATE($B$3,2,25),'Leave log'!$F$7:$F$306,"Approved")&gt;0,"A",""))="A","A",IF(OR(DATE($B$3,2,25)&gt;EOMONTH(DATE($B$3,2,1),0),NETWORKDAYS.INTL(DATE($B$3,2,25),DATE($B$3,2,25),1,'Non-working days'!$A$6:$A$45)=0),"",IF(COUNTIFS('Leave log'!$A$7:$A$306,Employees!$A$34,'Leave log'!$B$7:$B$306,"&lt;="&amp;DATE($B$3,2,25),'Leave log'!$C$7:$C$306,"&gt;="&amp;DATE($B$3,2,25),'Leave log'!$F$7:$F$306,"Pending")&gt;0,"P",""))))</f>
        <v/>
      </c>
      <c r="AA69" s="23" t="str">
        <f>IF(A69="","",IF(IF(OR(DATE($B$3,2,26)&gt;EOMONTH(DATE($B$3,2,1),0),NETWORKDAYS.INTL(DATE($B$3,2,26),DATE($B$3,2,26),1,'Non-working days'!$A$6:$A$45)=0),"",IF(COUNTIFS('Leave log'!$A$7:$A$306,Employees!$A$34,'Leave log'!$B$7:$B$306,"&lt;="&amp;DATE($B$3,2,26),'Leave log'!$C$7:$C$306,"&gt;="&amp;DATE($B$3,2,26),'Leave log'!$F$7:$F$306,"Approved")&gt;0,"A",""))="A","A",IF(OR(DATE($B$3,2,26)&gt;EOMONTH(DATE($B$3,2,1),0),NETWORKDAYS.INTL(DATE($B$3,2,26),DATE($B$3,2,26),1,'Non-working days'!$A$6:$A$45)=0),"",IF(COUNTIFS('Leave log'!$A$7:$A$306,Employees!$A$34,'Leave log'!$B$7:$B$306,"&lt;="&amp;DATE($B$3,2,26),'Leave log'!$C$7:$C$306,"&gt;="&amp;DATE($B$3,2,26),'Leave log'!$F$7:$F$306,"Pending")&gt;0,"P",""))))</f>
        <v/>
      </c>
      <c r="AB69" s="23" t="str">
        <f>IF(A69="","",IF(IF(OR(DATE($B$3,2,27)&gt;EOMONTH(DATE($B$3,2,1),0),NETWORKDAYS.INTL(DATE($B$3,2,27),DATE($B$3,2,27),1,'Non-working days'!$A$6:$A$45)=0),"",IF(COUNTIFS('Leave log'!$A$7:$A$306,Employees!$A$34,'Leave log'!$B$7:$B$306,"&lt;="&amp;DATE($B$3,2,27),'Leave log'!$C$7:$C$306,"&gt;="&amp;DATE($B$3,2,27),'Leave log'!$F$7:$F$306,"Approved")&gt;0,"A",""))="A","A",IF(OR(DATE($B$3,2,27)&gt;EOMONTH(DATE($B$3,2,1),0),NETWORKDAYS.INTL(DATE($B$3,2,27),DATE($B$3,2,27),1,'Non-working days'!$A$6:$A$45)=0),"",IF(COUNTIFS('Leave log'!$A$7:$A$306,Employees!$A$34,'Leave log'!$B$7:$B$306,"&lt;="&amp;DATE($B$3,2,27),'Leave log'!$C$7:$C$306,"&gt;="&amp;DATE($B$3,2,27),'Leave log'!$F$7:$F$306,"Pending")&gt;0,"P",""))))</f>
        <v/>
      </c>
      <c r="AC69" s="23" t="str">
        <f>IF(A69="","",IF(IF(OR(DATE($B$3,2,28)&gt;EOMONTH(DATE($B$3,2,1),0),NETWORKDAYS.INTL(DATE($B$3,2,28),DATE($B$3,2,28),1,'Non-working days'!$A$6:$A$45)=0),"",IF(COUNTIFS('Leave log'!$A$7:$A$306,Employees!$A$34,'Leave log'!$B$7:$B$306,"&lt;="&amp;DATE($B$3,2,28),'Leave log'!$C$7:$C$306,"&gt;="&amp;DATE($B$3,2,28),'Leave log'!$F$7:$F$306,"Approved")&gt;0,"A",""))="A","A",IF(OR(DATE($B$3,2,28)&gt;EOMONTH(DATE($B$3,2,1),0),NETWORKDAYS.INTL(DATE($B$3,2,28),DATE($B$3,2,28),1,'Non-working days'!$A$6:$A$45)=0),"",IF(COUNTIFS('Leave log'!$A$7:$A$306,Employees!$A$34,'Leave log'!$B$7:$B$306,"&lt;="&amp;DATE($B$3,2,28),'Leave log'!$C$7:$C$306,"&gt;="&amp;DATE($B$3,2,28),'Leave log'!$F$7:$F$306,"Pending")&gt;0,"P",""))))</f>
        <v/>
      </c>
      <c r="AD69" s="23" t="str">
        <f>IF(A69="","",IF(IF(OR(DATE($B$3,2,29)&gt;EOMONTH(DATE($B$3,2,1),0),NETWORKDAYS.INTL(DATE($B$3,2,29),DATE($B$3,2,29),1,'Non-working days'!$A$6:$A$45)=0),"",IF(COUNTIFS('Leave log'!$A$7:$A$306,Employees!$A$34,'Leave log'!$B$7:$B$306,"&lt;="&amp;DATE($B$3,2,29),'Leave log'!$C$7:$C$306,"&gt;="&amp;DATE($B$3,2,29),'Leave log'!$F$7:$F$306,"Approved")&gt;0,"A",""))="A","A",IF(OR(DATE($B$3,2,29)&gt;EOMONTH(DATE($B$3,2,1),0),NETWORKDAYS.INTL(DATE($B$3,2,29),DATE($B$3,2,29),1,'Non-working days'!$A$6:$A$45)=0),"",IF(COUNTIFS('Leave log'!$A$7:$A$306,Employees!$A$34,'Leave log'!$B$7:$B$306,"&lt;="&amp;DATE($B$3,2,29),'Leave log'!$C$7:$C$306,"&gt;="&amp;DATE($B$3,2,29),'Leave log'!$F$7:$F$306,"Pending")&gt;0,"P",""))))</f>
        <v/>
      </c>
      <c r="AE69" s="23" t="str">
        <f>IF(A69="","",IF(IF(OR(DATE($B$3,2,30)&gt;EOMONTH(DATE($B$3,2,1),0),NETWORKDAYS.INTL(DATE($B$3,2,30),DATE($B$3,2,30),1,'Non-working days'!$A$6:$A$45)=0),"",IF(COUNTIFS('Leave log'!$A$7:$A$306,Employees!$A$34,'Leave log'!$B$7:$B$306,"&lt;="&amp;DATE($B$3,2,30),'Leave log'!$C$7:$C$306,"&gt;="&amp;DATE($B$3,2,30),'Leave log'!$F$7:$F$306,"Approved")&gt;0,"A",""))="A","A",IF(OR(DATE($B$3,2,30)&gt;EOMONTH(DATE($B$3,2,1),0),NETWORKDAYS.INTL(DATE($B$3,2,30),DATE($B$3,2,30),1,'Non-working days'!$A$6:$A$45)=0),"",IF(COUNTIFS('Leave log'!$A$7:$A$306,Employees!$A$34,'Leave log'!$B$7:$B$306,"&lt;="&amp;DATE($B$3,2,30),'Leave log'!$C$7:$C$306,"&gt;="&amp;DATE($B$3,2,30),'Leave log'!$F$7:$F$306,"Pending")&gt;0,"P",""))))</f>
        <v/>
      </c>
      <c r="AF69" s="23" t="str">
        <f>IF(A69="","",IF(IF(OR(DATE($B$3,2,31)&gt;EOMONTH(DATE($B$3,2,1),0),NETWORKDAYS.INTL(DATE($B$3,2,31),DATE($B$3,2,31),1,'Non-working days'!$A$6:$A$45)=0),"",IF(COUNTIFS('Leave log'!$A$7:$A$306,Employees!$A$34,'Leave log'!$B$7:$B$306,"&lt;="&amp;DATE($B$3,2,31),'Leave log'!$C$7:$C$306,"&gt;="&amp;DATE($B$3,2,31),'Leave log'!$F$7:$F$306,"Approved")&gt;0,"A",""))="A","A",IF(OR(DATE($B$3,2,31)&gt;EOMONTH(DATE($B$3,2,1),0),NETWORKDAYS.INTL(DATE($B$3,2,31),DATE($B$3,2,31),1,'Non-working days'!$A$6:$A$45)=0),"",IF(COUNTIFS('Leave log'!$A$7:$A$306,Employees!$A$34,'Leave log'!$B$7:$B$306,"&lt;="&amp;DATE($B$3,2,31),'Leave log'!$C$7:$C$306,"&gt;="&amp;DATE($B$3,2,31),'Leave log'!$F$7:$F$306,"Pending")&gt;0,"P",""))))</f>
        <v/>
      </c>
    </row>
    <row r="70" spans="1:32" ht="18" customHeight="1" x14ac:dyDescent="0.3">
      <c r="A70" s="22" t="str">
        <f>IF(Employees!F35="Yes",Employees!B35,"")</f>
        <v/>
      </c>
      <c r="B70" s="23" t="str">
        <f>IF(A70="","",IF(IF(OR(DATE($B$3,2,1)&gt;EOMONTH(DATE($B$3,2,1),0),NETWORKDAYS.INTL(DATE($B$3,2,1),DATE($B$3,2,1),1,'Non-working days'!$A$6:$A$45)=0),"",IF(COUNTIFS('Leave log'!$A$7:$A$306,Employees!$A$35,'Leave log'!$B$7:$B$306,"&lt;="&amp;DATE($B$3,2,1),'Leave log'!$C$7:$C$306,"&gt;="&amp;DATE($B$3,2,1),'Leave log'!$F$7:$F$306,"Approved")&gt;0,"A",""))="A","A",IF(OR(DATE($B$3,2,1)&gt;EOMONTH(DATE($B$3,2,1),0),NETWORKDAYS.INTL(DATE($B$3,2,1),DATE($B$3,2,1),1,'Non-working days'!$A$6:$A$45)=0),"",IF(COUNTIFS('Leave log'!$A$7:$A$306,Employees!$A$35,'Leave log'!$B$7:$B$306,"&lt;="&amp;DATE($B$3,2,1),'Leave log'!$C$7:$C$306,"&gt;="&amp;DATE($B$3,2,1),'Leave log'!$F$7:$F$306,"Pending")&gt;0,"P",""))))</f>
        <v/>
      </c>
      <c r="C70" s="23" t="str">
        <f>IF(A70="","",IF(IF(OR(DATE($B$3,2,2)&gt;EOMONTH(DATE($B$3,2,1),0),NETWORKDAYS.INTL(DATE($B$3,2,2),DATE($B$3,2,2),1,'Non-working days'!$A$6:$A$45)=0),"",IF(COUNTIFS('Leave log'!$A$7:$A$306,Employees!$A$35,'Leave log'!$B$7:$B$306,"&lt;="&amp;DATE($B$3,2,2),'Leave log'!$C$7:$C$306,"&gt;="&amp;DATE($B$3,2,2),'Leave log'!$F$7:$F$306,"Approved")&gt;0,"A",""))="A","A",IF(OR(DATE($B$3,2,2)&gt;EOMONTH(DATE($B$3,2,1),0),NETWORKDAYS.INTL(DATE($B$3,2,2),DATE($B$3,2,2),1,'Non-working days'!$A$6:$A$45)=0),"",IF(COUNTIFS('Leave log'!$A$7:$A$306,Employees!$A$35,'Leave log'!$B$7:$B$306,"&lt;="&amp;DATE($B$3,2,2),'Leave log'!$C$7:$C$306,"&gt;="&amp;DATE($B$3,2,2),'Leave log'!$F$7:$F$306,"Pending")&gt;0,"P",""))))</f>
        <v/>
      </c>
      <c r="D70" s="23" t="str">
        <f>IF(A70="","",IF(IF(OR(DATE($B$3,2,3)&gt;EOMONTH(DATE($B$3,2,1),0),NETWORKDAYS.INTL(DATE($B$3,2,3),DATE($B$3,2,3),1,'Non-working days'!$A$6:$A$45)=0),"",IF(COUNTIFS('Leave log'!$A$7:$A$306,Employees!$A$35,'Leave log'!$B$7:$B$306,"&lt;="&amp;DATE($B$3,2,3),'Leave log'!$C$7:$C$306,"&gt;="&amp;DATE($B$3,2,3),'Leave log'!$F$7:$F$306,"Approved")&gt;0,"A",""))="A","A",IF(OR(DATE($B$3,2,3)&gt;EOMONTH(DATE($B$3,2,1),0),NETWORKDAYS.INTL(DATE($B$3,2,3),DATE($B$3,2,3),1,'Non-working days'!$A$6:$A$45)=0),"",IF(COUNTIFS('Leave log'!$A$7:$A$306,Employees!$A$35,'Leave log'!$B$7:$B$306,"&lt;="&amp;DATE($B$3,2,3),'Leave log'!$C$7:$C$306,"&gt;="&amp;DATE($B$3,2,3),'Leave log'!$F$7:$F$306,"Pending")&gt;0,"P",""))))</f>
        <v/>
      </c>
      <c r="E70" s="23" t="str">
        <f>IF(A70="","",IF(IF(OR(DATE($B$3,2,4)&gt;EOMONTH(DATE($B$3,2,1),0),NETWORKDAYS.INTL(DATE($B$3,2,4),DATE($B$3,2,4),1,'Non-working days'!$A$6:$A$45)=0),"",IF(COUNTIFS('Leave log'!$A$7:$A$306,Employees!$A$35,'Leave log'!$B$7:$B$306,"&lt;="&amp;DATE($B$3,2,4),'Leave log'!$C$7:$C$306,"&gt;="&amp;DATE($B$3,2,4),'Leave log'!$F$7:$F$306,"Approved")&gt;0,"A",""))="A","A",IF(OR(DATE($B$3,2,4)&gt;EOMONTH(DATE($B$3,2,1),0),NETWORKDAYS.INTL(DATE($B$3,2,4),DATE($B$3,2,4),1,'Non-working days'!$A$6:$A$45)=0),"",IF(COUNTIFS('Leave log'!$A$7:$A$306,Employees!$A$35,'Leave log'!$B$7:$B$306,"&lt;="&amp;DATE($B$3,2,4),'Leave log'!$C$7:$C$306,"&gt;="&amp;DATE($B$3,2,4),'Leave log'!$F$7:$F$306,"Pending")&gt;0,"P",""))))</f>
        <v/>
      </c>
      <c r="F70" s="23" t="str">
        <f>IF(A70="","",IF(IF(OR(DATE($B$3,2,5)&gt;EOMONTH(DATE($B$3,2,1),0),NETWORKDAYS.INTL(DATE($B$3,2,5),DATE($B$3,2,5),1,'Non-working days'!$A$6:$A$45)=0),"",IF(COUNTIFS('Leave log'!$A$7:$A$306,Employees!$A$35,'Leave log'!$B$7:$B$306,"&lt;="&amp;DATE($B$3,2,5),'Leave log'!$C$7:$C$306,"&gt;="&amp;DATE($B$3,2,5),'Leave log'!$F$7:$F$306,"Approved")&gt;0,"A",""))="A","A",IF(OR(DATE($B$3,2,5)&gt;EOMONTH(DATE($B$3,2,1),0),NETWORKDAYS.INTL(DATE($B$3,2,5),DATE($B$3,2,5),1,'Non-working days'!$A$6:$A$45)=0),"",IF(COUNTIFS('Leave log'!$A$7:$A$306,Employees!$A$35,'Leave log'!$B$7:$B$306,"&lt;="&amp;DATE($B$3,2,5),'Leave log'!$C$7:$C$306,"&gt;="&amp;DATE($B$3,2,5),'Leave log'!$F$7:$F$306,"Pending")&gt;0,"P",""))))</f>
        <v/>
      </c>
      <c r="G70" s="23" t="str">
        <f>IF(A70="","",IF(IF(OR(DATE($B$3,2,6)&gt;EOMONTH(DATE($B$3,2,1),0),NETWORKDAYS.INTL(DATE($B$3,2,6),DATE($B$3,2,6),1,'Non-working days'!$A$6:$A$45)=0),"",IF(COUNTIFS('Leave log'!$A$7:$A$306,Employees!$A$35,'Leave log'!$B$7:$B$306,"&lt;="&amp;DATE($B$3,2,6),'Leave log'!$C$7:$C$306,"&gt;="&amp;DATE($B$3,2,6),'Leave log'!$F$7:$F$306,"Approved")&gt;0,"A",""))="A","A",IF(OR(DATE($B$3,2,6)&gt;EOMONTH(DATE($B$3,2,1),0),NETWORKDAYS.INTL(DATE($B$3,2,6),DATE($B$3,2,6),1,'Non-working days'!$A$6:$A$45)=0),"",IF(COUNTIFS('Leave log'!$A$7:$A$306,Employees!$A$35,'Leave log'!$B$7:$B$306,"&lt;="&amp;DATE($B$3,2,6),'Leave log'!$C$7:$C$306,"&gt;="&amp;DATE($B$3,2,6),'Leave log'!$F$7:$F$306,"Pending")&gt;0,"P",""))))</f>
        <v/>
      </c>
      <c r="H70" s="23" t="str">
        <f>IF(A70="","",IF(IF(OR(DATE($B$3,2,7)&gt;EOMONTH(DATE($B$3,2,1),0),NETWORKDAYS.INTL(DATE($B$3,2,7),DATE($B$3,2,7),1,'Non-working days'!$A$6:$A$45)=0),"",IF(COUNTIFS('Leave log'!$A$7:$A$306,Employees!$A$35,'Leave log'!$B$7:$B$306,"&lt;="&amp;DATE($B$3,2,7),'Leave log'!$C$7:$C$306,"&gt;="&amp;DATE($B$3,2,7),'Leave log'!$F$7:$F$306,"Approved")&gt;0,"A",""))="A","A",IF(OR(DATE($B$3,2,7)&gt;EOMONTH(DATE($B$3,2,1),0),NETWORKDAYS.INTL(DATE($B$3,2,7),DATE($B$3,2,7),1,'Non-working days'!$A$6:$A$45)=0),"",IF(COUNTIFS('Leave log'!$A$7:$A$306,Employees!$A$35,'Leave log'!$B$7:$B$306,"&lt;="&amp;DATE($B$3,2,7),'Leave log'!$C$7:$C$306,"&gt;="&amp;DATE($B$3,2,7),'Leave log'!$F$7:$F$306,"Pending")&gt;0,"P",""))))</f>
        <v/>
      </c>
      <c r="I70" s="23" t="str">
        <f>IF(A70="","",IF(IF(OR(DATE($B$3,2,8)&gt;EOMONTH(DATE($B$3,2,1),0),NETWORKDAYS.INTL(DATE($B$3,2,8),DATE($B$3,2,8),1,'Non-working days'!$A$6:$A$45)=0),"",IF(COUNTIFS('Leave log'!$A$7:$A$306,Employees!$A$35,'Leave log'!$B$7:$B$306,"&lt;="&amp;DATE($B$3,2,8),'Leave log'!$C$7:$C$306,"&gt;="&amp;DATE($B$3,2,8),'Leave log'!$F$7:$F$306,"Approved")&gt;0,"A",""))="A","A",IF(OR(DATE($B$3,2,8)&gt;EOMONTH(DATE($B$3,2,1),0),NETWORKDAYS.INTL(DATE($B$3,2,8),DATE($B$3,2,8),1,'Non-working days'!$A$6:$A$45)=0),"",IF(COUNTIFS('Leave log'!$A$7:$A$306,Employees!$A$35,'Leave log'!$B$7:$B$306,"&lt;="&amp;DATE($B$3,2,8),'Leave log'!$C$7:$C$306,"&gt;="&amp;DATE($B$3,2,8),'Leave log'!$F$7:$F$306,"Pending")&gt;0,"P",""))))</f>
        <v/>
      </c>
      <c r="J70" s="23" t="str">
        <f>IF(A70="","",IF(IF(OR(DATE($B$3,2,9)&gt;EOMONTH(DATE($B$3,2,1),0),NETWORKDAYS.INTL(DATE($B$3,2,9),DATE($B$3,2,9),1,'Non-working days'!$A$6:$A$45)=0),"",IF(COUNTIFS('Leave log'!$A$7:$A$306,Employees!$A$35,'Leave log'!$B$7:$B$306,"&lt;="&amp;DATE($B$3,2,9),'Leave log'!$C$7:$C$306,"&gt;="&amp;DATE($B$3,2,9),'Leave log'!$F$7:$F$306,"Approved")&gt;0,"A",""))="A","A",IF(OR(DATE($B$3,2,9)&gt;EOMONTH(DATE($B$3,2,1),0),NETWORKDAYS.INTL(DATE($B$3,2,9),DATE($B$3,2,9),1,'Non-working days'!$A$6:$A$45)=0),"",IF(COUNTIFS('Leave log'!$A$7:$A$306,Employees!$A$35,'Leave log'!$B$7:$B$306,"&lt;="&amp;DATE($B$3,2,9),'Leave log'!$C$7:$C$306,"&gt;="&amp;DATE($B$3,2,9),'Leave log'!$F$7:$F$306,"Pending")&gt;0,"P",""))))</f>
        <v/>
      </c>
      <c r="K70" s="23" t="str">
        <f>IF(A70="","",IF(IF(OR(DATE($B$3,2,10)&gt;EOMONTH(DATE($B$3,2,1),0),NETWORKDAYS.INTL(DATE($B$3,2,10),DATE($B$3,2,10),1,'Non-working days'!$A$6:$A$45)=0),"",IF(COUNTIFS('Leave log'!$A$7:$A$306,Employees!$A$35,'Leave log'!$B$7:$B$306,"&lt;="&amp;DATE($B$3,2,10),'Leave log'!$C$7:$C$306,"&gt;="&amp;DATE($B$3,2,10),'Leave log'!$F$7:$F$306,"Approved")&gt;0,"A",""))="A","A",IF(OR(DATE($B$3,2,10)&gt;EOMONTH(DATE($B$3,2,1),0),NETWORKDAYS.INTL(DATE($B$3,2,10),DATE($B$3,2,10),1,'Non-working days'!$A$6:$A$45)=0),"",IF(COUNTIFS('Leave log'!$A$7:$A$306,Employees!$A$35,'Leave log'!$B$7:$B$306,"&lt;="&amp;DATE($B$3,2,10),'Leave log'!$C$7:$C$306,"&gt;="&amp;DATE($B$3,2,10),'Leave log'!$F$7:$F$306,"Pending")&gt;0,"P",""))))</f>
        <v/>
      </c>
      <c r="L70" s="23" t="str">
        <f>IF(A70="","",IF(IF(OR(DATE($B$3,2,11)&gt;EOMONTH(DATE($B$3,2,1),0),NETWORKDAYS.INTL(DATE($B$3,2,11),DATE($B$3,2,11),1,'Non-working days'!$A$6:$A$45)=0),"",IF(COUNTIFS('Leave log'!$A$7:$A$306,Employees!$A$35,'Leave log'!$B$7:$B$306,"&lt;="&amp;DATE($B$3,2,11),'Leave log'!$C$7:$C$306,"&gt;="&amp;DATE($B$3,2,11),'Leave log'!$F$7:$F$306,"Approved")&gt;0,"A",""))="A","A",IF(OR(DATE($B$3,2,11)&gt;EOMONTH(DATE($B$3,2,1),0),NETWORKDAYS.INTL(DATE($B$3,2,11),DATE($B$3,2,11),1,'Non-working days'!$A$6:$A$45)=0),"",IF(COUNTIFS('Leave log'!$A$7:$A$306,Employees!$A$35,'Leave log'!$B$7:$B$306,"&lt;="&amp;DATE($B$3,2,11),'Leave log'!$C$7:$C$306,"&gt;="&amp;DATE($B$3,2,11),'Leave log'!$F$7:$F$306,"Pending")&gt;0,"P",""))))</f>
        <v/>
      </c>
      <c r="M70" s="23" t="str">
        <f>IF(A70="","",IF(IF(OR(DATE($B$3,2,12)&gt;EOMONTH(DATE($B$3,2,1),0),NETWORKDAYS.INTL(DATE($B$3,2,12),DATE($B$3,2,12),1,'Non-working days'!$A$6:$A$45)=0),"",IF(COUNTIFS('Leave log'!$A$7:$A$306,Employees!$A$35,'Leave log'!$B$7:$B$306,"&lt;="&amp;DATE($B$3,2,12),'Leave log'!$C$7:$C$306,"&gt;="&amp;DATE($B$3,2,12),'Leave log'!$F$7:$F$306,"Approved")&gt;0,"A",""))="A","A",IF(OR(DATE($B$3,2,12)&gt;EOMONTH(DATE($B$3,2,1),0),NETWORKDAYS.INTL(DATE($B$3,2,12),DATE($B$3,2,12),1,'Non-working days'!$A$6:$A$45)=0),"",IF(COUNTIFS('Leave log'!$A$7:$A$306,Employees!$A$35,'Leave log'!$B$7:$B$306,"&lt;="&amp;DATE($B$3,2,12),'Leave log'!$C$7:$C$306,"&gt;="&amp;DATE($B$3,2,12),'Leave log'!$F$7:$F$306,"Pending")&gt;0,"P",""))))</f>
        <v/>
      </c>
      <c r="N70" s="23" t="str">
        <f>IF(A70="","",IF(IF(OR(DATE($B$3,2,13)&gt;EOMONTH(DATE($B$3,2,1),0),NETWORKDAYS.INTL(DATE($B$3,2,13),DATE($B$3,2,13),1,'Non-working days'!$A$6:$A$45)=0),"",IF(COUNTIFS('Leave log'!$A$7:$A$306,Employees!$A$35,'Leave log'!$B$7:$B$306,"&lt;="&amp;DATE($B$3,2,13),'Leave log'!$C$7:$C$306,"&gt;="&amp;DATE($B$3,2,13),'Leave log'!$F$7:$F$306,"Approved")&gt;0,"A",""))="A","A",IF(OR(DATE($B$3,2,13)&gt;EOMONTH(DATE($B$3,2,1),0),NETWORKDAYS.INTL(DATE($B$3,2,13),DATE($B$3,2,13),1,'Non-working days'!$A$6:$A$45)=0),"",IF(COUNTIFS('Leave log'!$A$7:$A$306,Employees!$A$35,'Leave log'!$B$7:$B$306,"&lt;="&amp;DATE($B$3,2,13),'Leave log'!$C$7:$C$306,"&gt;="&amp;DATE($B$3,2,13),'Leave log'!$F$7:$F$306,"Pending")&gt;0,"P",""))))</f>
        <v/>
      </c>
      <c r="O70" s="23" t="str">
        <f>IF(A70="","",IF(IF(OR(DATE($B$3,2,14)&gt;EOMONTH(DATE($B$3,2,1),0),NETWORKDAYS.INTL(DATE($B$3,2,14),DATE($B$3,2,14),1,'Non-working days'!$A$6:$A$45)=0),"",IF(COUNTIFS('Leave log'!$A$7:$A$306,Employees!$A$35,'Leave log'!$B$7:$B$306,"&lt;="&amp;DATE($B$3,2,14),'Leave log'!$C$7:$C$306,"&gt;="&amp;DATE($B$3,2,14),'Leave log'!$F$7:$F$306,"Approved")&gt;0,"A",""))="A","A",IF(OR(DATE($B$3,2,14)&gt;EOMONTH(DATE($B$3,2,1),0),NETWORKDAYS.INTL(DATE($B$3,2,14),DATE($B$3,2,14),1,'Non-working days'!$A$6:$A$45)=0),"",IF(COUNTIFS('Leave log'!$A$7:$A$306,Employees!$A$35,'Leave log'!$B$7:$B$306,"&lt;="&amp;DATE($B$3,2,14),'Leave log'!$C$7:$C$306,"&gt;="&amp;DATE($B$3,2,14),'Leave log'!$F$7:$F$306,"Pending")&gt;0,"P",""))))</f>
        <v/>
      </c>
      <c r="P70" s="23" t="str">
        <f>IF(A70="","",IF(IF(OR(DATE($B$3,2,15)&gt;EOMONTH(DATE($B$3,2,1),0),NETWORKDAYS.INTL(DATE($B$3,2,15),DATE($B$3,2,15),1,'Non-working days'!$A$6:$A$45)=0),"",IF(COUNTIFS('Leave log'!$A$7:$A$306,Employees!$A$35,'Leave log'!$B$7:$B$306,"&lt;="&amp;DATE($B$3,2,15),'Leave log'!$C$7:$C$306,"&gt;="&amp;DATE($B$3,2,15),'Leave log'!$F$7:$F$306,"Approved")&gt;0,"A",""))="A","A",IF(OR(DATE($B$3,2,15)&gt;EOMONTH(DATE($B$3,2,1),0),NETWORKDAYS.INTL(DATE($B$3,2,15),DATE($B$3,2,15),1,'Non-working days'!$A$6:$A$45)=0),"",IF(COUNTIFS('Leave log'!$A$7:$A$306,Employees!$A$35,'Leave log'!$B$7:$B$306,"&lt;="&amp;DATE($B$3,2,15),'Leave log'!$C$7:$C$306,"&gt;="&amp;DATE($B$3,2,15),'Leave log'!$F$7:$F$306,"Pending")&gt;0,"P",""))))</f>
        <v/>
      </c>
      <c r="Q70" s="23" t="str">
        <f>IF(A70="","",IF(IF(OR(DATE($B$3,2,16)&gt;EOMONTH(DATE($B$3,2,1),0),NETWORKDAYS.INTL(DATE($B$3,2,16),DATE($B$3,2,16),1,'Non-working days'!$A$6:$A$45)=0),"",IF(COUNTIFS('Leave log'!$A$7:$A$306,Employees!$A$35,'Leave log'!$B$7:$B$306,"&lt;="&amp;DATE($B$3,2,16),'Leave log'!$C$7:$C$306,"&gt;="&amp;DATE($B$3,2,16),'Leave log'!$F$7:$F$306,"Approved")&gt;0,"A",""))="A","A",IF(OR(DATE($B$3,2,16)&gt;EOMONTH(DATE($B$3,2,1),0),NETWORKDAYS.INTL(DATE($B$3,2,16),DATE($B$3,2,16),1,'Non-working days'!$A$6:$A$45)=0),"",IF(COUNTIFS('Leave log'!$A$7:$A$306,Employees!$A$35,'Leave log'!$B$7:$B$306,"&lt;="&amp;DATE($B$3,2,16),'Leave log'!$C$7:$C$306,"&gt;="&amp;DATE($B$3,2,16),'Leave log'!$F$7:$F$306,"Pending")&gt;0,"P",""))))</f>
        <v/>
      </c>
      <c r="R70" s="23" t="str">
        <f>IF(A70="","",IF(IF(OR(DATE($B$3,2,17)&gt;EOMONTH(DATE($B$3,2,1),0),NETWORKDAYS.INTL(DATE($B$3,2,17),DATE($B$3,2,17),1,'Non-working days'!$A$6:$A$45)=0),"",IF(COUNTIFS('Leave log'!$A$7:$A$306,Employees!$A$35,'Leave log'!$B$7:$B$306,"&lt;="&amp;DATE($B$3,2,17),'Leave log'!$C$7:$C$306,"&gt;="&amp;DATE($B$3,2,17),'Leave log'!$F$7:$F$306,"Approved")&gt;0,"A",""))="A","A",IF(OR(DATE($B$3,2,17)&gt;EOMONTH(DATE($B$3,2,1),0),NETWORKDAYS.INTL(DATE($B$3,2,17),DATE($B$3,2,17),1,'Non-working days'!$A$6:$A$45)=0),"",IF(COUNTIFS('Leave log'!$A$7:$A$306,Employees!$A$35,'Leave log'!$B$7:$B$306,"&lt;="&amp;DATE($B$3,2,17),'Leave log'!$C$7:$C$306,"&gt;="&amp;DATE($B$3,2,17),'Leave log'!$F$7:$F$306,"Pending")&gt;0,"P",""))))</f>
        <v/>
      </c>
      <c r="S70" s="23" t="str">
        <f>IF(A70="","",IF(IF(OR(DATE($B$3,2,18)&gt;EOMONTH(DATE($B$3,2,1),0),NETWORKDAYS.INTL(DATE($B$3,2,18),DATE($B$3,2,18),1,'Non-working days'!$A$6:$A$45)=0),"",IF(COUNTIFS('Leave log'!$A$7:$A$306,Employees!$A$35,'Leave log'!$B$7:$B$306,"&lt;="&amp;DATE($B$3,2,18),'Leave log'!$C$7:$C$306,"&gt;="&amp;DATE($B$3,2,18),'Leave log'!$F$7:$F$306,"Approved")&gt;0,"A",""))="A","A",IF(OR(DATE($B$3,2,18)&gt;EOMONTH(DATE($B$3,2,1),0),NETWORKDAYS.INTL(DATE($B$3,2,18),DATE($B$3,2,18),1,'Non-working days'!$A$6:$A$45)=0),"",IF(COUNTIFS('Leave log'!$A$7:$A$306,Employees!$A$35,'Leave log'!$B$7:$B$306,"&lt;="&amp;DATE($B$3,2,18),'Leave log'!$C$7:$C$306,"&gt;="&amp;DATE($B$3,2,18),'Leave log'!$F$7:$F$306,"Pending")&gt;0,"P",""))))</f>
        <v/>
      </c>
      <c r="T70" s="23" t="str">
        <f>IF(A70="","",IF(IF(OR(DATE($B$3,2,19)&gt;EOMONTH(DATE($B$3,2,1),0),NETWORKDAYS.INTL(DATE($B$3,2,19),DATE($B$3,2,19),1,'Non-working days'!$A$6:$A$45)=0),"",IF(COUNTIFS('Leave log'!$A$7:$A$306,Employees!$A$35,'Leave log'!$B$7:$B$306,"&lt;="&amp;DATE($B$3,2,19),'Leave log'!$C$7:$C$306,"&gt;="&amp;DATE($B$3,2,19),'Leave log'!$F$7:$F$306,"Approved")&gt;0,"A",""))="A","A",IF(OR(DATE($B$3,2,19)&gt;EOMONTH(DATE($B$3,2,1),0),NETWORKDAYS.INTL(DATE($B$3,2,19),DATE($B$3,2,19),1,'Non-working days'!$A$6:$A$45)=0),"",IF(COUNTIFS('Leave log'!$A$7:$A$306,Employees!$A$35,'Leave log'!$B$7:$B$306,"&lt;="&amp;DATE($B$3,2,19),'Leave log'!$C$7:$C$306,"&gt;="&amp;DATE($B$3,2,19),'Leave log'!$F$7:$F$306,"Pending")&gt;0,"P",""))))</f>
        <v/>
      </c>
      <c r="U70" s="23" t="str">
        <f>IF(A70="","",IF(IF(OR(DATE($B$3,2,20)&gt;EOMONTH(DATE($B$3,2,1),0),NETWORKDAYS.INTL(DATE($B$3,2,20),DATE($B$3,2,20),1,'Non-working days'!$A$6:$A$45)=0),"",IF(COUNTIFS('Leave log'!$A$7:$A$306,Employees!$A$35,'Leave log'!$B$7:$B$306,"&lt;="&amp;DATE($B$3,2,20),'Leave log'!$C$7:$C$306,"&gt;="&amp;DATE($B$3,2,20),'Leave log'!$F$7:$F$306,"Approved")&gt;0,"A",""))="A","A",IF(OR(DATE($B$3,2,20)&gt;EOMONTH(DATE($B$3,2,1),0),NETWORKDAYS.INTL(DATE($B$3,2,20),DATE($B$3,2,20),1,'Non-working days'!$A$6:$A$45)=0),"",IF(COUNTIFS('Leave log'!$A$7:$A$306,Employees!$A$35,'Leave log'!$B$7:$B$306,"&lt;="&amp;DATE($B$3,2,20),'Leave log'!$C$7:$C$306,"&gt;="&amp;DATE($B$3,2,20),'Leave log'!$F$7:$F$306,"Pending")&gt;0,"P",""))))</f>
        <v/>
      </c>
      <c r="V70" s="23" t="str">
        <f>IF(A70="","",IF(IF(OR(DATE($B$3,2,21)&gt;EOMONTH(DATE($B$3,2,1),0),NETWORKDAYS.INTL(DATE($B$3,2,21),DATE($B$3,2,21),1,'Non-working days'!$A$6:$A$45)=0),"",IF(COUNTIFS('Leave log'!$A$7:$A$306,Employees!$A$35,'Leave log'!$B$7:$B$306,"&lt;="&amp;DATE($B$3,2,21),'Leave log'!$C$7:$C$306,"&gt;="&amp;DATE($B$3,2,21),'Leave log'!$F$7:$F$306,"Approved")&gt;0,"A",""))="A","A",IF(OR(DATE($B$3,2,21)&gt;EOMONTH(DATE($B$3,2,1),0),NETWORKDAYS.INTL(DATE($B$3,2,21),DATE($B$3,2,21),1,'Non-working days'!$A$6:$A$45)=0),"",IF(COUNTIFS('Leave log'!$A$7:$A$306,Employees!$A$35,'Leave log'!$B$7:$B$306,"&lt;="&amp;DATE($B$3,2,21),'Leave log'!$C$7:$C$306,"&gt;="&amp;DATE($B$3,2,21),'Leave log'!$F$7:$F$306,"Pending")&gt;0,"P",""))))</f>
        <v/>
      </c>
      <c r="W70" s="23" t="str">
        <f>IF(A70="","",IF(IF(OR(DATE($B$3,2,22)&gt;EOMONTH(DATE($B$3,2,1),0),NETWORKDAYS.INTL(DATE($B$3,2,22),DATE($B$3,2,22),1,'Non-working days'!$A$6:$A$45)=0),"",IF(COUNTIFS('Leave log'!$A$7:$A$306,Employees!$A$35,'Leave log'!$B$7:$B$306,"&lt;="&amp;DATE($B$3,2,22),'Leave log'!$C$7:$C$306,"&gt;="&amp;DATE($B$3,2,22),'Leave log'!$F$7:$F$306,"Approved")&gt;0,"A",""))="A","A",IF(OR(DATE($B$3,2,22)&gt;EOMONTH(DATE($B$3,2,1),0),NETWORKDAYS.INTL(DATE($B$3,2,22),DATE($B$3,2,22),1,'Non-working days'!$A$6:$A$45)=0),"",IF(COUNTIFS('Leave log'!$A$7:$A$306,Employees!$A$35,'Leave log'!$B$7:$B$306,"&lt;="&amp;DATE($B$3,2,22),'Leave log'!$C$7:$C$306,"&gt;="&amp;DATE($B$3,2,22),'Leave log'!$F$7:$F$306,"Pending")&gt;0,"P",""))))</f>
        <v/>
      </c>
      <c r="X70" s="23" t="str">
        <f>IF(A70="","",IF(IF(OR(DATE($B$3,2,23)&gt;EOMONTH(DATE($B$3,2,1),0),NETWORKDAYS.INTL(DATE($B$3,2,23),DATE($B$3,2,23),1,'Non-working days'!$A$6:$A$45)=0),"",IF(COUNTIFS('Leave log'!$A$7:$A$306,Employees!$A$35,'Leave log'!$B$7:$B$306,"&lt;="&amp;DATE($B$3,2,23),'Leave log'!$C$7:$C$306,"&gt;="&amp;DATE($B$3,2,23),'Leave log'!$F$7:$F$306,"Approved")&gt;0,"A",""))="A","A",IF(OR(DATE($B$3,2,23)&gt;EOMONTH(DATE($B$3,2,1),0),NETWORKDAYS.INTL(DATE($B$3,2,23),DATE($B$3,2,23),1,'Non-working days'!$A$6:$A$45)=0),"",IF(COUNTIFS('Leave log'!$A$7:$A$306,Employees!$A$35,'Leave log'!$B$7:$B$306,"&lt;="&amp;DATE($B$3,2,23),'Leave log'!$C$7:$C$306,"&gt;="&amp;DATE($B$3,2,23),'Leave log'!$F$7:$F$306,"Pending")&gt;0,"P",""))))</f>
        <v/>
      </c>
      <c r="Y70" s="23" t="str">
        <f>IF(A70="","",IF(IF(OR(DATE($B$3,2,24)&gt;EOMONTH(DATE($B$3,2,1),0),NETWORKDAYS.INTL(DATE($B$3,2,24),DATE($B$3,2,24),1,'Non-working days'!$A$6:$A$45)=0),"",IF(COUNTIFS('Leave log'!$A$7:$A$306,Employees!$A$35,'Leave log'!$B$7:$B$306,"&lt;="&amp;DATE($B$3,2,24),'Leave log'!$C$7:$C$306,"&gt;="&amp;DATE($B$3,2,24),'Leave log'!$F$7:$F$306,"Approved")&gt;0,"A",""))="A","A",IF(OR(DATE($B$3,2,24)&gt;EOMONTH(DATE($B$3,2,1),0),NETWORKDAYS.INTL(DATE($B$3,2,24),DATE($B$3,2,24),1,'Non-working days'!$A$6:$A$45)=0),"",IF(COUNTIFS('Leave log'!$A$7:$A$306,Employees!$A$35,'Leave log'!$B$7:$B$306,"&lt;="&amp;DATE($B$3,2,24),'Leave log'!$C$7:$C$306,"&gt;="&amp;DATE($B$3,2,24),'Leave log'!$F$7:$F$306,"Pending")&gt;0,"P",""))))</f>
        <v/>
      </c>
      <c r="Z70" s="23" t="str">
        <f>IF(A70="","",IF(IF(OR(DATE($B$3,2,25)&gt;EOMONTH(DATE($B$3,2,1),0),NETWORKDAYS.INTL(DATE($B$3,2,25),DATE($B$3,2,25),1,'Non-working days'!$A$6:$A$45)=0),"",IF(COUNTIFS('Leave log'!$A$7:$A$306,Employees!$A$35,'Leave log'!$B$7:$B$306,"&lt;="&amp;DATE($B$3,2,25),'Leave log'!$C$7:$C$306,"&gt;="&amp;DATE($B$3,2,25),'Leave log'!$F$7:$F$306,"Approved")&gt;0,"A",""))="A","A",IF(OR(DATE($B$3,2,25)&gt;EOMONTH(DATE($B$3,2,1),0),NETWORKDAYS.INTL(DATE($B$3,2,25),DATE($B$3,2,25),1,'Non-working days'!$A$6:$A$45)=0),"",IF(COUNTIFS('Leave log'!$A$7:$A$306,Employees!$A$35,'Leave log'!$B$7:$B$306,"&lt;="&amp;DATE($B$3,2,25),'Leave log'!$C$7:$C$306,"&gt;="&amp;DATE($B$3,2,25),'Leave log'!$F$7:$F$306,"Pending")&gt;0,"P",""))))</f>
        <v/>
      </c>
      <c r="AA70" s="23" t="str">
        <f>IF(A70="","",IF(IF(OR(DATE($B$3,2,26)&gt;EOMONTH(DATE($B$3,2,1),0),NETWORKDAYS.INTL(DATE($B$3,2,26),DATE($B$3,2,26),1,'Non-working days'!$A$6:$A$45)=0),"",IF(COUNTIFS('Leave log'!$A$7:$A$306,Employees!$A$35,'Leave log'!$B$7:$B$306,"&lt;="&amp;DATE($B$3,2,26),'Leave log'!$C$7:$C$306,"&gt;="&amp;DATE($B$3,2,26),'Leave log'!$F$7:$F$306,"Approved")&gt;0,"A",""))="A","A",IF(OR(DATE($B$3,2,26)&gt;EOMONTH(DATE($B$3,2,1),0),NETWORKDAYS.INTL(DATE($B$3,2,26),DATE($B$3,2,26),1,'Non-working days'!$A$6:$A$45)=0),"",IF(COUNTIFS('Leave log'!$A$7:$A$306,Employees!$A$35,'Leave log'!$B$7:$B$306,"&lt;="&amp;DATE($B$3,2,26),'Leave log'!$C$7:$C$306,"&gt;="&amp;DATE($B$3,2,26),'Leave log'!$F$7:$F$306,"Pending")&gt;0,"P",""))))</f>
        <v/>
      </c>
      <c r="AB70" s="23" t="str">
        <f>IF(A70="","",IF(IF(OR(DATE($B$3,2,27)&gt;EOMONTH(DATE($B$3,2,1),0),NETWORKDAYS.INTL(DATE($B$3,2,27),DATE($B$3,2,27),1,'Non-working days'!$A$6:$A$45)=0),"",IF(COUNTIFS('Leave log'!$A$7:$A$306,Employees!$A$35,'Leave log'!$B$7:$B$306,"&lt;="&amp;DATE($B$3,2,27),'Leave log'!$C$7:$C$306,"&gt;="&amp;DATE($B$3,2,27),'Leave log'!$F$7:$F$306,"Approved")&gt;0,"A",""))="A","A",IF(OR(DATE($B$3,2,27)&gt;EOMONTH(DATE($B$3,2,1),0),NETWORKDAYS.INTL(DATE($B$3,2,27),DATE($B$3,2,27),1,'Non-working days'!$A$6:$A$45)=0),"",IF(COUNTIFS('Leave log'!$A$7:$A$306,Employees!$A$35,'Leave log'!$B$7:$B$306,"&lt;="&amp;DATE($B$3,2,27),'Leave log'!$C$7:$C$306,"&gt;="&amp;DATE($B$3,2,27),'Leave log'!$F$7:$F$306,"Pending")&gt;0,"P",""))))</f>
        <v/>
      </c>
      <c r="AC70" s="23" t="str">
        <f>IF(A70="","",IF(IF(OR(DATE($B$3,2,28)&gt;EOMONTH(DATE($B$3,2,1),0),NETWORKDAYS.INTL(DATE($B$3,2,28),DATE($B$3,2,28),1,'Non-working days'!$A$6:$A$45)=0),"",IF(COUNTIFS('Leave log'!$A$7:$A$306,Employees!$A$35,'Leave log'!$B$7:$B$306,"&lt;="&amp;DATE($B$3,2,28),'Leave log'!$C$7:$C$306,"&gt;="&amp;DATE($B$3,2,28),'Leave log'!$F$7:$F$306,"Approved")&gt;0,"A",""))="A","A",IF(OR(DATE($B$3,2,28)&gt;EOMONTH(DATE($B$3,2,1),0),NETWORKDAYS.INTL(DATE($B$3,2,28),DATE($B$3,2,28),1,'Non-working days'!$A$6:$A$45)=0),"",IF(COUNTIFS('Leave log'!$A$7:$A$306,Employees!$A$35,'Leave log'!$B$7:$B$306,"&lt;="&amp;DATE($B$3,2,28),'Leave log'!$C$7:$C$306,"&gt;="&amp;DATE($B$3,2,28),'Leave log'!$F$7:$F$306,"Pending")&gt;0,"P",""))))</f>
        <v/>
      </c>
      <c r="AD70" s="23" t="str">
        <f>IF(A70="","",IF(IF(OR(DATE($B$3,2,29)&gt;EOMONTH(DATE($B$3,2,1),0),NETWORKDAYS.INTL(DATE($B$3,2,29),DATE($B$3,2,29),1,'Non-working days'!$A$6:$A$45)=0),"",IF(COUNTIFS('Leave log'!$A$7:$A$306,Employees!$A$35,'Leave log'!$B$7:$B$306,"&lt;="&amp;DATE($B$3,2,29),'Leave log'!$C$7:$C$306,"&gt;="&amp;DATE($B$3,2,29),'Leave log'!$F$7:$F$306,"Approved")&gt;0,"A",""))="A","A",IF(OR(DATE($B$3,2,29)&gt;EOMONTH(DATE($B$3,2,1),0),NETWORKDAYS.INTL(DATE($B$3,2,29),DATE($B$3,2,29),1,'Non-working days'!$A$6:$A$45)=0),"",IF(COUNTIFS('Leave log'!$A$7:$A$306,Employees!$A$35,'Leave log'!$B$7:$B$306,"&lt;="&amp;DATE($B$3,2,29),'Leave log'!$C$7:$C$306,"&gt;="&amp;DATE($B$3,2,29),'Leave log'!$F$7:$F$306,"Pending")&gt;0,"P",""))))</f>
        <v/>
      </c>
      <c r="AE70" s="23" t="str">
        <f>IF(A70="","",IF(IF(OR(DATE($B$3,2,30)&gt;EOMONTH(DATE($B$3,2,1),0),NETWORKDAYS.INTL(DATE($B$3,2,30),DATE($B$3,2,30),1,'Non-working days'!$A$6:$A$45)=0),"",IF(COUNTIFS('Leave log'!$A$7:$A$306,Employees!$A$35,'Leave log'!$B$7:$B$306,"&lt;="&amp;DATE($B$3,2,30),'Leave log'!$C$7:$C$306,"&gt;="&amp;DATE($B$3,2,30),'Leave log'!$F$7:$F$306,"Approved")&gt;0,"A",""))="A","A",IF(OR(DATE($B$3,2,30)&gt;EOMONTH(DATE($B$3,2,1),0),NETWORKDAYS.INTL(DATE($B$3,2,30),DATE($B$3,2,30),1,'Non-working days'!$A$6:$A$45)=0),"",IF(COUNTIFS('Leave log'!$A$7:$A$306,Employees!$A$35,'Leave log'!$B$7:$B$306,"&lt;="&amp;DATE($B$3,2,30),'Leave log'!$C$7:$C$306,"&gt;="&amp;DATE($B$3,2,30),'Leave log'!$F$7:$F$306,"Pending")&gt;0,"P",""))))</f>
        <v/>
      </c>
      <c r="AF70" s="23" t="str">
        <f>IF(A70="","",IF(IF(OR(DATE($B$3,2,31)&gt;EOMONTH(DATE($B$3,2,1),0),NETWORKDAYS.INTL(DATE($B$3,2,31),DATE($B$3,2,31),1,'Non-working days'!$A$6:$A$45)=0),"",IF(COUNTIFS('Leave log'!$A$7:$A$306,Employees!$A$35,'Leave log'!$B$7:$B$306,"&lt;="&amp;DATE($B$3,2,31),'Leave log'!$C$7:$C$306,"&gt;="&amp;DATE($B$3,2,31),'Leave log'!$F$7:$F$306,"Approved")&gt;0,"A",""))="A","A",IF(OR(DATE($B$3,2,31)&gt;EOMONTH(DATE($B$3,2,1),0),NETWORKDAYS.INTL(DATE($B$3,2,31),DATE($B$3,2,31),1,'Non-working days'!$A$6:$A$45)=0),"",IF(COUNTIFS('Leave log'!$A$7:$A$306,Employees!$A$35,'Leave log'!$B$7:$B$306,"&lt;="&amp;DATE($B$3,2,31),'Leave log'!$C$7:$C$306,"&gt;="&amp;DATE($B$3,2,31),'Leave log'!$F$7:$F$306,"Pending")&gt;0,"P",""))))</f>
        <v/>
      </c>
    </row>
    <row r="73" spans="1:32" ht="15.6" x14ac:dyDescent="0.3">
      <c r="A73" s="31" t="s">
        <v>77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row>
    <row r="74" spans="1:32" x14ac:dyDescent="0.3">
      <c r="A74" s="20" t="s">
        <v>75</v>
      </c>
      <c r="B74" s="21">
        <v>1</v>
      </c>
      <c r="C74" s="21">
        <v>2</v>
      </c>
      <c r="D74" s="21">
        <v>3</v>
      </c>
      <c r="E74" s="21">
        <v>4</v>
      </c>
      <c r="F74" s="21">
        <v>5</v>
      </c>
      <c r="G74" s="21">
        <v>6</v>
      </c>
      <c r="H74" s="21">
        <v>7</v>
      </c>
      <c r="I74" s="21">
        <v>8</v>
      </c>
      <c r="J74" s="21">
        <v>9</v>
      </c>
      <c r="K74" s="21">
        <v>10</v>
      </c>
      <c r="L74" s="21">
        <v>11</v>
      </c>
      <c r="M74" s="21">
        <v>12</v>
      </c>
      <c r="N74" s="21">
        <v>13</v>
      </c>
      <c r="O74" s="21">
        <v>14</v>
      </c>
      <c r="P74" s="21">
        <v>15</v>
      </c>
      <c r="Q74" s="21">
        <v>16</v>
      </c>
      <c r="R74" s="21">
        <v>17</v>
      </c>
      <c r="S74" s="21">
        <v>18</v>
      </c>
      <c r="T74" s="21">
        <v>19</v>
      </c>
      <c r="U74" s="21">
        <v>20</v>
      </c>
      <c r="V74" s="21">
        <v>21</v>
      </c>
      <c r="W74" s="21">
        <v>22</v>
      </c>
      <c r="X74" s="21">
        <v>23</v>
      </c>
      <c r="Y74" s="21">
        <v>24</v>
      </c>
      <c r="Z74" s="21">
        <v>25</v>
      </c>
      <c r="AA74" s="21">
        <v>26</v>
      </c>
      <c r="AB74" s="21">
        <v>27</v>
      </c>
      <c r="AC74" s="21">
        <v>28</v>
      </c>
      <c r="AD74" s="21">
        <v>29</v>
      </c>
      <c r="AE74" s="21">
        <v>30</v>
      </c>
      <c r="AF74" s="21">
        <v>31</v>
      </c>
    </row>
    <row r="75" spans="1:32" ht="18" customHeight="1" x14ac:dyDescent="0.3">
      <c r="A75" s="22" t="str">
        <f>IF(Employees!F6="Yes",Employees!B6,"")</f>
        <v>Alex Morgan</v>
      </c>
      <c r="B75" s="23" t="str">
        <f>IF(A75="","",IF(IF(OR(DATE($B$3,3,1)&gt;EOMONTH(DATE($B$3,3,1),0),NETWORKDAYS.INTL(DATE($B$3,3,1),DATE($B$3,3,1),1,'Non-working days'!$A$6:$A$45)=0),"",IF(COUNTIFS('Leave log'!$A$7:$A$306,Employees!$A$6,'Leave log'!$B$7:$B$306,"&lt;="&amp;DATE($B$3,3,1),'Leave log'!$C$7:$C$306,"&gt;="&amp;DATE($B$3,3,1),'Leave log'!$F$7:$F$306,"Approved")&gt;0,"A",""))="A","A",IF(OR(DATE($B$3,3,1)&gt;EOMONTH(DATE($B$3,3,1),0),NETWORKDAYS.INTL(DATE($B$3,3,1),DATE($B$3,3,1),1,'Non-working days'!$A$6:$A$45)=0),"",IF(COUNTIFS('Leave log'!$A$7:$A$306,Employees!$A$6,'Leave log'!$B$7:$B$306,"&lt;="&amp;DATE($B$3,3,1),'Leave log'!$C$7:$C$306,"&gt;="&amp;DATE($B$3,3,1),'Leave log'!$F$7:$F$306,"Pending")&gt;0,"P",""))))</f>
        <v/>
      </c>
      <c r="C75" s="23" t="str">
        <f>IF(A75="","",IF(IF(OR(DATE($B$3,3,2)&gt;EOMONTH(DATE($B$3,3,1),0),NETWORKDAYS.INTL(DATE($B$3,3,2),DATE($B$3,3,2),1,'Non-working days'!$A$6:$A$45)=0),"",IF(COUNTIFS('Leave log'!$A$7:$A$306,Employees!$A$6,'Leave log'!$B$7:$B$306,"&lt;="&amp;DATE($B$3,3,2),'Leave log'!$C$7:$C$306,"&gt;="&amp;DATE($B$3,3,2),'Leave log'!$F$7:$F$306,"Approved")&gt;0,"A",""))="A","A",IF(OR(DATE($B$3,3,2)&gt;EOMONTH(DATE($B$3,3,1),0),NETWORKDAYS.INTL(DATE($B$3,3,2),DATE($B$3,3,2),1,'Non-working days'!$A$6:$A$45)=0),"",IF(COUNTIFS('Leave log'!$A$7:$A$306,Employees!$A$6,'Leave log'!$B$7:$B$306,"&lt;="&amp;DATE($B$3,3,2),'Leave log'!$C$7:$C$306,"&gt;="&amp;DATE($B$3,3,2),'Leave log'!$F$7:$F$306,"Pending")&gt;0,"P",""))))</f>
        <v/>
      </c>
      <c r="D75" s="23" t="str">
        <f>IF(A75="","",IF(IF(OR(DATE($B$3,3,3)&gt;EOMONTH(DATE($B$3,3,1),0),NETWORKDAYS.INTL(DATE($B$3,3,3),DATE($B$3,3,3),1,'Non-working days'!$A$6:$A$45)=0),"",IF(COUNTIFS('Leave log'!$A$7:$A$306,Employees!$A$6,'Leave log'!$B$7:$B$306,"&lt;="&amp;DATE($B$3,3,3),'Leave log'!$C$7:$C$306,"&gt;="&amp;DATE($B$3,3,3),'Leave log'!$F$7:$F$306,"Approved")&gt;0,"A",""))="A","A",IF(OR(DATE($B$3,3,3)&gt;EOMONTH(DATE($B$3,3,1),0),NETWORKDAYS.INTL(DATE($B$3,3,3),DATE($B$3,3,3),1,'Non-working days'!$A$6:$A$45)=0),"",IF(COUNTIFS('Leave log'!$A$7:$A$306,Employees!$A$6,'Leave log'!$B$7:$B$306,"&lt;="&amp;DATE($B$3,3,3),'Leave log'!$C$7:$C$306,"&gt;="&amp;DATE($B$3,3,3),'Leave log'!$F$7:$F$306,"Pending")&gt;0,"P",""))))</f>
        <v/>
      </c>
      <c r="E75" s="23" t="str">
        <f>IF(A75="","",IF(IF(OR(DATE($B$3,3,4)&gt;EOMONTH(DATE($B$3,3,1),0),NETWORKDAYS.INTL(DATE($B$3,3,4),DATE($B$3,3,4),1,'Non-working days'!$A$6:$A$45)=0),"",IF(COUNTIFS('Leave log'!$A$7:$A$306,Employees!$A$6,'Leave log'!$B$7:$B$306,"&lt;="&amp;DATE($B$3,3,4),'Leave log'!$C$7:$C$306,"&gt;="&amp;DATE($B$3,3,4),'Leave log'!$F$7:$F$306,"Approved")&gt;0,"A",""))="A","A",IF(OR(DATE($B$3,3,4)&gt;EOMONTH(DATE($B$3,3,1),0),NETWORKDAYS.INTL(DATE($B$3,3,4),DATE($B$3,3,4),1,'Non-working days'!$A$6:$A$45)=0),"",IF(COUNTIFS('Leave log'!$A$7:$A$306,Employees!$A$6,'Leave log'!$B$7:$B$306,"&lt;="&amp;DATE($B$3,3,4),'Leave log'!$C$7:$C$306,"&gt;="&amp;DATE($B$3,3,4),'Leave log'!$F$7:$F$306,"Pending")&gt;0,"P",""))))</f>
        <v/>
      </c>
      <c r="F75" s="23" t="str">
        <f>IF(A75="","",IF(IF(OR(DATE($B$3,3,5)&gt;EOMONTH(DATE($B$3,3,1),0),NETWORKDAYS.INTL(DATE($B$3,3,5),DATE($B$3,3,5),1,'Non-working days'!$A$6:$A$45)=0),"",IF(COUNTIFS('Leave log'!$A$7:$A$306,Employees!$A$6,'Leave log'!$B$7:$B$306,"&lt;="&amp;DATE($B$3,3,5),'Leave log'!$C$7:$C$306,"&gt;="&amp;DATE($B$3,3,5),'Leave log'!$F$7:$F$306,"Approved")&gt;0,"A",""))="A","A",IF(OR(DATE($B$3,3,5)&gt;EOMONTH(DATE($B$3,3,1),0),NETWORKDAYS.INTL(DATE($B$3,3,5),DATE($B$3,3,5),1,'Non-working days'!$A$6:$A$45)=0),"",IF(COUNTIFS('Leave log'!$A$7:$A$306,Employees!$A$6,'Leave log'!$B$7:$B$306,"&lt;="&amp;DATE($B$3,3,5),'Leave log'!$C$7:$C$306,"&gt;="&amp;DATE($B$3,3,5),'Leave log'!$F$7:$F$306,"Pending")&gt;0,"P",""))))</f>
        <v/>
      </c>
      <c r="G75" s="23" t="str">
        <f>IF(A75="","",IF(IF(OR(DATE($B$3,3,6)&gt;EOMONTH(DATE($B$3,3,1),0),NETWORKDAYS.INTL(DATE($B$3,3,6),DATE($B$3,3,6),1,'Non-working days'!$A$6:$A$45)=0),"",IF(COUNTIFS('Leave log'!$A$7:$A$306,Employees!$A$6,'Leave log'!$B$7:$B$306,"&lt;="&amp;DATE($B$3,3,6),'Leave log'!$C$7:$C$306,"&gt;="&amp;DATE($B$3,3,6),'Leave log'!$F$7:$F$306,"Approved")&gt;0,"A",""))="A","A",IF(OR(DATE($B$3,3,6)&gt;EOMONTH(DATE($B$3,3,1),0),NETWORKDAYS.INTL(DATE($B$3,3,6),DATE($B$3,3,6),1,'Non-working days'!$A$6:$A$45)=0),"",IF(COUNTIFS('Leave log'!$A$7:$A$306,Employees!$A$6,'Leave log'!$B$7:$B$306,"&lt;="&amp;DATE($B$3,3,6),'Leave log'!$C$7:$C$306,"&gt;="&amp;DATE($B$3,3,6),'Leave log'!$F$7:$F$306,"Pending")&gt;0,"P",""))))</f>
        <v/>
      </c>
      <c r="H75" s="23" t="str">
        <f>IF(A75="","",IF(IF(OR(DATE($B$3,3,7)&gt;EOMONTH(DATE($B$3,3,1),0),NETWORKDAYS.INTL(DATE($B$3,3,7),DATE($B$3,3,7),1,'Non-working days'!$A$6:$A$45)=0),"",IF(COUNTIFS('Leave log'!$A$7:$A$306,Employees!$A$6,'Leave log'!$B$7:$B$306,"&lt;="&amp;DATE($B$3,3,7),'Leave log'!$C$7:$C$306,"&gt;="&amp;DATE($B$3,3,7),'Leave log'!$F$7:$F$306,"Approved")&gt;0,"A",""))="A","A",IF(OR(DATE($B$3,3,7)&gt;EOMONTH(DATE($B$3,3,1),0),NETWORKDAYS.INTL(DATE($B$3,3,7),DATE($B$3,3,7),1,'Non-working days'!$A$6:$A$45)=0),"",IF(COUNTIFS('Leave log'!$A$7:$A$306,Employees!$A$6,'Leave log'!$B$7:$B$306,"&lt;="&amp;DATE($B$3,3,7),'Leave log'!$C$7:$C$306,"&gt;="&amp;DATE($B$3,3,7),'Leave log'!$F$7:$F$306,"Pending")&gt;0,"P",""))))</f>
        <v/>
      </c>
      <c r="I75" s="23" t="str">
        <f>IF(A75="","",IF(IF(OR(DATE($B$3,3,8)&gt;EOMONTH(DATE($B$3,3,1),0),NETWORKDAYS.INTL(DATE($B$3,3,8),DATE($B$3,3,8),1,'Non-working days'!$A$6:$A$45)=0),"",IF(COUNTIFS('Leave log'!$A$7:$A$306,Employees!$A$6,'Leave log'!$B$7:$B$306,"&lt;="&amp;DATE($B$3,3,8),'Leave log'!$C$7:$C$306,"&gt;="&amp;DATE($B$3,3,8),'Leave log'!$F$7:$F$306,"Approved")&gt;0,"A",""))="A","A",IF(OR(DATE($B$3,3,8)&gt;EOMONTH(DATE($B$3,3,1),0),NETWORKDAYS.INTL(DATE($B$3,3,8),DATE($B$3,3,8),1,'Non-working days'!$A$6:$A$45)=0),"",IF(COUNTIFS('Leave log'!$A$7:$A$306,Employees!$A$6,'Leave log'!$B$7:$B$306,"&lt;="&amp;DATE($B$3,3,8),'Leave log'!$C$7:$C$306,"&gt;="&amp;DATE($B$3,3,8),'Leave log'!$F$7:$F$306,"Pending")&gt;0,"P",""))))</f>
        <v/>
      </c>
      <c r="J75" s="23" t="str">
        <f>IF(A75="","",IF(IF(OR(DATE($B$3,3,9)&gt;EOMONTH(DATE($B$3,3,1),0),NETWORKDAYS.INTL(DATE($B$3,3,9),DATE($B$3,3,9),1,'Non-working days'!$A$6:$A$45)=0),"",IF(COUNTIFS('Leave log'!$A$7:$A$306,Employees!$A$6,'Leave log'!$B$7:$B$306,"&lt;="&amp;DATE($B$3,3,9),'Leave log'!$C$7:$C$306,"&gt;="&amp;DATE($B$3,3,9),'Leave log'!$F$7:$F$306,"Approved")&gt;0,"A",""))="A","A",IF(OR(DATE($B$3,3,9)&gt;EOMONTH(DATE($B$3,3,1),0),NETWORKDAYS.INTL(DATE($B$3,3,9),DATE($B$3,3,9),1,'Non-working days'!$A$6:$A$45)=0),"",IF(COUNTIFS('Leave log'!$A$7:$A$306,Employees!$A$6,'Leave log'!$B$7:$B$306,"&lt;="&amp;DATE($B$3,3,9),'Leave log'!$C$7:$C$306,"&gt;="&amp;DATE($B$3,3,9),'Leave log'!$F$7:$F$306,"Pending")&gt;0,"P",""))))</f>
        <v/>
      </c>
      <c r="K75" s="23" t="str">
        <f>IF(A75="","",IF(IF(OR(DATE($B$3,3,10)&gt;EOMONTH(DATE($B$3,3,1),0),NETWORKDAYS.INTL(DATE($B$3,3,10),DATE($B$3,3,10),1,'Non-working days'!$A$6:$A$45)=0),"",IF(COUNTIFS('Leave log'!$A$7:$A$306,Employees!$A$6,'Leave log'!$B$7:$B$306,"&lt;="&amp;DATE($B$3,3,10),'Leave log'!$C$7:$C$306,"&gt;="&amp;DATE($B$3,3,10),'Leave log'!$F$7:$F$306,"Approved")&gt;0,"A",""))="A","A",IF(OR(DATE($B$3,3,10)&gt;EOMONTH(DATE($B$3,3,1),0),NETWORKDAYS.INTL(DATE($B$3,3,10),DATE($B$3,3,10),1,'Non-working days'!$A$6:$A$45)=0),"",IF(COUNTIFS('Leave log'!$A$7:$A$306,Employees!$A$6,'Leave log'!$B$7:$B$306,"&lt;="&amp;DATE($B$3,3,10),'Leave log'!$C$7:$C$306,"&gt;="&amp;DATE($B$3,3,10),'Leave log'!$F$7:$F$306,"Pending")&gt;0,"P",""))))</f>
        <v/>
      </c>
      <c r="L75" s="23" t="str">
        <f>IF(A75="","",IF(IF(OR(DATE($B$3,3,11)&gt;EOMONTH(DATE($B$3,3,1),0),NETWORKDAYS.INTL(DATE($B$3,3,11),DATE($B$3,3,11),1,'Non-working days'!$A$6:$A$45)=0),"",IF(COUNTIFS('Leave log'!$A$7:$A$306,Employees!$A$6,'Leave log'!$B$7:$B$306,"&lt;="&amp;DATE($B$3,3,11),'Leave log'!$C$7:$C$306,"&gt;="&amp;DATE($B$3,3,11),'Leave log'!$F$7:$F$306,"Approved")&gt;0,"A",""))="A","A",IF(OR(DATE($B$3,3,11)&gt;EOMONTH(DATE($B$3,3,1),0),NETWORKDAYS.INTL(DATE($B$3,3,11),DATE($B$3,3,11),1,'Non-working days'!$A$6:$A$45)=0),"",IF(COUNTIFS('Leave log'!$A$7:$A$306,Employees!$A$6,'Leave log'!$B$7:$B$306,"&lt;="&amp;DATE($B$3,3,11),'Leave log'!$C$7:$C$306,"&gt;="&amp;DATE($B$3,3,11),'Leave log'!$F$7:$F$306,"Pending")&gt;0,"P",""))))</f>
        <v/>
      </c>
      <c r="M75" s="23" t="str">
        <f>IF(A75="","",IF(IF(OR(DATE($B$3,3,12)&gt;EOMONTH(DATE($B$3,3,1),0),NETWORKDAYS.INTL(DATE($B$3,3,12),DATE($B$3,3,12),1,'Non-working days'!$A$6:$A$45)=0),"",IF(COUNTIFS('Leave log'!$A$7:$A$306,Employees!$A$6,'Leave log'!$B$7:$B$306,"&lt;="&amp;DATE($B$3,3,12),'Leave log'!$C$7:$C$306,"&gt;="&amp;DATE($B$3,3,12),'Leave log'!$F$7:$F$306,"Approved")&gt;0,"A",""))="A","A",IF(OR(DATE($B$3,3,12)&gt;EOMONTH(DATE($B$3,3,1),0),NETWORKDAYS.INTL(DATE($B$3,3,12),DATE($B$3,3,12),1,'Non-working days'!$A$6:$A$45)=0),"",IF(COUNTIFS('Leave log'!$A$7:$A$306,Employees!$A$6,'Leave log'!$B$7:$B$306,"&lt;="&amp;DATE($B$3,3,12),'Leave log'!$C$7:$C$306,"&gt;="&amp;DATE($B$3,3,12),'Leave log'!$F$7:$F$306,"Pending")&gt;0,"P",""))))</f>
        <v/>
      </c>
      <c r="N75" s="23" t="str">
        <f>IF(A75="","",IF(IF(OR(DATE($B$3,3,13)&gt;EOMONTH(DATE($B$3,3,1),0),NETWORKDAYS.INTL(DATE($B$3,3,13),DATE($B$3,3,13),1,'Non-working days'!$A$6:$A$45)=0),"",IF(COUNTIFS('Leave log'!$A$7:$A$306,Employees!$A$6,'Leave log'!$B$7:$B$306,"&lt;="&amp;DATE($B$3,3,13),'Leave log'!$C$7:$C$306,"&gt;="&amp;DATE($B$3,3,13),'Leave log'!$F$7:$F$306,"Approved")&gt;0,"A",""))="A","A",IF(OR(DATE($B$3,3,13)&gt;EOMONTH(DATE($B$3,3,1),0),NETWORKDAYS.INTL(DATE($B$3,3,13),DATE($B$3,3,13),1,'Non-working days'!$A$6:$A$45)=0),"",IF(COUNTIFS('Leave log'!$A$7:$A$306,Employees!$A$6,'Leave log'!$B$7:$B$306,"&lt;="&amp;DATE($B$3,3,13),'Leave log'!$C$7:$C$306,"&gt;="&amp;DATE($B$3,3,13),'Leave log'!$F$7:$F$306,"Pending")&gt;0,"P",""))))</f>
        <v/>
      </c>
      <c r="O75" s="23" t="str">
        <f>IF(A75="","",IF(IF(OR(DATE($B$3,3,14)&gt;EOMONTH(DATE($B$3,3,1),0),NETWORKDAYS.INTL(DATE($B$3,3,14),DATE($B$3,3,14),1,'Non-working days'!$A$6:$A$45)=0),"",IF(COUNTIFS('Leave log'!$A$7:$A$306,Employees!$A$6,'Leave log'!$B$7:$B$306,"&lt;="&amp;DATE($B$3,3,14),'Leave log'!$C$7:$C$306,"&gt;="&amp;DATE($B$3,3,14),'Leave log'!$F$7:$F$306,"Approved")&gt;0,"A",""))="A","A",IF(OR(DATE($B$3,3,14)&gt;EOMONTH(DATE($B$3,3,1),0),NETWORKDAYS.INTL(DATE($B$3,3,14),DATE($B$3,3,14),1,'Non-working days'!$A$6:$A$45)=0),"",IF(COUNTIFS('Leave log'!$A$7:$A$306,Employees!$A$6,'Leave log'!$B$7:$B$306,"&lt;="&amp;DATE($B$3,3,14),'Leave log'!$C$7:$C$306,"&gt;="&amp;DATE($B$3,3,14),'Leave log'!$F$7:$F$306,"Pending")&gt;0,"P",""))))</f>
        <v/>
      </c>
      <c r="P75" s="23" t="str">
        <f>IF(A75="","",IF(IF(OR(DATE($B$3,3,15)&gt;EOMONTH(DATE($B$3,3,1),0),NETWORKDAYS.INTL(DATE($B$3,3,15),DATE($B$3,3,15),1,'Non-working days'!$A$6:$A$45)=0),"",IF(COUNTIFS('Leave log'!$A$7:$A$306,Employees!$A$6,'Leave log'!$B$7:$B$306,"&lt;="&amp;DATE($B$3,3,15),'Leave log'!$C$7:$C$306,"&gt;="&amp;DATE($B$3,3,15),'Leave log'!$F$7:$F$306,"Approved")&gt;0,"A",""))="A","A",IF(OR(DATE($B$3,3,15)&gt;EOMONTH(DATE($B$3,3,1),0),NETWORKDAYS.INTL(DATE($B$3,3,15),DATE($B$3,3,15),1,'Non-working days'!$A$6:$A$45)=0),"",IF(COUNTIFS('Leave log'!$A$7:$A$306,Employees!$A$6,'Leave log'!$B$7:$B$306,"&lt;="&amp;DATE($B$3,3,15),'Leave log'!$C$7:$C$306,"&gt;="&amp;DATE($B$3,3,15),'Leave log'!$F$7:$F$306,"Pending")&gt;0,"P",""))))</f>
        <v/>
      </c>
      <c r="Q75" s="23" t="str">
        <f>IF(A75="","",IF(IF(OR(DATE($B$3,3,16)&gt;EOMONTH(DATE($B$3,3,1),0),NETWORKDAYS.INTL(DATE($B$3,3,16),DATE($B$3,3,16),1,'Non-working days'!$A$6:$A$45)=0),"",IF(COUNTIFS('Leave log'!$A$7:$A$306,Employees!$A$6,'Leave log'!$B$7:$B$306,"&lt;="&amp;DATE($B$3,3,16),'Leave log'!$C$7:$C$306,"&gt;="&amp;DATE($B$3,3,16),'Leave log'!$F$7:$F$306,"Approved")&gt;0,"A",""))="A","A",IF(OR(DATE($B$3,3,16)&gt;EOMONTH(DATE($B$3,3,1),0),NETWORKDAYS.INTL(DATE($B$3,3,16),DATE($B$3,3,16),1,'Non-working days'!$A$6:$A$45)=0),"",IF(COUNTIFS('Leave log'!$A$7:$A$306,Employees!$A$6,'Leave log'!$B$7:$B$306,"&lt;="&amp;DATE($B$3,3,16),'Leave log'!$C$7:$C$306,"&gt;="&amp;DATE($B$3,3,16),'Leave log'!$F$7:$F$306,"Pending")&gt;0,"P",""))))</f>
        <v/>
      </c>
      <c r="R75" s="23" t="str">
        <f>IF(A75="","",IF(IF(OR(DATE($B$3,3,17)&gt;EOMONTH(DATE($B$3,3,1),0),NETWORKDAYS.INTL(DATE($B$3,3,17),DATE($B$3,3,17),1,'Non-working days'!$A$6:$A$45)=0),"",IF(COUNTIFS('Leave log'!$A$7:$A$306,Employees!$A$6,'Leave log'!$B$7:$B$306,"&lt;="&amp;DATE($B$3,3,17),'Leave log'!$C$7:$C$306,"&gt;="&amp;DATE($B$3,3,17),'Leave log'!$F$7:$F$306,"Approved")&gt;0,"A",""))="A","A",IF(OR(DATE($B$3,3,17)&gt;EOMONTH(DATE($B$3,3,1),0),NETWORKDAYS.INTL(DATE($B$3,3,17),DATE($B$3,3,17),1,'Non-working days'!$A$6:$A$45)=0),"",IF(COUNTIFS('Leave log'!$A$7:$A$306,Employees!$A$6,'Leave log'!$B$7:$B$306,"&lt;="&amp;DATE($B$3,3,17),'Leave log'!$C$7:$C$306,"&gt;="&amp;DATE($B$3,3,17),'Leave log'!$F$7:$F$306,"Pending")&gt;0,"P",""))))</f>
        <v/>
      </c>
      <c r="S75" s="23" t="str">
        <f>IF(A75="","",IF(IF(OR(DATE($B$3,3,18)&gt;EOMONTH(DATE($B$3,3,1),0),NETWORKDAYS.INTL(DATE($B$3,3,18),DATE($B$3,3,18),1,'Non-working days'!$A$6:$A$45)=0),"",IF(COUNTIFS('Leave log'!$A$7:$A$306,Employees!$A$6,'Leave log'!$B$7:$B$306,"&lt;="&amp;DATE($B$3,3,18),'Leave log'!$C$7:$C$306,"&gt;="&amp;DATE($B$3,3,18),'Leave log'!$F$7:$F$306,"Approved")&gt;0,"A",""))="A","A",IF(OR(DATE($B$3,3,18)&gt;EOMONTH(DATE($B$3,3,1),0),NETWORKDAYS.INTL(DATE($B$3,3,18),DATE($B$3,3,18),1,'Non-working days'!$A$6:$A$45)=0),"",IF(COUNTIFS('Leave log'!$A$7:$A$306,Employees!$A$6,'Leave log'!$B$7:$B$306,"&lt;="&amp;DATE($B$3,3,18),'Leave log'!$C$7:$C$306,"&gt;="&amp;DATE($B$3,3,18),'Leave log'!$F$7:$F$306,"Pending")&gt;0,"P",""))))</f>
        <v/>
      </c>
      <c r="T75" s="23" t="str">
        <f>IF(A75="","",IF(IF(OR(DATE($B$3,3,19)&gt;EOMONTH(DATE($B$3,3,1),0),NETWORKDAYS.INTL(DATE($B$3,3,19),DATE($B$3,3,19),1,'Non-working days'!$A$6:$A$45)=0),"",IF(COUNTIFS('Leave log'!$A$7:$A$306,Employees!$A$6,'Leave log'!$B$7:$B$306,"&lt;="&amp;DATE($B$3,3,19),'Leave log'!$C$7:$C$306,"&gt;="&amp;DATE($B$3,3,19),'Leave log'!$F$7:$F$306,"Approved")&gt;0,"A",""))="A","A",IF(OR(DATE($B$3,3,19)&gt;EOMONTH(DATE($B$3,3,1),0),NETWORKDAYS.INTL(DATE($B$3,3,19),DATE($B$3,3,19),1,'Non-working days'!$A$6:$A$45)=0),"",IF(COUNTIFS('Leave log'!$A$7:$A$306,Employees!$A$6,'Leave log'!$B$7:$B$306,"&lt;="&amp;DATE($B$3,3,19),'Leave log'!$C$7:$C$306,"&gt;="&amp;DATE($B$3,3,19),'Leave log'!$F$7:$F$306,"Pending")&gt;0,"P",""))))</f>
        <v/>
      </c>
      <c r="U75" s="23" t="str">
        <f>IF(A75="","",IF(IF(OR(DATE($B$3,3,20)&gt;EOMONTH(DATE($B$3,3,1),0),NETWORKDAYS.INTL(DATE($B$3,3,20),DATE($B$3,3,20),1,'Non-working days'!$A$6:$A$45)=0),"",IF(COUNTIFS('Leave log'!$A$7:$A$306,Employees!$A$6,'Leave log'!$B$7:$B$306,"&lt;="&amp;DATE($B$3,3,20),'Leave log'!$C$7:$C$306,"&gt;="&amp;DATE($B$3,3,20),'Leave log'!$F$7:$F$306,"Approved")&gt;0,"A",""))="A","A",IF(OR(DATE($B$3,3,20)&gt;EOMONTH(DATE($B$3,3,1),0),NETWORKDAYS.INTL(DATE($B$3,3,20),DATE($B$3,3,20),1,'Non-working days'!$A$6:$A$45)=0),"",IF(COUNTIFS('Leave log'!$A$7:$A$306,Employees!$A$6,'Leave log'!$B$7:$B$306,"&lt;="&amp;DATE($B$3,3,20),'Leave log'!$C$7:$C$306,"&gt;="&amp;DATE($B$3,3,20),'Leave log'!$F$7:$F$306,"Pending")&gt;0,"P",""))))</f>
        <v/>
      </c>
      <c r="V75" s="23" t="str">
        <f>IF(A75="","",IF(IF(OR(DATE($B$3,3,21)&gt;EOMONTH(DATE($B$3,3,1),0),NETWORKDAYS.INTL(DATE($B$3,3,21),DATE($B$3,3,21),1,'Non-working days'!$A$6:$A$45)=0),"",IF(COUNTIFS('Leave log'!$A$7:$A$306,Employees!$A$6,'Leave log'!$B$7:$B$306,"&lt;="&amp;DATE($B$3,3,21),'Leave log'!$C$7:$C$306,"&gt;="&amp;DATE($B$3,3,21),'Leave log'!$F$7:$F$306,"Approved")&gt;0,"A",""))="A","A",IF(OR(DATE($B$3,3,21)&gt;EOMONTH(DATE($B$3,3,1),0),NETWORKDAYS.INTL(DATE($B$3,3,21),DATE($B$3,3,21),1,'Non-working days'!$A$6:$A$45)=0),"",IF(COUNTIFS('Leave log'!$A$7:$A$306,Employees!$A$6,'Leave log'!$B$7:$B$306,"&lt;="&amp;DATE($B$3,3,21),'Leave log'!$C$7:$C$306,"&gt;="&amp;DATE($B$3,3,21),'Leave log'!$F$7:$F$306,"Pending")&gt;0,"P",""))))</f>
        <v/>
      </c>
      <c r="W75" s="23" t="str">
        <f>IF(A75="","",IF(IF(OR(DATE($B$3,3,22)&gt;EOMONTH(DATE($B$3,3,1),0),NETWORKDAYS.INTL(DATE($B$3,3,22),DATE($B$3,3,22),1,'Non-working days'!$A$6:$A$45)=0),"",IF(COUNTIFS('Leave log'!$A$7:$A$306,Employees!$A$6,'Leave log'!$B$7:$B$306,"&lt;="&amp;DATE($B$3,3,22),'Leave log'!$C$7:$C$306,"&gt;="&amp;DATE($B$3,3,22),'Leave log'!$F$7:$F$306,"Approved")&gt;0,"A",""))="A","A",IF(OR(DATE($B$3,3,22)&gt;EOMONTH(DATE($B$3,3,1),0),NETWORKDAYS.INTL(DATE($B$3,3,22),DATE($B$3,3,22),1,'Non-working days'!$A$6:$A$45)=0),"",IF(COUNTIFS('Leave log'!$A$7:$A$306,Employees!$A$6,'Leave log'!$B$7:$B$306,"&lt;="&amp;DATE($B$3,3,22),'Leave log'!$C$7:$C$306,"&gt;="&amp;DATE($B$3,3,22),'Leave log'!$F$7:$F$306,"Pending")&gt;0,"P",""))))</f>
        <v/>
      </c>
      <c r="X75" s="23" t="str">
        <f>IF(A75="","",IF(IF(OR(DATE($B$3,3,23)&gt;EOMONTH(DATE($B$3,3,1),0),NETWORKDAYS.INTL(DATE($B$3,3,23),DATE($B$3,3,23),1,'Non-working days'!$A$6:$A$45)=0),"",IF(COUNTIFS('Leave log'!$A$7:$A$306,Employees!$A$6,'Leave log'!$B$7:$B$306,"&lt;="&amp;DATE($B$3,3,23),'Leave log'!$C$7:$C$306,"&gt;="&amp;DATE($B$3,3,23),'Leave log'!$F$7:$F$306,"Approved")&gt;0,"A",""))="A","A",IF(OR(DATE($B$3,3,23)&gt;EOMONTH(DATE($B$3,3,1),0),NETWORKDAYS.INTL(DATE($B$3,3,23),DATE($B$3,3,23),1,'Non-working days'!$A$6:$A$45)=0),"",IF(COUNTIFS('Leave log'!$A$7:$A$306,Employees!$A$6,'Leave log'!$B$7:$B$306,"&lt;="&amp;DATE($B$3,3,23),'Leave log'!$C$7:$C$306,"&gt;="&amp;DATE($B$3,3,23),'Leave log'!$F$7:$F$306,"Pending")&gt;0,"P",""))))</f>
        <v/>
      </c>
      <c r="Y75" s="23" t="str">
        <f>IF(A75="","",IF(IF(OR(DATE($B$3,3,24)&gt;EOMONTH(DATE($B$3,3,1),0),NETWORKDAYS.INTL(DATE($B$3,3,24),DATE($B$3,3,24),1,'Non-working days'!$A$6:$A$45)=0),"",IF(COUNTIFS('Leave log'!$A$7:$A$306,Employees!$A$6,'Leave log'!$B$7:$B$306,"&lt;="&amp;DATE($B$3,3,24),'Leave log'!$C$7:$C$306,"&gt;="&amp;DATE($B$3,3,24),'Leave log'!$F$7:$F$306,"Approved")&gt;0,"A",""))="A","A",IF(OR(DATE($B$3,3,24)&gt;EOMONTH(DATE($B$3,3,1),0),NETWORKDAYS.INTL(DATE($B$3,3,24),DATE($B$3,3,24),1,'Non-working days'!$A$6:$A$45)=0),"",IF(COUNTIFS('Leave log'!$A$7:$A$306,Employees!$A$6,'Leave log'!$B$7:$B$306,"&lt;="&amp;DATE($B$3,3,24),'Leave log'!$C$7:$C$306,"&gt;="&amp;DATE($B$3,3,24),'Leave log'!$F$7:$F$306,"Pending")&gt;0,"P",""))))</f>
        <v/>
      </c>
      <c r="Z75" s="23" t="str">
        <f>IF(A75="","",IF(IF(OR(DATE($B$3,3,25)&gt;EOMONTH(DATE($B$3,3,1),0),NETWORKDAYS.INTL(DATE($B$3,3,25),DATE($B$3,3,25),1,'Non-working days'!$A$6:$A$45)=0),"",IF(COUNTIFS('Leave log'!$A$7:$A$306,Employees!$A$6,'Leave log'!$B$7:$B$306,"&lt;="&amp;DATE($B$3,3,25),'Leave log'!$C$7:$C$306,"&gt;="&amp;DATE($B$3,3,25),'Leave log'!$F$7:$F$306,"Approved")&gt;0,"A",""))="A","A",IF(OR(DATE($B$3,3,25)&gt;EOMONTH(DATE($B$3,3,1),0),NETWORKDAYS.INTL(DATE($B$3,3,25),DATE($B$3,3,25),1,'Non-working days'!$A$6:$A$45)=0),"",IF(COUNTIFS('Leave log'!$A$7:$A$306,Employees!$A$6,'Leave log'!$B$7:$B$306,"&lt;="&amp;DATE($B$3,3,25),'Leave log'!$C$7:$C$306,"&gt;="&amp;DATE($B$3,3,25),'Leave log'!$F$7:$F$306,"Pending")&gt;0,"P",""))))</f>
        <v/>
      </c>
      <c r="AA75" s="23" t="str">
        <f>IF(A75="","",IF(IF(OR(DATE($B$3,3,26)&gt;EOMONTH(DATE($B$3,3,1),0),NETWORKDAYS.INTL(DATE($B$3,3,26),DATE($B$3,3,26),1,'Non-working days'!$A$6:$A$45)=0),"",IF(COUNTIFS('Leave log'!$A$7:$A$306,Employees!$A$6,'Leave log'!$B$7:$B$306,"&lt;="&amp;DATE($B$3,3,26),'Leave log'!$C$7:$C$306,"&gt;="&amp;DATE($B$3,3,26),'Leave log'!$F$7:$F$306,"Approved")&gt;0,"A",""))="A","A",IF(OR(DATE($B$3,3,26)&gt;EOMONTH(DATE($B$3,3,1),0),NETWORKDAYS.INTL(DATE($B$3,3,26),DATE($B$3,3,26),1,'Non-working days'!$A$6:$A$45)=0),"",IF(COUNTIFS('Leave log'!$A$7:$A$306,Employees!$A$6,'Leave log'!$B$7:$B$306,"&lt;="&amp;DATE($B$3,3,26),'Leave log'!$C$7:$C$306,"&gt;="&amp;DATE($B$3,3,26),'Leave log'!$F$7:$F$306,"Pending")&gt;0,"P",""))))</f>
        <v/>
      </c>
      <c r="AB75" s="23" t="str">
        <f>IF(A75="","",IF(IF(OR(DATE($B$3,3,27)&gt;EOMONTH(DATE($B$3,3,1),0),NETWORKDAYS.INTL(DATE($B$3,3,27),DATE($B$3,3,27),1,'Non-working days'!$A$6:$A$45)=0),"",IF(COUNTIFS('Leave log'!$A$7:$A$306,Employees!$A$6,'Leave log'!$B$7:$B$306,"&lt;="&amp;DATE($B$3,3,27),'Leave log'!$C$7:$C$306,"&gt;="&amp;DATE($B$3,3,27),'Leave log'!$F$7:$F$306,"Approved")&gt;0,"A",""))="A","A",IF(OR(DATE($B$3,3,27)&gt;EOMONTH(DATE($B$3,3,1),0),NETWORKDAYS.INTL(DATE($B$3,3,27),DATE($B$3,3,27),1,'Non-working days'!$A$6:$A$45)=0),"",IF(COUNTIFS('Leave log'!$A$7:$A$306,Employees!$A$6,'Leave log'!$B$7:$B$306,"&lt;="&amp;DATE($B$3,3,27),'Leave log'!$C$7:$C$306,"&gt;="&amp;DATE($B$3,3,27),'Leave log'!$F$7:$F$306,"Pending")&gt;0,"P",""))))</f>
        <v/>
      </c>
      <c r="AC75" s="23" t="str">
        <f>IF(A75="","",IF(IF(OR(DATE($B$3,3,28)&gt;EOMONTH(DATE($B$3,3,1),0),NETWORKDAYS.INTL(DATE($B$3,3,28),DATE($B$3,3,28),1,'Non-working days'!$A$6:$A$45)=0),"",IF(COUNTIFS('Leave log'!$A$7:$A$306,Employees!$A$6,'Leave log'!$B$7:$B$306,"&lt;="&amp;DATE($B$3,3,28),'Leave log'!$C$7:$C$306,"&gt;="&amp;DATE($B$3,3,28),'Leave log'!$F$7:$F$306,"Approved")&gt;0,"A",""))="A","A",IF(OR(DATE($B$3,3,28)&gt;EOMONTH(DATE($B$3,3,1),0),NETWORKDAYS.INTL(DATE($B$3,3,28),DATE($B$3,3,28),1,'Non-working days'!$A$6:$A$45)=0),"",IF(COUNTIFS('Leave log'!$A$7:$A$306,Employees!$A$6,'Leave log'!$B$7:$B$306,"&lt;="&amp;DATE($B$3,3,28),'Leave log'!$C$7:$C$306,"&gt;="&amp;DATE($B$3,3,28),'Leave log'!$F$7:$F$306,"Pending")&gt;0,"P",""))))</f>
        <v/>
      </c>
      <c r="AD75" s="23" t="str">
        <f>IF(A75="","",IF(IF(OR(DATE($B$3,3,29)&gt;EOMONTH(DATE($B$3,3,1),0),NETWORKDAYS.INTL(DATE($B$3,3,29),DATE($B$3,3,29),1,'Non-working days'!$A$6:$A$45)=0),"",IF(COUNTIFS('Leave log'!$A$7:$A$306,Employees!$A$6,'Leave log'!$B$7:$B$306,"&lt;="&amp;DATE($B$3,3,29),'Leave log'!$C$7:$C$306,"&gt;="&amp;DATE($B$3,3,29),'Leave log'!$F$7:$F$306,"Approved")&gt;0,"A",""))="A","A",IF(OR(DATE($B$3,3,29)&gt;EOMONTH(DATE($B$3,3,1),0),NETWORKDAYS.INTL(DATE($B$3,3,29),DATE($B$3,3,29),1,'Non-working days'!$A$6:$A$45)=0),"",IF(COUNTIFS('Leave log'!$A$7:$A$306,Employees!$A$6,'Leave log'!$B$7:$B$306,"&lt;="&amp;DATE($B$3,3,29),'Leave log'!$C$7:$C$306,"&gt;="&amp;DATE($B$3,3,29),'Leave log'!$F$7:$F$306,"Pending")&gt;0,"P",""))))</f>
        <v/>
      </c>
      <c r="AE75" s="23" t="str">
        <f>IF(A75="","",IF(IF(OR(DATE($B$3,3,30)&gt;EOMONTH(DATE($B$3,3,1),0),NETWORKDAYS.INTL(DATE($B$3,3,30),DATE($B$3,3,30),1,'Non-working days'!$A$6:$A$45)=0),"",IF(COUNTIFS('Leave log'!$A$7:$A$306,Employees!$A$6,'Leave log'!$B$7:$B$306,"&lt;="&amp;DATE($B$3,3,30),'Leave log'!$C$7:$C$306,"&gt;="&amp;DATE($B$3,3,30),'Leave log'!$F$7:$F$306,"Approved")&gt;0,"A",""))="A","A",IF(OR(DATE($B$3,3,30)&gt;EOMONTH(DATE($B$3,3,1),0),NETWORKDAYS.INTL(DATE($B$3,3,30),DATE($B$3,3,30),1,'Non-working days'!$A$6:$A$45)=0),"",IF(COUNTIFS('Leave log'!$A$7:$A$306,Employees!$A$6,'Leave log'!$B$7:$B$306,"&lt;="&amp;DATE($B$3,3,30),'Leave log'!$C$7:$C$306,"&gt;="&amp;DATE($B$3,3,30),'Leave log'!$F$7:$F$306,"Pending")&gt;0,"P",""))))</f>
        <v/>
      </c>
      <c r="AF75" s="23" t="str">
        <f>IF(A75="","",IF(IF(OR(DATE($B$3,3,31)&gt;EOMONTH(DATE($B$3,3,1),0),NETWORKDAYS.INTL(DATE($B$3,3,31),DATE($B$3,3,31),1,'Non-working days'!$A$6:$A$45)=0),"",IF(COUNTIFS('Leave log'!$A$7:$A$306,Employees!$A$6,'Leave log'!$B$7:$B$306,"&lt;="&amp;DATE($B$3,3,31),'Leave log'!$C$7:$C$306,"&gt;="&amp;DATE($B$3,3,31),'Leave log'!$F$7:$F$306,"Approved")&gt;0,"A",""))="A","A",IF(OR(DATE($B$3,3,31)&gt;EOMONTH(DATE($B$3,3,1),0),NETWORKDAYS.INTL(DATE($B$3,3,31),DATE($B$3,3,31),1,'Non-working days'!$A$6:$A$45)=0),"",IF(COUNTIFS('Leave log'!$A$7:$A$306,Employees!$A$6,'Leave log'!$B$7:$B$306,"&lt;="&amp;DATE($B$3,3,31),'Leave log'!$C$7:$C$306,"&gt;="&amp;DATE($B$3,3,31),'Leave log'!$F$7:$F$306,"Pending")&gt;0,"P",""))))</f>
        <v/>
      </c>
    </row>
    <row r="76" spans="1:32" ht="18" customHeight="1" x14ac:dyDescent="0.3">
      <c r="A76" s="22" t="str">
        <f>IF(Employees!F7="Yes",Employees!B7,"")</f>
        <v/>
      </c>
      <c r="B76" s="23" t="str">
        <f>IF(A76="","",IF(IF(OR(DATE($B$3,3,1)&gt;EOMONTH(DATE($B$3,3,1),0),NETWORKDAYS.INTL(DATE($B$3,3,1),DATE($B$3,3,1),1,'Non-working days'!$A$6:$A$45)=0),"",IF(COUNTIFS('Leave log'!$A$7:$A$306,Employees!$A$7,'Leave log'!$B$7:$B$306,"&lt;="&amp;DATE($B$3,3,1),'Leave log'!$C$7:$C$306,"&gt;="&amp;DATE($B$3,3,1),'Leave log'!$F$7:$F$306,"Approved")&gt;0,"A",""))="A","A",IF(OR(DATE($B$3,3,1)&gt;EOMONTH(DATE($B$3,3,1),0),NETWORKDAYS.INTL(DATE($B$3,3,1),DATE($B$3,3,1),1,'Non-working days'!$A$6:$A$45)=0),"",IF(COUNTIFS('Leave log'!$A$7:$A$306,Employees!$A$7,'Leave log'!$B$7:$B$306,"&lt;="&amp;DATE($B$3,3,1),'Leave log'!$C$7:$C$306,"&gt;="&amp;DATE($B$3,3,1),'Leave log'!$F$7:$F$306,"Pending")&gt;0,"P",""))))</f>
        <v/>
      </c>
      <c r="C76" s="23" t="str">
        <f>IF(A76="","",IF(IF(OR(DATE($B$3,3,2)&gt;EOMONTH(DATE($B$3,3,1),0),NETWORKDAYS.INTL(DATE($B$3,3,2),DATE($B$3,3,2),1,'Non-working days'!$A$6:$A$45)=0),"",IF(COUNTIFS('Leave log'!$A$7:$A$306,Employees!$A$7,'Leave log'!$B$7:$B$306,"&lt;="&amp;DATE($B$3,3,2),'Leave log'!$C$7:$C$306,"&gt;="&amp;DATE($B$3,3,2),'Leave log'!$F$7:$F$306,"Approved")&gt;0,"A",""))="A","A",IF(OR(DATE($B$3,3,2)&gt;EOMONTH(DATE($B$3,3,1),0),NETWORKDAYS.INTL(DATE($B$3,3,2),DATE($B$3,3,2),1,'Non-working days'!$A$6:$A$45)=0),"",IF(COUNTIFS('Leave log'!$A$7:$A$306,Employees!$A$7,'Leave log'!$B$7:$B$306,"&lt;="&amp;DATE($B$3,3,2),'Leave log'!$C$7:$C$306,"&gt;="&amp;DATE($B$3,3,2),'Leave log'!$F$7:$F$306,"Pending")&gt;0,"P",""))))</f>
        <v/>
      </c>
      <c r="D76" s="23" t="str">
        <f>IF(A76="","",IF(IF(OR(DATE($B$3,3,3)&gt;EOMONTH(DATE($B$3,3,1),0),NETWORKDAYS.INTL(DATE($B$3,3,3),DATE($B$3,3,3),1,'Non-working days'!$A$6:$A$45)=0),"",IF(COUNTIFS('Leave log'!$A$7:$A$306,Employees!$A$7,'Leave log'!$B$7:$B$306,"&lt;="&amp;DATE($B$3,3,3),'Leave log'!$C$7:$C$306,"&gt;="&amp;DATE($B$3,3,3),'Leave log'!$F$7:$F$306,"Approved")&gt;0,"A",""))="A","A",IF(OR(DATE($B$3,3,3)&gt;EOMONTH(DATE($B$3,3,1),0),NETWORKDAYS.INTL(DATE($B$3,3,3),DATE($B$3,3,3),1,'Non-working days'!$A$6:$A$45)=0),"",IF(COUNTIFS('Leave log'!$A$7:$A$306,Employees!$A$7,'Leave log'!$B$7:$B$306,"&lt;="&amp;DATE($B$3,3,3),'Leave log'!$C$7:$C$306,"&gt;="&amp;DATE($B$3,3,3),'Leave log'!$F$7:$F$306,"Pending")&gt;0,"P",""))))</f>
        <v/>
      </c>
      <c r="E76" s="23" t="str">
        <f>IF(A76="","",IF(IF(OR(DATE($B$3,3,4)&gt;EOMONTH(DATE($B$3,3,1),0),NETWORKDAYS.INTL(DATE($B$3,3,4),DATE($B$3,3,4),1,'Non-working days'!$A$6:$A$45)=0),"",IF(COUNTIFS('Leave log'!$A$7:$A$306,Employees!$A$7,'Leave log'!$B$7:$B$306,"&lt;="&amp;DATE($B$3,3,4),'Leave log'!$C$7:$C$306,"&gt;="&amp;DATE($B$3,3,4),'Leave log'!$F$7:$F$306,"Approved")&gt;0,"A",""))="A","A",IF(OR(DATE($B$3,3,4)&gt;EOMONTH(DATE($B$3,3,1),0),NETWORKDAYS.INTL(DATE($B$3,3,4),DATE($B$3,3,4),1,'Non-working days'!$A$6:$A$45)=0),"",IF(COUNTIFS('Leave log'!$A$7:$A$306,Employees!$A$7,'Leave log'!$B$7:$B$306,"&lt;="&amp;DATE($B$3,3,4),'Leave log'!$C$7:$C$306,"&gt;="&amp;DATE($B$3,3,4),'Leave log'!$F$7:$F$306,"Pending")&gt;0,"P",""))))</f>
        <v/>
      </c>
      <c r="F76" s="23" t="str">
        <f>IF(A76="","",IF(IF(OR(DATE($B$3,3,5)&gt;EOMONTH(DATE($B$3,3,1),0),NETWORKDAYS.INTL(DATE($B$3,3,5),DATE($B$3,3,5),1,'Non-working days'!$A$6:$A$45)=0),"",IF(COUNTIFS('Leave log'!$A$7:$A$306,Employees!$A$7,'Leave log'!$B$7:$B$306,"&lt;="&amp;DATE($B$3,3,5),'Leave log'!$C$7:$C$306,"&gt;="&amp;DATE($B$3,3,5),'Leave log'!$F$7:$F$306,"Approved")&gt;0,"A",""))="A","A",IF(OR(DATE($B$3,3,5)&gt;EOMONTH(DATE($B$3,3,1),0),NETWORKDAYS.INTL(DATE($B$3,3,5),DATE($B$3,3,5),1,'Non-working days'!$A$6:$A$45)=0),"",IF(COUNTIFS('Leave log'!$A$7:$A$306,Employees!$A$7,'Leave log'!$B$7:$B$306,"&lt;="&amp;DATE($B$3,3,5),'Leave log'!$C$7:$C$306,"&gt;="&amp;DATE($B$3,3,5),'Leave log'!$F$7:$F$306,"Pending")&gt;0,"P",""))))</f>
        <v/>
      </c>
      <c r="G76" s="23" t="str">
        <f>IF(A76="","",IF(IF(OR(DATE($B$3,3,6)&gt;EOMONTH(DATE($B$3,3,1),0),NETWORKDAYS.INTL(DATE($B$3,3,6),DATE($B$3,3,6),1,'Non-working days'!$A$6:$A$45)=0),"",IF(COUNTIFS('Leave log'!$A$7:$A$306,Employees!$A$7,'Leave log'!$B$7:$B$306,"&lt;="&amp;DATE($B$3,3,6),'Leave log'!$C$7:$C$306,"&gt;="&amp;DATE($B$3,3,6),'Leave log'!$F$7:$F$306,"Approved")&gt;0,"A",""))="A","A",IF(OR(DATE($B$3,3,6)&gt;EOMONTH(DATE($B$3,3,1),0),NETWORKDAYS.INTL(DATE($B$3,3,6),DATE($B$3,3,6),1,'Non-working days'!$A$6:$A$45)=0),"",IF(COUNTIFS('Leave log'!$A$7:$A$306,Employees!$A$7,'Leave log'!$B$7:$B$306,"&lt;="&amp;DATE($B$3,3,6),'Leave log'!$C$7:$C$306,"&gt;="&amp;DATE($B$3,3,6),'Leave log'!$F$7:$F$306,"Pending")&gt;0,"P",""))))</f>
        <v/>
      </c>
      <c r="H76" s="23" t="str">
        <f>IF(A76="","",IF(IF(OR(DATE($B$3,3,7)&gt;EOMONTH(DATE($B$3,3,1),0),NETWORKDAYS.INTL(DATE($B$3,3,7),DATE($B$3,3,7),1,'Non-working days'!$A$6:$A$45)=0),"",IF(COUNTIFS('Leave log'!$A$7:$A$306,Employees!$A$7,'Leave log'!$B$7:$B$306,"&lt;="&amp;DATE($B$3,3,7),'Leave log'!$C$7:$C$306,"&gt;="&amp;DATE($B$3,3,7),'Leave log'!$F$7:$F$306,"Approved")&gt;0,"A",""))="A","A",IF(OR(DATE($B$3,3,7)&gt;EOMONTH(DATE($B$3,3,1),0),NETWORKDAYS.INTL(DATE($B$3,3,7),DATE($B$3,3,7),1,'Non-working days'!$A$6:$A$45)=0),"",IF(COUNTIFS('Leave log'!$A$7:$A$306,Employees!$A$7,'Leave log'!$B$7:$B$306,"&lt;="&amp;DATE($B$3,3,7),'Leave log'!$C$7:$C$306,"&gt;="&amp;DATE($B$3,3,7),'Leave log'!$F$7:$F$306,"Pending")&gt;0,"P",""))))</f>
        <v/>
      </c>
      <c r="I76" s="23" t="str">
        <f>IF(A76="","",IF(IF(OR(DATE($B$3,3,8)&gt;EOMONTH(DATE($B$3,3,1),0),NETWORKDAYS.INTL(DATE($B$3,3,8),DATE($B$3,3,8),1,'Non-working days'!$A$6:$A$45)=0),"",IF(COUNTIFS('Leave log'!$A$7:$A$306,Employees!$A$7,'Leave log'!$B$7:$B$306,"&lt;="&amp;DATE($B$3,3,8),'Leave log'!$C$7:$C$306,"&gt;="&amp;DATE($B$3,3,8),'Leave log'!$F$7:$F$306,"Approved")&gt;0,"A",""))="A","A",IF(OR(DATE($B$3,3,8)&gt;EOMONTH(DATE($B$3,3,1),0),NETWORKDAYS.INTL(DATE($B$3,3,8),DATE($B$3,3,8),1,'Non-working days'!$A$6:$A$45)=0),"",IF(COUNTIFS('Leave log'!$A$7:$A$306,Employees!$A$7,'Leave log'!$B$7:$B$306,"&lt;="&amp;DATE($B$3,3,8),'Leave log'!$C$7:$C$306,"&gt;="&amp;DATE($B$3,3,8),'Leave log'!$F$7:$F$306,"Pending")&gt;0,"P",""))))</f>
        <v/>
      </c>
      <c r="J76" s="23" t="str">
        <f>IF(A76="","",IF(IF(OR(DATE($B$3,3,9)&gt;EOMONTH(DATE($B$3,3,1),0),NETWORKDAYS.INTL(DATE($B$3,3,9),DATE($B$3,3,9),1,'Non-working days'!$A$6:$A$45)=0),"",IF(COUNTIFS('Leave log'!$A$7:$A$306,Employees!$A$7,'Leave log'!$B$7:$B$306,"&lt;="&amp;DATE($B$3,3,9),'Leave log'!$C$7:$C$306,"&gt;="&amp;DATE($B$3,3,9),'Leave log'!$F$7:$F$306,"Approved")&gt;0,"A",""))="A","A",IF(OR(DATE($B$3,3,9)&gt;EOMONTH(DATE($B$3,3,1),0),NETWORKDAYS.INTL(DATE($B$3,3,9),DATE($B$3,3,9),1,'Non-working days'!$A$6:$A$45)=0),"",IF(COUNTIFS('Leave log'!$A$7:$A$306,Employees!$A$7,'Leave log'!$B$7:$B$306,"&lt;="&amp;DATE($B$3,3,9),'Leave log'!$C$7:$C$306,"&gt;="&amp;DATE($B$3,3,9),'Leave log'!$F$7:$F$306,"Pending")&gt;0,"P",""))))</f>
        <v/>
      </c>
      <c r="K76" s="23" t="str">
        <f>IF(A76="","",IF(IF(OR(DATE($B$3,3,10)&gt;EOMONTH(DATE($B$3,3,1),0),NETWORKDAYS.INTL(DATE($B$3,3,10),DATE($B$3,3,10),1,'Non-working days'!$A$6:$A$45)=0),"",IF(COUNTIFS('Leave log'!$A$7:$A$306,Employees!$A$7,'Leave log'!$B$7:$B$306,"&lt;="&amp;DATE($B$3,3,10),'Leave log'!$C$7:$C$306,"&gt;="&amp;DATE($B$3,3,10),'Leave log'!$F$7:$F$306,"Approved")&gt;0,"A",""))="A","A",IF(OR(DATE($B$3,3,10)&gt;EOMONTH(DATE($B$3,3,1),0),NETWORKDAYS.INTL(DATE($B$3,3,10),DATE($B$3,3,10),1,'Non-working days'!$A$6:$A$45)=0),"",IF(COUNTIFS('Leave log'!$A$7:$A$306,Employees!$A$7,'Leave log'!$B$7:$B$306,"&lt;="&amp;DATE($B$3,3,10),'Leave log'!$C$7:$C$306,"&gt;="&amp;DATE($B$3,3,10),'Leave log'!$F$7:$F$306,"Pending")&gt;0,"P",""))))</f>
        <v/>
      </c>
      <c r="L76" s="23" t="str">
        <f>IF(A76="","",IF(IF(OR(DATE($B$3,3,11)&gt;EOMONTH(DATE($B$3,3,1),0),NETWORKDAYS.INTL(DATE($B$3,3,11),DATE($B$3,3,11),1,'Non-working days'!$A$6:$A$45)=0),"",IF(COUNTIFS('Leave log'!$A$7:$A$306,Employees!$A$7,'Leave log'!$B$7:$B$306,"&lt;="&amp;DATE($B$3,3,11),'Leave log'!$C$7:$C$306,"&gt;="&amp;DATE($B$3,3,11),'Leave log'!$F$7:$F$306,"Approved")&gt;0,"A",""))="A","A",IF(OR(DATE($B$3,3,11)&gt;EOMONTH(DATE($B$3,3,1),0),NETWORKDAYS.INTL(DATE($B$3,3,11),DATE($B$3,3,11),1,'Non-working days'!$A$6:$A$45)=0),"",IF(COUNTIFS('Leave log'!$A$7:$A$306,Employees!$A$7,'Leave log'!$B$7:$B$306,"&lt;="&amp;DATE($B$3,3,11),'Leave log'!$C$7:$C$306,"&gt;="&amp;DATE($B$3,3,11),'Leave log'!$F$7:$F$306,"Pending")&gt;0,"P",""))))</f>
        <v/>
      </c>
      <c r="M76" s="23" t="str">
        <f>IF(A76="","",IF(IF(OR(DATE($B$3,3,12)&gt;EOMONTH(DATE($B$3,3,1),0),NETWORKDAYS.INTL(DATE($B$3,3,12),DATE($B$3,3,12),1,'Non-working days'!$A$6:$A$45)=0),"",IF(COUNTIFS('Leave log'!$A$7:$A$306,Employees!$A$7,'Leave log'!$B$7:$B$306,"&lt;="&amp;DATE($B$3,3,12),'Leave log'!$C$7:$C$306,"&gt;="&amp;DATE($B$3,3,12),'Leave log'!$F$7:$F$306,"Approved")&gt;0,"A",""))="A","A",IF(OR(DATE($B$3,3,12)&gt;EOMONTH(DATE($B$3,3,1),0),NETWORKDAYS.INTL(DATE($B$3,3,12),DATE($B$3,3,12),1,'Non-working days'!$A$6:$A$45)=0),"",IF(COUNTIFS('Leave log'!$A$7:$A$306,Employees!$A$7,'Leave log'!$B$7:$B$306,"&lt;="&amp;DATE($B$3,3,12),'Leave log'!$C$7:$C$306,"&gt;="&amp;DATE($B$3,3,12),'Leave log'!$F$7:$F$306,"Pending")&gt;0,"P",""))))</f>
        <v/>
      </c>
      <c r="N76" s="23" t="str">
        <f>IF(A76="","",IF(IF(OR(DATE($B$3,3,13)&gt;EOMONTH(DATE($B$3,3,1),0),NETWORKDAYS.INTL(DATE($B$3,3,13),DATE($B$3,3,13),1,'Non-working days'!$A$6:$A$45)=0),"",IF(COUNTIFS('Leave log'!$A$7:$A$306,Employees!$A$7,'Leave log'!$B$7:$B$306,"&lt;="&amp;DATE($B$3,3,13),'Leave log'!$C$7:$C$306,"&gt;="&amp;DATE($B$3,3,13),'Leave log'!$F$7:$F$306,"Approved")&gt;0,"A",""))="A","A",IF(OR(DATE($B$3,3,13)&gt;EOMONTH(DATE($B$3,3,1),0),NETWORKDAYS.INTL(DATE($B$3,3,13),DATE($B$3,3,13),1,'Non-working days'!$A$6:$A$45)=0),"",IF(COUNTIFS('Leave log'!$A$7:$A$306,Employees!$A$7,'Leave log'!$B$7:$B$306,"&lt;="&amp;DATE($B$3,3,13),'Leave log'!$C$7:$C$306,"&gt;="&amp;DATE($B$3,3,13),'Leave log'!$F$7:$F$306,"Pending")&gt;0,"P",""))))</f>
        <v/>
      </c>
      <c r="O76" s="23" t="str">
        <f>IF(A76="","",IF(IF(OR(DATE($B$3,3,14)&gt;EOMONTH(DATE($B$3,3,1),0),NETWORKDAYS.INTL(DATE($B$3,3,14),DATE($B$3,3,14),1,'Non-working days'!$A$6:$A$45)=0),"",IF(COUNTIFS('Leave log'!$A$7:$A$306,Employees!$A$7,'Leave log'!$B$7:$B$306,"&lt;="&amp;DATE($B$3,3,14),'Leave log'!$C$7:$C$306,"&gt;="&amp;DATE($B$3,3,14),'Leave log'!$F$7:$F$306,"Approved")&gt;0,"A",""))="A","A",IF(OR(DATE($B$3,3,14)&gt;EOMONTH(DATE($B$3,3,1),0),NETWORKDAYS.INTL(DATE($B$3,3,14),DATE($B$3,3,14),1,'Non-working days'!$A$6:$A$45)=0),"",IF(COUNTIFS('Leave log'!$A$7:$A$306,Employees!$A$7,'Leave log'!$B$7:$B$306,"&lt;="&amp;DATE($B$3,3,14),'Leave log'!$C$7:$C$306,"&gt;="&amp;DATE($B$3,3,14),'Leave log'!$F$7:$F$306,"Pending")&gt;0,"P",""))))</f>
        <v/>
      </c>
      <c r="P76" s="23" t="str">
        <f>IF(A76="","",IF(IF(OR(DATE($B$3,3,15)&gt;EOMONTH(DATE($B$3,3,1),0),NETWORKDAYS.INTL(DATE($B$3,3,15),DATE($B$3,3,15),1,'Non-working days'!$A$6:$A$45)=0),"",IF(COUNTIFS('Leave log'!$A$7:$A$306,Employees!$A$7,'Leave log'!$B$7:$B$306,"&lt;="&amp;DATE($B$3,3,15),'Leave log'!$C$7:$C$306,"&gt;="&amp;DATE($B$3,3,15),'Leave log'!$F$7:$F$306,"Approved")&gt;0,"A",""))="A","A",IF(OR(DATE($B$3,3,15)&gt;EOMONTH(DATE($B$3,3,1),0),NETWORKDAYS.INTL(DATE($B$3,3,15),DATE($B$3,3,15),1,'Non-working days'!$A$6:$A$45)=0),"",IF(COUNTIFS('Leave log'!$A$7:$A$306,Employees!$A$7,'Leave log'!$B$7:$B$306,"&lt;="&amp;DATE($B$3,3,15),'Leave log'!$C$7:$C$306,"&gt;="&amp;DATE($B$3,3,15),'Leave log'!$F$7:$F$306,"Pending")&gt;0,"P",""))))</f>
        <v/>
      </c>
      <c r="Q76" s="23" t="str">
        <f>IF(A76="","",IF(IF(OR(DATE($B$3,3,16)&gt;EOMONTH(DATE($B$3,3,1),0),NETWORKDAYS.INTL(DATE($B$3,3,16),DATE($B$3,3,16),1,'Non-working days'!$A$6:$A$45)=0),"",IF(COUNTIFS('Leave log'!$A$7:$A$306,Employees!$A$7,'Leave log'!$B$7:$B$306,"&lt;="&amp;DATE($B$3,3,16),'Leave log'!$C$7:$C$306,"&gt;="&amp;DATE($B$3,3,16),'Leave log'!$F$7:$F$306,"Approved")&gt;0,"A",""))="A","A",IF(OR(DATE($B$3,3,16)&gt;EOMONTH(DATE($B$3,3,1),0),NETWORKDAYS.INTL(DATE($B$3,3,16),DATE($B$3,3,16),1,'Non-working days'!$A$6:$A$45)=0),"",IF(COUNTIFS('Leave log'!$A$7:$A$306,Employees!$A$7,'Leave log'!$B$7:$B$306,"&lt;="&amp;DATE($B$3,3,16),'Leave log'!$C$7:$C$306,"&gt;="&amp;DATE($B$3,3,16),'Leave log'!$F$7:$F$306,"Pending")&gt;0,"P",""))))</f>
        <v/>
      </c>
      <c r="R76" s="23" t="str">
        <f>IF(A76="","",IF(IF(OR(DATE($B$3,3,17)&gt;EOMONTH(DATE($B$3,3,1),0),NETWORKDAYS.INTL(DATE($B$3,3,17),DATE($B$3,3,17),1,'Non-working days'!$A$6:$A$45)=0),"",IF(COUNTIFS('Leave log'!$A$7:$A$306,Employees!$A$7,'Leave log'!$B$7:$B$306,"&lt;="&amp;DATE($B$3,3,17),'Leave log'!$C$7:$C$306,"&gt;="&amp;DATE($B$3,3,17),'Leave log'!$F$7:$F$306,"Approved")&gt;0,"A",""))="A","A",IF(OR(DATE($B$3,3,17)&gt;EOMONTH(DATE($B$3,3,1),0),NETWORKDAYS.INTL(DATE($B$3,3,17),DATE($B$3,3,17),1,'Non-working days'!$A$6:$A$45)=0),"",IF(COUNTIFS('Leave log'!$A$7:$A$306,Employees!$A$7,'Leave log'!$B$7:$B$306,"&lt;="&amp;DATE($B$3,3,17),'Leave log'!$C$7:$C$306,"&gt;="&amp;DATE($B$3,3,17),'Leave log'!$F$7:$F$306,"Pending")&gt;0,"P",""))))</f>
        <v/>
      </c>
      <c r="S76" s="23" t="str">
        <f>IF(A76="","",IF(IF(OR(DATE($B$3,3,18)&gt;EOMONTH(DATE($B$3,3,1),0),NETWORKDAYS.INTL(DATE($B$3,3,18),DATE($B$3,3,18),1,'Non-working days'!$A$6:$A$45)=0),"",IF(COUNTIFS('Leave log'!$A$7:$A$306,Employees!$A$7,'Leave log'!$B$7:$B$306,"&lt;="&amp;DATE($B$3,3,18),'Leave log'!$C$7:$C$306,"&gt;="&amp;DATE($B$3,3,18),'Leave log'!$F$7:$F$306,"Approved")&gt;0,"A",""))="A","A",IF(OR(DATE($B$3,3,18)&gt;EOMONTH(DATE($B$3,3,1),0),NETWORKDAYS.INTL(DATE($B$3,3,18),DATE($B$3,3,18),1,'Non-working days'!$A$6:$A$45)=0),"",IF(COUNTIFS('Leave log'!$A$7:$A$306,Employees!$A$7,'Leave log'!$B$7:$B$306,"&lt;="&amp;DATE($B$3,3,18),'Leave log'!$C$7:$C$306,"&gt;="&amp;DATE($B$3,3,18),'Leave log'!$F$7:$F$306,"Pending")&gt;0,"P",""))))</f>
        <v/>
      </c>
      <c r="T76" s="23" t="str">
        <f>IF(A76="","",IF(IF(OR(DATE($B$3,3,19)&gt;EOMONTH(DATE($B$3,3,1),0),NETWORKDAYS.INTL(DATE($B$3,3,19),DATE($B$3,3,19),1,'Non-working days'!$A$6:$A$45)=0),"",IF(COUNTIFS('Leave log'!$A$7:$A$306,Employees!$A$7,'Leave log'!$B$7:$B$306,"&lt;="&amp;DATE($B$3,3,19),'Leave log'!$C$7:$C$306,"&gt;="&amp;DATE($B$3,3,19),'Leave log'!$F$7:$F$306,"Approved")&gt;0,"A",""))="A","A",IF(OR(DATE($B$3,3,19)&gt;EOMONTH(DATE($B$3,3,1),0),NETWORKDAYS.INTL(DATE($B$3,3,19),DATE($B$3,3,19),1,'Non-working days'!$A$6:$A$45)=0),"",IF(COUNTIFS('Leave log'!$A$7:$A$306,Employees!$A$7,'Leave log'!$B$7:$B$306,"&lt;="&amp;DATE($B$3,3,19),'Leave log'!$C$7:$C$306,"&gt;="&amp;DATE($B$3,3,19),'Leave log'!$F$7:$F$306,"Pending")&gt;0,"P",""))))</f>
        <v/>
      </c>
      <c r="U76" s="23" t="str">
        <f>IF(A76="","",IF(IF(OR(DATE($B$3,3,20)&gt;EOMONTH(DATE($B$3,3,1),0),NETWORKDAYS.INTL(DATE($B$3,3,20),DATE($B$3,3,20),1,'Non-working days'!$A$6:$A$45)=0),"",IF(COUNTIFS('Leave log'!$A$7:$A$306,Employees!$A$7,'Leave log'!$B$7:$B$306,"&lt;="&amp;DATE($B$3,3,20),'Leave log'!$C$7:$C$306,"&gt;="&amp;DATE($B$3,3,20),'Leave log'!$F$7:$F$306,"Approved")&gt;0,"A",""))="A","A",IF(OR(DATE($B$3,3,20)&gt;EOMONTH(DATE($B$3,3,1),0),NETWORKDAYS.INTL(DATE($B$3,3,20),DATE($B$3,3,20),1,'Non-working days'!$A$6:$A$45)=0),"",IF(COUNTIFS('Leave log'!$A$7:$A$306,Employees!$A$7,'Leave log'!$B$7:$B$306,"&lt;="&amp;DATE($B$3,3,20),'Leave log'!$C$7:$C$306,"&gt;="&amp;DATE($B$3,3,20),'Leave log'!$F$7:$F$306,"Pending")&gt;0,"P",""))))</f>
        <v/>
      </c>
      <c r="V76" s="23" t="str">
        <f>IF(A76="","",IF(IF(OR(DATE($B$3,3,21)&gt;EOMONTH(DATE($B$3,3,1),0),NETWORKDAYS.INTL(DATE($B$3,3,21),DATE($B$3,3,21),1,'Non-working days'!$A$6:$A$45)=0),"",IF(COUNTIFS('Leave log'!$A$7:$A$306,Employees!$A$7,'Leave log'!$B$7:$B$306,"&lt;="&amp;DATE($B$3,3,21),'Leave log'!$C$7:$C$306,"&gt;="&amp;DATE($B$3,3,21),'Leave log'!$F$7:$F$306,"Approved")&gt;0,"A",""))="A","A",IF(OR(DATE($B$3,3,21)&gt;EOMONTH(DATE($B$3,3,1),0),NETWORKDAYS.INTL(DATE($B$3,3,21),DATE($B$3,3,21),1,'Non-working days'!$A$6:$A$45)=0),"",IF(COUNTIFS('Leave log'!$A$7:$A$306,Employees!$A$7,'Leave log'!$B$7:$B$306,"&lt;="&amp;DATE($B$3,3,21),'Leave log'!$C$7:$C$306,"&gt;="&amp;DATE($B$3,3,21),'Leave log'!$F$7:$F$306,"Pending")&gt;0,"P",""))))</f>
        <v/>
      </c>
      <c r="W76" s="23" t="str">
        <f>IF(A76="","",IF(IF(OR(DATE($B$3,3,22)&gt;EOMONTH(DATE($B$3,3,1),0),NETWORKDAYS.INTL(DATE($B$3,3,22),DATE($B$3,3,22),1,'Non-working days'!$A$6:$A$45)=0),"",IF(COUNTIFS('Leave log'!$A$7:$A$306,Employees!$A$7,'Leave log'!$B$7:$B$306,"&lt;="&amp;DATE($B$3,3,22),'Leave log'!$C$7:$C$306,"&gt;="&amp;DATE($B$3,3,22),'Leave log'!$F$7:$F$306,"Approved")&gt;0,"A",""))="A","A",IF(OR(DATE($B$3,3,22)&gt;EOMONTH(DATE($B$3,3,1),0),NETWORKDAYS.INTL(DATE($B$3,3,22),DATE($B$3,3,22),1,'Non-working days'!$A$6:$A$45)=0),"",IF(COUNTIFS('Leave log'!$A$7:$A$306,Employees!$A$7,'Leave log'!$B$7:$B$306,"&lt;="&amp;DATE($B$3,3,22),'Leave log'!$C$7:$C$306,"&gt;="&amp;DATE($B$3,3,22),'Leave log'!$F$7:$F$306,"Pending")&gt;0,"P",""))))</f>
        <v/>
      </c>
      <c r="X76" s="23" t="str">
        <f>IF(A76="","",IF(IF(OR(DATE($B$3,3,23)&gt;EOMONTH(DATE($B$3,3,1),0),NETWORKDAYS.INTL(DATE($B$3,3,23),DATE($B$3,3,23),1,'Non-working days'!$A$6:$A$45)=0),"",IF(COUNTIFS('Leave log'!$A$7:$A$306,Employees!$A$7,'Leave log'!$B$7:$B$306,"&lt;="&amp;DATE($B$3,3,23),'Leave log'!$C$7:$C$306,"&gt;="&amp;DATE($B$3,3,23),'Leave log'!$F$7:$F$306,"Approved")&gt;0,"A",""))="A","A",IF(OR(DATE($B$3,3,23)&gt;EOMONTH(DATE($B$3,3,1),0),NETWORKDAYS.INTL(DATE($B$3,3,23),DATE($B$3,3,23),1,'Non-working days'!$A$6:$A$45)=0),"",IF(COUNTIFS('Leave log'!$A$7:$A$306,Employees!$A$7,'Leave log'!$B$7:$B$306,"&lt;="&amp;DATE($B$3,3,23),'Leave log'!$C$7:$C$306,"&gt;="&amp;DATE($B$3,3,23),'Leave log'!$F$7:$F$306,"Pending")&gt;0,"P",""))))</f>
        <v/>
      </c>
      <c r="Y76" s="23" t="str">
        <f>IF(A76="","",IF(IF(OR(DATE($B$3,3,24)&gt;EOMONTH(DATE($B$3,3,1),0),NETWORKDAYS.INTL(DATE($B$3,3,24),DATE($B$3,3,24),1,'Non-working days'!$A$6:$A$45)=0),"",IF(COUNTIFS('Leave log'!$A$7:$A$306,Employees!$A$7,'Leave log'!$B$7:$B$306,"&lt;="&amp;DATE($B$3,3,24),'Leave log'!$C$7:$C$306,"&gt;="&amp;DATE($B$3,3,24),'Leave log'!$F$7:$F$306,"Approved")&gt;0,"A",""))="A","A",IF(OR(DATE($B$3,3,24)&gt;EOMONTH(DATE($B$3,3,1),0),NETWORKDAYS.INTL(DATE($B$3,3,24),DATE($B$3,3,24),1,'Non-working days'!$A$6:$A$45)=0),"",IF(COUNTIFS('Leave log'!$A$7:$A$306,Employees!$A$7,'Leave log'!$B$7:$B$306,"&lt;="&amp;DATE($B$3,3,24),'Leave log'!$C$7:$C$306,"&gt;="&amp;DATE($B$3,3,24),'Leave log'!$F$7:$F$306,"Pending")&gt;0,"P",""))))</f>
        <v/>
      </c>
      <c r="Z76" s="23" t="str">
        <f>IF(A76="","",IF(IF(OR(DATE($B$3,3,25)&gt;EOMONTH(DATE($B$3,3,1),0),NETWORKDAYS.INTL(DATE($B$3,3,25),DATE($B$3,3,25),1,'Non-working days'!$A$6:$A$45)=0),"",IF(COUNTIFS('Leave log'!$A$7:$A$306,Employees!$A$7,'Leave log'!$B$7:$B$306,"&lt;="&amp;DATE($B$3,3,25),'Leave log'!$C$7:$C$306,"&gt;="&amp;DATE($B$3,3,25),'Leave log'!$F$7:$F$306,"Approved")&gt;0,"A",""))="A","A",IF(OR(DATE($B$3,3,25)&gt;EOMONTH(DATE($B$3,3,1),0),NETWORKDAYS.INTL(DATE($B$3,3,25),DATE($B$3,3,25),1,'Non-working days'!$A$6:$A$45)=0),"",IF(COUNTIFS('Leave log'!$A$7:$A$306,Employees!$A$7,'Leave log'!$B$7:$B$306,"&lt;="&amp;DATE($B$3,3,25),'Leave log'!$C$7:$C$306,"&gt;="&amp;DATE($B$3,3,25),'Leave log'!$F$7:$F$306,"Pending")&gt;0,"P",""))))</f>
        <v/>
      </c>
      <c r="AA76" s="23" t="str">
        <f>IF(A76="","",IF(IF(OR(DATE($B$3,3,26)&gt;EOMONTH(DATE($B$3,3,1),0),NETWORKDAYS.INTL(DATE($B$3,3,26),DATE($B$3,3,26),1,'Non-working days'!$A$6:$A$45)=0),"",IF(COUNTIFS('Leave log'!$A$7:$A$306,Employees!$A$7,'Leave log'!$B$7:$B$306,"&lt;="&amp;DATE($B$3,3,26),'Leave log'!$C$7:$C$306,"&gt;="&amp;DATE($B$3,3,26),'Leave log'!$F$7:$F$306,"Approved")&gt;0,"A",""))="A","A",IF(OR(DATE($B$3,3,26)&gt;EOMONTH(DATE($B$3,3,1),0),NETWORKDAYS.INTL(DATE($B$3,3,26),DATE($B$3,3,26),1,'Non-working days'!$A$6:$A$45)=0),"",IF(COUNTIFS('Leave log'!$A$7:$A$306,Employees!$A$7,'Leave log'!$B$7:$B$306,"&lt;="&amp;DATE($B$3,3,26),'Leave log'!$C$7:$C$306,"&gt;="&amp;DATE($B$3,3,26),'Leave log'!$F$7:$F$306,"Pending")&gt;0,"P",""))))</f>
        <v/>
      </c>
      <c r="AB76" s="23" t="str">
        <f>IF(A76="","",IF(IF(OR(DATE($B$3,3,27)&gt;EOMONTH(DATE($B$3,3,1),0),NETWORKDAYS.INTL(DATE($B$3,3,27),DATE($B$3,3,27),1,'Non-working days'!$A$6:$A$45)=0),"",IF(COUNTIFS('Leave log'!$A$7:$A$306,Employees!$A$7,'Leave log'!$B$7:$B$306,"&lt;="&amp;DATE($B$3,3,27),'Leave log'!$C$7:$C$306,"&gt;="&amp;DATE($B$3,3,27),'Leave log'!$F$7:$F$306,"Approved")&gt;0,"A",""))="A","A",IF(OR(DATE($B$3,3,27)&gt;EOMONTH(DATE($B$3,3,1),0),NETWORKDAYS.INTL(DATE($B$3,3,27),DATE($B$3,3,27),1,'Non-working days'!$A$6:$A$45)=0),"",IF(COUNTIFS('Leave log'!$A$7:$A$306,Employees!$A$7,'Leave log'!$B$7:$B$306,"&lt;="&amp;DATE($B$3,3,27),'Leave log'!$C$7:$C$306,"&gt;="&amp;DATE($B$3,3,27),'Leave log'!$F$7:$F$306,"Pending")&gt;0,"P",""))))</f>
        <v/>
      </c>
      <c r="AC76" s="23" t="str">
        <f>IF(A76="","",IF(IF(OR(DATE($B$3,3,28)&gt;EOMONTH(DATE($B$3,3,1),0),NETWORKDAYS.INTL(DATE($B$3,3,28),DATE($B$3,3,28),1,'Non-working days'!$A$6:$A$45)=0),"",IF(COUNTIFS('Leave log'!$A$7:$A$306,Employees!$A$7,'Leave log'!$B$7:$B$306,"&lt;="&amp;DATE($B$3,3,28),'Leave log'!$C$7:$C$306,"&gt;="&amp;DATE($B$3,3,28),'Leave log'!$F$7:$F$306,"Approved")&gt;0,"A",""))="A","A",IF(OR(DATE($B$3,3,28)&gt;EOMONTH(DATE($B$3,3,1),0),NETWORKDAYS.INTL(DATE($B$3,3,28),DATE($B$3,3,28),1,'Non-working days'!$A$6:$A$45)=0),"",IF(COUNTIFS('Leave log'!$A$7:$A$306,Employees!$A$7,'Leave log'!$B$7:$B$306,"&lt;="&amp;DATE($B$3,3,28),'Leave log'!$C$7:$C$306,"&gt;="&amp;DATE($B$3,3,28),'Leave log'!$F$7:$F$306,"Pending")&gt;0,"P",""))))</f>
        <v/>
      </c>
      <c r="AD76" s="23" t="str">
        <f>IF(A76="","",IF(IF(OR(DATE($B$3,3,29)&gt;EOMONTH(DATE($B$3,3,1),0),NETWORKDAYS.INTL(DATE($B$3,3,29),DATE($B$3,3,29),1,'Non-working days'!$A$6:$A$45)=0),"",IF(COUNTIFS('Leave log'!$A$7:$A$306,Employees!$A$7,'Leave log'!$B$7:$B$306,"&lt;="&amp;DATE($B$3,3,29),'Leave log'!$C$7:$C$306,"&gt;="&amp;DATE($B$3,3,29),'Leave log'!$F$7:$F$306,"Approved")&gt;0,"A",""))="A","A",IF(OR(DATE($B$3,3,29)&gt;EOMONTH(DATE($B$3,3,1),0),NETWORKDAYS.INTL(DATE($B$3,3,29),DATE($B$3,3,29),1,'Non-working days'!$A$6:$A$45)=0),"",IF(COUNTIFS('Leave log'!$A$7:$A$306,Employees!$A$7,'Leave log'!$B$7:$B$306,"&lt;="&amp;DATE($B$3,3,29),'Leave log'!$C$7:$C$306,"&gt;="&amp;DATE($B$3,3,29),'Leave log'!$F$7:$F$306,"Pending")&gt;0,"P",""))))</f>
        <v/>
      </c>
      <c r="AE76" s="23" t="str">
        <f>IF(A76="","",IF(IF(OR(DATE($B$3,3,30)&gt;EOMONTH(DATE($B$3,3,1),0),NETWORKDAYS.INTL(DATE($B$3,3,30),DATE($B$3,3,30),1,'Non-working days'!$A$6:$A$45)=0),"",IF(COUNTIFS('Leave log'!$A$7:$A$306,Employees!$A$7,'Leave log'!$B$7:$B$306,"&lt;="&amp;DATE($B$3,3,30),'Leave log'!$C$7:$C$306,"&gt;="&amp;DATE($B$3,3,30),'Leave log'!$F$7:$F$306,"Approved")&gt;0,"A",""))="A","A",IF(OR(DATE($B$3,3,30)&gt;EOMONTH(DATE($B$3,3,1),0),NETWORKDAYS.INTL(DATE($B$3,3,30),DATE($B$3,3,30),1,'Non-working days'!$A$6:$A$45)=0),"",IF(COUNTIFS('Leave log'!$A$7:$A$306,Employees!$A$7,'Leave log'!$B$7:$B$306,"&lt;="&amp;DATE($B$3,3,30),'Leave log'!$C$7:$C$306,"&gt;="&amp;DATE($B$3,3,30),'Leave log'!$F$7:$F$306,"Pending")&gt;0,"P",""))))</f>
        <v/>
      </c>
      <c r="AF76" s="23" t="str">
        <f>IF(A76="","",IF(IF(OR(DATE($B$3,3,31)&gt;EOMONTH(DATE($B$3,3,1),0),NETWORKDAYS.INTL(DATE($B$3,3,31),DATE($B$3,3,31),1,'Non-working days'!$A$6:$A$45)=0),"",IF(COUNTIFS('Leave log'!$A$7:$A$306,Employees!$A$7,'Leave log'!$B$7:$B$306,"&lt;="&amp;DATE($B$3,3,31),'Leave log'!$C$7:$C$306,"&gt;="&amp;DATE($B$3,3,31),'Leave log'!$F$7:$F$306,"Approved")&gt;0,"A",""))="A","A",IF(OR(DATE($B$3,3,31)&gt;EOMONTH(DATE($B$3,3,1),0),NETWORKDAYS.INTL(DATE($B$3,3,31),DATE($B$3,3,31),1,'Non-working days'!$A$6:$A$45)=0),"",IF(COUNTIFS('Leave log'!$A$7:$A$306,Employees!$A$7,'Leave log'!$B$7:$B$306,"&lt;="&amp;DATE($B$3,3,31),'Leave log'!$C$7:$C$306,"&gt;="&amp;DATE($B$3,3,31),'Leave log'!$F$7:$F$306,"Pending")&gt;0,"P",""))))</f>
        <v/>
      </c>
    </row>
    <row r="77" spans="1:32" ht="18" customHeight="1" x14ac:dyDescent="0.3">
      <c r="A77" s="22" t="str">
        <f>IF(Employees!F8="Yes",Employees!B8,"")</f>
        <v/>
      </c>
      <c r="B77" s="23" t="str">
        <f>IF(A77="","",IF(IF(OR(DATE($B$3,3,1)&gt;EOMONTH(DATE($B$3,3,1),0),NETWORKDAYS.INTL(DATE($B$3,3,1),DATE($B$3,3,1),1,'Non-working days'!$A$6:$A$45)=0),"",IF(COUNTIFS('Leave log'!$A$7:$A$306,Employees!$A$8,'Leave log'!$B$7:$B$306,"&lt;="&amp;DATE($B$3,3,1),'Leave log'!$C$7:$C$306,"&gt;="&amp;DATE($B$3,3,1),'Leave log'!$F$7:$F$306,"Approved")&gt;0,"A",""))="A","A",IF(OR(DATE($B$3,3,1)&gt;EOMONTH(DATE($B$3,3,1),0),NETWORKDAYS.INTL(DATE($B$3,3,1),DATE($B$3,3,1),1,'Non-working days'!$A$6:$A$45)=0),"",IF(COUNTIFS('Leave log'!$A$7:$A$306,Employees!$A$8,'Leave log'!$B$7:$B$306,"&lt;="&amp;DATE($B$3,3,1),'Leave log'!$C$7:$C$306,"&gt;="&amp;DATE($B$3,3,1),'Leave log'!$F$7:$F$306,"Pending")&gt;0,"P",""))))</f>
        <v/>
      </c>
      <c r="C77" s="23" t="str">
        <f>IF(A77="","",IF(IF(OR(DATE($B$3,3,2)&gt;EOMONTH(DATE($B$3,3,1),0),NETWORKDAYS.INTL(DATE($B$3,3,2),DATE($B$3,3,2),1,'Non-working days'!$A$6:$A$45)=0),"",IF(COUNTIFS('Leave log'!$A$7:$A$306,Employees!$A$8,'Leave log'!$B$7:$B$306,"&lt;="&amp;DATE($B$3,3,2),'Leave log'!$C$7:$C$306,"&gt;="&amp;DATE($B$3,3,2),'Leave log'!$F$7:$F$306,"Approved")&gt;0,"A",""))="A","A",IF(OR(DATE($B$3,3,2)&gt;EOMONTH(DATE($B$3,3,1),0),NETWORKDAYS.INTL(DATE($B$3,3,2),DATE($B$3,3,2),1,'Non-working days'!$A$6:$A$45)=0),"",IF(COUNTIFS('Leave log'!$A$7:$A$306,Employees!$A$8,'Leave log'!$B$7:$B$306,"&lt;="&amp;DATE($B$3,3,2),'Leave log'!$C$7:$C$306,"&gt;="&amp;DATE($B$3,3,2),'Leave log'!$F$7:$F$306,"Pending")&gt;0,"P",""))))</f>
        <v/>
      </c>
      <c r="D77" s="23" t="str">
        <f>IF(A77="","",IF(IF(OR(DATE($B$3,3,3)&gt;EOMONTH(DATE($B$3,3,1),0),NETWORKDAYS.INTL(DATE($B$3,3,3),DATE($B$3,3,3),1,'Non-working days'!$A$6:$A$45)=0),"",IF(COUNTIFS('Leave log'!$A$7:$A$306,Employees!$A$8,'Leave log'!$B$7:$B$306,"&lt;="&amp;DATE($B$3,3,3),'Leave log'!$C$7:$C$306,"&gt;="&amp;DATE($B$3,3,3),'Leave log'!$F$7:$F$306,"Approved")&gt;0,"A",""))="A","A",IF(OR(DATE($B$3,3,3)&gt;EOMONTH(DATE($B$3,3,1),0),NETWORKDAYS.INTL(DATE($B$3,3,3),DATE($B$3,3,3),1,'Non-working days'!$A$6:$A$45)=0),"",IF(COUNTIFS('Leave log'!$A$7:$A$306,Employees!$A$8,'Leave log'!$B$7:$B$306,"&lt;="&amp;DATE($B$3,3,3),'Leave log'!$C$7:$C$306,"&gt;="&amp;DATE($B$3,3,3),'Leave log'!$F$7:$F$306,"Pending")&gt;0,"P",""))))</f>
        <v/>
      </c>
      <c r="E77" s="23" t="str">
        <f>IF(A77="","",IF(IF(OR(DATE($B$3,3,4)&gt;EOMONTH(DATE($B$3,3,1),0),NETWORKDAYS.INTL(DATE($B$3,3,4),DATE($B$3,3,4),1,'Non-working days'!$A$6:$A$45)=0),"",IF(COUNTIFS('Leave log'!$A$7:$A$306,Employees!$A$8,'Leave log'!$B$7:$B$306,"&lt;="&amp;DATE($B$3,3,4),'Leave log'!$C$7:$C$306,"&gt;="&amp;DATE($B$3,3,4),'Leave log'!$F$7:$F$306,"Approved")&gt;0,"A",""))="A","A",IF(OR(DATE($B$3,3,4)&gt;EOMONTH(DATE($B$3,3,1),0),NETWORKDAYS.INTL(DATE($B$3,3,4),DATE($B$3,3,4),1,'Non-working days'!$A$6:$A$45)=0),"",IF(COUNTIFS('Leave log'!$A$7:$A$306,Employees!$A$8,'Leave log'!$B$7:$B$306,"&lt;="&amp;DATE($B$3,3,4),'Leave log'!$C$7:$C$306,"&gt;="&amp;DATE($B$3,3,4),'Leave log'!$F$7:$F$306,"Pending")&gt;0,"P",""))))</f>
        <v/>
      </c>
      <c r="F77" s="23" t="str">
        <f>IF(A77="","",IF(IF(OR(DATE($B$3,3,5)&gt;EOMONTH(DATE($B$3,3,1),0),NETWORKDAYS.INTL(DATE($B$3,3,5),DATE($B$3,3,5),1,'Non-working days'!$A$6:$A$45)=0),"",IF(COUNTIFS('Leave log'!$A$7:$A$306,Employees!$A$8,'Leave log'!$B$7:$B$306,"&lt;="&amp;DATE($B$3,3,5),'Leave log'!$C$7:$C$306,"&gt;="&amp;DATE($B$3,3,5),'Leave log'!$F$7:$F$306,"Approved")&gt;0,"A",""))="A","A",IF(OR(DATE($B$3,3,5)&gt;EOMONTH(DATE($B$3,3,1),0),NETWORKDAYS.INTL(DATE($B$3,3,5),DATE($B$3,3,5),1,'Non-working days'!$A$6:$A$45)=0),"",IF(COUNTIFS('Leave log'!$A$7:$A$306,Employees!$A$8,'Leave log'!$B$7:$B$306,"&lt;="&amp;DATE($B$3,3,5),'Leave log'!$C$7:$C$306,"&gt;="&amp;DATE($B$3,3,5),'Leave log'!$F$7:$F$306,"Pending")&gt;0,"P",""))))</f>
        <v/>
      </c>
      <c r="G77" s="23" t="str">
        <f>IF(A77="","",IF(IF(OR(DATE($B$3,3,6)&gt;EOMONTH(DATE($B$3,3,1),0),NETWORKDAYS.INTL(DATE($B$3,3,6),DATE($B$3,3,6),1,'Non-working days'!$A$6:$A$45)=0),"",IF(COUNTIFS('Leave log'!$A$7:$A$306,Employees!$A$8,'Leave log'!$B$7:$B$306,"&lt;="&amp;DATE($B$3,3,6),'Leave log'!$C$7:$C$306,"&gt;="&amp;DATE($B$3,3,6),'Leave log'!$F$7:$F$306,"Approved")&gt;0,"A",""))="A","A",IF(OR(DATE($B$3,3,6)&gt;EOMONTH(DATE($B$3,3,1),0),NETWORKDAYS.INTL(DATE($B$3,3,6),DATE($B$3,3,6),1,'Non-working days'!$A$6:$A$45)=0),"",IF(COUNTIFS('Leave log'!$A$7:$A$306,Employees!$A$8,'Leave log'!$B$7:$B$306,"&lt;="&amp;DATE($B$3,3,6),'Leave log'!$C$7:$C$306,"&gt;="&amp;DATE($B$3,3,6),'Leave log'!$F$7:$F$306,"Pending")&gt;0,"P",""))))</f>
        <v/>
      </c>
      <c r="H77" s="23" t="str">
        <f>IF(A77="","",IF(IF(OR(DATE($B$3,3,7)&gt;EOMONTH(DATE($B$3,3,1),0),NETWORKDAYS.INTL(DATE($B$3,3,7),DATE($B$3,3,7),1,'Non-working days'!$A$6:$A$45)=0),"",IF(COUNTIFS('Leave log'!$A$7:$A$306,Employees!$A$8,'Leave log'!$B$7:$B$306,"&lt;="&amp;DATE($B$3,3,7),'Leave log'!$C$7:$C$306,"&gt;="&amp;DATE($B$3,3,7),'Leave log'!$F$7:$F$306,"Approved")&gt;0,"A",""))="A","A",IF(OR(DATE($B$3,3,7)&gt;EOMONTH(DATE($B$3,3,1),0),NETWORKDAYS.INTL(DATE($B$3,3,7),DATE($B$3,3,7),1,'Non-working days'!$A$6:$A$45)=0),"",IF(COUNTIFS('Leave log'!$A$7:$A$306,Employees!$A$8,'Leave log'!$B$7:$B$306,"&lt;="&amp;DATE($B$3,3,7),'Leave log'!$C$7:$C$306,"&gt;="&amp;DATE($B$3,3,7),'Leave log'!$F$7:$F$306,"Pending")&gt;0,"P",""))))</f>
        <v/>
      </c>
      <c r="I77" s="23" t="str">
        <f>IF(A77="","",IF(IF(OR(DATE($B$3,3,8)&gt;EOMONTH(DATE($B$3,3,1),0),NETWORKDAYS.INTL(DATE($B$3,3,8),DATE($B$3,3,8),1,'Non-working days'!$A$6:$A$45)=0),"",IF(COUNTIFS('Leave log'!$A$7:$A$306,Employees!$A$8,'Leave log'!$B$7:$B$306,"&lt;="&amp;DATE($B$3,3,8),'Leave log'!$C$7:$C$306,"&gt;="&amp;DATE($B$3,3,8),'Leave log'!$F$7:$F$306,"Approved")&gt;0,"A",""))="A","A",IF(OR(DATE($B$3,3,8)&gt;EOMONTH(DATE($B$3,3,1),0),NETWORKDAYS.INTL(DATE($B$3,3,8),DATE($B$3,3,8),1,'Non-working days'!$A$6:$A$45)=0),"",IF(COUNTIFS('Leave log'!$A$7:$A$306,Employees!$A$8,'Leave log'!$B$7:$B$306,"&lt;="&amp;DATE($B$3,3,8),'Leave log'!$C$7:$C$306,"&gt;="&amp;DATE($B$3,3,8),'Leave log'!$F$7:$F$306,"Pending")&gt;0,"P",""))))</f>
        <v/>
      </c>
      <c r="J77" s="23" t="str">
        <f>IF(A77="","",IF(IF(OR(DATE($B$3,3,9)&gt;EOMONTH(DATE($B$3,3,1),0),NETWORKDAYS.INTL(DATE($B$3,3,9),DATE($B$3,3,9),1,'Non-working days'!$A$6:$A$45)=0),"",IF(COUNTIFS('Leave log'!$A$7:$A$306,Employees!$A$8,'Leave log'!$B$7:$B$306,"&lt;="&amp;DATE($B$3,3,9),'Leave log'!$C$7:$C$306,"&gt;="&amp;DATE($B$3,3,9),'Leave log'!$F$7:$F$306,"Approved")&gt;0,"A",""))="A","A",IF(OR(DATE($B$3,3,9)&gt;EOMONTH(DATE($B$3,3,1),0),NETWORKDAYS.INTL(DATE($B$3,3,9),DATE($B$3,3,9),1,'Non-working days'!$A$6:$A$45)=0),"",IF(COUNTIFS('Leave log'!$A$7:$A$306,Employees!$A$8,'Leave log'!$B$7:$B$306,"&lt;="&amp;DATE($B$3,3,9),'Leave log'!$C$7:$C$306,"&gt;="&amp;DATE($B$3,3,9),'Leave log'!$F$7:$F$306,"Pending")&gt;0,"P",""))))</f>
        <v/>
      </c>
      <c r="K77" s="23" t="str">
        <f>IF(A77="","",IF(IF(OR(DATE($B$3,3,10)&gt;EOMONTH(DATE($B$3,3,1),0),NETWORKDAYS.INTL(DATE($B$3,3,10),DATE($B$3,3,10),1,'Non-working days'!$A$6:$A$45)=0),"",IF(COUNTIFS('Leave log'!$A$7:$A$306,Employees!$A$8,'Leave log'!$B$7:$B$306,"&lt;="&amp;DATE($B$3,3,10),'Leave log'!$C$7:$C$306,"&gt;="&amp;DATE($B$3,3,10),'Leave log'!$F$7:$F$306,"Approved")&gt;0,"A",""))="A","A",IF(OR(DATE($B$3,3,10)&gt;EOMONTH(DATE($B$3,3,1),0),NETWORKDAYS.INTL(DATE($B$3,3,10),DATE($B$3,3,10),1,'Non-working days'!$A$6:$A$45)=0),"",IF(COUNTIFS('Leave log'!$A$7:$A$306,Employees!$A$8,'Leave log'!$B$7:$B$306,"&lt;="&amp;DATE($B$3,3,10),'Leave log'!$C$7:$C$306,"&gt;="&amp;DATE($B$3,3,10),'Leave log'!$F$7:$F$306,"Pending")&gt;0,"P",""))))</f>
        <v/>
      </c>
      <c r="L77" s="23" t="str">
        <f>IF(A77="","",IF(IF(OR(DATE($B$3,3,11)&gt;EOMONTH(DATE($B$3,3,1),0),NETWORKDAYS.INTL(DATE($B$3,3,11),DATE($B$3,3,11),1,'Non-working days'!$A$6:$A$45)=0),"",IF(COUNTIFS('Leave log'!$A$7:$A$306,Employees!$A$8,'Leave log'!$B$7:$B$306,"&lt;="&amp;DATE($B$3,3,11),'Leave log'!$C$7:$C$306,"&gt;="&amp;DATE($B$3,3,11),'Leave log'!$F$7:$F$306,"Approved")&gt;0,"A",""))="A","A",IF(OR(DATE($B$3,3,11)&gt;EOMONTH(DATE($B$3,3,1),0),NETWORKDAYS.INTL(DATE($B$3,3,11),DATE($B$3,3,11),1,'Non-working days'!$A$6:$A$45)=0),"",IF(COUNTIFS('Leave log'!$A$7:$A$306,Employees!$A$8,'Leave log'!$B$7:$B$306,"&lt;="&amp;DATE($B$3,3,11),'Leave log'!$C$7:$C$306,"&gt;="&amp;DATE($B$3,3,11),'Leave log'!$F$7:$F$306,"Pending")&gt;0,"P",""))))</f>
        <v/>
      </c>
      <c r="M77" s="23" t="str">
        <f>IF(A77="","",IF(IF(OR(DATE($B$3,3,12)&gt;EOMONTH(DATE($B$3,3,1),0),NETWORKDAYS.INTL(DATE($B$3,3,12),DATE($B$3,3,12),1,'Non-working days'!$A$6:$A$45)=0),"",IF(COUNTIFS('Leave log'!$A$7:$A$306,Employees!$A$8,'Leave log'!$B$7:$B$306,"&lt;="&amp;DATE($B$3,3,12),'Leave log'!$C$7:$C$306,"&gt;="&amp;DATE($B$3,3,12),'Leave log'!$F$7:$F$306,"Approved")&gt;0,"A",""))="A","A",IF(OR(DATE($B$3,3,12)&gt;EOMONTH(DATE($B$3,3,1),0),NETWORKDAYS.INTL(DATE($B$3,3,12),DATE($B$3,3,12),1,'Non-working days'!$A$6:$A$45)=0),"",IF(COUNTIFS('Leave log'!$A$7:$A$306,Employees!$A$8,'Leave log'!$B$7:$B$306,"&lt;="&amp;DATE($B$3,3,12),'Leave log'!$C$7:$C$306,"&gt;="&amp;DATE($B$3,3,12),'Leave log'!$F$7:$F$306,"Pending")&gt;0,"P",""))))</f>
        <v/>
      </c>
      <c r="N77" s="23" t="str">
        <f>IF(A77="","",IF(IF(OR(DATE($B$3,3,13)&gt;EOMONTH(DATE($B$3,3,1),0),NETWORKDAYS.INTL(DATE($B$3,3,13),DATE($B$3,3,13),1,'Non-working days'!$A$6:$A$45)=0),"",IF(COUNTIFS('Leave log'!$A$7:$A$306,Employees!$A$8,'Leave log'!$B$7:$B$306,"&lt;="&amp;DATE($B$3,3,13),'Leave log'!$C$7:$C$306,"&gt;="&amp;DATE($B$3,3,13),'Leave log'!$F$7:$F$306,"Approved")&gt;0,"A",""))="A","A",IF(OR(DATE($B$3,3,13)&gt;EOMONTH(DATE($B$3,3,1),0),NETWORKDAYS.INTL(DATE($B$3,3,13),DATE($B$3,3,13),1,'Non-working days'!$A$6:$A$45)=0),"",IF(COUNTIFS('Leave log'!$A$7:$A$306,Employees!$A$8,'Leave log'!$B$7:$B$306,"&lt;="&amp;DATE($B$3,3,13),'Leave log'!$C$7:$C$306,"&gt;="&amp;DATE($B$3,3,13),'Leave log'!$F$7:$F$306,"Pending")&gt;0,"P",""))))</f>
        <v/>
      </c>
      <c r="O77" s="23" t="str">
        <f>IF(A77="","",IF(IF(OR(DATE($B$3,3,14)&gt;EOMONTH(DATE($B$3,3,1),0),NETWORKDAYS.INTL(DATE($B$3,3,14),DATE($B$3,3,14),1,'Non-working days'!$A$6:$A$45)=0),"",IF(COUNTIFS('Leave log'!$A$7:$A$306,Employees!$A$8,'Leave log'!$B$7:$B$306,"&lt;="&amp;DATE($B$3,3,14),'Leave log'!$C$7:$C$306,"&gt;="&amp;DATE($B$3,3,14),'Leave log'!$F$7:$F$306,"Approved")&gt;0,"A",""))="A","A",IF(OR(DATE($B$3,3,14)&gt;EOMONTH(DATE($B$3,3,1),0),NETWORKDAYS.INTL(DATE($B$3,3,14),DATE($B$3,3,14),1,'Non-working days'!$A$6:$A$45)=0),"",IF(COUNTIFS('Leave log'!$A$7:$A$306,Employees!$A$8,'Leave log'!$B$7:$B$306,"&lt;="&amp;DATE($B$3,3,14),'Leave log'!$C$7:$C$306,"&gt;="&amp;DATE($B$3,3,14),'Leave log'!$F$7:$F$306,"Pending")&gt;0,"P",""))))</f>
        <v/>
      </c>
      <c r="P77" s="23" t="str">
        <f>IF(A77="","",IF(IF(OR(DATE($B$3,3,15)&gt;EOMONTH(DATE($B$3,3,1),0),NETWORKDAYS.INTL(DATE($B$3,3,15),DATE($B$3,3,15),1,'Non-working days'!$A$6:$A$45)=0),"",IF(COUNTIFS('Leave log'!$A$7:$A$306,Employees!$A$8,'Leave log'!$B$7:$B$306,"&lt;="&amp;DATE($B$3,3,15),'Leave log'!$C$7:$C$306,"&gt;="&amp;DATE($B$3,3,15),'Leave log'!$F$7:$F$306,"Approved")&gt;0,"A",""))="A","A",IF(OR(DATE($B$3,3,15)&gt;EOMONTH(DATE($B$3,3,1),0),NETWORKDAYS.INTL(DATE($B$3,3,15),DATE($B$3,3,15),1,'Non-working days'!$A$6:$A$45)=0),"",IF(COUNTIFS('Leave log'!$A$7:$A$306,Employees!$A$8,'Leave log'!$B$7:$B$306,"&lt;="&amp;DATE($B$3,3,15),'Leave log'!$C$7:$C$306,"&gt;="&amp;DATE($B$3,3,15),'Leave log'!$F$7:$F$306,"Pending")&gt;0,"P",""))))</f>
        <v/>
      </c>
      <c r="Q77" s="23" t="str">
        <f>IF(A77="","",IF(IF(OR(DATE($B$3,3,16)&gt;EOMONTH(DATE($B$3,3,1),0),NETWORKDAYS.INTL(DATE($B$3,3,16),DATE($B$3,3,16),1,'Non-working days'!$A$6:$A$45)=0),"",IF(COUNTIFS('Leave log'!$A$7:$A$306,Employees!$A$8,'Leave log'!$B$7:$B$306,"&lt;="&amp;DATE($B$3,3,16),'Leave log'!$C$7:$C$306,"&gt;="&amp;DATE($B$3,3,16),'Leave log'!$F$7:$F$306,"Approved")&gt;0,"A",""))="A","A",IF(OR(DATE($B$3,3,16)&gt;EOMONTH(DATE($B$3,3,1),0),NETWORKDAYS.INTL(DATE($B$3,3,16),DATE($B$3,3,16),1,'Non-working days'!$A$6:$A$45)=0),"",IF(COUNTIFS('Leave log'!$A$7:$A$306,Employees!$A$8,'Leave log'!$B$7:$B$306,"&lt;="&amp;DATE($B$3,3,16),'Leave log'!$C$7:$C$306,"&gt;="&amp;DATE($B$3,3,16),'Leave log'!$F$7:$F$306,"Pending")&gt;0,"P",""))))</f>
        <v/>
      </c>
      <c r="R77" s="23" t="str">
        <f>IF(A77="","",IF(IF(OR(DATE($B$3,3,17)&gt;EOMONTH(DATE($B$3,3,1),0),NETWORKDAYS.INTL(DATE($B$3,3,17),DATE($B$3,3,17),1,'Non-working days'!$A$6:$A$45)=0),"",IF(COUNTIFS('Leave log'!$A$7:$A$306,Employees!$A$8,'Leave log'!$B$7:$B$306,"&lt;="&amp;DATE($B$3,3,17),'Leave log'!$C$7:$C$306,"&gt;="&amp;DATE($B$3,3,17),'Leave log'!$F$7:$F$306,"Approved")&gt;0,"A",""))="A","A",IF(OR(DATE($B$3,3,17)&gt;EOMONTH(DATE($B$3,3,1),0),NETWORKDAYS.INTL(DATE($B$3,3,17),DATE($B$3,3,17),1,'Non-working days'!$A$6:$A$45)=0),"",IF(COUNTIFS('Leave log'!$A$7:$A$306,Employees!$A$8,'Leave log'!$B$7:$B$306,"&lt;="&amp;DATE($B$3,3,17),'Leave log'!$C$7:$C$306,"&gt;="&amp;DATE($B$3,3,17),'Leave log'!$F$7:$F$306,"Pending")&gt;0,"P",""))))</f>
        <v/>
      </c>
      <c r="S77" s="23" t="str">
        <f>IF(A77="","",IF(IF(OR(DATE($B$3,3,18)&gt;EOMONTH(DATE($B$3,3,1),0),NETWORKDAYS.INTL(DATE($B$3,3,18),DATE($B$3,3,18),1,'Non-working days'!$A$6:$A$45)=0),"",IF(COUNTIFS('Leave log'!$A$7:$A$306,Employees!$A$8,'Leave log'!$B$7:$B$306,"&lt;="&amp;DATE($B$3,3,18),'Leave log'!$C$7:$C$306,"&gt;="&amp;DATE($B$3,3,18),'Leave log'!$F$7:$F$306,"Approved")&gt;0,"A",""))="A","A",IF(OR(DATE($B$3,3,18)&gt;EOMONTH(DATE($B$3,3,1),0),NETWORKDAYS.INTL(DATE($B$3,3,18),DATE($B$3,3,18),1,'Non-working days'!$A$6:$A$45)=0),"",IF(COUNTIFS('Leave log'!$A$7:$A$306,Employees!$A$8,'Leave log'!$B$7:$B$306,"&lt;="&amp;DATE($B$3,3,18),'Leave log'!$C$7:$C$306,"&gt;="&amp;DATE($B$3,3,18),'Leave log'!$F$7:$F$306,"Pending")&gt;0,"P",""))))</f>
        <v/>
      </c>
      <c r="T77" s="23" t="str">
        <f>IF(A77="","",IF(IF(OR(DATE($B$3,3,19)&gt;EOMONTH(DATE($B$3,3,1),0),NETWORKDAYS.INTL(DATE($B$3,3,19),DATE($B$3,3,19),1,'Non-working days'!$A$6:$A$45)=0),"",IF(COUNTIFS('Leave log'!$A$7:$A$306,Employees!$A$8,'Leave log'!$B$7:$B$306,"&lt;="&amp;DATE($B$3,3,19),'Leave log'!$C$7:$C$306,"&gt;="&amp;DATE($B$3,3,19),'Leave log'!$F$7:$F$306,"Approved")&gt;0,"A",""))="A","A",IF(OR(DATE($B$3,3,19)&gt;EOMONTH(DATE($B$3,3,1),0),NETWORKDAYS.INTL(DATE($B$3,3,19),DATE($B$3,3,19),1,'Non-working days'!$A$6:$A$45)=0),"",IF(COUNTIFS('Leave log'!$A$7:$A$306,Employees!$A$8,'Leave log'!$B$7:$B$306,"&lt;="&amp;DATE($B$3,3,19),'Leave log'!$C$7:$C$306,"&gt;="&amp;DATE($B$3,3,19),'Leave log'!$F$7:$F$306,"Pending")&gt;0,"P",""))))</f>
        <v/>
      </c>
      <c r="U77" s="23" t="str">
        <f>IF(A77="","",IF(IF(OR(DATE($B$3,3,20)&gt;EOMONTH(DATE($B$3,3,1),0),NETWORKDAYS.INTL(DATE($B$3,3,20),DATE($B$3,3,20),1,'Non-working days'!$A$6:$A$45)=0),"",IF(COUNTIFS('Leave log'!$A$7:$A$306,Employees!$A$8,'Leave log'!$B$7:$B$306,"&lt;="&amp;DATE($B$3,3,20),'Leave log'!$C$7:$C$306,"&gt;="&amp;DATE($B$3,3,20),'Leave log'!$F$7:$F$306,"Approved")&gt;0,"A",""))="A","A",IF(OR(DATE($B$3,3,20)&gt;EOMONTH(DATE($B$3,3,1),0),NETWORKDAYS.INTL(DATE($B$3,3,20),DATE($B$3,3,20),1,'Non-working days'!$A$6:$A$45)=0),"",IF(COUNTIFS('Leave log'!$A$7:$A$306,Employees!$A$8,'Leave log'!$B$7:$B$306,"&lt;="&amp;DATE($B$3,3,20),'Leave log'!$C$7:$C$306,"&gt;="&amp;DATE($B$3,3,20),'Leave log'!$F$7:$F$306,"Pending")&gt;0,"P",""))))</f>
        <v/>
      </c>
      <c r="V77" s="23" t="str">
        <f>IF(A77="","",IF(IF(OR(DATE($B$3,3,21)&gt;EOMONTH(DATE($B$3,3,1),0),NETWORKDAYS.INTL(DATE($B$3,3,21),DATE($B$3,3,21),1,'Non-working days'!$A$6:$A$45)=0),"",IF(COUNTIFS('Leave log'!$A$7:$A$306,Employees!$A$8,'Leave log'!$B$7:$B$306,"&lt;="&amp;DATE($B$3,3,21),'Leave log'!$C$7:$C$306,"&gt;="&amp;DATE($B$3,3,21),'Leave log'!$F$7:$F$306,"Approved")&gt;0,"A",""))="A","A",IF(OR(DATE($B$3,3,21)&gt;EOMONTH(DATE($B$3,3,1),0),NETWORKDAYS.INTL(DATE($B$3,3,21),DATE($B$3,3,21),1,'Non-working days'!$A$6:$A$45)=0),"",IF(COUNTIFS('Leave log'!$A$7:$A$306,Employees!$A$8,'Leave log'!$B$7:$B$306,"&lt;="&amp;DATE($B$3,3,21),'Leave log'!$C$7:$C$306,"&gt;="&amp;DATE($B$3,3,21),'Leave log'!$F$7:$F$306,"Pending")&gt;0,"P",""))))</f>
        <v/>
      </c>
      <c r="W77" s="23" t="str">
        <f>IF(A77="","",IF(IF(OR(DATE($B$3,3,22)&gt;EOMONTH(DATE($B$3,3,1),0),NETWORKDAYS.INTL(DATE($B$3,3,22),DATE($B$3,3,22),1,'Non-working days'!$A$6:$A$45)=0),"",IF(COUNTIFS('Leave log'!$A$7:$A$306,Employees!$A$8,'Leave log'!$B$7:$B$306,"&lt;="&amp;DATE($B$3,3,22),'Leave log'!$C$7:$C$306,"&gt;="&amp;DATE($B$3,3,22),'Leave log'!$F$7:$F$306,"Approved")&gt;0,"A",""))="A","A",IF(OR(DATE($B$3,3,22)&gt;EOMONTH(DATE($B$3,3,1),0),NETWORKDAYS.INTL(DATE($B$3,3,22),DATE($B$3,3,22),1,'Non-working days'!$A$6:$A$45)=0),"",IF(COUNTIFS('Leave log'!$A$7:$A$306,Employees!$A$8,'Leave log'!$B$7:$B$306,"&lt;="&amp;DATE($B$3,3,22),'Leave log'!$C$7:$C$306,"&gt;="&amp;DATE($B$3,3,22),'Leave log'!$F$7:$F$306,"Pending")&gt;0,"P",""))))</f>
        <v/>
      </c>
      <c r="X77" s="23" t="str">
        <f>IF(A77="","",IF(IF(OR(DATE($B$3,3,23)&gt;EOMONTH(DATE($B$3,3,1),0),NETWORKDAYS.INTL(DATE($B$3,3,23),DATE($B$3,3,23),1,'Non-working days'!$A$6:$A$45)=0),"",IF(COUNTIFS('Leave log'!$A$7:$A$306,Employees!$A$8,'Leave log'!$B$7:$B$306,"&lt;="&amp;DATE($B$3,3,23),'Leave log'!$C$7:$C$306,"&gt;="&amp;DATE($B$3,3,23),'Leave log'!$F$7:$F$306,"Approved")&gt;0,"A",""))="A","A",IF(OR(DATE($B$3,3,23)&gt;EOMONTH(DATE($B$3,3,1),0),NETWORKDAYS.INTL(DATE($B$3,3,23),DATE($B$3,3,23),1,'Non-working days'!$A$6:$A$45)=0),"",IF(COUNTIFS('Leave log'!$A$7:$A$306,Employees!$A$8,'Leave log'!$B$7:$B$306,"&lt;="&amp;DATE($B$3,3,23),'Leave log'!$C$7:$C$306,"&gt;="&amp;DATE($B$3,3,23),'Leave log'!$F$7:$F$306,"Pending")&gt;0,"P",""))))</f>
        <v/>
      </c>
      <c r="Y77" s="23" t="str">
        <f>IF(A77="","",IF(IF(OR(DATE($B$3,3,24)&gt;EOMONTH(DATE($B$3,3,1),0),NETWORKDAYS.INTL(DATE($B$3,3,24),DATE($B$3,3,24),1,'Non-working days'!$A$6:$A$45)=0),"",IF(COUNTIFS('Leave log'!$A$7:$A$306,Employees!$A$8,'Leave log'!$B$7:$B$306,"&lt;="&amp;DATE($B$3,3,24),'Leave log'!$C$7:$C$306,"&gt;="&amp;DATE($B$3,3,24),'Leave log'!$F$7:$F$306,"Approved")&gt;0,"A",""))="A","A",IF(OR(DATE($B$3,3,24)&gt;EOMONTH(DATE($B$3,3,1),0),NETWORKDAYS.INTL(DATE($B$3,3,24),DATE($B$3,3,24),1,'Non-working days'!$A$6:$A$45)=0),"",IF(COUNTIFS('Leave log'!$A$7:$A$306,Employees!$A$8,'Leave log'!$B$7:$B$306,"&lt;="&amp;DATE($B$3,3,24),'Leave log'!$C$7:$C$306,"&gt;="&amp;DATE($B$3,3,24),'Leave log'!$F$7:$F$306,"Pending")&gt;0,"P",""))))</f>
        <v/>
      </c>
      <c r="Z77" s="23" t="str">
        <f>IF(A77="","",IF(IF(OR(DATE($B$3,3,25)&gt;EOMONTH(DATE($B$3,3,1),0),NETWORKDAYS.INTL(DATE($B$3,3,25),DATE($B$3,3,25),1,'Non-working days'!$A$6:$A$45)=0),"",IF(COUNTIFS('Leave log'!$A$7:$A$306,Employees!$A$8,'Leave log'!$B$7:$B$306,"&lt;="&amp;DATE($B$3,3,25),'Leave log'!$C$7:$C$306,"&gt;="&amp;DATE($B$3,3,25),'Leave log'!$F$7:$F$306,"Approved")&gt;0,"A",""))="A","A",IF(OR(DATE($B$3,3,25)&gt;EOMONTH(DATE($B$3,3,1),0),NETWORKDAYS.INTL(DATE($B$3,3,25),DATE($B$3,3,25),1,'Non-working days'!$A$6:$A$45)=0),"",IF(COUNTIFS('Leave log'!$A$7:$A$306,Employees!$A$8,'Leave log'!$B$7:$B$306,"&lt;="&amp;DATE($B$3,3,25),'Leave log'!$C$7:$C$306,"&gt;="&amp;DATE($B$3,3,25),'Leave log'!$F$7:$F$306,"Pending")&gt;0,"P",""))))</f>
        <v/>
      </c>
      <c r="AA77" s="23" t="str">
        <f>IF(A77="","",IF(IF(OR(DATE($B$3,3,26)&gt;EOMONTH(DATE($B$3,3,1),0),NETWORKDAYS.INTL(DATE($B$3,3,26),DATE($B$3,3,26),1,'Non-working days'!$A$6:$A$45)=0),"",IF(COUNTIFS('Leave log'!$A$7:$A$306,Employees!$A$8,'Leave log'!$B$7:$B$306,"&lt;="&amp;DATE($B$3,3,26),'Leave log'!$C$7:$C$306,"&gt;="&amp;DATE($B$3,3,26),'Leave log'!$F$7:$F$306,"Approved")&gt;0,"A",""))="A","A",IF(OR(DATE($B$3,3,26)&gt;EOMONTH(DATE($B$3,3,1),0),NETWORKDAYS.INTL(DATE($B$3,3,26),DATE($B$3,3,26),1,'Non-working days'!$A$6:$A$45)=0),"",IF(COUNTIFS('Leave log'!$A$7:$A$306,Employees!$A$8,'Leave log'!$B$7:$B$306,"&lt;="&amp;DATE($B$3,3,26),'Leave log'!$C$7:$C$306,"&gt;="&amp;DATE($B$3,3,26),'Leave log'!$F$7:$F$306,"Pending")&gt;0,"P",""))))</f>
        <v/>
      </c>
      <c r="AB77" s="23" t="str">
        <f>IF(A77="","",IF(IF(OR(DATE($B$3,3,27)&gt;EOMONTH(DATE($B$3,3,1),0),NETWORKDAYS.INTL(DATE($B$3,3,27),DATE($B$3,3,27),1,'Non-working days'!$A$6:$A$45)=0),"",IF(COUNTIFS('Leave log'!$A$7:$A$306,Employees!$A$8,'Leave log'!$B$7:$B$306,"&lt;="&amp;DATE($B$3,3,27),'Leave log'!$C$7:$C$306,"&gt;="&amp;DATE($B$3,3,27),'Leave log'!$F$7:$F$306,"Approved")&gt;0,"A",""))="A","A",IF(OR(DATE($B$3,3,27)&gt;EOMONTH(DATE($B$3,3,1),0),NETWORKDAYS.INTL(DATE($B$3,3,27),DATE($B$3,3,27),1,'Non-working days'!$A$6:$A$45)=0),"",IF(COUNTIFS('Leave log'!$A$7:$A$306,Employees!$A$8,'Leave log'!$B$7:$B$306,"&lt;="&amp;DATE($B$3,3,27),'Leave log'!$C$7:$C$306,"&gt;="&amp;DATE($B$3,3,27),'Leave log'!$F$7:$F$306,"Pending")&gt;0,"P",""))))</f>
        <v/>
      </c>
      <c r="AC77" s="23" t="str">
        <f>IF(A77="","",IF(IF(OR(DATE($B$3,3,28)&gt;EOMONTH(DATE($B$3,3,1),0),NETWORKDAYS.INTL(DATE($B$3,3,28),DATE($B$3,3,28),1,'Non-working days'!$A$6:$A$45)=0),"",IF(COUNTIFS('Leave log'!$A$7:$A$306,Employees!$A$8,'Leave log'!$B$7:$B$306,"&lt;="&amp;DATE($B$3,3,28),'Leave log'!$C$7:$C$306,"&gt;="&amp;DATE($B$3,3,28),'Leave log'!$F$7:$F$306,"Approved")&gt;0,"A",""))="A","A",IF(OR(DATE($B$3,3,28)&gt;EOMONTH(DATE($B$3,3,1),0),NETWORKDAYS.INTL(DATE($B$3,3,28),DATE($B$3,3,28),1,'Non-working days'!$A$6:$A$45)=0),"",IF(COUNTIFS('Leave log'!$A$7:$A$306,Employees!$A$8,'Leave log'!$B$7:$B$306,"&lt;="&amp;DATE($B$3,3,28),'Leave log'!$C$7:$C$306,"&gt;="&amp;DATE($B$3,3,28),'Leave log'!$F$7:$F$306,"Pending")&gt;0,"P",""))))</f>
        <v/>
      </c>
      <c r="AD77" s="23" t="str">
        <f>IF(A77="","",IF(IF(OR(DATE($B$3,3,29)&gt;EOMONTH(DATE($B$3,3,1),0),NETWORKDAYS.INTL(DATE($B$3,3,29),DATE($B$3,3,29),1,'Non-working days'!$A$6:$A$45)=0),"",IF(COUNTIFS('Leave log'!$A$7:$A$306,Employees!$A$8,'Leave log'!$B$7:$B$306,"&lt;="&amp;DATE($B$3,3,29),'Leave log'!$C$7:$C$306,"&gt;="&amp;DATE($B$3,3,29),'Leave log'!$F$7:$F$306,"Approved")&gt;0,"A",""))="A","A",IF(OR(DATE($B$3,3,29)&gt;EOMONTH(DATE($B$3,3,1),0),NETWORKDAYS.INTL(DATE($B$3,3,29),DATE($B$3,3,29),1,'Non-working days'!$A$6:$A$45)=0),"",IF(COUNTIFS('Leave log'!$A$7:$A$306,Employees!$A$8,'Leave log'!$B$7:$B$306,"&lt;="&amp;DATE($B$3,3,29),'Leave log'!$C$7:$C$306,"&gt;="&amp;DATE($B$3,3,29),'Leave log'!$F$7:$F$306,"Pending")&gt;0,"P",""))))</f>
        <v/>
      </c>
      <c r="AE77" s="23" t="str">
        <f>IF(A77="","",IF(IF(OR(DATE($B$3,3,30)&gt;EOMONTH(DATE($B$3,3,1),0),NETWORKDAYS.INTL(DATE($B$3,3,30),DATE($B$3,3,30),1,'Non-working days'!$A$6:$A$45)=0),"",IF(COUNTIFS('Leave log'!$A$7:$A$306,Employees!$A$8,'Leave log'!$B$7:$B$306,"&lt;="&amp;DATE($B$3,3,30),'Leave log'!$C$7:$C$306,"&gt;="&amp;DATE($B$3,3,30),'Leave log'!$F$7:$F$306,"Approved")&gt;0,"A",""))="A","A",IF(OR(DATE($B$3,3,30)&gt;EOMONTH(DATE($B$3,3,1),0),NETWORKDAYS.INTL(DATE($B$3,3,30),DATE($B$3,3,30),1,'Non-working days'!$A$6:$A$45)=0),"",IF(COUNTIFS('Leave log'!$A$7:$A$306,Employees!$A$8,'Leave log'!$B$7:$B$306,"&lt;="&amp;DATE($B$3,3,30),'Leave log'!$C$7:$C$306,"&gt;="&amp;DATE($B$3,3,30),'Leave log'!$F$7:$F$306,"Pending")&gt;0,"P",""))))</f>
        <v/>
      </c>
      <c r="AF77" s="23" t="str">
        <f>IF(A77="","",IF(IF(OR(DATE($B$3,3,31)&gt;EOMONTH(DATE($B$3,3,1),0),NETWORKDAYS.INTL(DATE($B$3,3,31),DATE($B$3,3,31),1,'Non-working days'!$A$6:$A$45)=0),"",IF(COUNTIFS('Leave log'!$A$7:$A$306,Employees!$A$8,'Leave log'!$B$7:$B$306,"&lt;="&amp;DATE($B$3,3,31),'Leave log'!$C$7:$C$306,"&gt;="&amp;DATE($B$3,3,31),'Leave log'!$F$7:$F$306,"Approved")&gt;0,"A",""))="A","A",IF(OR(DATE($B$3,3,31)&gt;EOMONTH(DATE($B$3,3,1),0),NETWORKDAYS.INTL(DATE($B$3,3,31),DATE($B$3,3,31),1,'Non-working days'!$A$6:$A$45)=0),"",IF(COUNTIFS('Leave log'!$A$7:$A$306,Employees!$A$8,'Leave log'!$B$7:$B$306,"&lt;="&amp;DATE($B$3,3,31),'Leave log'!$C$7:$C$306,"&gt;="&amp;DATE($B$3,3,31),'Leave log'!$F$7:$F$306,"Pending")&gt;0,"P",""))))</f>
        <v/>
      </c>
    </row>
    <row r="78" spans="1:32" ht="18" customHeight="1" x14ac:dyDescent="0.3">
      <c r="A78" s="22" t="str">
        <f>IF(Employees!F9="Yes",Employees!B9,"")</f>
        <v/>
      </c>
      <c r="B78" s="23" t="str">
        <f>IF(A78="","",IF(IF(OR(DATE($B$3,3,1)&gt;EOMONTH(DATE($B$3,3,1),0),NETWORKDAYS.INTL(DATE($B$3,3,1),DATE($B$3,3,1),1,'Non-working days'!$A$6:$A$45)=0),"",IF(COUNTIFS('Leave log'!$A$7:$A$306,Employees!$A$9,'Leave log'!$B$7:$B$306,"&lt;="&amp;DATE($B$3,3,1),'Leave log'!$C$7:$C$306,"&gt;="&amp;DATE($B$3,3,1),'Leave log'!$F$7:$F$306,"Approved")&gt;0,"A",""))="A","A",IF(OR(DATE($B$3,3,1)&gt;EOMONTH(DATE($B$3,3,1),0),NETWORKDAYS.INTL(DATE($B$3,3,1),DATE($B$3,3,1),1,'Non-working days'!$A$6:$A$45)=0),"",IF(COUNTIFS('Leave log'!$A$7:$A$306,Employees!$A$9,'Leave log'!$B$7:$B$306,"&lt;="&amp;DATE($B$3,3,1),'Leave log'!$C$7:$C$306,"&gt;="&amp;DATE($B$3,3,1),'Leave log'!$F$7:$F$306,"Pending")&gt;0,"P",""))))</f>
        <v/>
      </c>
      <c r="C78" s="23" t="str">
        <f>IF(A78="","",IF(IF(OR(DATE($B$3,3,2)&gt;EOMONTH(DATE($B$3,3,1),0),NETWORKDAYS.INTL(DATE($B$3,3,2),DATE($B$3,3,2),1,'Non-working days'!$A$6:$A$45)=0),"",IF(COUNTIFS('Leave log'!$A$7:$A$306,Employees!$A$9,'Leave log'!$B$7:$B$306,"&lt;="&amp;DATE($B$3,3,2),'Leave log'!$C$7:$C$306,"&gt;="&amp;DATE($B$3,3,2),'Leave log'!$F$7:$F$306,"Approved")&gt;0,"A",""))="A","A",IF(OR(DATE($B$3,3,2)&gt;EOMONTH(DATE($B$3,3,1),0),NETWORKDAYS.INTL(DATE($B$3,3,2),DATE($B$3,3,2),1,'Non-working days'!$A$6:$A$45)=0),"",IF(COUNTIFS('Leave log'!$A$7:$A$306,Employees!$A$9,'Leave log'!$B$7:$B$306,"&lt;="&amp;DATE($B$3,3,2),'Leave log'!$C$7:$C$306,"&gt;="&amp;DATE($B$3,3,2),'Leave log'!$F$7:$F$306,"Pending")&gt;0,"P",""))))</f>
        <v/>
      </c>
      <c r="D78" s="23" t="str">
        <f>IF(A78="","",IF(IF(OR(DATE($B$3,3,3)&gt;EOMONTH(DATE($B$3,3,1),0),NETWORKDAYS.INTL(DATE($B$3,3,3),DATE($B$3,3,3),1,'Non-working days'!$A$6:$A$45)=0),"",IF(COUNTIFS('Leave log'!$A$7:$A$306,Employees!$A$9,'Leave log'!$B$7:$B$306,"&lt;="&amp;DATE($B$3,3,3),'Leave log'!$C$7:$C$306,"&gt;="&amp;DATE($B$3,3,3),'Leave log'!$F$7:$F$306,"Approved")&gt;0,"A",""))="A","A",IF(OR(DATE($B$3,3,3)&gt;EOMONTH(DATE($B$3,3,1),0),NETWORKDAYS.INTL(DATE($B$3,3,3),DATE($B$3,3,3),1,'Non-working days'!$A$6:$A$45)=0),"",IF(COUNTIFS('Leave log'!$A$7:$A$306,Employees!$A$9,'Leave log'!$B$7:$B$306,"&lt;="&amp;DATE($B$3,3,3),'Leave log'!$C$7:$C$306,"&gt;="&amp;DATE($B$3,3,3),'Leave log'!$F$7:$F$306,"Pending")&gt;0,"P",""))))</f>
        <v/>
      </c>
      <c r="E78" s="23" t="str">
        <f>IF(A78="","",IF(IF(OR(DATE($B$3,3,4)&gt;EOMONTH(DATE($B$3,3,1),0),NETWORKDAYS.INTL(DATE($B$3,3,4),DATE($B$3,3,4),1,'Non-working days'!$A$6:$A$45)=0),"",IF(COUNTIFS('Leave log'!$A$7:$A$306,Employees!$A$9,'Leave log'!$B$7:$B$306,"&lt;="&amp;DATE($B$3,3,4),'Leave log'!$C$7:$C$306,"&gt;="&amp;DATE($B$3,3,4),'Leave log'!$F$7:$F$306,"Approved")&gt;0,"A",""))="A","A",IF(OR(DATE($B$3,3,4)&gt;EOMONTH(DATE($B$3,3,1),0),NETWORKDAYS.INTL(DATE($B$3,3,4),DATE($B$3,3,4),1,'Non-working days'!$A$6:$A$45)=0),"",IF(COUNTIFS('Leave log'!$A$7:$A$306,Employees!$A$9,'Leave log'!$B$7:$B$306,"&lt;="&amp;DATE($B$3,3,4),'Leave log'!$C$7:$C$306,"&gt;="&amp;DATE($B$3,3,4),'Leave log'!$F$7:$F$306,"Pending")&gt;0,"P",""))))</f>
        <v/>
      </c>
      <c r="F78" s="23" t="str">
        <f>IF(A78="","",IF(IF(OR(DATE($B$3,3,5)&gt;EOMONTH(DATE($B$3,3,1),0),NETWORKDAYS.INTL(DATE($B$3,3,5),DATE($B$3,3,5),1,'Non-working days'!$A$6:$A$45)=0),"",IF(COUNTIFS('Leave log'!$A$7:$A$306,Employees!$A$9,'Leave log'!$B$7:$B$306,"&lt;="&amp;DATE($B$3,3,5),'Leave log'!$C$7:$C$306,"&gt;="&amp;DATE($B$3,3,5),'Leave log'!$F$7:$F$306,"Approved")&gt;0,"A",""))="A","A",IF(OR(DATE($B$3,3,5)&gt;EOMONTH(DATE($B$3,3,1),0),NETWORKDAYS.INTL(DATE($B$3,3,5),DATE($B$3,3,5),1,'Non-working days'!$A$6:$A$45)=0),"",IF(COUNTIFS('Leave log'!$A$7:$A$306,Employees!$A$9,'Leave log'!$B$7:$B$306,"&lt;="&amp;DATE($B$3,3,5),'Leave log'!$C$7:$C$306,"&gt;="&amp;DATE($B$3,3,5),'Leave log'!$F$7:$F$306,"Pending")&gt;0,"P",""))))</f>
        <v/>
      </c>
      <c r="G78" s="23" t="str">
        <f>IF(A78="","",IF(IF(OR(DATE($B$3,3,6)&gt;EOMONTH(DATE($B$3,3,1),0),NETWORKDAYS.INTL(DATE($B$3,3,6),DATE($B$3,3,6),1,'Non-working days'!$A$6:$A$45)=0),"",IF(COUNTIFS('Leave log'!$A$7:$A$306,Employees!$A$9,'Leave log'!$B$7:$B$306,"&lt;="&amp;DATE($B$3,3,6),'Leave log'!$C$7:$C$306,"&gt;="&amp;DATE($B$3,3,6),'Leave log'!$F$7:$F$306,"Approved")&gt;0,"A",""))="A","A",IF(OR(DATE($B$3,3,6)&gt;EOMONTH(DATE($B$3,3,1),0),NETWORKDAYS.INTL(DATE($B$3,3,6),DATE($B$3,3,6),1,'Non-working days'!$A$6:$A$45)=0),"",IF(COUNTIFS('Leave log'!$A$7:$A$306,Employees!$A$9,'Leave log'!$B$7:$B$306,"&lt;="&amp;DATE($B$3,3,6),'Leave log'!$C$7:$C$306,"&gt;="&amp;DATE($B$3,3,6),'Leave log'!$F$7:$F$306,"Pending")&gt;0,"P",""))))</f>
        <v/>
      </c>
      <c r="H78" s="23" t="str">
        <f>IF(A78="","",IF(IF(OR(DATE($B$3,3,7)&gt;EOMONTH(DATE($B$3,3,1),0),NETWORKDAYS.INTL(DATE($B$3,3,7),DATE($B$3,3,7),1,'Non-working days'!$A$6:$A$45)=0),"",IF(COUNTIFS('Leave log'!$A$7:$A$306,Employees!$A$9,'Leave log'!$B$7:$B$306,"&lt;="&amp;DATE($B$3,3,7),'Leave log'!$C$7:$C$306,"&gt;="&amp;DATE($B$3,3,7),'Leave log'!$F$7:$F$306,"Approved")&gt;0,"A",""))="A","A",IF(OR(DATE($B$3,3,7)&gt;EOMONTH(DATE($B$3,3,1),0),NETWORKDAYS.INTL(DATE($B$3,3,7),DATE($B$3,3,7),1,'Non-working days'!$A$6:$A$45)=0),"",IF(COUNTIFS('Leave log'!$A$7:$A$306,Employees!$A$9,'Leave log'!$B$7:$B$306,"&lt;="&amp;DATE($B$3,3,7),'Leave log'!$C$7:$C$306,"&gt;="&amp;DATE($B$3,3,7),'Leave log'!$F$7:$F$306,"Pending")&gt;0,"P",""))))</f>
        <v/>
      </c>
      <c r="I78" s="23" t="str">
        <f>IF(A78="","",IF(IF(OR(DATE($B$3,3,8)&gt;EOMONTH(DATE($B$3,3,1),0),NETWORKDAYS.INTL(DATE($B$3,3,8),DATE($B$3,3,8),1,'Non-working days'!$A$6:$A$45)=0),"",IF(COUNTIFS('Leave log'!$A$7:$A$306,Employees!$A$9,'Leave log'!$B$7:$B$306,"&lt;="&amp;DATE($B$3,3,8),'Leave log'!$C$7:$C$306,"&gt;="&amp;DATE($B$3,3,8),'Leave log'!$F$7:$F$306,"Approved")&gt;0,"A",""))="A","A",IF(OR(DATE($B$3,3,8)&gt;EOMONTH(DATE($B$3,3,1),0),NETWORKDAYS.INTL(DATE($B$3,3,8),DATE($B$3,3,8),1,'Non-working days'!$A$6:$A$45)=0),"",IF(COUNTIFS('Leave log'!$A$7:$A$306,Employees!$A$9,'Leave log'!$B$7:$B$306,"&lt;="&amp;DATE($B$3,3,8),'Leave log'!$C$7:$C$306,"&gt;="&amp;DATE($B$3,3,8),'Leave log'!$F$7:$F$306,"Pending")&gt;0,"P",""))))</f>
        <v/>
      </c>
      <c r="J78" s="23" t="str">
        <f>IF(A78="","",IF(IF(OR(DATE($B$3,3,9)&gt;EOMONTH(DATE($B$3,3,1),0),NETWORKDAYS.INTL(DATE($B$3,3,9),DATE($B$3,3,9),1,'Non-working days'!$A$6:$A$45)=0),"",IF(COUNTIFS('Leave log'!$A$7:$A$306,Employees!$A$9,'Leave log'!$B$7:$B$306,"&lt;="&amp;DATE($B$3,3,9),'Leave log'!$C$7:$C$306,"&gt;="&amp;DATE($B$3,3,9),'Leave log'!$F$7:$F$306,"Approved")&gt;0,"A",""))="A","A",IF(OR(DATE($B$3,3,9)&gt;EOMONTH(DATE($B$3,3,1),0),NETWORKDAYS.INTL(DATE($B$3,3,9),DATE($B$3,3,9),1,'Non-working days'!$A$6:$A$45)=0),"",IF(COUNTIFS('Leave log'!$A$7:$A$306,Employees!$A$9,'Leave log'!$B$7:$B$306,"&lt;="&amp;DATE($B$3,3,9),'Leave log'!$C$7:$C$306,"&gt;="&amp;DATE($B$3,3,9),'Leave log'!$F$7:$F$306,"Pending")&gt;0,"P",""))))</f>
        <v/>
      </c>
      <c r="K78" s="23" t="str">
        <f>IF(A78="","",IF(IF(OR(DATE($B$3,3,10)&gt;EOMONTH(DATE($B$3,3,1),0),NETWORKDAYS.INTL(DATE($B$3,3,10),DATE($B$3,3,10),1,'Non-working days'!$A$6:$A$45)=0),"",IF(COUNTIFS('Leave log'!$A$7:$A$306,Employees!$A$9,'Leave log'!$B$7:$B$306,"&lt;="&amp;DATE($B$3,3,10),'Leave log'!$C$7:$C$306,"&gt;="&amp;DATE($B$3,3,10),'Leave log'!$F$7:$F$306,"Approved")&gt;0,"A",""))="A","A",IF(OR(DATE($B$3,3,10)&gt;EOMONTH(DATE($B$3,3,1),0),NETWORKDAYS.INTL(DATE($B$3,3,10),DATE($B$3,3,10),1,'Non-working days'!$A$6:$A$45)=0),"",IF(COUNTIFS('Leave log'!$A$7:$A$306,Employees!$A$9,'Leave log'!$B$7:$B$306,"&lt;="&amp;DATE($B$3,3,10),'Leave log'!$C$7:$C$306,"&gt;="&amp;DATE($B$3,3,10),'Leave log'!$F$7:$F$306,"Pending")&gt;0,"P",""))))</f>
        <v/>
      </c>
      <c r="L78" s="23" t="str">
        <f>IF(A78="","",IF(IF(OR(DATE($B$3,3,11)&gt;EOMONTH(DATE($B$3,3,1),0),NETWORKDAYS.INTL(DATE($B$3,3,11),DATE($B$3,3,11),1,'Non-working days'!$A$6:$A$45)=0),"",IF(COUNTIFS('Leave log'!$A$7:$A$306,Employees!$A$9,'Leave log'!$B$7:$B$306,"&lt;="&amp;DATE($B$3,3,11),'Leave log'!$C$7:$C$306,"&gt;="&amp;DATE($B$3,3,11),'Leave log'!$F$7:$F$306,"Approved")&gt;0,"A",""))="A","A",IF(OR(DATE($B$3,3,11)&gt;EOMONTH(DATE($B$3,3,1),0),NETWORKDAYS.INTL(DATE($B$3,3,11),DATE($B$3,3,11),1,'Non-working days'!$A$6:$A$45)=0),"",IF(COUNTIFS('Leave log'!$A$7:$A$306,Employees!$A$9,'Leave log'!$B$7:$B$306,"&lt;="&amp;DATE($B$3,3,11),'Leave log'!$C$7:$C$306,"&gt;="&amp;DATE($B$3,3,11),'Leave log'!$F$7:$F$306,"Pending")&gt;0,"P",""))))</f>
        <v/>
      </c>
      <c r="M78" s="23" t="str">
        <f>IF(A78="","",IF(IF(OR(DATE($B$3,3,12)&gt;EOMONTH(DATE($B$3,3,1),0),NETWORKDAYS.INTL(DATE($B$3,3,12),DATE($B$3,3,12),1,'Non-working days'!$A$6:$A$45)=0),"",IF(COUNTIFS('Leave log'!$A$7:$A$306,Employees!$A$9,'Leave log'!$B$7:$B$306,"&lt;="&amp;DATE($B$3,3,12),'Leave log'!$C$7:$C$306,"&gt;="&amp;DATE($B$3,3,12),'Leave log'!$F$7:$F$306,"Approved")&gt;0,"A",""))="A","A",IF(OR(DATE($B$3,3,12)&gt;EOMONTH(DATE($B$3,3,1),0),NETWORKDAYS.INTL(DATE($B$3,3,12),DATE($B$3,3,12),1,'Non-working days'!$A$6:$A$45)=0),"",IF(COUNTIFS('Leave log'!$A$7:$A$306,Employees!$A$9,'Leave log'!$B$7:$B$306,"&lt;="&amp;DATE($B$3,3,12),'Leave log'!$C$7:$C$306,"&gt;="&amp;DATE($B$3,3,12),'Leave log'!$F$7:$F$306,"Pending")&gt;0,"P",""))))</f>
        <v/>
      </c>
      <c r="N78" s="23" t="str">
        <f>IF(A78="","",IF(IF(OR(DATE($B$3,3,13)&gt;EOMONTH(DATE($B$3,3,1),0),NETWORKDAYS.INTL(DATE($B$3,3,13),DATE($B$3,3,13),1,'Non-working days'!$A$6:$A$45)=0),"",IF(COUNTIFS('Leave log'!$A$7:$A$306,Employees!$A$9,'Leave log'!$B$7:$B$306,"&lt;="&amp;DATE($B$3,3,13),'Leave log'!$C$7:$C$306,"&gt;="&amp;DATE($B$3,3,13),'Leave log'!$F$7:$F$306,"Approved")&gt;0,"A",""))="A","A",IF(OR(DATE($B$3,3,13)&gt;EOMONTH(DATE($B$3,3,1),0),NETWORKDAYS.INTL(DATE($B$3,3,13),DATE($B$3,3,13),1,'Non-working days'!$A$6:$A$45)=0),"",IF(COUNTIFS('Leave log'!$A$7:$A$306,Employees!$A$9,'Leave log'!$B$7:$B$306,"&lt;="&amp;DATE($B$3,3,13),'Leave log'!$C$7:$C$306,"&gt;="&amp;DATE($B$3,3,13),'Leave log'!$F$7:$F$306,"Pending")&gt;0,"P",""))))</f>
        <v/>
      </c>
      <c r="O78" s="23" t="str">
        <f>IF(A78="","",IF(IF(OR(DATE($B$3,3,14)&gt;EOMONTH(DATE($B$3,3,1),0),NETWORKDAYS.INTL(DATE($B$3,3,14),DATE($B$3,3,14),1,'Non-working days'!$A$6:$A$45)=0),"",IF(COUNTIFS('Leave log'!$A$7:$A$306,Employees!$A$9,'Leave log'!$B$7:$B$306,"&lt;="&amp;DATE($B$3,3,14),'Leave log'!$C$7:$C$306,"&gt;="&amp;DATE($B$3,3,14),'Leave log'!$F$7:$F$306,"Approved")&gt;0,"A",""))="A","A",IF(OR(DATE($B$3,3,14)&gt;EOMONTH(DATE($B$3,3,1),0),NETWORKDAYS.INTL(DATE($B$3,3,14),DATE($B$3,3,14),1,'Non-working days'!$A$6:$A$45)=0),"",IF(COUNTIFS('Leave log'!$A$7:$A$306,Employees!$A$9,'Leave log'!$B$7:$B$306,"&lt;="&amp;DATE($B$3,3,14),'Leave log'!$C$7:$C$306,"&gt;="&amp;DATE($B$3,3,14),'Leave log'!$F$7:$F$306,"Pending")&gt;0,"P",""))))</f>
        <v/>
      </c>
      <c r="P78" s="23" t="str">
        <f>IF(A78="","",IF(IF(OR(DATE($B$3,3,15)&gt;EOMONTH(DATE($B$3,3,1),0),NETWORKDAYS.INTL(DATE($B$3,3,15),DATE($B$3,3,15),1,'Non-working days'!$A$6:$A$45)=0),"",IF(COUNTIFS('Leave log'!$A$7:$A$306,Employees!$A$9,'Leave log'!$B$7:$B$306,"&lt;="&amp;DATE($B$3,3,15),'Leave log'!$C$7:$C$306,"&gt;="&amp;DATE($B$3,3,15),'Leave log'!$F$7:$F$306,"Approved")&gt;0,"A",""))="A","A",IF(OR(DATE($B$3,3,15)&gt;EOMONTH(DATE($B$3,3,1),0),NETWORKDAYS.INTL(DATE($B$3,3,15),DATE($B$3,3,15),1,'Non-working days'!$A$6:$A$45)=0),"",IF(COUNTIFS('Leave log'!$A$7:$A$306,Employees!$A$9,'Leave log'!$B$7:$B$306,"&lt;="&amp;DATE($B$3,3,15),'Leave log'!$C$7:$C$306,"&gt;="&amp;DATE($B$3,3,15),'Leave log'!$F$7:$F$306,"Pending")&gt;0,"P",""))))</f>
        <v/>
      </c>
      <c r="Q78" s="23" t="str">
        <f>IF(A78="","",IF(IF(OR(DATE($B$3,3,16)&gt;EOMONTH(DATE($B$3,3,1),0),NETWORKDAYS.INTL(DATE($B$3,3,16),DATE($B$3,3,16),1,'Non-working days'!$A$6:$A$45)=0),"",IF(COUNTIFS('Leave log'!$A$7:$A$306,Employees!$A$9,'Leave log'!$B$7:$B$306,"&lt;="&amp;DATE($B$3,3,16),'Leave log'!$C$7:$C$306,"&gt;="&amp;DATE($B$3,3,16),'Leave log'!$F$7:$F$306,"Approved")&gt;0,"A",""))="A","A",IF(OR(DATE($B$3,3,16)&gt;EOMONTH(DATE($B$3,3,1),0),NETWORKDAYS.INTL(DATE($B$3,3,16),DATE($B$3,3,16),1,'Non-working days'!$A$6:$A$45)=0),"",IF(COUNTIFS('Leave log'!$A$7:$A$306,Employees!$A$9,'Leave log'!$B$7:$B$306,"&lt;="&amp;DATE($B$3,3,16),'Leave log'!$C$7:$C$306,"&gt;="&amp;DATE($B$3,3,16),'Leave log'!$F$7:$F$306,"Pending")&gt;0,"P",""))))</f>
        <v/>
      </c>
      <c r="R78" s="23" t="str">
        <f>IF(A78="","",IF(IF(OR(DATE($B$3,3,17)&gt;EOMONTH(DATE($B$3,3,1),0),NETWORKDAYS.INTL(DATE($B$3,3,17),DATE($B$3,3,17),1,'Non-working days'!$A$6:$A$45)=0),"",IF(COUNTIFS('Leave log'!$A$7:$A$306,Employees!$A$9,'Leave log'!$B$7:$B$306,"&lt;="&amp;DATE($B$3,3,17),'Leave log'!$C$7:$C$306,"&gt;="&amp;DATE($B$3,3,17),'Leave log'!$F$7:$F$306,"Approved")&gt;0,"A",""))="A","A",IF(OR(DATE($B$3,3,17)&gt;EOMONTH(DATE($B$3,3,1),0),NETWORKDAYS.INTL(DATE($B$3,3,17),DATE($B$3,3,17),1,'Non-working days'!$A$6:$A$45)=0),"",IF(COUNTIFS('Leave log'!$A$7:$A$306,Employees!$A$9,'Leave log'!$B$7:$B$306,"&lt;="&amp;DATE($B$3,3,17),'Leave log'!$C$7:$C$306,"&gt;="&amp;DATE($B$3,3,17),'Leave log'!$F$7:$F$306,"Pending")&gt;0,"P",""))))</f>
        <v/>
      </c>
      <c r="S78" s="23" t="str">
        <f>IF(A78="","",IF(IF(OR(DATE($B$3,3,18)&gt;EOMONTH(DATE($B$3,3,1),0),NETWORKDAYS.INTL(DATE($B$3,3,18),DATE($B$3,3,18),1,'Non-working days'!$A$6:$A$45)=0),"",IF(COUNTIFS('Leave log'!$A$7:$A$306,Employees!$A$9,'Leave log'!$B$7:$B$306,"&lt;="&amp;DATE($B$3,3,18),'Leave log'!$C$7:$C$306,"&gt;="&amp;DATE($B$3,3,18),'Leave log'!$F$7:$F$306,"Approved")&gt;0,"A",""))="A","A",IF(OR(DATE($B$3,3,18)&gt;EOMONTH(DATE($B$3,3,1),0),NETWORKDAYS.INTL(DATE($B$3,3,18),DATE($B$3,3,18),1,'Non-working days'!$A$6:$A$45)=0),"",IF(COUNTIFS('Leave log'!$A$7:$A$306,Employees!$A$9,'Leave log'!$B$7:$B$306,"&lt;="&amp;DATE($B$3,3,18),'Leave log'!$C$7:$C$306,"&gt;="&amp;DATE($B$3,3,18),'Leave log'!$F$7:$F$306,"Pending")&gt;0,"P",""))))</f>
        <v/>
      </c>
      <c r="T78" s="23" t="str">
        <f>IF(A78="","",IF(IF(OR(DATE($B$3,3,19)&gt;EOMONTH(DATE($B$3,3,1),0),NETWORKDAYS.INTL(DATE($B$3,3,19),DATE($B$3,3,19),1,'Non-working days'!$A$6:$A$45)=0),"",IF(COUNTIFS('Leave log'!$A$7:$A$306,Employees!$A$9,'Leave log'!$B$7:$B$306,"&lt;="&amp;DATE($B$3,3,19),'Leave log'!$C$7:$C$306,"&gt;="&amp;DATE($B$3,3,19),'Leave log'!$F$7:$F$306,"Approved")&gt;0,"A",""))="A","A",IF(OR(DATE($B$3,3,19)&gt;EOMONTH(DATE($B$3,3,1),0),NETWORKDAYS.INTL(DATE($B$3,3,19),DATE($B$3,3,19),1,'Non-working days'!$A$6:$A$45)=0),"",IF(COUNTIFS('Leave log'!$A$7:$A$306,Employees!$A$9,'Leave log'!$B$7:$B$306,"&lt;="&amp;DATE($B$3,3,19),'Leave log'!$C$7:$C$306,"&gt;="&amp;DATE($B$3,3,19),'Leave log'!$F$7:$F$306,"Pending")&gt;0,"P",""))))</f>
        <v/>
      </c>
      <c r="U78" s="23" t="str">
        <f>IF(A78="","",IF(IF(OR(DATE($B$3,3,20)&gt;EOMONTH(DATE($B$3,3,1),0),NETWORKDAYS.INTL(DATE($B$3,3,20),DATE($B$3,3,20),1,'Non-working days'!$A$6:$A$45)=0),"",IF(COUNTIFS('Leave log'!$A$7:$A$306,Employees!$A$9,'Leave log'!$B$7:$B$306,"&lt;="&amp;DATE($B$3,3,20),'Leave log'!$C$7:$C$306,"&gt;="&amp;DATE($B$3,3,20),'Leave log'!$F$7:$F$306,"Approved")&gt;0,"A",""))="A","A",IF(OR(DATE($B$3,3,20)&gt;EOMONTH(DATE($B$3,3,1),0),NETWORKDAYS.INTL(DATE($B$3,3,20),DATE($B$3,3,20),1,'Non-working days'!$A$6:$A$45)=0),"",IF(COUNTIFS('Leave log'!$A$7:$A$306,Employees!$A$9,'Leave log'!$B$7:$B$306,"&lt;="&amp;DATE($B$3,3,20),'Leave log'!$C$7:$C$306,"&gt;="&amp;DATE($B$3,3,20),'Leave log'!$F$7:$F$306,"Pending")&gt;0,"P",""))))</f>
        <v/>
      </c>
      <c r="V78" s="23" t="str">
        <f>IF(A78="","",IF(IF(OR(DATE($B$3,3,21)&gt;EOMONTH(DATE($B$3,3,1),0),NETWORKDAYS.INTL(DATE($B$3,3,21),DATE($B$3,3,21),1,'Non-working days'!$A$6:$A$45)=0),"",IF(COUNTIFS('Leave log'!$A$7:$A$306,Employees!$A$9,'Leave log'!$B$7:$B$306,"&lt;="&amp;DATE($B$3,3,21),'Leave log'!$C$7:$C$306,"&gt;="&amp;DATE($B$3,3,21),'Leave log'!$F$7:$F$306,"Approved")&gt;0,"A",""))="A","A",IF(OR(DATE($B$3,3,21)&gt;EOMONTH(DATE($B$3,3,1),0),NETWORKDAYS.INTL(DATE($B$3,3,21),DATE($B$3,3,21),1,'Non-working days'!$A$6:$A$45)=0),"",IF(COUNTIFS('Leave log'!$A$7:$A$306,Employees!$A$9,'Leave log'!$B$7:$B$306,"&lt;="&amp;DATE($B$3,3,21),'Leave log'!$C$7:$C$306,"&gt;="&amp;DATE($B$3,3,21),'Leave log'!$F$7:$F$306,"Pending")&gt;0,"P",""))))</f>
        <v/>
      </c>
      <c r="W78" s="23" t="str">
        <f>IF(A78="","",IF(IF(OR(DATE($B$3,3,22)&gt;EOMONTH(DATE($B$3,3,1),0),NETWORKDAYS.INTL(DATE($B$3,3,22),DATE($B$3,3,22),1,'Non-working days'!$A$6:$A$45)=0),"",IF(COUNTIFS('Leave log'!$A$7:$A$306,Employees!$A$9,'Leave log'!$B$7:$B$306,"&lt;="&amp;DATE($B$3,3,22),'Leave log'!$C$7:$C$306,"&gt;="&amp;DATE($B$3,3,22),'Leave log'!$F$7:$F$306,"Approved")&gt;0,"A",""))="A","A",IF(OR(DATE($B$3,3,22)&gt;EOMONTH(DATE($B$3,3,1),0),NETWORKDAYS.INTL(DATE($B$3,3,22),DATE($B$3,3,22),1,'Non-working days'!$A$6:$A$45)=0),"",IF(COUNTIFS('Leave log'!$A$7:$A$306,Employees!$A$9,'Leave log'!$B$7:$B$306,"&lt;="&amp;DATE($B$3,3,22),'Leave log'!$C$7:$C$306,"&gt;="&amp;DATE($B$3,3,22),'Leave log'!$F$7:$F$306,"Pending")&gt;0,"P",""))))</f>
        <v/>
      </c>
      <c r="X78" s="23" t="str">
        <f>IF(A78="","",IF(IF(OR(DATE($B$3,3,23)&gt;EOMONTH(DATE($B$3,3,1),0),NETWORKDAYS.INTL(DATE($B$3,3,23),DATE($B$3,3,23),1,'Non-working days'!$A$6:$A$45)=0),"",IF(COUNTIFS('Leave log'!$A$7:$A$306,Employees!$A$9,'Leave log'!$B$7:$B$306,"&lt;="&amp;DATE($B$3,3,23),'Leave log'!$C$7:$C$306,"&gt;="&amp;DATE($B$3,3,23),'Leave log'!$F$7:$F$306,"Approved")&gt;0,"A",""))="A","A",IF(OR(DATE($B$3,3,23)&gt;EOMONTH(DATE($B$3,3,1),0),NETWORKDAYS.INTL(DATE($B$3,3,23),DATE($B$3,3,23),1,'Non-working days'!$A$6:$A$45)=0),"",IF(COUNTIFS('Leave log'!$A$7:$A$306,Employees!$A$9,'Leave log'!$B$7:$B$306,"&lt;="&amp;DATE($B$3,3,23),'Leave log'!$C$7:$C$306,"&gt;="&amp;DATE($B$3,3,23),'Leave log'!$F$7:$F$306,"Pending")&gt;0,"P",""))))</f>
        <v/>
      </c>
      <c r="Y78" s="23" t="str">
        <f>IF(A78="","",IF(IF(OR(DATE($B$3,3,24)&gt;EOMONTH(DATE($B$3,3,1),0),NETWORKDAYS.INTL(DATE($B$3,3,24),DATE($B$3,3,24),1,'Non-working days'!$A$6:$A$45)=0),"",IF(COUNTIFS('Leave log'!$A$7:$A$306,Employees!$A$9,'Leave log'!$B$7:$B$306,"&lt;="&amp;DATE($B$3,3,24),'Leave log'!$C$7:$C$306,"&gt;="&amp;DATE($B$3,3,24),'Leave log'!$F$7:$F$306,"Approved")&gt;0,"A",""))="A","A",IF(OR(DATE($B$3,3,24)&gt;EOMONTH(DATE($B$3,3,1),0),NETWORKDAYS.INTL(DATE($B$3,3,24),DATE($B$3,3,24),1,'Non-working days'!$A$6:$A$45)=0),"",IF(COUNTIFS('Leave log'!$A$7:$A$306,Employees!$A$9,'Leave log'!$B$7:$B$306,"&lt;="&amp;DATE($B$3,3,24),'Leave log'!$C$7:$C$306,"&gt;="&amp;DATE($B$3,3,24),'Leave log'!$F$7:$F$306,"Pending")&gt;0,"P",""))))</f>
        <v/>
      </c>
      <c r="Z78" s="23" t="str">
        <f>IF(A78="","",IF(IF(OR(DATE($B$3,3,25)&gt;EOMONTH(DATE($B$3,3,1),0),NETWORKDAYS.INTL(DATE($B$3,3,25),DATE($B$3,3,25),1,'Non-working days'!$A$6:$A$45)=0),"",IF(COUNTIFS('Leave log'!$A$7:$A$306,Employees!$A$9,'Leave log'!$B$7:$B$306,"&lt;="&amp;DATE($B$3,3,25),'Leave log'!$C$7:$C$306,"&gt;="&amp;DATE($B$3,3,25),'Leave log'!$F$7:$F$306,"Approved")&gt;0,"A",""))="A","A",IF(OR(DATE($B$3,3,25)&gt;EOMONTH(DATE($B$3,3,1),0),NETWORKDAYS.INTL(DATE($B$3,3,25),DATE($B$3,3,25),1,'Non-working days'!$A$6:$A$45)=0),"",IF(COUNTIFS('Leave log'!$A$7:$A$306,Employees!$A$9,'Leave log'!$B$7:$B$306,"&lt;="&amp;DATE($B$3,3,25),'Leave log'!$C$7:$C$306,"&gt;="&amp;DATE($B$3,3,25),'Leave log'!$F$7:$F$306,"Pending")&gt;0,"P",""))))</f>
        <v/>
      </c>
      <c r="AA78" s="23" t="str">
        <f>IF(A78="","",IF(IF(OR(DATE($B$3,3,26)&gt;EOMONTH(DATE($B$3,3,1),0),NETWORKDAYS.INTL(DATE($B$3,3,26),DATE($B$3,3,26),1,'Non-working days'!$A$6:$A$45)=0),"",IF(COUNTIFS('Leave log'!$A$7:$A$306,Employees!$A$9,'Leave log'!$B$7:$B$306,"&lt;="&amp;DATE($B$3,3,26),'Leave log'!$C$7:$C$306,"&gt;="&amp;DATE($B$3,3,26),'Leave log'!$F$7:$F$306,"Approved")&gt;0,"A",""))="A","A",IF(OR(DATE($B$3,3,26)&gt;EOMONTH(DATE($B$3,3,1),0),NETWORKDAYS.INTL(DATE($B$3,3,26),DATE($B$3,3,26),1,'Non-working days'!$A$6:$A$45)=0),"",IF(COUNTIFS('Leave log'!$A$7:$A$306,Employees!$A$9,'Leave log'!$B$7:$B$306,"&lt;="&amp;DATE($B$3,3,26),'Leave log'!$C$7:$C$306,"&gt;="&amp;DATE($B$3,3,26),'Leave log'!$F$7:$F$306,"Pending")&gt;0,"P",""))))</f>
        <v/>
      </c>
      <c r="AB78" s="23" t="str">
        <f>IF(A78="","",IF(IF(OR(DATE($B$3,3,27)&gt;EOMONTH(DATE($B$3,3,1),0),NETWORKDAYS.INTL(DATE($B$3,3,27),DATE($B$3,3,27),1,'Non-working days'!$A$6:$A$45)=0),"",IF(COUNTIFS('Leave log'!$A$7:$A$306,Employees!$A$9,'Leave log'!$B$7:$B$306,"&lt;="&amp;DATE($B$3,3,27),'Leave log'!$C$7:$C$306,"&gt;="&amp;DATE($B$3,3,27),'Leave log'!$F$7:$F$306,"Approved")&gt;0,"A",""))="A","A",IF(OR(DATE($B$3,3,27)&gt;EOMONTH(DATE($B$3,3,1),0),NETWORKDAYS.INTL(DATE($B$3,3,27),DATE($B$3,3,27),1,'Non-working days'!$A$6:$A$45)=0),"",IF(COUNTIFS('Leave log'!$A$7:$A$306,Employees!$A$9,'Leave log'!$B$7:$B$306,"&lt;="&amp;DATE($B$3,3,27),'Leave log'!$C$7:$C$306,"&gt;="&amp;DATE($B$3,3,27),'Leave log'!$F$7:$F$306,"Pending")&gt;0,"P",""))))</f>
        <v/>
      </c>
      <c r="AC78" s="23" t="str">
        <f>IF(A78="","",IF(IF(OR(DATE($B$3,3,28)&gt;EOMONTH(DATE($B$3,3,1),0),NETWORKDAYS.INTL(DATE($B$3,3,28),DATE($B$3,3,28),1,'Non-working days'!$A$6:$A$45)=0),"",IF(COUNTIFS('Leave log'!$A$7:$A$306,Employees!$A$9,'Leave log'!$B$7:$B$306,"&lt;="&amp;DATE($B$3,3,28),'Leave log'!$C$7:$C$306,"&gt;="&amp;DATE($B$3,3,28),'Leave log'!$F$7:$F$306,"Approved")&gt;0,"A",""))="A","A",IF(OR(DATE($B$3,3,28)&gt;EOMONTH(DATE($B$3,3,1),0),NETWORKDAYS.INTL(DATE($B$3,3,28),DATE($B$3,3,28),1,'Non-working days'!$A$6:$A$45)=0),"",IF(COUNTIFS('Leave log'!$A$7:$A$306,Employees!$A$9,'Leave log'!$B$7:$B$306,"&lt;="&amp;DATE($B$3,3,28),'Leave log'!$C$7:$C$306,"&gt;="&amp;DATE($B$3,3,28),'Leave log'!$F$7:$F$306,"Pending")&gt;0,"P",""))))</f>
        <v/>
      </c>
      <c r="AD78" s="23" t="str">
        <f>IF(A78="","",IF(IF(OR(DATE($B$3,3,29)&gt;EOMONTH(DATE($B$3,3,1),0),NETWORKDAYS.INTL(DATE($B$3,3,29),DATE($B$3,3,29),1,'Non-working days'!$A$6:$A$45)=0),"",IF(COUNTIFS('Leave log'!$A$7:$A$306,Employees!$A$9,'Leave log'!$B$7:$B$306,"&lt;="&amp;DATE($B$3,3,29),'Leave log'!$C$7:$C$306,"&gt;="&amp;DATE($B$3,3,29),'Leave log'!$F$7:$F$306,"Approved")&gt;0,"A",""))="A","A",IF(OR(DATE($B$3,3,29)&gt;EOMONTH(DATE($B$3,3,1),0),NETWORKDAYS.INTL(DATE($B$3,3,29),DATE($B$3,3,29),1,'Non-working days'!$A$6:$A$45)=0),"",IF(COUNTIFS('Leave log'!$A$7:$A$306,Employees!$A$9,'Leave log'!$B$7:$B$306,"&lt;="&amp;DATE($B$3,3,29),'Leave log'!$C$7:$C$306,"&gt;="&amp;DATE($B$3,3,29),'Leave log'!$F$7:$F$306,"Pending")&gt;0,"P",""))))</f>
        <v/>
      </c>
      <c r="AE78" s="23" t="str">
        <f>IF(A78="","",IF(IF(OR(DATE($B$3,3,30)&gt;EOMONTH(DATE($B$3,3,1),0),NETWORKDAYS.INTL(DATE($B$3,3,30),DATE($B$3,3,30),1,'Non-working days'!$A$6:$A$45)=0),"",IF(COUNTIFS('Leave log'!$A$7:$A$306,Employees!$A$9,'Leave log'!$B$7:$B$306,"&lt;="&amp;DATE($B$3,3,30),'Leave log'!$C$7:$C$306,"&gt;="&amp;DATE($B$3,3,30),'Leave log'!$F$7:$F$306,"Approved")&gt;0,"A",""))="A","A",IF(OR(DATE($B$3,3,30)&gt;EOMONTH(DATE($B$3,3,1),0),NETWORKDAYS.INTL(DATE($B$3,3,30),DATE($B$3,3,30),1,'Non-working days'!$A$6:$A$45)=0),"",IF(COUNTIFS('Leave log'!$A$7:$A$306,Employees!$A$9,'Leave log'!$B$7:$B$306,"&lt;="&amp;DATE($B$3,3,30),'Leave log'!$C$7:$C$306,"&gt;="&amp;DATE($B$3,3,30),'Leave log'!$F$7:$F$306,"Pending")&gt;0,"P",""))))</f>
        <v/>
      </c>
      <c r="AF78" s="23" t="str">
        <f>IF(A78="","",IF(IF(OR(DATE($B$3,3,31)&gt;EOMONTH(DATE($B$3,3,1),0),NETWORKDAYS.INTL(DATE($B$3,3,31),DATE($B$3,3,31),1,'Non-working days'!$A$6:$A$45)=0),"",IF(COUNTIFS('Leave log'!$A$7:$A$306,Employees!$A$9,'Leave log'!$B$7:$B$306,"&lt;="&amp;DATE($B$3,3,31),'Leave log'!$C$7:$C$306,"&gt;="&amp;DATE($B$3,3,31),'Leave log'!$F$7:$F$306,"Approved")&gt;0,"A",""))="A","A",IF(OR(DATE($B$3,3,31)&gt;EOMONTH(DATE($B$3,3,1),0),NETWORKDAYS.INTL(DATE($B$3,3,31),DATE($B$3,3,31),1,'Non-working days'!$A$6:$A$45)=0),"",IF(COUNTIFS('Leave log'!$A$7:$A$306,Employees!$A$9,'Leave log'!$B$7:$B$306,"&lt;="&amp;DATE($B$3,3,31),'Leave log'!$C$7:$C$306,"&gt;="&amp;DATE($B$3,3,31),'Leave log'!$F$7:$F$306,"Pending")&gt;0,"P",""))))</f>
        <v/>
      </c>
    </row>
    <row r="79" spans="1:32" ht="18" customHeight="1" x14ac:dyDescent="0.3">
      <c r="A79" s="22" t="str">
        <f>IF(Employees!F10="Yes",Employees!B10,"")</f>
        <v/>
      </c>
      <c r="B79" s="23" t="str">
        <f>IF(A79="","",IF(IF(OR(DATE($B$3,3,1)&gt;EOMONTH(DATE($B$3,3,1),0),NETWORKDAYS.INTL(DATE($B$3,3,1),DATE($B$3,3,1),1,'Non-working days'!$A$6:$A$45)=0),"",IF(COUNTIFS('Leave log'!$A$7:$A$306,Employees!$A$10,'Leave log'!$B$7:$B$306,"&lt;="&amp;DATE($B$3,3,1),'Leave log'!$C$7:$C$306,"&gt;="&amp;DATE($B$3,3,1),'Leave log'!$F$7:$F$306,"Approved")&gt;0,"A",""))="A","A",IF(OR(DATE($B$3,3,1)&gt;EOMONTH(DATE($B$3,3,1),0),NETWORKDAYS.INTL(DATE($B$3,3,1),DATE($B$3,3,1),1,'Non-working days'!$A$6:$A$45)=0),"",IF(COUNTIFS('Leave log'!$A$7:$A$306,Employees!$A$10,'Leave log'!$B$7:$B$306,"&lt;="&amp;DATE($B$3,3,1),'Leave log'!$C$7:$C$306,"&gt;="&amp;DATE($B$3,3,1),'Leave log'!$F$7:$F$306,"Pending")&gt;0,"P",""))))</f>
        <v/>
      </c>
      <c r="C79" s="23" t="str">
        <f>IF(A79="","",IF(IF(OR(DATE($B$3,3,2)&gt;EOMONTH(DATE($B$3,3,1),0),NETWORKDAYS.INTL(DATE($B$3,3,2),DATE($B$3,3,2),1,'Non-working days'!$A$6:$A$45)=0),"",IF(COUNTIFS('Leave log'!$A$7:$A$306,Employees!$A$10,'Leave log'!$B$7:$B$306,"&lt;="&amp;DATE($B$3,3,2),'Leave log'!$C$7:$C$306,"&gt;="&amp;DATE($B$3,3,2),'Leave log'!$F$7:$F$306,"Approved")&gt;0,"A",""))="A","A",IF(OR(DATE($B$3,3,2)&gt;EOMONTH(DATE($B$3,3,1),0),NETWORKDAYS.INTL(DATE($B$3,3,2),DATE($B$3,3,2),1,'Non-working days'!$A$6:$A$45)=0),"",IF(COUNTIFS('Leave log'!$A$7:$A$306,Employees!$A$10,'Leave log'!$B$7:$B$306,"&lt;="&amp;DATE($B$3,3,2),'Leave log'!$C$7:$C$306,"&gt;="&amp;DATE($B$3,3,2),'Leave log'!$F$7:$F$306,"Pending")&gt;0,"P",""))))</f>
        <v/>
      </c>
      <c r="D79" s="23" t="str">
        <f>IF(A79="","",IF(IF(OR(DATE($B$3,3,3)&gt;EOMONTH(DATE($B$3,3,1),0),NETWORKDAYS.INTL(DATE($B$3,3,3),DATE($B$3,3,3),1,'Non-working days'!$A$6:$A$45)=0),"",IF(COUNTIFS('Leave log'!$A$7:$A$306,Employees!$A$10,'Leave log'!$B$7:$B$306,"&lt;="&amp;DATE($B$3,3,3),'Leave log'!$C$7:$C$306,"&gt;="&amp;DATE($B$3,3,3),'Leave log'!$F$7:$F$306,"Approved")&gt;0,"A",""))="A","A",IF(OR(DATE($B$3,3,3)&gt;EOMONTH(DATE($B$3,3,1),0),NETWORKDAYS.INTL(DATE($B$3,3,3),DATE($B$3,3,3),1,'Non-working days'!$A$6:$A$45)=0),"",IF(COUNTIFS('Leave log'!$A$7:$A$306,Employees!$A$10,'Leave log'!$B$7:$B$306,"&lt;="&amp;DATE($B$3,3,3),'Leave log'!$C$7:$C$306,"&gt;="&amp;DATE($B$3,3,3),'Leave log'!$F$7:$F$306,"Pending")&gt;0,"P",""))))</f>
        <v/>
      </c>
      <c r="E79" s="23" t="str">
        <f>IF(A79="","",IF(IF(OR(DATE($B$3,3,4)&gt;EOMONTH(DATE($B$3,3,1),0),NETWORKDAYS.INTL(DATE($B$3,3,4),DATE($B$3,3,4),1,'Non-working days'!$A$6:$A$45)=0),"",IF(COUNTIFS('Leave log'!$A$7:$A$306,Employees!$A$10,'Leave log'!$B$7:$B$306,"&lt;="&amp;DATE($B$3,3,4),'Leave log'!$C$7:$C$306,"&gt;="&amp;DATE($B$3,3,4),'Leave log'!$F$7:$F$306,"Approved")&gt;0,"A",""))="A","A",IF(OR(DATE($B$3,3,4)&gt;EOMONTH(DATE($B$3,3,1),0),NETWORKDAYS.INTL(DATE($B$3,3,4),DATE($B$3,3,4),1,'Non-working days'!$A$6:$A$45)=0),"",IF(COUNTIFS('Leave log'!$A$7:$A$306,Employees!$A$10,'Leave log'!$B$7:$B$306,"&lt;="&amp;DATE($B$3,3,4),'Leave log'!$C$7:$C$306,"&gt;="&amp;DATE($B$3,3,4),'Leave log'!$F$7:$F$306,"Pending")&gt;0,"P",""))))</f>
        <v/>
      </c>
      <c r="F79" s="23" t="str">
        <f>IF(A79="","",IF(IF(OR(DATE($B$3,3,5)&gt;EOMONTH(DATE($B$3,3,1),0),NETWORKDAYS.INTL(DATE($B$3,3,5),DATE($B$3,3,5),1,'Non-working days'!$A$6:$A$45)=0),"",IF(COUNTIFS('Leave log'!$A$7:$A$306,Employees!$A$10,'Leave log'!$B$7:$B$306,"&lt;="&amp;DATE($B$3,3,5),'Leave log'!$C$7:$C$306,"&gt;="&amp;DATE($B$3,3,5),'Leave log'!$F$7:$F$306,"Approved")&gt;0,"A",""))="A","A",IF(OR(DATE($B$3,3,5)&gt;EOMONTH(DATE($B$3,3,1),0),NETWORKDAYS.INTL(DATE($B$3,3,5),DATE($B$3,3,5),1,'Non-working days'!$A$6:$A$45)=0),"",IF(COUNTIFS('Leave log'!$A$7:$A$306,Employees!$A$10,'Leave log'!$B$7:$B$306,"&lt;="&amp;DATE($B$3,3,5),'Leave log'!$C$7:$C$306,"&gt;="&amp;DATE($B$3,3,5),'Leave log'!$F$7:$F$306,"Pending")&gt;0,"P",""))))</f>
        <v/>
      </c>
      <c r="G79" s="23" t="str">
        <f>IF(A79="","",IF(IF(OR(DATE($B$3,3,6)&gt;EOMONTH(DATE($B$3,3,1),0),NETWORKDAYS.INTL(DATE($B$3,3,6),DATE($B$3,3,6),1,'Non-working days'!$A$6:$A$45)=0),"",IF(COUNTIFS('Leave log'!$A$7:$A$306,Employees!$A$10,'Leave log'!$B$7:$B$306,"&lt;="&amp;DATE($B$3,3,6),'Leave log'!$C$7:$C$306,"&gt;="&amp;DATE($B$3,3,6),'Leave log'!$F$7:$F$306,"Approved")&gt;0,"A",""))="A","A",IF(OR(DATE($B$3,3,6)&gt;EOMONTH(DATE($B$3,3,1),0),NETWORKDAYS.INTL(DATE($B$3,3,6),DATE($B$3,3,6),1,'Non-working days'!$A$6:$A$45)=0),"",IF(COUNTIFS('Leave log'!$A$7:$A$306,Employees!$A$10,'Leave log'!$B$7:$B$306,"&lt;="&amp;DATE($B$3,3,6),'Leave log'!$C$7:$C$306,"&gt;="&amp;DATE($B$3,3,6),'Leave log'!$F$7:$F$306,"Pending")&gt;0,"P",""))))</f>
        <v/>
      </c>
      <c r="H79" s="23" t="str">
        <f>IF(A79="","",IF(IF(OR(DATE($B$3,3,7)&gt;EOMONTH(DATE($B$3,3,1),0),NETWORKDAYS.INTL(DATE($B$3,3,7),DATE($B$3,3,7),1,'Non-working days'!$A$6:$A$45)=0),"",IF(COUNTIFS('Leave log'!$A$7:$A$306,Employees!$A$10,'Leave log'!$B$7:$B$306,"&lt;="&amp;DATE($B$3,3,7),'Leave log'!$C$7:$C$306,"&gt;="&amp;DATE($B$3,3,7),'Leave log'!$F$7:$F$306,"Approved")&gt;0,"A",""))="A","A",IF(OR(DATE($B$3,3,7)&gt;EOMONTH(DATE($B$3,3,1),0),NETWORKDAYS.INTL(DATE($B$3,3,7),DATE($B$3,3,7),1,'Non-working days'!$A$6:$A$45)=0),"",IF(COUNTIFS('Leave log'!$A$7:$A$306,Employees!$A$10,'Leave log'!$B$7:$B$306,"&lt;="&amp;DATE($B$3,3,7),'Leave log'!$C$7:$C$306,"&gt;="&amp;DATE($B$3,3,7),'Leave log'!$F$7:$F$306,"Pending")&gt;0,"P",""))))</f>
        <v/>
      </c>
      <c r="I79" s="23" t="str">
        <f>IF(A79="","",IF(IF(OR(DATE($B$3,3,8)&gt;EOMONTH(DATE($B$3,3,1),0),NETWORKDAYS.INTL(DATE($B$3,3,8),DATE($B$3,3,8),1,'Non-working days'!$A$6:$A$45)=0),"",IF(COUNTIFS('Leave log'!$A$7:$A$306,Employees!$A$10,'Leave log'!$B$7:$B$306,"&lt;="&amp;DATE($B$3,3,8),'Leave log'!$C$7:$C$306,"&gt;="&amp;DATE($B$3,3,8),'Leave log'!$F$7:$F$306,"Approved")&gt;0,"A",""))="A","A",IF(OR(DATE($B$3,3,8)&gt;EOMONTH(DATE($B$3,3,1),0),NETWORKDAYS.INTL(DATE($B$3,3,8),DATE($B$3,3,8),1,'Non-working days'!$A$6:$A$45)=0),"",IF(COUNTIFS('Leave log'!$A$7:$A$306,Employees!$A$10,'Leave log'!$B$7:$B$306,"&lt;="&amp;DATE($B$3,3,8),'Leave log'!$C$7:$C$306,"&gt;="&amp;DATE($B$3,3,8),'Leave log'!$F$7:$F$306,"Pending")&gt;0,"P",""))))</f>
        <v/>
      </c>
      <c r="J79" s="23" t="str">
        <f>IF(A79="","",IF(IF(OR(DATE($B$3,3,9)&gt;EOMONTH(DATE($B$3,3,1),0),NETWORKDAYS.INTL(DATE($B$3,3,9),DATE($B$3,3,9),1,'Non-working days'!$A$6:$A$45)=0),"",IF(COUNTIFS('Leave log'!$A$7:$A$306,Employees!$A$10,'Leave log'!$B$7:$B$306,"&lt;="&amp;DATE($B$3,3,9),'Leave log'!$C$7:$C$306,"&gt;="&amp;DATE($B$3,3,9),'Leave log'!$F$7:$F$306,"Approved")&gt;0,"A",""))="A","A",IF(OR(DATE($B$3,3,9)&gt;EOMONTH(DATE($B$3,3,1),0),NETWORKDAYS.INTL(DATE($B$3,3,9),DATE($B$3,3,9),1,'Non-working days'!$A$6:$A$45)=0),"",IF(COUNTIFS('Leave log'!$A$7:$A$306,Employees!$A$10,'Leave log'!$B$7:$B$306,"&lt;="&amp;DATE($B$3,3,9),'Leave log'!$C$7:$C$306,"&gt;="&amp;DATE($B$3,3,9),'Leave log'!$F$7:$F$306,"Pending")&gt;0,"P",""))))</f>
        <v/>
      </c>
      <c r="K79" s="23" t="str">
        <f>IF(A79="","",IF(IF(OR(DATE($B$3,3,10)&gt;EOMONTH(DATE($B$3,3,1),0),NETWORKDAYS.INTL(DATE($B$3,3,10),DATE($B$3,3,10),1,'Non-working days'!$A$6:$A$45)=0),"",IF(COUNTIFS('Leave log'!$A$7:$A$306,Employees!$A$10,'Leave log'!$B$7:$B$306,"&lt;="&amp;DATE($B$3,3,10),'Leave log'!$C$7:$C$306,"&gt;="&amp;DATE($B$3,3,10),'Leave log'!$F$7:$F$306,"Approved")&gt;0,"A",""))="A","A",IF(OR(DATE($B$3,3,10)&gt;EOMONTH(DATE($B$3,3,1),0),NETWORKDAYS.INTL(DATE($B$3,3,10),DATE($B$3,3,10),1,'Non-working days'!$A$6:$A$45)=0),"",IF(COUNTIFS('Leave log'!$A$7:$A$306,Employees!$A$10,'Leave log'!$B$7:$B$306,"&lt;="&amp;DATE($B$3,3,10),'Leave log'!$C$7:$C$306,"&gt;="&amp;DATE($B$3,3,10),'Leave log'!$F$7:$F$306,"Pending")&gt;0,"P",""))))</f>
        <v/>
      </c>
      <c r="L79" s="23" t="str">
        <f>IF(A79="","",IF(IF(OR(DATE($B$3,3,11)&gt;EOMONTH(DATE($B$3,3,1),0),NETWORKDAYS.INTL(DATE($B$3,3,11),DATE($B$3,3,11),1,'Non-working days'!$A$6:$A$45)=0),"",IF(COUNTIFS('Leave log'!$A$7:$A$306,Employees!$A$10,'Leave log'!$B$7:$B$306,"&lt;="&amp;DATE($B$3,3,11),'Leave log'!$C$7:$C$306,"&gt;="&amp;DATE($B$3,3,11),'Leave log'!$F$7:$F$306,"Approved")&gt;0,"A",""))="A","A",IF(OR(DATE($B$3,3,11)&gt;EOMONTH(DATE($B$3,3,1),0),NETWORKDAYS.INTL(DATE($B$3,3,11),DATE($B$3,3,11),1,'Non-working days'!$A$6:$A$45)=0),"",IF(COUNTIFS('Leave log'!$A$7:$A$306,Employees!$A$10,'Leave log'!$B$7:$B$306,"&lt;="&amp;DATE($B$3,3,11),'Leave log'!$C$7:$C$306,"&gt;="&amp;DATE($B$3,3,11),'Leave log'!$F$7:$F$306,"Pending")&gt;0,"P",""))))</f>
        <v/>
      </c>
      <c r="M79" s="23" t="str">
        <f>IF(A79="","",IF(IF(OR(DATE($B$3,3,12)&gt;EOMONTH(DATE($B$3,3,1),0),NETWORKDAYS.INTL(DATE($B$3,3,12),DATE($B$3,3,12),1,'Non-working days'!$A$6:$A$45)=0),"",IF(COUNTIFS('Leave log'!$A$7:$A$306,Employees!$A$10,'Leave log'!$B$7:$B$306,"&lt;="&amp;DATE($B$3,3,12),'Leave log'!$C$7:$C$306,"&gt;="&amp;DATE($B$3,3,12),'Leave log'!$F$7:$F$306,"Approved")&gt;0,"A",""))="A","A",IF(OR(DATE($B$3,3,12)&gt;EOMONTH(DATE($B$3,3,1),0),NETWORKDAYS.INTL(DATE($B$3,3,12),DATE($B$3,3,12),1,'Non-working days'!$A$6:$A$45)=0),"",IF(COUNTIFS('Leave log'!$A$7:$A$306,Employees!$A$10,'Leave log'!$B$7:$B$306,"&lt;="&amp;DATE($B$3,3,12),'Leave log'!$C$7:$C$306,"&gt;="&amp;DATE($B$3,3,12),'Leave log'!$F$7:$F$306,"Pending")&gt;0,"P",""))))</f>
        <v/>
      </c>
      <c r="N79" s="23" t="str">
        <f>IF(A79="","",IF(IF(OR(DATE($B$3,3,13)&gt;EOMONTH(DATE($B$3,3,1),0),NETWORKDAYS.INTL(DATE($B$3,3,13),DATE($B$3,3,13),1,'Non-working days'!$A$6:$A$45)=0),"",IF(COUNTIFS('Leave log'!$A$7:$A$306,Employees!$A$10,'Leave log'!$B$7:$B$306,"&lt;="&amp;DATE($B$3,3,13),'Leave log'!$C$7:$C$306,"&gt;="&amp;DATE($B$3,3,13),'Leave log'!$F$7:$F$306,"Approved")&gt;0,"A",""))="A","A",IF(OR(DATE($B$3,3,13)&gt;EOMONTH(DATE($B$3,3,1),0),NETWORKDAYS.INTL(DATE($B$3,3,13),DATE($B$3,3,13),1,'Non-working days'!$A$6:$A$45)=0),"",IF(COUNTIFS('Leave log'!$A$7:$A$306,Employees!$A$10,'Leave log'!$B$7:$B$306,"&lt;="&amp;DATE($B$3,3,13),'Leave log'!$C$7:$C$306,"&gt;="&amp;DATE($B$3,3,13),'Leave log'!$F$7:$F$306,"Pending")&gt;0,"P",""))))</f>
        <v/>
      </c>
      <c r="O79" s="23" t="str">
        <f>IF(A79="","",IF(IF(OR(DATE($B$3,3,14)&gt;EOMONTH(DATE($B$3,3,1),0),NETWORKDAYS.INTL(DATE($B$3,3,14),DATE($B$3,3,14),1,'Non-working days'!$A$6:$A$45)=0),"",IF(COUNTIFS('Leave log'!$A$7:$A$306,Employees!$A$10,'Leave log'!$B$7:$B$306,"&lt;="&amp;DATE($B$3,3,14),'Leave log'!$C$7:$C$306,"&gt;="&amp;DATE($B$3,3,14),'Leave log'!$F$7:$F$306,"Approved")&gt;0,"A",""))="A","A",IF(OR(DATE($B$3,3,14)&gt;EOMONTH(DATE($B$3,3,1),0),NETWORKDAYS.INTL(DATE($B$3,3,14),DATE($B$3,3,14),1,'Non-working days'!$A$6:$A$45)=0),"",IF(COUNTIFS('Leave log'!$A$7:$A$306,Employees!$A$10,'Leave log'!$B$7:$B$306,"&lt;="&amp;DATE($B$3,3,14),'Leave log'!$C$7:$C$306,"&gt;="&amp;DATE($B$3,3,14),'Leave log'!$F$7:$F$306,"Pending")&gt;0,"P",""))))</f>
        <v/>
      </c>
      <c r="P79" s="23" t="str">
        <f>IF(A79="","",IF(IF(OR(DATE($B$3,3,15)&gt;EOMONTH(DATE($B$3,3,1),0),NETWORKDAYS.INTL(DATE($B$3,3,15),DATE($B$3,3,15),1,'Non-working days'!$A$6:$A$45)=0),"",IF(COUNTIFS('Leave log'!$A$7:$A$306,Employees!$A$10,'Leave log'!$B$7:$B$306,"&lt;="&amp;DATE($B$3,3,15),'Leave log'!$C$7:$C$306,"&gt;="&amp;DATE($B$3,3,15),'Leave log'!$F$7:$F$306,"Approved")&gt;0,"A",""))="A","A",IF(OR(DATE($B$3,3,15)&gt;EOMONTH(DATE($B$3,3,1),0),NETWORKDAYS.INTL(DATE($B$3,3,15),DATE($B$3,3,15),1,'Non-working days'!$A$6:$A$45)=0),"",IF(COUNTIFS('Leave log'!$A$7:$A$306,Employees!$A$10,'Leave log'!$B$7:$B$306,"&lt;="&amp;DATE($B$3,3,15),'Leave log'!$C$7:$C$306,"&gt;="&amp;DATE($B$3,3,15),'Leave log'!$F$7:$F$306,"Pending")&gt;0,"P",""))))</f>
        <v/>
      </c>
      <c r="Q79" s="23" t="str">
        <f>IF(A79="","",IF(IF(OR(DATE($B$3,3,16)&gt;EOMONTH(DATE($B$3,3,1),0),NETWORKDAYS.INTL(DATE($B$3,3,16),DATE($B$3,3,16),1,'Non-working days'!$A$6:$A$45)=0),"",IF(COUNTIFS('Leave log'!$A$7:$A$306,Employees!$A$10,'Leave log'!$B$7:$B$306,"&lt;="&amp;DATE($B$3,3,16),'Leave log'!$C$7:$C$306,"&gt;="&amp;DATE($B$3,3,16),'Leave log'!$F$7:$F$306,"Approved")&gt;0,"A",""))="A","A",IF(OR(DATE($B$3,3,16)&gt;EOMONTH(DATE($B$3,3,1),0),NETWORKDAYS.INTL(DATE($B$3,3,16),DATE($B$3,3,16),1,'Non-working days'!$A$6:$A$45)=0),"",IF(COUNTIFS('Leave log'!$A$7:$A$306,Employees!$A$10,'Leave log'!$B$7:$B$306,"&lt;="&amp;DATE($B$3,3,16),'Leave log'!$C$7:$C$306,"&gt;="&amp;DATE($B$3,3,16),'Leave log'!$F$7:$F$306,"Pending")&gt;0,"P",""))))</f>
        <v/>
      </c>
      <c r="R79" s="23" t="str">
        <f>IF(A79="","",IF(IF(OR(DATE($B$3,3,17)&gt;EOMONTH(DATE($B$3,3,1),0),NETWORKDAYS.INTL(DATE($B$3,3,17),DATE($B$3,3,17),1,'Non-working days'!$A$6:$A$45)=0),"",IF(COUNTIFS('Leave log'!$A$7:$A$306,Employees!$A$10,'Leave log'!$B$7:$B$306,"&lt;="&amp;DATE($B$3,3,17),'Leave log'!$C$7:$C$306,"&gt;="&amp;DATE($B$3,3,17),'Leave log'!$F$7:$F$306,"Approved")&gt;0,"A",""))="A","A",IF(OR(DATE($B$3,3,17)&gt;EOMONTH(DATE($B$3,3,1),0),NETWORKDAYS.INTL(DATE($B$3,3,17),DATE($B$3,3,17),1,'Non-working days'!$A$6:$A$45)=0),"",IF(COUNTIFS('Leave log'!$A$7:$A$306,Employees!$A$10,'Leave log'!$B$7:$B$306,"&lt;="&amp;DATE($B$3,3,17),'Leave log'!$C$7:$C$306,"&gt;="&amp;DATE($B$3,3,17),'Leave log'!$F$7:$F$306,"Pending")&gt;0,"P",""))))</f>
        <v/>
      </c>
      <c r="S79" s="23" t="str">
        <f>IF(A79="","",IF(IF(OR(DATE($B$3,3,18)&gt;EOMONTH(DATE($B$3,3,1),0),NETWORKDAYS.INTL(DATE($B$3,3,18),DATE($B$3,3,18),1,'Non-working days'!$A$6:$A$45)=0),"",IF(COUNTIFS('Leave log'!$A$7:$A$306,Employees!$A$10,'Leave log'!$B$7:$B$306,"&lt;="&amp;DATE($B$3,3,18),'Leave log'!$C$7:$C$306,"&gt;="&amp;DATE($B$3,3,18),'Leave log'!$F$7:$F$306,"Approved")&gt;0,"A",""))="A","A",IF(OR(DATE($B$3,3,18)&gt;EOMONTH(DATE($B$3,3,1),0),NETWORKDAYS.INTL(DATE($B$3,3,18),DATE($B$3,3,18),1,'Non-working days'!$A$6:$A$45)=0),"",IF(COUNTIFS('Leave log'!$A$7:$A$306,Employees!$A$10,'Leave log'!$B$7:$B$306,"&lt;="&amp;DATE($B$3,3,18),'Leave log'!$C$7:$C$306,"&gt;="&amp;DATE($B$3,3,18),'Leave log'!$F$7:$F$306,"Pending")&gt;0,"P",""))))</f>
        <v/>
      </c>
      <c r="T79" s="23" t="str">
        <f>IF(A79="","",IF(IF(OR(DATE($B$3,3,19)&gt;EOMONTH(DATE($B$3,3,1),0),NETWORKDAYS.INTL(DATE($B$3,3,19),DATE($B$3,3,19),1,'Non-working days'!$A$6:$A$45)=0),"",IF(COUNTIFS('Leave log'!$A$7:$A$306,Employees!$A$10,'Leave log'!$B$7:$B$306,"&lt;="&amp;DATE($B$3,3,19),'Leave log'!$C$7:$C$306,"&gt;="&amp;DATE($B$3,3,19),'Leave log'!$F$7:$F$306,"Approved")&gt;0,"A",""))="A","A",IF(OR(DATE($B$3,3,19)&gt;EOMONTH(DATE($B$3,3,1),0),NETWORKDAYS.INTL(DATE($B$3,3,19),DATE($B$3,3,19),1,'Non-working days'!$A$6:$A$45)=0),"",IF(COUNTIFS('Leave log'!$A$7:$A$306,Employees!$A$10,'Leave log'!$B$7:$B$306,"&lt;="&amp;DATE($B$3,3,19),'Leave log'!$C$7:$C$306,"&gt;="&amp;DATE($B$3,3,19),'Leave log'!$F$7:$F$306,"Pending")&gt;0,"P",""))))</f>
        <v/>
      </c>
      <c r="U79" s="23" t="str">
        <f>IF(A79="","",IF(IF(OR(DATE($B$3,3,20)&gt;EOMONTH(DATE($B$3,3,1),0),NETWORKDAYS.INTL(DATE($B$3,3,20),DATE($B$3,3,20),1,'Non-working days'!$A$6:$A$45)=0),"",IF(COUNTIFS('Leave log'!$A$7:$A$306,Employees!$A$10,'Leave log'!$B$7:$B$306,"&lt;="&amp;DATE($B$3,3,20),'Leave log'!$C$7:$C$306,"&gt;="&amp;DATE($B$3,3,20),'Leave log'!$F$7:$F$306,"Approved")&gt;0,"A",""))="A","A",IF(OR(DATE($B$3,3,20)&gt;EOMONTH(DATE($B$3,3,1),0),NETWORKDAYS.INTL(DATE($B$3,3,20),DATE($B$3,3,20),1,'Non-working days'!$A$6:$A$45)=0),"",IF(COUNTIFS('Leave log'!$A$7:$A$306,Employees!$A$10,'Leave log'!$B$7:$B$306,"&lt;="&amp;DATE($B$3,3,20),'Leave log'!$C$7:$C$306,"&gt;="&amp;DATE($B$3,3,20),'Leave log'!$F$7:$F$306,"Pending")&gt;0,"P",""))))</f>
        <v/>
      </c>
      <c r="V79" s="23" t="str">
        <f>IF(A79="","",IF(IF(OR(DATE($B$3,3,21)&gt;EOMONTH(DATE($B$3,3,1),0),NETWORKDAYS.INTL(DATE($B$3,3,21),DATE($B$3,3,21),1,'Non-working days'!$A$6:$A$45)=0),"",IF(COUNTIFS('Leave log'!$A$7:$A$306,Employees!$A$10,'Leave log'!$B$7:$B$306,"&lt;="&amp;DATE($B$3,3,21),'Leave log'!$C$7:$C$306,"&gt;="&amp;DATE($B$3,3,21),'Leave log'!$F$7:$F$306,"Approved")&gt;0,"A",""))="A","A",IF(OR(DATE($B$3,3,21)&gt;EOMONTH(DATE($B$3,3,1),0),NETWORKDAYS.INTL(DATE($B$3,3,21),DATE($B$3,3,21),1,'Non-working days'!$A$6:$A$45)=0),"",IF(COUNTIFS('Leave log'!$A$7:$A$306,Employees!$A$10,'Leave log'!$B$7:$B$306,"&lt;="&amp;DATE($B$3,3,21),'Leave log'!$C$7:$C$306,"&gt;="&amp;DATE($B$3,3,21),'Leave log'!$F$7:$F$306,"Pending")&gt;0,"P",""))))</f>
        <v/>
      </c>
      <c r="W79" s="23" t="str">
        <f>IF(A79="","",IF(IF(OR(DATE($B$3,3,22)&gt;EOMONTH(DATE($B$3,3,1),0),NETWORKDAYS.INTL(DATE($B$3,3,22),DATE($B$3,3,22),1,'Non-working days'!$A$6:$A$45)=0),"",IF(COUNTIFS('Leave log'!$A$7:$A$306,Employees!$A$10,'Leave log'!$B$7:$B$306,"&lt;="&amp;DATE($B$3,3,22),'Leave log'!$C$7:$C$306,"&gt;="&amp;DATE($B$3,3,22),'Leave log'!$F$7:$F$306,"Approved")&gt;0,"A",""))="A","A",IF(OR(DATE($B$3,3,22)&gt;EOMONTH(DATE($B$3,3,1),0),NETWORKDAYS.INTL(DATE($B$3,3,22),DATE($B$3,3,22),1,'Non-working days'!$A$6:$A$45)=0),"",IF(COUNTIFS('Leave log'!$A$7:$A$306,Employees!$A$10,'Leave log'!$B$7:$B$306,"&lt;="&amp;DATE($B$3,3,22),'Leave log'!$C$7:$C$306,"&gt;="&amp;DATE($B$3,3,22),'Leave log'!$F$7:$F$306,"Pending")&gt;0,"P",""))))</f>
        <v/>
      </c>
      <c r="X79" s="23" t="str">
        <f>IF(A79="","",IF(IF(OR(DATE($B$3,3,23)&gt;EOMONTH(DATE($B$3,3,1),0),NETWORKDAYS.INTL(DATE($B$3,3,23),DATE($B$3,3,23),1,'Non-working days'!$A$6:$A$45)=0),"",IF(COUNTIFS('Leave log'!$A$7:$A$306,Employees!$A$10,'Leave log'!$B$7:$B$306,"&lt;="&amp;DATE($B$3,3,23),'Leave log'!$C$7:$C$306,"&gt;="&amp;DATE($B$3,3,23),'Leave log'!$F$7:$F$306,"Approved")&gt;0,"A",""))="A","A",IF(OR(DATE($B$3,3,23)&gt;EOMONTH(DATE($B$3,3,1),0),NETWORKDAYS.INTL(DATE($B$3,3,23),DATE($B$3,3,23),1,'Non-working days'!$A$6:$A$45)=0),"",IF(COUNTIFS('Leave log'!$A$7:$A$306,Employees!$A$10,'Leave log'!$B$7:$B$306,"&lt;="&amp;DATE($B$3,3,23),'Leave log'!$C$7:$C$306,"&gt;="&amp;DATE($B$3,3,23),'Leave log'!$F$7:$F$306,"Pending")&gt;0,"P",""))))</f>
        <v/>
      </c>
      <c r="Y79" s="23" t="str">
        <f>IF(A79="","",IF(IF(OR(DATE($B$3,3,24)&gt;EOMONTH(DATE($B$3,3,1),0),NETWORKDAYS.INTL(DATE($B$3,3,24),DATE($B$3,3,24),1,'Non-working days'!$A$6:$A$45)=0),"",IF(COUNTIFS('Leave log'!$A$7:$A$306,Employees!$A$10,'Leave log'!$B$7:$B$306,"&lt;="&amp;DATE($B$3,3,24),'Leave log'!$C$7:$C$306,"&gt;="&amp;DATE($B$3,3,24),'Leave log'!$F$7:$F$306,"Approved")&gt;0,"A",""))="A","A",IF(OR(DATE($B$3,3,24)&gt;EOMONTH(DATE($B$3,3,1),0),NETWORKDAYS.INTL(DATE($B$3,3,24),DATE($B$3,3,24),1,'Non-working days'!$A$6:$A$45)=0),"",IF(COUNTIFS('Leave log'!$A$7:$A$306,Employees!$A$10,'Leave log'!$B$7:$B$306,"&lt;="&amp;DATE($B$3,3,24),'Leave log'!$C$7:$C$306,"&gt;="&amp;DATE($B$3,3,24),'Leave log'!$F$7:$F$306,"Pending")&gt;0,"P",""))))</f>
        <v/>
      </c>
      <c r="Z79" s="23" t="str">
        <f>IF(A79="","",IF(IF(OR(DATE($B$3,3,25)&gt;EOMONTH(DATE($B$3,3,1),0),NETWORKDAYS.INTL(DATE($B$3,3,25),DATE($B$3,3,25),1,'Non-working days'!$A$6:$A$45)=0),"",IF(COUNTIFS('Leave log'!$A$7:$A$306,Employees!$A$10,'Leave log'!$B$7:$B$306,"&lt;="&amp;DATE($B$3,3,25),'Leave log'!$C$7:$C$306,"&gt;="&amp;DATE($B$3,3,25),'Leave log'!$F$7:$F$306,"Approved")&gt;0,"A",""))="A","A",IF(OR(DATE($B$3,3,25)&gt;EOMONTH(DATE($B$3,3,1),0),NETWORKDAYS.INTL(DATE($B$3,3,25),DATE($B$3,3,25),1,'Non-working days'!$A$6:$A$45)=0),"",IF(COUNTIFS('Leave log'!$A$7:$A$306,Employees!$A$10,'Leave log'!$B$7:$B$306,"&lt;="&amp;DATE($B$3,3,25),'Leave log'!$C$7:$C$306,"&gt;="&amp;DATE($B$3,3,25),'Leave log'!$F$7:$F$306,"Pending")&gt;0,"P",""))))</f>
        <v/>
      </c>
      <c r="AA79" s="23" t="str">
        <f>IF(A79="","",IF(IF(OR(DATE($B$3,3,26)&gt;EOMONTH(DATE($B$3,3,1),0),NETWORKDAYS.INTL(DATE($B$3,3,26),DATE($B$3,3,26),1,'Non-working days'!$A$6:$A$45)=0),"",IF(COUNTIFS('Leave log'!$A$7:$A$306,Employees!$A$10,'Leave log'!$B$7:$B$306,"&lt;="&amp;DATE($B$3,3,26),'Leave log'!$C$7:$C$306,"&gt;="&amp;DATE($B$3,3,26),'Leave log'!$F$7:$F$306,"Approved")&gt;0,"A",""))="A","A",IF(OR(DATE($B$3,3,26)&gt;EOMONTH(DATE($B$3,3,1),0),NETWORKDAYS.INTL(DATE($B$3,3,26),DATE($B$3,3,26),1,'Non-working days'!$A$6:$A$45)=0),"",IF(COUNTIFS('Leave log'!$A$7:$A$306,Employees!$A$10,'Leave log'!$B$7:$B$306,"&lt;="&amp;DATE($B$3,3,26),'Leave log'!$C$7:$C$306,"&gt;="&amp;DATE($B$3,3,26),'Leave log'!$F$7:$F$306,"Pending")&gt;0,"P",""))))</f>
        <v/>
      </c>
      <c r="AB79" s="23" t="str">
        <f>IF(A79="","",IF(IF(OR(DATE($B$3,3,27)&gt;EOMONTH(DATE($B$3,3,1),0),NETWORKDAYS.INTL(DATE($B$3,3,27),DATE($B$3,3,27),1,'Non-working days'!$A$6:$A$45)=0),"",IF(COUNTIFS('Leave log'!$A$7:$A$306,Employees!$A$10,'Leave log'!$B$7:$B$306,"&lt;="&amp;DATE($B$3,3,27),'Leave log'!$C$7:$C$306,"&gt;="&amp;DATE($B$3,3,27),'Leave log'!$F$7:$F$306,"Approved")&gt;0,"A",""))="A","A",IF(OR(DATE($B$3,3,27)&gt;EOMONTH(DATE($B$3,3,1),0),NETWORKDAYS.INTL(DATE($B$3,3,27),DATE($B$3,3,27),1,'Non-working days'!$A$6:$A$45)=0),"",IF(COUNTIFS('Leave log'!$A$7:$A$306,Employees!$A$10,'Leave log'!$B$7:$B$306,"&lt;="&amp;DATE($B$3,3,27),'Leave log'!$C$7:$C$306,"&gt;="&amp;DATE($B$3,3,27),'Leave log'!$F$7:$F$306,"Pending")&gt;0,"P",""))))</f>
        <v/>
      </c>
      <c r="AC79" s="23" t="str">
        <f>IF(A79="","",IF(IF(OR(DATE($B$3,3,28)&gt;EOMONTH(DATE($B$3,3,1),0),NETWORKDAYS.INTL(DATE($B$3,3,28),DATE($B$3,3,28),1,'Non-working days'!$A$6:$A$45)=0),"",IF(COUNTIFS('Leave log'!$A$7:$A$306,Employees!$A$10,'Leave log'!$B$7:$B$306,"&lt;="&amp;DATE($B$3,3,28),'Leave log'!$C$7:$C$306,"&gt;="&amp;DATE($B$3,3,28),'Leave log'!$F$7:$F$306,"Approved")&gt;0,"A",""))="A","A",IF(OR(DATE($B$3,3,28)&gt;EOMONTH(DATE($B$3,3,1),0),NETWORKDAYS.INTL(DATE($B$3,3,28),DATE($B$3,3,28),1,'Non-working days'!$A$6:$A$45)=0),"",IF(COUNTIFS('Leave log'!$A$7:$A$306,Employees!$A$10,'Leave log'!$B$7:$B$306,"&lt;="&amp;DATE($B$3,3,28),'Leave log'!$C$7:$C$306,"&gt;="&amp;DATE($B$3,3,28),'Leave log'!$F$7:$F$306,"Pending")&gt;0,"P",""))))</f>
        <v/>
      </c>
      <c r="AD79" s="23" t="str">
        <f>IF(A79="","",IF(IF(OR(DATE($B$3,3,29)&gt;EOMONTH(DATE($B$3,3,1),0),NETWORKDAYS.INTL(DATE($B$3,3,29),DATE($B$3,3,29),1,'Non-working days'!$A$6:$A$45)=0),"",IF(COUNTIFS('Leave log'!$A$7:$A$306,Employees!$A$10,'Leave log'!$B$7:$B$306,"&lt;="&amp;DATE($B$3,3,29),'Leave log'!$C$7:$C$306,"&gt;="&amp;DATE($B$3,3,29),'Leave log'!$F$7:$F$306,"Approved")&gt;0,"A",""))="A","A",IF(OR(DATE($B$3,3,29)&gt;EOMONTH(DATE($B$3,3,1),0),NETWORKDAYS.INTL(DATE($B$3,3,29),DATE($B$3,3,29),1,'Non-working days'!$A$6:$A$45)=0),"",IF(COUNTIFS('Leave log'!$A$7:$A$306,Employees!$A$10,'Leave log'!$B$7:$B$306,"&lt;="&amp;DATE($B$3,3,29),'Leave log'!$C$7:$C$306,"&gt;="&amp;DATE($B$3,3,29),'Leave log'!$F$7:$F$306,"Pending")&gt;0,"P",""))))</f>
        <v/>
      </c>
      <c r="AE79" s="23" t="str">
        <f>IF(A79="","",IF(IF(OR(DATE($B$3,3,30)&gt;EOMONTH(DATE($B$3,3,1),0),NETWORKDAYS.INTL(DATE($B$3,3,30),DATE($B$3,3,30),1,'Non-working days'!$A$6:$A$45)=0),"",IF(COUNTIFS('Leave log'!$A$7:$A$306,Employees!$A$10,'Leave log'!$B$7:$B$306,"&lt;="&amp;DATE($B$3,3,30),'Leave log'!$C$7:$C$306,"&gt;="&amp;DATE($B$3,3,30),'Leave log'!$F$7:$F$306,"Approved")&gt;0,"A",""))="A","A",IF(OR(DATE($B$3,3,30)&gt;EOMONTH(DATE($B$3,3,1),0),NETWORKDAYS.INTL(DATE($B$3,3,30),DATE($B$3,3,30),1,'Non-working days'!$A$6:$A$45)=0),"",IF(COUNTIFS('Leave log'!$A$7:$A$306,Employees!$A$10,'Leave log'!$B$7:$B$306,"&lt;="&amp;DATE($B$3,3,30),'Leave log'!$C$7:$C$306,"&gt;="&amp;DATE($B$3,3,30),'Leave log'!$F$7:$F$306,"Pending")&gt;0,"P",""))))</f>
        <v/>
      </c>
      <c r="AF79" s="23" t="str">
        <f>IF(A79="","",IF(IF(OR(DATE($B$3,3,31)&gt;EOMONTH(DATE($B$3,3,1),0),NETWORKDAYS.INTL(DATE($B$3,3,31),DATE($B$3,3,31),1,'Non-working days'!$A$6:$A$45)=0),"",IF(COUNTIFS('Leave log'!$A$7:$A$306,Employees!$A$10,'Leave log'!$B$7:$B$306,"&lt;="&amp;DATE($B$3,3,31),'Leave log'!$C$7:$C$306,"&gt;="&amp;DATE($B$3,3,31),'Leave log'!$F$7:$F$306,"Approved")&gt;0,"A",""))="A","A",IF(OR(DATE($B$3,3,31)&gt;EOMONTH(DATE($B$3,3,1),0),NETWORKDAYS.INTL(DATE($B$3,3,31),DATE($B$3,3,31),1,'Non-working days'!$A$6:$A$45)=0),"",IF(COUNTIFS('Leave log'!$A$7:$A$306,Employees!$A$10,'Leave log'!$B$7:$B$306,"&lt;="&amp;DATE($B$3,3,31),'Leave log'!$C$7:$C$306,"&gt;="&amp;DATE($B$3,3,31),'Leave log'!$F$7:$F$306,"Pending")&gt;0,"P",""))))</f>
        <v/>
      </c>
    </row>
    <row r="80" spans="1:32" ht="18" customHeight="1" x14ac:dyDescent="0.3">
      <c r="A80" s="22" t="str">
        <f>IF(Employees!F11="Yes",Employees!B11,"")</f>
        <v/>
      </c>
      <c r="B80" s="23" t="str">
        <f>IF(A80="","",IF(IF(OR(DATE($B$3,3,1)&gt;EOMONTH(DATE($B$3,3,1),0),NETWORKDAYS.INTL(DATE($B$3,3,1),DATE($B$3,3,1),1,'Non-working days'!$A$6:$A$45)=0),"",IF(COUNTIFS('Leave log'!$A$7:$A$306,Employees!$A$11,'Leave log'!$B$7:$B$306,"&lt;="&amp;DATE($B$3,3,1),'Leave log'!$C$7:$C$306,"&gt;="&amp;DATE($B$3,3,1),'Leave log'!$F$7:$F$306,"Approved")&gt;0,"A",""))="A","A",IF(OR(DATE($B$3,3,1)&gt;EOMONTH(DATE($B$3,3,1),0),NETWORKDAYS.INTL(DATE($B$3,3,1),DATE($B$3,3,1),1,'Non-working days'!$A$6:$A$45)=0),"",IF(COUNTIFS('Leave log'!$A$7:$A$306,Employees!$A$11,'Leave log'!$B$7:$B$306,"&lt;="&amp;DATE($B$3,3,1),'Leave log'!$C$7:$C$306,"&gt;="&amp;DATE($B$3,3,1),'Leave log'!$F$7:$F$306,"Pending")&gt;0,"P",""))))</f>
        <v/>
      </c>
      <c r="C80" s="23" t="str">
        <f>IF(A80="","",IF(IF(OR(DATE($B$3,3,2)&gt;EOMONTH(DATE($B$3,3,1),0),NETWORKDAYS.INTL(DATE($B$3,3,2),DATE($B$3,3,2),1,'Non-working days'!$A$6:$A$45)=0),"",IF(COUNTIFS('Leave log'!$A$7:$A$306,Employees!$A$11,'Leave log'!$B$7:$B$306,"&lt;="&amp;DATE($B$3,3,2),'Leave log'!$C$7:$C$306,"&gt;="&amp;DATE($B$3,3,2),'Leave log'!$F$7:$F$306,"Approved")&gt;0,"A",""))="A","A",IF(OR(DATE($B$3,3,2)&gt;EOMONTH(DATE($B$3,3,1),0),NETWORKDAYS.INTL(DATE($B$3,3,2),DATE($B$3,3,2),1,'Non-working days'!$A$6:$A$45)=0),"",IF(COUNTIFS('Leave log'!$A$7:$A$306,Employees!$A$11,'Leave log'!$B$7:$B$306,"&lt;="&amp;DATE($B$3,3,2),'Leave log'!$C$7:$C$306,"&gt;="&amp;DATE($B$3,3,2),'Leave log'!$F$7:$F$306,"Pending")&gt;0,"P",""))))</f>
        <v/>
      </c>
      <c r="D80" s="23" t="str">
        <f>IF(A80="","",IF(IF(OR(DATE($B$3,3,3)&gt;EOMONTH(DATE($B$3,3,1),0),NETWORKDAYS.INTL(DATE($B$3,3,3),DATE($B$3,3,3),1,'Non-working days'!$A$6:$A$45)=0),"",IF(COUNTIFS('Leave log'!$A$7:$A$306,Employees!$A$11,'Leave log'!$B$7:$B$306,"&lt;="&amp;DATE($B$3,3,3),'Leave log'!$C$7:$C$306,"&gt;="&amp;DATE($B$3,3,3),'Leave log'!$F$7:$F$306,"Approved")&gt;0,"A",""))="A","A",IF(OR(DATE($B$3,3,3)&gt;EOMONTH(DATE($B$3,3,1),0),NETWORKDAYS.INTL(DATE($B$3,3,3),DATE($B$3,3,3),1,'Non-working days'!$A$6:$A$45)=0),"",IF(COUNTIFS('Leave log'!$A$7:$A$306,Employees!$A$11,'Leave log'!$B$7:$B$306,"&lt;="&amp;DATE($B$3,3,3),'Leave log'!$C$7:$C$306,"&gt;="&amp;DATE($B$3,3,3),'Leave log'!$F$7:$F$306,"Pending")&gt;0,"P",""))))</f>
        <v/>
      </c>
      <c r="E80" s="23" t="str">
        <f>IF(A80="","",IF(IF(OR(DATE($B$3,3,4)&gt;EOMONTH(DATE($B$3,3,1),0),NETWORKDAYS.INTL(DATE($B$3,3,4),DATE($B$3,3,4),1,'Non-working days'!$A$6:$A$45)=0),"",IF(COUNTIFS('Leave log'!$A$7:$A$306,Employees!$A$11,'Leave log'!$B$7:$B$306,"&lt;="&amp;DATE($B$3,3,4),'Leave log'!$C$7:$C$306,"&gt;="&amp;DATE($B$3,3,4),'Leave log'!$F$7:$F$306,"Approved")&gt;0,"A",""))="A","A",IF(OR(DATE($B$3,3,4)&gt;EOMONTH(DATE($B$3,3,1),0),NETWORKDAYS.INTL(DATE($B$3,3,4),DATE($B$3,3,4),1,'Non-working days'!$A$6:$A$45)=0),"",IF(COUNTIFS('Leave log'!$A$7:$A$306,Employees!$A$11,'Leave log'!$B$7:$B$306,"&lt;="&amp;DATE($B$3,3,4),'Leave log'!$C$7:$C$306,"&gt;="&amp;DATE($B$3,3,4),'Leave log'!$F$7:$F$306,"Pending")&gt;0,"P",""))))</f>
        <v/>
      </c>
      <c r="F80" s="23" t="str">
        <f>IF(A80="","",IF(IF(OR(DATE($B$3,3,5)&gt;EOMONTH(DATE($B$3,3,1),0),NETWORKDAYS.INTL(DATE($B$3,3,5),DATE($B$3,3,5),1,'Non-working days'!$A$6:$A$45)=0),"",IF(COUNTIFS('Leave log'!$A$7:$A$306,Employees!$A$11,'Leave log'!$B$7:$B$306,"&lt;="&amp;DATE($B$3,3,5),'Leave log'!$C$7:$C$306,"&gt;="&amp;DATE($B$3,3,5),'Leave log'!$F$7:$F$306,"Approved")&gt;0,"A",""))="A","A",IF(OR(DATE($B$3,3,5)&gt;EOMONTH(DATE($B$3,3,1),0),NETWORKDAYS.INTL(DATE($B$3,3,5),DATE($B$3,3,5),1,'Non-working days'!$A$6:$A$45)=0),"",IF(COUNTIFS('Leave log'!$A$7:$A$306,Employees!$A$11,'Leave log'!$B$7:$B$306,"&lt;="&amp;DATE($B$3,3,5),'Leave log'!$C$7:$C$306,"&gt;="&amp;DATE($B$3,3,5),'Leave log'!$F$7:$F$306,"Pending")&gt;0,"P",""))))</f>
        <v/>
      </c>
      <c r="G80" s="23" t="str">
        <f>IF(A80="","",IF(IF(OR(DATE($B$3,3,6)&gt;EOMONTH(DATE($B$3,3,1),0),NETWORKDAYS.INTL(DATE($B$3,3,6),DATE($B$3,3,6),1,'Non-working days'!$A$6:$A$45)=0),"",IF(COUNTIFS('Leave log'!$A$7:$A$306,Employees!$A$11,'Leave log'!$B$7:$B$306,"&lt;="&amp;DATE($B$3,3,6),'Leave log'!$C$7:$C$306,"&gt;="&amp;DATE($B$3,3,6),'Leave log'!$F$7:$F$306,"Approved")&gt;0,"A",""))="A","A",IF(OR(DATE($B$3,3,6)&gt;EOMONTH(DATE($B$3,3,1),0),NETWORKDAYS.INTL(DATE($B$3,3,6),DATE($B$3,3,6),1,'Non-working days'!$A$6:$A$45)=0),"",IF(COUNTIFS('Leave log'!$A$7:$A$306,Employees!$A$11,'Leave log'!$B$7:$B$306,"&lt;="&amp;DATE($B$3,3,6),'Leave log'!$C$7:$C$306,"&gt;="&amp;DATE($B$3,3,6),'Leave log'!$F$7:$F$306,"Pending")&gt;0,"P",""))))</f>
        <v/>
      </c>
      <c r="H80" s="23" t="str">
        <f>IF(A80="","",IF(IF(OR(DATE($B$3,3,7)&gt;EOMONTH(DATE($B$3,3,1),0),NETWORKDAYS.INTL(DATE($B$3,3,7),DATE($B$3,3,7),1,'Non-working days'!$A$6:$A$45)=0),"",IF(COUNTIFS('Leave log'!$A$7:$A$306,Employees!$A$11,'Leave log'!$B$7:$B$306,"&lt;="&amp;DATE($B$3,3,7),'Leave log'!$C$7:$C$306,"&gt;="&amp;DATE($B$3,3,7),'Leave log'!$F$7:$F$306,"Approved")&gt;0,"A",""))="A","A",IF(OR(DATE($B$3,3,7)&gt;EOMONTH(DATE($B$3,3,1),0),NETWORKDAYS.INTL(DATE($B$3,3,7),DATE($B$3,3,7),1,'Non-working days'!$A$6:$A$45)=0),"",IF(COUNTIFS('Leave log'!$A$7:$A$306,Employees!$A$11,'Leave log'!$B$7:$B$306,"&lt;="&amp;DATE($B$3,3,7),'Leave log'!$C$7:$C$306,"&gt;="&amp;DATE($B$3,3,7),'Leave log'!$F$7:$F$306,"Pending")&gt;0,"P",""))))</f>
        <v/>
      </c>
      <c r="I80" s="23" t="str">
        <f>IF(A80="","",IF(IF(OR(DATE($B$3,3,8)&gt;EOMONTH(DATE($B$3,3,1),0),NETWORKDAYS.INTL(DATE($B$3,3,8),DATE($B$3,3,8),1,'Non-working days'!$A$6:$A$45)=0),"",IF(COUNTIFS('Leave log'!$A$7:$A$306,Employees!$A$11,'Leave log'!$B$7:$B$306,"&lt;="&amp;DATE($B$3,3,8),'Leave log'!$C$7:$C$306,"&gt;="&amp;DATE($B$3,3,8),'Leave log'!$F$7:$F$306,"Approved")&gt;0,"A",""))="A","A",IF(OR(DATE($B$3,3,8)&gt;EOMONTH(DATE($B$3,3,1),0),NETWORKDAYS.INTL(DATE($B$3,3,8),DATE($B$3,3,8),1,'Non-working days'!$A$6:$A$45)=0),"",IF(COUNTIFS('Leave log'!$A$7:$A$306,Employees!$A$11,'Leave log'!$B$7:$B$306,"&lt;="&amp;DATE($B$3,3,8),'Leave log'!$C$7:$C$306,"&gt;="&amp;DATE($B$3,3,8),'Leave log'!$F$7:$F$306,"Pending")&gt;0,"P",""))))</f>
        <v/>
      </c>
      <c r="J80" s="23" t="str">
        <f>IF(A80="","",IF(IF(OR(DATE($B$3,3,9)&gt;EOMONTH(DATE($B$3,3,1),0),NETWORKDAYS.INTL(DATE($B$3,3,9),DATE($B$3,3,9),1,'Non-working days'!$A$6:$A$45)=0),"",IF(COUNTIFS('Leave log'!$A$7:$A$306,Employees!$A$11,'Leave log'!$B$7:$B$306,"&lt;="&amp;DATE($B$3,3,9),'Leave log'!$C$7:$C$306,"&gt;="&amp;DATE($B$3,3,9),'Leave log'!$F$7:$F$306,"Approved")&gt;0,"A",""))="A","A",IF(OR(DATE($B$3,3,9)&gt;EOMONTH(DATE($B$3,3,1),0),NETWORKDAYS.INTL(DATE($B$3,3,9),DATE($B$3,3,9),1,'Non-working days'!$A$6:$A$45)=0),"",IF(COUNTIFS('Leave log'!$A$7:$A$306,Employees!$A$11,'Leave log'!$B$7:$B$306,"&lt;="&amp;DATE($B$3,3,9),'Leave log'!$C$7:$C$306,"&gt;="&amp;DATE($B$3,3,9),'Leave log'!$F$7:$F$306,"Pending")&gt;0,"P",""))))</f>
        <v/>
      </c>
      <c r="K80" s="23" t="str">
        <f>IF(A80="","",IF(IF(OR(DATE($B$3,3,10)&gt;EOMONTH(DATE($B$3,3,1),0),NETWORKDAYS.INTL(DATE($B$3,3,10),DATE($B$3,3,10),1,'Non-working days'!$A$6:$A$45)=0),"",IF(COUNTIFS('Leave log'!$A$7:$A$306,Employees!$A$11,'Leave log'!$B$7:$B$306,"&lt;="&amp;DATE($B$3,3,10),'Leave log'!$C$7:$C$306,"&gt;="&amp;DATE($B$3,3,10),'Leave log'!$F$7:$F$306,"Approved")&gt;0,"A",""))="A","A",IF(OR(DATE($B$3,3,10)&gt;EOMONTH(DATE($B$3,3,1),0),NETWORKDAYS.INTL(DATE($B$3,3,10),DATE($B$3,3,10),1,'Non-working days'!$A$6:$A$45)=0),"",IF(COUNTIFS('Leave log'!$A$7:$A$306,Employees!$A$11,'Leave log'!$B$7:$B$306,"&lt;="&amp;DATE($B$3,3,10),'Leave log'!$C$7:$C$306,"&gt;="&amp;DATE($B$3,3,10),'Leave log'!$F$7:$F$306,"Pending")&gt;0,"P",""))))</f>
        <v/>
      </c>
      <c r="L80" s="23" t="str">
        <f>IF(A80="","",IF(IF(OR(DATE($B$3,3,11)&gt;EOMONTH(DATE($B$3,3,1),0),NETWORKDAYS.INTL(DATE($B$3,3,11),DATE($B$3,3,11),1,'Non-working days'!$A$6:$A$45)=0),"",IF(COUNTIFS('Leave log'!$A$7:$A$306,Employees!$A$11,'Leave log'!$B$7:$B$306,"&lt;="&amp;DATE($B$3,3,11),'Leave log'!$C$7:$C$306,"&gt;="&amp;DATE($B$3,3,11),'Leave log'!$F$7:$F$306,"Approved")&gt;0,"A",""))="A","A",IF(OR(DATE($B$3,3,11)&gt;EOMONTH(DATE($B$3,3,1),0),NETWORKDAYS.INTL(DATE($B$3,3,11),DATE($B$3,3,11),1,'Non-working days'!$A$6:$A$45)=0),"",IF(COUNTIFS('Leave log'!$A$7:$A$306,Employees!$A$11,'Leave log'!$B$7:$B$306,"&lt;="&amp;DATE($B$3,3,11),'Leave log'!$C$7:$C$306,"&gt;="&amp;DATE($B$3,3,11),'Leave log'!$F$7:$F$306,"Pending")&gt;0,"P",""))))</f>
        <v/>
      </c>
      <c r="M80" s="23" t="str">
        <f>IF(A80="","",IF(IF(OR(DATE($B$3,3,12)&gt;EOMONTH(DATE($B$3,3,1),0),NETWORKDAYS.INTL(DATE($B$3,3,12),DATE($B$3,3,12),1,'Non-working days'!$A$6:$A$45)=0),"",IF(COUNTIFS('Leave log'!$A$7:$A$306,Employees!$A$11,'Leave log'!$B$7:$B$306,"&lt;="&amp;DATE($B$3,3,12),'Leave log'!$C$7:$C$306,"&gt;="&amp;DATE($B$3,3,12),'Leave log'!$F$7:$F$306,"Approved")&gt;0,"A",""))="A","A",IF(OR(DATE($B$3,3,12)&gt;EOMONTH(DATE($B$3,3,1),0),NETWORKDAYS.INTL(DATE($B$3,3,12),DATE($B$3,3,12),1,'Non-working days'!$A$6:$A$45)=0),"",IF(COUNTIFS('Leave log'!$A$7:$A$306,Employees!$A$11,'Leave log'!$B$7:$B$306,"&lt;="&amp;DATE($B$3,3,12),'Leave log'!$C$7:$C$306,"&gt;="&amp;DATE($B$3,3,12),'Leave log'!$F$7:$F$306,"Pending")&gt;0,"P",""))))</f>
        <v/>
      </c>
      <c r="N80" s="23" t="str">
        <f>IF(A80="","",IF(IF(OR(DATE($B$3,3,13)&gt;EOMONTH(DATE($B$3,3,1),0),NETWORKDAYS.INTL(DATE($B$3,3,13),DATE($B$3,3,13),1,'Non-working days'!$A$6:$A$45)=0),"",IF(COUNTIFS('Leave log'!$A$7:$A$306,Employees!$A$11,'Leave log'!$B$7:$B$306,"&lt;="&amp;DATE($B$3,3,13),'Leave log'!$C$7:$C$306,"&gt;="&amp;DATE($B$3,3,13),'Leave log'!$F$7:$F$306,"Approved")&gt;0,"A",""))="A","A",IF(OR(DATE($B$3,3,13)&gt;EOMONTH(DATE($B$3,3,1),0),NETWORKDAYS.INTL(DATE($B$3,3,13),DATE($B$3,3,13),1,'Non-working days'!$A$6:$A$45)=0),"",IF(COUNTIFS('Leave log'!$A$7:$A$306,Employees!$A$11,'Leave log'!$B$7:$B$306,"&lt;="&amp;DATE($B$3,3,13),'Leave log'!$C$7:$C$306,"&gt;="&amp;DATE($B$3,3,13),'Leave log'!$F$7:$F$306,"Pending")&gt;0,"P",""))))</f>
        <v/>
      </c>
      <c r="O80" s="23" t="str">
        <f>IF(A80="","",IF(IF(OR(DATE($B$3,3,14)&gt;EOMONTH(DATE($B$3,3,1),0),NETWORKDAYS.INTL(DATE($B$3,3,14),DATE($B$3,3,14),1,'Non-working days'!$A$6:$A$45)=0),"",IF(COUNTIFS('Leave log'!$A$7:$A$306,Employees!$A$11,'Leave log'!$B$7:$B$306,"&lt;="&amp;DATE($B$3,3,14),'Leave log'!$C$7:$C$306,"&gt;="&amp;DATE($B$3,3,14),'Leave log'!$F$7:$F$306,"Approved")&gt;0,"A",""))="A","A",IF(OR(DATE($B$3,3,14)&gt;EOMONTH(DATE($B$3,3,1),0),NETWORKDAYS.INTL(DATE($B$3,3,14),DATE($B$3,3,14),1,'Non-working days'!$A$6:$A$45)=0),"",IF(COUNTIFS('Leave log'!$A$7:$A$306,Employees!$A$11,'Leave log'!$B$7:$B$306,"&lt;="&amp;DATE($B$3,3,14),'Leave log'!$C$7:$C$306,"&gt;="&amp;DATE($B$3,3,14),'Leave log'!$F$7:$F$306,"Pending")&gt;0,"P",""))))</f>
        <v/>
      </c>
      <c r="P80" s="23" t="str">
        <f>IF(A80="","",IF(IF(OR(DATE($B$3,3,15)&gt;EOMONTH(DATE($B$3,3,1),0),NETWORKDAYS.INTL(DATE($B$3,3,15),DATE($B$3,3,15),1,'Non-working days'!$A$6:$A$45)=0),"",IF(COUNTIFS('Leave log'!$A$7:$A$306,Employees!$A$11,'Leave log'!$B$7:$B$306,"&lt;="&amp;DATE($B$3,3,15),'Leave log'!$C$7:$C$306,"&gt;="&amp;DATE($B$3,3,15),'Leave log'!$F$7:$F$306,"Approved")&gt;0,"A",""))="A","A",IF(OR(DATE($B$3,3,15)&gt;EOMONTH(DATE($B$3,3,1),0),NETWORKDAYS.INTL(DATE($B$3,3,15),DATE($B$3,3,15),1,'Non-working days'!$A$6:$A$45)=0),"",IF(COUNTIFS('Leave log'!$A$7:$A$306,Employees!$A$11,'Leave log'!$B$7:$B$306,"&lt;="&amp;DATE($B$3,3,15),'Leave log'!$C$7:$C$306,"&gt;="&amp;DATE($B$3,3,15),'Leave log'!$F$7:$F$306,"Pending")&gt;0,"P",""))))</f>
        <v/>
      </c>
      <c r="Q80" s="23" t="str">
        <f>IF(A80="","",IF(IF(OR(DATE($B$3,3,16)&gt;EOMONTH(DATE($B$3,3,1),0),NETWORKDAYS.INTL(DATE($B$3,3,16),DATE($B$3,3,16),1,'Non-working days'!$A$6:$A$45)=0),"",IF(COUNTIFS('Leave log'!$A$7:$A$306,Employees!$A$11,'Leave log'!$B$7:$B$306,"&lt;="&amp;DATE($B$3,3,16),'Leave log'!$C$7:$C$306,"&gt;="&amp;DATE($B$3,3,16),'Leave log'!$F$7:$F$306,"Approved")&gt;0,"A",""))="A","A",IF(OR(DATE($B$3,3,16)&gt;EOMONTH(DATE($B$3,3,1),0),NETWORKDAYS.INTL(DATE($B$3,3,16),DATE($B$3,3,16),1,'Non-working days'!$A$6:$A$45)=0),"",IF(COUNTIFS('Leave log'!$A$7:$A$306,Employees!$A$11,'Leave log'!$B$7:$B$306,"&lt;="&amp;DATE($B$3,3,16),'Leave log'!$C$7:$C$306,"&gt;="&amp;DATE($B$3,3,16),'Leave log'!$F$7:$F$306,"Pending")&gt;0,"P",""))))</f>
        <v/>
      </c>
      <c r="R80" s="23" t="str">
        <f>IF(A80="","",IF(IF(OR(DATE($B$3,3,17)&gt;EOMONTH(DATE($B$3,3,1),0),NETWORKDAYS.INTL(DATE($B$3,3,17),DATE($B$3,3,17),1,'Non-working days'!$A$6:$A$45)=0),"",IF(COUNTIFS('Leave log'!$A$7:$A$306,Employees!$A$11,'Leave log'!$B$7:$B$306,"&lt;="&amp;DATE($B$3,3,17),'Leave log'!$C$7:$C$306,"&gt;="&amp;DATE($B$3,3,17),'Leave log'!$F$7:$F$306,"Approved")&gt;0,"A",""))="A","A",IF(OR(DATE($B$3,3,17)&gt;EOMONTH(DATE($B$3,3,1),0),NETWORKDAYS.INTL(DATE($B$3,3,17),DATE($B$3,3,17),1,'Non-working days'!$A$6:$A$45)=0),"",IF(COUNTIFS('Leave log'!$A$7:$A$306,Employees!$A$11,'Leave log'!$B$7:$B$306,"&lt;="&amp;DATE($B$3,3,17),'Leave log'!$C$7:$C$306,"&gt;="&amp;DATE($B$3,3,17),'Leave log'!$F$7:$F$306,"Pending")&gt;0,"P",""))))</f>
        <v/>
      </c>
      <c r="S80" s="23" t="str">
        <f>IF(A80="","",IF(IF(OR(DATE($B$3,3,18)&gt;EOMONTH(DATE($B$3,3,1),0),NETWORKDAYS.INTL(DATE($B$3,3,18),DATE($B$3,3,18),1,'Non-working days'!$A$6:$A$45)=0),"",IF(COUNTIFS('Leave log'!$A$7:$A$306,Employees!$A$11,'Leave log'!$B$7:$B$306,"&lt;="&amp;DATE($B$3,3,18),'Leave log'!$C$7:$C$306,"&gt;="&amp;DATE($B$3,3,18),'Leave log'!$F$7:$F$306,"Approved")&gt;0,"A",""))="A","A",IF(OR(DATE($B$3,3,18)&gt;EOMONTH(DATE($B$3,3,1),0),NETWORKDAYS.INTL(DATE($B$3,3,18),DATE($B$3,3,18),1,'Non-working days'!$A$6:$A$45)=0),"",IF(COUNTIFS('Leave log'!$A$7:$A$306,Employees!$A$11,'Leave log'!$B$7:$B$306,"&lt;="&amp;DATE($B$3,3,18),'Leave log'!$C$7:$C$306,"&gt;="&amp;DATE($B$3,3,18),'Leave log'!$F$7:$F$306,"Pending")&gt;0,"P",""))))</f>
        <v/>
      </c>
      <c r="T80" s="23" t="str">
        <f>IF(A80="","",IF(IF(OR(DATE($B$3,3,19)&gt;EOMONTH(DATE($B$3,3,1),0),NETWORKDAYS.INTL(DATE($B$3,3,19),DATE($B$3,3,19),1,'Non-working days'!$A$6:$A$45)=0),"",IF(COUNTIFS('Leave log'!$A$7:$A$306,Employees!$A$11,'Leave log'!$B$7:$B$306,"&lt;="&amp;DATE($B$3,3,19),'Leave log'!$C$7:$C$306,"&gt;="&amp;DATE($B$3,3,19),'Leave log'!$F$7:$F$306,"Approved")&gt;0,"A",""))="A","A",IF(OR(DATE($B$3,3,19)&gt;EOMONTH(DATE($B$3,3,1),0),NETWORKDAYS.INTL(DATE($B$3,3,19),DATE($B$3,3,19),1,'Non-working days'!$A$6:$A$45)=0),"",IF(COUNTIFS('Leave log'!$A$7:$A$306,Employees!$A$11,'Leave log'!$B$7:$B$306,"&lt;="&amp;DATE($B$3,3,19),'Leave log'!$C$7:$C$306,"&gt;="&amp;DATE($B$3,3,19),'Leave log'!$F$7:$F$306,"Pending")&gt;0,"P",""))))</f>
        <v/>
      </c>
      <c r="U80" s="23" t="str">
        <f>IF(A80="","",IF(IF(OR(DATE($B$3,3,20)&gt;EOMONTH(DATE($B$3,3,1),0),NETWORKDAYS.INTL(DATE($B$3,3,20),DATE($B$3,3,20),1,'Non-working days'!$A$6:$A$45)=0),"",IF(COUNTIFS('Leave log'!$A$7:$A$306,Employees!$A$11,'Leave log'!$B$7:$B$306,"&lt;="&amp;DATE($B$3,3,20),'Leave log'!$C$7:$C$306,"&gt;="&amp;DATE($B$3,3,20),'Leave log'!$F$7:$F$306,"Approved")&gt;0,"A",""))="A","A",IF(OR(DATE($B$3,3,20)&gt;EOMONTH(DATE($B$3,3,1),0),NETWORKDAYS.INTL(DATE($B$3,3,20),DATE($B$3,3,20),1,'Non-working days'!$A$6:$A$45)=0),"",IF(COUNTIFS('Leave log'!$A$7:$A$306,Employees!$A$11,'Leave log'!$B$7:$B$306,"&lt;="&amp;DATE($B$3,3,20),'Leave log'!$C$7:$C$306,"&gt;="&amp;DATE($B$3,3,20),'Leave log'!$F$7:$F$306,"Pending")&gt;0,"P",""))))</f>
        <v/>
      </c>
      <c r="V80" s="23" t="str">
        <f>IF(A80="","",IF(IF(OR(DATE($B$3,3,21)&gt;EOMONTH(DATE($B$3,3,1),0),NETWORKDAYS.INTL(DATE($B$3,3,21),DATE($B$3,3,21),1,'Non-working days'!$A$6:$A$45)=0),"",IF(COUNTIFS('Leave log'!$A$7:$A$306,Employees!$A$11,'Leave log'!$B$7:$B$306,"&lt;="&amp;DATE($B$3,3,21),'Leave log'!$C$7:$C$306,"&gt;="&amp;DATE($B$3,3,21),'Leave log'!$F$7:$F$306,"Approved")&gt;0,"A",""))="A","A",IF(OR(DATE($B$3,3,21)&gt;EOMONTH(DATE($B$3,3,1),0),NETWORKDAYS.INTL(DATE($B$3,3,21),DATE($B$3,3,21),1,'Non-working days'!$A$6:$A$45)=0),"",IF(COUNTIFS('Leave log'!$A$7:$A$306,Employees!$A$11,'Leave log'!$B$7:$B$306,"&lt;="&amp;DATE($B$3,3,21),'Leave log'!$C$7:$C$306,"&gt;="&amp;DATE($B$3,3,21),'Leave log'!$F$7:$F$306,"Pending")&gt;0,"P",""))))</f>
        <v/>
      </c>
      <c r="W80" s="23" t="str">
        <f>IF(A80="","",IF(IF(OR(DATE($B$3,3,22)&gt;EOMONTH(DATE($B$3,3,1),0),NETWORKDAYS.INTL(DATE($B$3,3,22),DATE($B$3,3,22),1,'Non-working days'!$A$6:$A$45)=0),"",IF(COUNTIFS('Leave log'!$A$7:$A$306,Employees!$A$11,'Leave log'!$B$7:$B$306,"&lt;="&amp;DATE($B$3,3,22),'Leave log'!$C$7:$C$306,"&gt;="&amp;DATE($B$3,3,22),'Leave log'!$F$7:$F$306,"Approved")&gt;0,"A",""))="A","A",IF(OR(DATE($B$3,3,22)&gt;EOMONTH(DATE($B$3,3,1),0),NETWORKDAYS.INTL(DATE($B$3,3,22),DATE($B$3,3,22),1,'Non-working days'!$A$6:$A$45)=0),"",IF(COUNTIFS('Leave log'!$A$7:$A$306,Employees!$A$11,'Leave log'!$B$7:$B$306,"&lt;="&amp;DATE($B$3,3,22),'Leave log'!$C$7:$C$306,"&gt;="&amp;DATE($B$3,3,22),'Leave log'!$F$7:$F$306,"Pending")&gt;0,"P",""))))</f>
        <v/>
      </c>
      <c r="X80" s="23" t="str">
        <f>IF(A80="","",IF(IF(OR(DATE($B$3,3,23)&gt;EOMONTH(DATE($B$3,3,1),0),NETWORKDAYS.INTL(DATE($B$3,3,23),DATE($B$3,3,23),1,'Non-working days'!$A$6:$A$45)=0),"",IF(COUNTIFS('Leave log'!$A$7:$A$306,Employees!$A$11,'Leave log'!$B$7:$B$306,"&lt;="&amp;DATE($B$3,3,23),'Leave log'!$C$7:$C$306,"&gt;="&amp;DATE($B$3,3,23),'Leave log'!$F$7:$F$306,"Approved")&gt;0,"A",""))="A","A",IF(OR(DATE($B$3,3,23)&gt;EOMONTH(DATE($B$3,3,1),0),NETWORKDAYS.INTL(DATE($B$3,3,23),DATE($B$3,3,23),1,'Non-working days'!$A$6:$A$45)=0),"",IF(COUNTIFS('Leave log'!$A$7:$A$306,Employees!$A$11,'Leave log'!$B$7:$B$306,"&lt;="&amp;DATE($B$3,3,23),'Leave log'!$C$7:$C$306,"&gt;="&amp;DATE($B$3,3,23),'Leave log'!$F$7:$F$306,"Pending")&gt;0,"P",""))))</f>
        <v/>
      </c>
      <c r="Y80" s="23" t="str">
        <f>IF(A80="","",IF(IF(OR(DATE($B$3,3,24)&gt;EOMONTH(DATE($B$3,3,1),0),NETWORKDAYS.INTL(DATE($B$3,3,24),DATE($B$3,3,24),1,'Non-working days'!$A$6:$A$45)=0),"",IF(COUNTIFS('Leave log'!$A$7:$A$306,Employees!$A$11,'Leave log'!$B$7:$B$306,"&lt;="&amp;DATE($B$3,3,24),'Leave log'!$C$7:$C$306,"&gt;="&amp;DATE($B$3,3,24),'Leave log'!$F$7:$F$306,"Approved")&gt;0,"A",""))="A","A",IF(OR(DATE($B$3,3,24)&gt;EOMONTH(DATE($B$3,3,1),0),NETWORKDAYS.INTL(DATE($B$3,3,24),DATE($B$3,3,24),1,'Non-working days'!$A$6:$A$45)=0),"",IF(COUNTIFS('Leave log'!$A$7:$A$306,Employees!$A$11,'Leave log'!$B$7:$B$306,"&lt;="&amp;DATE($B$3,3,24),'Leave log'!$C$7:$C$306,"&gt;="&amp;DATE($B$3,3,24),'Leave log'!$F$7:$F$306,"Pending")&gt;0,"P",""))))</f>
        <v/>
      </c>
      <c r="Z80" s="23" t="str">
        <f>IF(A80="","",IF(IF(OR(DATE($B$3,3,25)&gt;EOMONTH(DATE($B$3,3,1),0),NETWORKDAYS.INTL(DATE($B$3,3,25),DATE($B$3,3,25),1,'Non-working days'!$A$6:$A$45)=0),"",IF(COUNTIFS('Leave log'!$A$7:$A$306,Employees!$A$11,'Leave log'!$B$7:$B$306,"&lt;="&amp;DATE($B$3,3,25),'Leave log'!$C$7:$C$306,"&gt;="&amp;DATE($B$3,3,25),'Leave log'!$F$7:$F$306,"Approved")&gt;0,"A",""))="A","A",IF(OR(DATE($B$3,3,25)&gt;EOMONTH(DATE($B$3,3,1),0),NETWORKDAYS.INTL(DATE($B$3,3,25),DATE($B$3,3,25),1,'Non-working days'!$A$6:$A$45)=0),"",IF(COUNTIFS('Leave log'!$A$7:$A$306,Employees!$A$11,'Leave log'!$B$7:$B$306,"&lt;="&amp;DATE($B$3,3,25),'Leave log'!$C$7:$C$306,"&gt;="&amp;DATE($B$3,3,25),'Leave log'!$F$7:$F$306,"Pending")&gt;0,"P",""))))</f>
        <v/>
      </c>
      <c r="AA80" s="23" t="str">
        <f>IF(A80="","",IF(IF(OR(DATE($B$3,3,26)&gt;EOMONTH(DATE($B$3,3,1),0),NETWORKDAYS.INTL(DATE($B$3,3,26),DATE($B$3,3,26),1,'Non-working days'!$A$6:$A$45)=0),"",IF(COUNTIFS('Leave log'!$A$7:$A$306,Employees!$A$11,'Leave log'!$B$7:$B$306,"&lt;="&amp;DATE($B$3,3,26),'Leave log'!$C$7:$C$306,"&gt;="&amp;DATE($B$3,3,26),'Leave log'!$F$7:$F$306,"Approved")&gt;0,"A",""))="A","A",IF(OR(DATE($B$3,3,26)&gt;EOMONTH(DATE($B$3,3,1),0),NETWORKDAYS.INTL(DATE($B$3,3,26),DATE($B$3,3,26),1,'Non-working days'!$A$6:$A$45)=0),"",IF(COUNTIFS('Leave log'!$A$7:$A$306,Employees!$A$11,'Leave log'!$B$7:$B$306,"&lt;="&amp;DATE($B$3,3,26),'Leave log'!$C$7:$C$306,"&gt;="&amp;DATE($B$3,3,26),'Leave log'!$F$7:$F$306,"Pending")&gt;0,"P",""))))</f>
        <v/>
      </c>
      <c r="AB80" s="23" t="str">
        <f>IF(A80="","",IF(IF(OR(DATE($B$3,3,27)&gt;EOMONTH(DATE($B$3,3,1),0),NETWORKDAYS.INTL(DATE($B$3,3,27),DATE($B$3,3,27),1,'Non-working days'!$A$6:$A$45)=0),"",IF(COUNTIFS('Leave log'!$A$7:$A$306,Employees!$A$11,'Leave log'!$B$7:$B$306,"&lt;="&amp;DATE($B$3,3,27),'Leave log'!$C$7:$C$306,"&gt;="&amp;DATE($B$3,3,27),'Leave log'!$F$7:$F$306,"Approved")&gt;0,"A",""))="A","A",IF(OR(DATE($B$3,3,27)&gt;EOMONTH(DATE($B$3,3,1),0),NETWORKDAYS.INTL(DATE($B$3,3,27),DATE($B$3,3,27),1,'Non-working days'!$A$6:$A$45)=0),"",IF(COUNTIFS('Leave log'!$A$7:$A$306,Employees!$A$11,'Leave log'!$B$7:$B$306,"&lt;="&amp;DATE($B$3,3,27),'Leave log'!$C$7:$C$306,"&gt;="&amp;DATE($B$3,3,27),'Leave log'!$F$7:$F$306,"Pending")&gt;0,"P",""))))</f>
        <v/>
      </c>
      <c r="AC80" s="23" t="str">
        <f>IF(A80="","",IF(IF(OR(DATE($B$3,3,28)&gt;EOMONTH(DATE($B$3,3,1),0),NETWORKDAYS.INTL(DATE($B$3,3,28),DATE($B$3,3,28),1,'Non-working days'!$A$6:$A$45)=0),"",IF(COUNTIFS('Leave log'!$A$7:$A$306,Employees!$A$11,'Leave log'!$B$7:$B$306,"&lt;="&amp;DATE($B$3,3,28),'Leave log'!$C$7:$C$306,"&gt;="&amp;DATE($B$3,3,28),'Leave log'!$F$7:$F$306,"Approved")&gt;0,"A",""))="A","A",IF(OR(DATE($B$3,3,28)&gt;EOMONTH(DATE($B$3,3,1),0),NETWORKDAYS.INTL(DATE($B$3,3,28),DATE($B$3,3,28),1,'Non-working days'!$A$6:$A$45)=0),"",IF(COUNTIFS('Leave log'!$A$7:$A$306,Employees!$A$11,'Leave log'!$B$7:$B$306,"&lt;="&amp;DATE($B$3,3,28),'Leave log'!$C$7:$C$306,"&gt;="&amp;DATE($B$3,3,28),'Leave log'!$F$7:$F$306,"Pending")&gt;0,"P",""))))</f>
        <v/>
      </c>
      <c r="AD80" s="23" t="str">
        <f>IF(A80="","",IF(IF(OR(DATE($B$3,3,29)&gt;EOMONTH(DATE($B$3,3,1),0),NETWORKDAYS.INTL(DATE($B$3,3,29),DATE($B$3,3,29),1,'Non-working days'!$A$6:$A$45)=0),"",IF(COUNTIFS('Leave log'!$A$7:$A$306,Employees!$A$11,'Leave log'!$B$7:$B$306,"&lt;="&amp;DATE($B$3,3,29),'Leave log'!$C$7:$C$306,"&gt;="&amp;DATE($B$3,3,29),'Leave log'!$F$7:$F$306,"Approved")&gt;0,"A",""))="A","A",IF(OR(DATE($B$3,3,29)&gt;EOMONTH(DATE($B$3,3,1),0),NETWORKDAYS.INTL(DATE($B$3,3,29),DATE($B$3,3,29),1,'Non-working days'!$A$6:$A$45)=0),"",IF(COUNTIFS('Leave log'!$A$7:$A$306,Employees!$A$11,'Leave log'!$B$7:$B$306,"&lt;="&amp;DATE($B$3,3,29),'Leave log'!$C$7:$C$306,"&gt;="&amp;DATE($B$3,3,29),'Leave log'!$F$7:$F$306,"Pending")&gt;0,"P",""))))</f>
        <v/>
      </c>
      <c r="AE80" s="23" t="str">
        <f>IF(A80="","",IF(IF(OR(DATE($B$3,3,30)&gt;EOMONTH(DATE($B$3,3,1),0),NETWORKDAYS.INTL(DATE($B$3,3,30),DATE($B$3,3,30),1,'Non-working days'!$A$6:$A$45)=0),"",IF(COUNTIFS('Leave log'!$A$7:$A$306,Employees!$A$11,'Leave log'!$B$7:$B$306,"&lt;="&amp;DATE($B$3,3,30),'Leave log'!$C$7:$C$306,"&gt;="&amp;DATE($B$3,3,30),'Leave log'!$F$7:$F$306,"Approved")&gt;0,"A",""))="A","A",IF(OR(DATE($B$3,3,30)&gt;EOMONTH(DATE($B$3,3,1),0),NETWORKDAYS.INTL(DATE($B$3,3,30),DATE($B$3,3,30),1,'Non-working days'!$A$6:$A$45)=0),"",IF(COUNTIFS('Leave log'!$A$7:$A$306,Employees!$A$11,'Leave log'!$B$7:$B$306,"&lt;="&amp;DATE($B$3,3,30),'Leave log'!$C$7:$C$306,"&gt;="&amp;DATE($B$3,3,30),'Leave log'!$F$7:$F$306,"Pending")&gt;0,"P",""))))</f>
        <v/>
      </c>
      <c r="AF80" s="23" t="str">
        <f>IF(A80="","",IF(IF(OR(DATE($B$3,3,31)&gt;EOMONTH(DATE($B$3,3,1),0),NETWORKDAYS.INTL(DATE($B$3,3,31),DATE($B$3,3,31),1,'Non-working days'!$A$6:$A$45)=0),"",IF(COUNTIFS('Leave log'!$A$7:$A$306,Employees!$A$11,'Leave log'!$B$7:$B$306,"&lt;="&amp;DATE($B$3,3,31),'Leave log'!$C$7:$C$306,"&gt;="&amp;DATE($B$3,3,31),'Leave log'!$F$7:$F$306,"Approved")&gt;0,"A",""))="A","A",IF(OR(DATE($B$3,3,31)&gt;EOMONTH(DATE($B$3,3,1),0),NETWORKDAYS.INTL(DATE($B$3,3,31),DATE($B$3,3,31),1,'Non-working days'!$A$6:$A$45)=0),"",IF(COUNTIFS('Leave log'!$A$7:$A$306,Employees!$A$11,'Leave log'!$B$7:$B$306,"&lt;="&amp;DATE($B$3,3,31),'Leave log'!$C$7:$C$306,"&gt;="&amp;DATE($B$3,3,31),'Leave log'!$F$7:$F$306,"Pending")&gt;0,"P",""))))</f>
        <v/>
      </c>
    </row>
    <row r="81" spans="1:32" ht="18" customHeight="1" x14ac:dyDescent="0.3">
      <c r="A81" s="22" t="str">
        <f>IF(Employees!F12="Yes",Employees!B12,"")</f>
        <v/>
      </c>
      <c r="B81" s="23" t="str">
        <f>IF(A81="","",IF(IF(OR(DATE($B$3,3,1)&gt;EOMONTH(DATE($B$3,3,1),0),NETWORKDAYS.INTL(DATE($B$3,3,1),DATE($B$3,3,1),1,'Non-working days'!$A$6:$A$45)=0),"",IF(COUNTIFS('Leave log'!$A$7:$A$306,Employees!$A$12,'Leave log'!$B$7:$B$306,"&lt;="&amp;DATE($B$3,3,1),'Leave log'!$C$7:$C$306,"&gt;="&amp;DATE($B$3,3,1),'Leave log'!$F$7:$F$306,"Approved")&gt;0,"A",""))="A","A",IF(OR(DATE($B$3,3,1)&gt;EOMONTH(DATE($B$3,3,1),0),NETWORKDAYS.INTL(DATE($B$3,3,1),DATE($B$3,3,1),1,'Non-working days'!$A$6:$A$45)=0),"",IF(COUNTIFS('Leave log'!$A$7:$A$306,Employees!$A$12,'Leave log'!$B$7:$B$306,"&lt;="&amp;DATE($B$3,3,1),'Leave log'!$C$7:$C$306,"&gt;="&amp;DATE($B$3,3,1),'Leave log'!$F$7:$F$306,"Pending")&gt;0,"P",""))))</f>
        <v/>
      </c>
      <c r="C81" s="23" t="str">
        <f>IF(A81="","",IF(IF(OR(DATE($B$3,3,2)&gt;EOMONTH(DATE($B$3,3,1),0),NETWORKDAYS.INTL(DATE($B$3,3,2),DATE($B$3,3,2),1,'Non-working days'!$A$6:$A$45)=0),"",IF(COUNTIFS('Leave log'!$A$7:$A$306,Employees!$A$12,'Leave log'!$B$7:$B$306,"&lt;="&amp;DATE($B$3,3,2),'Leave log'!$C$7:$C$306,"&gt;="&amp;DATE($B$3,3,2),'Leave log'!$F$7:$F$306,"Approved")&gt;0,"A",""))="A","A",IF(OR(DATE($B$3,3,2)&gt;EOMONTH(DATE($B$3,3,1),0),NETWORKDAYS.INTL(DATE($B$3,3,2),DATE($B$3,3,2),1,'Non-working days'!$A$6:$A$45)=0),"",IF(COUNTIFS('Leave log'!$A$7:$A$306,Employees!$A$12,'Leave log'!$B$7:$B$306,"&lt;="&amp;DATE($B$3,3,2),'Leave log'!$C$7:$C$306,"&gt;="&amp;DATE($B$3,3,2),'Leave log'!$F$7:$F$306,"Pending")&gt;0,"P",""))))</f>
        <v/>
      </c>
      <c r="D81" s="23" t="str">
        <f>IF(A81="","",IF(IF(OR(DATE($B$3,3,3)&gt;EOMONTH(DATE($B$3,3,1),0),NETWORKDAYS.INTL(DATE($B$3,3,3),DATE($B$3,3,3),1,'Non-working days'!$A$6:$A$45)=0),"",IF(COUNTIFS('Leave log'!$A$7:$A$306,Employees!$A$12,'Leave log'!$B$7:$B$306,"&lt;="&amp;DATE($B$3,3,3),'Leave log'!$C$7:$C$306,"&gt;="&amp;DATE($B$3,3,3),'Leave log'!$F$7:$F$306,"Approved")&gt;0,"A",""))="A","A",IF(OR(DATE($B$3,3,3)&gt;EOMONTH(DATE($B$3,3,1),0),NETWORKDAYS.INTL(DATE($B$3,3,3),DATE($B$3,3,3),1,'Non-working days'!$A$6:$A$45)=0),"",IF(COUNTIFS('Leave log'!$A$7:$A$306,Employees!$A$12,'Leave log'!$B$7:$B$306,"&lt;="&amp;DATE($B$3,3,3),'Leave log'!$C$7:$C$306,"&gt;="&amp;DATE($B$3,3,3),'Leave log'!$F$7:$F$306,"Pending")&gt;0,"P",""))))</f>
        <v/>
      </c>
      <c r="E81" s="23" t="str">
        <f>IF(A81="","",IF(IF(OR(DATE($B$3,3,4)&gt;EOMONTH(DATE($B$3,3,1),0),NETWORKDAYS.INTL(DATE($B$3,3,4),DATE($B$3,3,4),1,'Non-working days'!$A$6:$A$45)=0),"",IF(COUNTIFS('Leave log'!$A$7:$A$306,Employees!$A$12,'Leave log'!$B$7:$B$306,"&lt;="&amp;DATE($B$3,3,4),'Leave log'!$C$7:$C$306,"&gt;="&amp;DATE($B$3,3,4),'Leave log'!$F$7:$F$306,"Approved")&gt;0,"A",""))="A","A",IF(OR(DATE($B$3,3,4)&gt;EOMONTH(DATE($B$3,3,1),0),NETWORKDAYS.INTL(DATE($B$3,3,4),DATE($B$3,3,4),1,'Non-working days'!$A$6:$A$45)=0),"",IF(COUNTIFS('Leave log'!$A$7:$A$306,Employees!$A$12,'Leave log'!$B$7:$B$306,"&lt;="&amp;DATE($B$3,3,4),'Leave log'!$C$7:$C$306,"&gt;="&amp;DATE($B$3,3,4),'Leave log'!$F$7:$F$306,"Pending")&gt;0,"P",""))))</f>
        <v/>
      </c>
      <c r="F81" s="23" t="str">
        <f>IF(A81="","",IF(IF(OR(DATE($B$3,3,5)&gt;EOMONTH(DATE($B$3,3,1),0),NETWORKDAYS.INTL(DATE($B$3,3,5),DATE($B$3,3,5),1,'Non-working days'!$A$6:$A$45)=0),"",IF(COUNTIFS('Leave log'!$A$7:$A$306,Employees!$A$12,'Leave log'!$B$7:$B$306,"&lt;="&amp;DATE($B$3,3,5),'Leave log'!$C$7:$C$306,"&gt;="&amp;DATE($B$3,3,5),'Leave log'!$F$7:$F$306,"Approved")&gt;0,"A",""))="A","A",IF(OR(DATE($B$3,3,5)&gt;EOMONTH(DATE($B$3,3,1),0),NETWORKDAYS.INTL(DATE($B$3,3,5),DATE($B$3,3,5),1,'Non-working days'!$A$6:$A$45)=0),"",IF(COUNTIFS('Leave log'!$A$7:$A$306,Employees!$A$12,'Leave log'!$B$7:$B$306,"&lt;="&amp;DATE($B$3,3,5),'Leave log'!$C$7:$C$306,"&gt;="&amp;DATE($B$3,3,5),'Leave log'!$F$7:$F$306,"Pending")&gt;0,"P",""))))</f>
        <v/>
      </c>
      <c r="G81" s="23" t="str">
        <f>IF(A81="","",IF(IF(OR(DATE($B$3,3,6)&gt;EOMONTH(DATE($B$3,3,1),0),NETWORKDAYS.INTL(DATE($B$3,3,6),DATE($B$3,3,6),1,'Non-working days'!$A$6:$A$45)=0),"",IF(COUNTIFS('Leave log'!$A$7:$A$306,Employees!$A$12,'Leave log'!$B$7:$B$306,"&lt;="&amp;DATE($B$3,3,6),'Leave log'!$C$7:$C$306,"&gt;="&amp;DATE($B$3,3,6),'Leave log'!$F$7:$F$306,"Approved")&gt;0,"A",""))="A","A",IF(OR(DATE($B$3,3,6)&gt;EOMONTH(DATE($B$3,3,1),0),NETWORKDAYS.INTL(DATE($B$3,3,6),DATE($B$3,3,6),1,'Non-working days'!$A$6:$A$45)=0),"",IF(COUNTIFS('Leave log'!$A$7:$A$306,Employees!$A$12,'Leave log'!$B$7:$B$306,"&lt;="&amp;DATE($B$3,3,6),'Leave log'!$C$7:$C$306,"&gt;="&amp;DATE($B$3,3,6),'Leave log'!$F$7:$F$306,"Pending")&gt;0,"P",""))))</f>
        <v/>
      </c>
      <c r="H81" s="23" t="str">
        <f>IF(A81="","",IF(IF(OR(DATE($B$3,3,7)&gt;EOMONTH(DATE($B$3,3,1),0),NETWORKDAYS.INTL(DATE($B$3,3,7),DATE($B$3,3,7),1,'Non-working days'!$A$6:$A$45)=0),"",IF(COUNTIFS('Leave log'!$A$7:$A$306,Employees!$A$12,'Leave log'!$B$7:$B$306,"&lt;="&amp;DATE($B$3,3,7),'Leave log'!$C$7:$C$306,"&gt;="&amp;DATE($B$3,3,7),'Leave log'!$F$7:$F$306,"Approved")&gt;0,"A",""))="A","A",IF(OR(DATE($B$3,3,7)&gt;EOMONTH(DATE($B$3,3,1),0),NETWORKDAYS.INTL(DATE($B$3,3,7),DATE($B$3,3,7),1,'Non-working days'!$A$6:$A$45)=0),"",IF(COUNTIFS('Leave log'!$A$7:$A$306,Employees!$A$12,'Leave log'!$B$7:$B$306,"&lt;="&amp;DATE($B$3,3,7),'Leave log'!$C$7:$C$306,"&gt;="&amp;DATE($B$3,3,7),'Leave log'!$F$7:$F$306,"Pending")&gt;0,"P",""))))</f>
        <v/>
      </c>
      <c r="I81" s="23" t="str">
        <f>IF(A81="","",IF(IF(OR(DATE($B$3,3,8)&gt;EOMONTH(DATE($B$3,3,1),0),NETWORKDAYS.INTL(DATE($B$3,3,8),DATE($B$3,3,8),1,'Non-working days'!$A$6:$A$45)=0),"",IF(COUNTIFS('Leave log'!$A$7:$A$306,Employees!$A$12,'Leave log'!$B$7:$B$306,"&lt;="&amp;DATE($B$3,3,8),'Leave log'!$C$7:$C$306,"&gt;="&amp;DATE($B$3,3,8),'Leave log'!$F$7:$F$306,"Approved")&gt;0,"A",""))="A","A",IF(OR(DATE($B$3,3,8)&gt;EOMONTH(DATE($B$3,3,1),0),NETWORKDAYS.INTL(DATE($B$3,3,8),DATE($B$3,3,8),1,'Non-working days'!$A$6:$A$45)=0),"",IF(COUNTIFS('Leave log'!$A$7:$A$306,Employees!$A$12,'Leave log'!$B$7:$B$306,"&lt;="&amp;DATE($B$3,3,8),'Leave log'!$C$7:$C$306,"&gt;="&amp;DATE($B$3,3,8),'Leave log'!$F$7:$F$306,"Pending")&gt;0,"P",""))))</f>
        <v/>
      </c>
      <c r="J81" s="23" t="str">
        <f>IF(A81="","",IF(IF(OR(DATE($B$3,3,9)&gt;EOMONTH(DATE($B$3,3,1),0),NETWORKDAYS.INTL(DATE($B$3,3,9),DATE($B$3,3,9),1,'Non-working days'!$A$6:$A$45)=0),"",IF(COUNTIFS('Leave log'!$A$7:$A$306,Employees!$A$12,'Leave log'!$B$7:$B$306,"&lt;="&amp;DATE($B$3,3,9),'Leave log'!$C$7:$C$306,"&gt;="&amp;DATE($B$3,3,9),'Leave log'!$F$7:$F$306,"Approved")&gt;0,"A",""))="A","A",IF(OR(DATE($B$3,3,9)&gt;EOMONTH(DATE($B$3,3,1),0),NETWORKDAYS.INTL(DATE($B$3,3,9),DATE($B$3,3,9),1,'Non-working days'!$A$6:$A$45)=0),"",IF(COUNTIFS('Leave log'!$A$7:$A$306,Employees!$A$12,'Leave log'!$B$7:$B$306,"&lt;="&amp;DATE($B$3,3,9),'Leave log'!$C$7:$C$306,"&gt;="&amp;DATE($B$3,3,9),'Leave log'!$F$7:$F$306,"Pending")&gt;0,"P",""))))</f>
        <v/>
      </c>
      <c r="K81" s="23" t="str">
        <f>IF(A81="","",IF(IF(OR(DATE($B$3,3,10)&gt;EOMONTH(DATE($B$3,3,1),0),NETWORKDAYS.INTL(DATE($B$3,3,10),DATE($B$3,3,10),1,'Non-working days'!$A$6:$A$45)=0),"",IF(COUNTIFS('Leave log'!$A$7:$A$306,Employees!$A$12,'Leave log'!$B$7:$B$306,"&lt;="&amp;DATE($B$3,3,10),'Leave log'!$C$7:$C$306,"&gt;="&amp;DATE($B$3,3,10),'Leave log'!$F$7:$F$306,"Approved")&gt;0,"A",""))="A","A",IF(OR(DATE($B$3,3,10)&gt;EOMONTH(DATE($B$3,3,1),0),NETWORKDAYS.INTL(DATE($B$3,3,10),DATE($B$3,3,10),1,'Non-working days'!$A$6:$A$45)=0),"",IF(COUNTIFS('Leave log'!$A$7:$A$306,Employees!$A$12,'Leave log'!$B$7:$B$306,"&lt;="&amp;DATE($B$3,3,10),'Leave log'!$C$7:$C$306,"&gt;="&amp;DATE($B$3,3,10),'Leave log'!$F$7:$F$306,"Pending")&gt;0,"P",""))))</f>
        <v/>
      </c>
      <c r="L81" s="23" t="str">
        <f>IF(A81="","",IF(IF(OR(DATE($B$3,3,11)&gt;EOMONTH(DATE($B$3,3,1),0),NETWORKDAYS.INTL(DATE($B$3,3,11),DATE($B$3,3,11),1,'Non-working days'!$A$6:$A$45)=0),"",IF(COUNTIFS('Leave log'!$A$7:$A$306,Employees!$A$12,'Leave log'!$B$7:$B$306,"&lt;="&amp;DATE($B$3,3,11),'Leave log'!$C$7:$C$306,"&gt;="&amp;DATE($B$3,3,11),'Leave log'!$F$7:$F$306,"Approved")&gt;0,"A",""))="A","A",IF(OR(DATE($B$3,3,11)&gt;EOMONTH(DATE($B$3,3,1),0),NETWORKDAYS.INTL(DATE($B$3,3,11),DATE($B$3,3,11),1,'Non-working days'!$A$6:$A$45)=0),"",IF(COUNTIFS('Leave log'!$A$7:$A$306,Employees!$A$12,'Leave log'!$B$7:$B$306,"&lt;="&amp;DATE($B$3,3,11),'Leave log'!$C$7:$C$306,"&gt;="&amp;DATE($B$3,3,11),'Leave log'!$F$7:$F$306,"Pending")&gt;0,"P",""))))</f>
        <v/>
      </c>
      <c r="M81" s="23" t="str">
        <f>IF(A81="","",IF(IF(OR(DATE($B$3,3,12)&gt;EOMONTH(DATE($B$3,3,1),0),NETWORKDAYS.INTL(DATE($B$3,3,12),DATE($B$3,3,12),1,'Non-working days'!$A$6:$A$45)=0),"",IF(COUNTIFS('Leave log'!$A$7:$A$306,Employees!$A$12,'Leave log'!$B$7:$B$306,"&lt;="&amp;DATE($B$3,3,12),'Leave log'!$C$7:$C$306,"&gt;="&amp;DATE($B$3,3,12),'Leave log'!$F$7:$F$306,"Approved")&gt;0,"A",""))="A","A",IF(OR(DATE($B$3,3,12)&gt;EOMONTH(DATE($B$3,3,1),0),NETWORKDAYS.INTL(DATE($B$3,3,12),DATE($B$3,3,12),1,'Non-working days'!$A$6:$A$45)=0),"",IF(COUNTIFS('Leave log'!$A$7:$A$306,Employees!$A$12,'Leave log'!$B$7:$B$306,"&lt;="&amp;DATE($B$3,3,12),'Leave log'!$C$7:$C$306,"&gt;="&amp;DATE($B$3,3,12),'Leave log'!$F$7:$F$306,"Pending")&gt;0,"P",""))))</f>
        <v/>
      </c>
      <c r="N81" s="23" t="str">
        <f>IF(A81="","",IF(IF(OR(DATE($B$3,3,13)&gt;EOMONTH(DATE($B$3,3,1),0),NETWORKDAYS.INTL(DATE($B$3,3,13),DATE($B$3,3,13),1,'Non-working days'!$A$6:$A$45)=0),"",IF(COUNTIFS('Leave log'!$A$7:$A$306,Employees!$A$12,'Leave log'!$B$7:$B$306,"&lt;="&amp;DATE($B$3,3,13),'Leave log'!$C$7:$C$306,"&gt;="&amp;DATE($B$3,3,13),'Leave log'!$F$7:$F$306,"Approved")&gt;0,"A",""))="A","A",IF(OR(DATE($B$3,3,13)&gt;EOMONTH(DATE($B$3,3,1),0),NETWORKDAYS.INTL(DATE($B$3,3,13),DATE($B$3,3,13),1,'Non-working days'!$A$6:$A$45)=0),"",IF(COUNTIFS('Leave log'!$A$7:$A$306,Employees!$A$12,'Leave log'!$B$7:$B$306,"&lt;="&amp;DATE($B$3,3,13),'Leave log'!$C$7:$C$306,"&gt;="&amp;DATE($B$3,3,13),'Leave log'!$F$7:$F$306,"Pending")&gt;0,"P",""))))</f>
        <v/>
      </c>
      <c r="O81" s="23" t="str">
        <f>IF(A81="","",IF(IF(OR(DATE($B$3,3,14)&gt;EOMONTH(DATE($B$3,3,1),0),NETWORKDAYS.INTL(DATE($B$3,3,14),DATE($B$3,3,14),1,'Non-working days'!$A$6:$A$45)=0),"",IF(COUNTIFS('Leave log'!$A$7:$A$306,Employees!$A$12,'Leave log'!$B$7:$B$306,"&lt;="&amp;DATE($B$3,3,14),'Leave log'!$C$7:$C$306,"&gt;="&amp;DATE($B$3,3,14),'Leave log'!$F$7:$F$306,"Approved")&gt;0,"A",""))="A","A",IF(OR(DATE($B$3,3,14)&gt;EOMONTH(DATE($B$3,3,1),0),NETWORKDAYS.INTL(DATE($B$3,3,14),DATE($B$3,3,14),1,'Non-working days'!$A$6:$A$45)=0),"",IF(COUNTIFS('Leave log'!$A$7:$A$306,Employees!$A$12,'Leave log'!$B$7:$B$306,"&lt;="&amp;DATE($B$3,3,14),'Leave log'!$C$7:$C$306,"&gt;="&amp;DATE($B$3,3,14),'Leave log'!$F$7:$F$306,"Pending")&gt;0,"P",""))))</f>
        <v/>
      </c>
      <c r="P81" s="23" t="str">
        <f>IF(A81="","",IF(IF(OR(DATE($B$3,3,15)&gt;EOMONTH(DATE($B$3,3,1),0),NETWORKDAYS.INTL(DATE($B$3,3,15),DATE($B$3,3,15),1,'Non-working days'!$A$6:$A$45)=0),"",IF(COUNTIFS('Leave log'!$A$7:$A$306,Employees!$A$12,'Leave log'!$B$7:$B$306,"&lt;="&amp;DATE($B$3,3,15),'Leave log'!$C$7:$C$306,"&gt;="&amp;DATE($B$3,3,15),'Leave log'!$F$7:$F$306,"Approved")&gt;0,"A",""))="A","A",IF(OR(DATE($B$3,3,15)&gt;EOMONTH(DATE($B$3,3,1),0),NETWORKDAYS.INTL(DATE($B$3,3,15),DATE($B$3,3,15),1,'Non-working days'!$A$6:$A$45)=0),"",IF(COUNTIFS('Leave log'!$A$7:$A$306,Employees!$A$12,'Leave log'!$B$7:$B$306,"&lt;="&amp;DATE($B$3,3,15),'Leave log'!$C$7:$C$306,"&gt;="&amp;DATE($B$3,3,15),'Leave log'!$F$7:$F$306,"Pending")&gt;0,"P",""))))</f>
        <v/>
      </c>
      <c r="Q81" s="23" t="str">
        <f>IF(A81="","",IF(IF(OR(DATE($B$3,3,16)&gt;EOMONTH(DATE($B$3,3,1),0),NETWORKDAYS.INTL(DATE($B$3,3,16),DATE($B$3,3,16),1,'Non-working days'!$A$6:$A$45)=0),"",IF(COUNTIFS('Leave log'!$A$7:$A$306,Employees!$A$12,'Leave log'!$B$7:$B$306,"&lt;="&amp;DATE($B$3,3,16),'Leave log'!$C$7:$C$306,"&gt;="&amp;DATE($B$3,3,16),'Leave log'!$F$7:$F$306,"Approved")&gt;0,"A",""))="A","A",IF(OR(DATE($B$3,3,16)&gt;EOMONTH(DATE($B$3,3,1),0),NETWORKDAYS.INTL(DATE($B$3,3,16),DATE($B$3,3,16),1,'Non-working days'!$A$6:$A$45)=0),"",IF(COUNTIFS('Leave log'!$A$7:$A$306,Employees!$A$12,'Leave log'!$B$7:$B$306,"&lt;="&amp;DATE($B$3,3,16),'Leave log'!$C$7:$C$306,"&gt;="&amp;DATE($B$3,3,16),'Leave log'!$F$7:$F$306,"Pending")&gt;0,"P",""))))</f>
        <v/>
      </c>
      <c r="R81" s="23" t="str">
        <f>IF(A81="","",IF(IF(OR(DATE($B$3,3,17)&gt;EOMONTH(DATE($B$3,3,1),0),NETWORKDAYS.INTL(DATE($B$3,3,17),DATE($B$3,3,17),1,'Non-working days'!$A$6:$A$45)=0),"",IF(COUNTIFS('Leave log'!$A$7:$A$306,Employees!$A$12,'Leave log'!$B$7:$B$306,"&lt;="&amp;DATE($B$3,3,17),'Leave log'!$C$7:$C$306,"&gt;="&amp;DATE($B$3,3,17),'Leave log'!$F$7:$F$306,"Approved")&gt;0,"A",""))="A","A",IF(OR(DATE($B$3,3,17)&gt;EOMONTH(DATE($B$3,3,1),0),NETWORKDAYS.INTL(DATE($B$3,3,17),DATE($B$3,3,17),1,'Non-working days'!$A$6:$A$45)=0),"",IF(COUNTIFS('Leave log'!$A$7:$A$306,Employees!$A$12,'Leave log'!$B$7:$B$306,"&lt;="&amp;DATE($B$3,3,17),'Leave log'!$C$7:$C$306,"&gt;="&amp;DATE($B$3,3,17),'Leave log'!$F$7:$F$306,"Pending")&gt;0,"P",""))))</f>
        <v/>
      </c>
      <c r="S81" s="23" t="str">
        <f>IF(A81="","",IF(IF(OR(DATE($B$3,3,18)&gt;EOMONTH(DATE($B$3,3,1),0),NETWORKDAYS.INTL(DATE($B$3,3,18),DATE($B$3,3,18),1,'Non-working days'!$A$6:$A$45)=0),"",IF(COUNTIFS('Leave log'!$A$7:$A$306,Employees!$A$12,'Leave log'!$B$7:$B$306,"&lt;="&amp;DATE($B$3,3,18),'Leave log'!$C$7:$C$306,"&gt;="&amp;DATE($B$3,3,18),'Leave log'!$F$7:$F$306,"Approved")&gt;0,"A",""))="A","A",IF(OR(DATE($B$3,3,18)&gt;EOMONTH(DATE($B$3,3,1),0),NETWORKDAYS.INTL(DATE($B$3,3,18),DATE($B$3,3,18),1,'Non-working days'!$A$6:$A$45)=0),"",IF(COUNTIFS('Leave log'!$A$7:$A$306,Employees!$A$12,'Leave log'!$B$7:$B$306,"&lt;="&amp;DATE($B$3,3,18),'Leave log'!$C$7:$C$306,"&gt;="&amp;DATE($B$3,3,18),'Leave log'!$F$7:$F$306,"Pending")&gt;0,"P",""))))</f>
        <v/>
      </c>
      <c r="T81" s="23" t="str">
        <f>IF(A81="","",IF(IF(OR(DATE($B$3,3,19)&gt;EOMONTH(DATE($B$3,3,1),0),NETWORKDAYS.INTL(DATE($B$3,3,19),DATE($B$3,3,19),1,'Non-working days'!$A$6:$A$45)=0),"",IF(COUNTIFS('Leave log'!$A$7:$A$306,Employees!$A$12,'Leave log'!$B$7:$B$306,"&lt;="&amp;DATE($B$3,3,19),'Leave log'!$C$7:$C$306,"&gt;="&amp;DATE($B$3,3,19),'Leave log'!$F$7:$F$306,"Approved")&gt;0,"A",""))="A","A",IF(OR(DATE($B$3,3,19)&gt;EOMONTH(DATE($B$3,3,1),0),NETWORKDAYS.INTL(DATE($B$3,3,19),DATE($B$3,3,19),1,'Non-working days'!$A$6:$A$45)=0),"",IF(COUNTIFS('Leave log'!$A$7:$A$306,Employees!$A$12,'Leave log'!$B$7:$B$306,"&lt;="&amp;DATE($B$3,3,19),'Leave log'!$C$7:$C$306,"&gt;="&amp;DATE($B$3,3,19),'Leave log'!$F$7:$F$306,"Pending")&gt;0,"P",""))))</f>
        <v/>
      </c>
      <c r="U81" s="23" t="str">
        <f>IF(A81="","",IF(IF(OR(DATE($B$3,3,20)&gt;EOMONTH(DATE($B$3,3,1),0),NETWORKDAYS.INTL(DATE($B$3,3,20),DATE($B$3,3,20),1,'Non-working days'!$A$6:$A$45)=0),"",IF(COUNTIFS('Leave log'!$A$7:$A$306,Employees!$A$12,'Leave log'!$B$7:$B$306,"&lt;="&amp;DATE($B$3,3,20),'Leave log'!$C$7:$C$306,"&gt;="&amp;DATE($B$3,3,20),'Leave log'!$F$7:$F$306,"Approved")&gt;0,"A",""))="A","A",IF(OR(DATE($B$3,3,20)&gt;EOMONTH(DATE($B$3,3,1),0),NETWORKDAYS.INTL(DATE($B$3,3,20),DATE($B$3,3,20),1,'Non-working days'!$A$6:$A$45)=0),"",IF(COUNTIFS('Leave log'!$A$7:$A$306,Employees!$A$12,'Leave log'!$B$7:$B$306,"&lt;="&amp;DATE($B$3,3,20),'Leave log'!$C$7:$C$306,"&gt;="&amp;DATE($B$3,3,20),'Leave log'!$F$7:$F$306,"Pending")&gt;0,"P",""))))</f>
        <v/>
      </c>
      <c r="V81" s="23" t="str">
        <f>IF(A81="","",IF(IF(OR(DATE($B$3,3,21)&gt;EOMONTH(DATE($B$3,3,1),0),NETWORKDAYS.INTL(DATE($B$3,3,21),DATE($B$3,3,21),1,'Non-working days'!$A$6:$A$45)=0),"",IF(COUNTIFS('Leave log'!$A$7:$A$306,Employees!$A$12,'Leave log'!$B$7:$B$306,"&lt;="&amp;DATE($B$3,3,21),'Leave log'!$C$7:$C$306,"&gt;="&amp;DATE($B$3,3,21),'Leave log'!$F$7:$F$306,"Approved")&gt;0,"A",""))="A","A",IF(OR(DATE($B$3,3,21)&gt;EOMONTH(DATE($B$3,3,1),0),NETWORKDAYS.INTL(DATE($B$3,3,21),DATE($B$3,3,21),1,'Non-working days'!$A$6:$A$45)=0),"",IF(COUNTIFS('Leave log'!$A$7:$A$306,Employees!$A$12,'Leave log'!$B$7:$B$306,"&lt;="&amp;DATE($B$3,3,21),'Leave log'!$C$7:$C$306,"&gt;="&amp;DATE($B$3,3,21),'Leave log'!$F$7:$F$306,"Pending")&gt;0,"P",""))))</f>
        <v/>
      </c>
      <c r="W81" s="23" t="str">
        <f>IF(A81="","",IF(IF(OR(DATE($B$3,3,22)&gt;EOMONTH(DATE($B$3,3,1),0),NETWORKDAYS.INTL(DATE($B$3,3,22),DATE($B$3,3,22),1,'Non-working days'!$A$6:$A$45)=0),"",IF(COUNTIFS('Leave log'!$A$7:$A$306,Employees!$A$12,'Leave log'!$B$7:$B$306,"&lt;="&amp;DATE($B$3,3,22),'Leave log'!$C$7:$C$306,"&gt;="&amp;DATE($B$3,3,22),'Leave log'!$F$7:$F$306,"Approved")&gt;0,"A",""))="A","A",IF(OR(DATE($B$3,3,22)&gt;EOMONTH(DATE($B$3,3,1),0),NETWORKDAYS.INTL(DATE($B$3,3,22),DATE($B$3,3,22),1,'Non-working days'!$A$6:$A$45)=0),"",IF(COUNTIFS('Leave log'!$A$7:$A$306,Employees!$A$12,'Leave log'!$B$7:$B$306,"&lt;="&amp;DATE($B$3,3,22),'Leave log'!$C$7:$C$306,"&gt;="&amp;DATE($B$3,3,22),'Leave log'!$F$7:$F$306,"Pending")&gt;0,"P",""))))</f>
        <v/>
      </c>
      <c r="X81" s="23" t="str">
        <f>IF(A81="","",IF(IF(OR(DATE($B$3,3,23)&gt;EOMONTH(DATE($B$3,3,1),0),NETWORKDAYS.INTL(DATE($B$3,3,23),DATE($B$3,3,23),1,'Non-working days'!$A$6:$A$45)=0),"",IF(COUNTIFS('Leave log'!$A$7:$A$306,Employees!$A$12,'Leave log'!$B$7:$B$306,"&lt;="&amp;DATE($B$3,3,23),'Leave log'!$C$7:$C$306,"&gt;="&amp;DATE($B$3,3,23),'Leave log'!$F$7:$F$306,"Approved")&gt;0,"A",""))="A","A",IF(OR(DATE($B$3,3,23)&gt;EOMONTH(DATE($B$3,3,1),0),NETWORKDAYS.INTL(DATE($B$3,3,23),DATE($B$3,3,23),1,'Non-working days'!$A$6:$A$45)=0),"",IF(COUNTIFS('Leave log'!$A$7:$A$306,Employees!$A$12,'Leave log'!$B$7:$B$306,"&lt;="&amp;DATE($B$3,3,23),'Leave log'!$C$7:$C$306,"&gt;="&amp;DATE($B$3,3,23),'Leave log'!$F$7:$F$306,"Pending")&gt;0,"P",""))))</f>
        <v/>
      </c>
      <c r="Y81" s="23" t="str">
        <f>IF(A81="","",IF(IF(OR(DATE($B$3,3,24)&gt;EOMONTH(DATE($B$3,3,1),0),NETWORKDAYS.INTL(DATE($B$3,3,24),DATE($B$3,3,24),1,'Non-working days'!$A$6:$A$45)=0),"",IF(COUNTIFS('Leave log'!$A$7:$A$306,Employees!$A$12,'Leave log'!$B$7:$B$306,"&lt;="&amp;DATE($B$3,3,24),'Leave log'!$C$7:$C$306,"&gt;="&amp;DATE($B$3,3,24),'Leave log'!$F$7:$F$306,"Approved")&gt;0,"A",""))="A","A",IF(OR(DATE($B$3,3,24)&gt;EOMONTH(DATE($B$3,3,1),0),NETWORKDAYS.INTL(DATE($B$3,3,24),DATE($B$3,3,24),1,'Non-working days'!$A$6:$A$45)=0),"",IF(COUNTIFS('Leave log'!$A$7:$A$306,Employees!$A$12,'Leave log'!$B$7:$B$306,"&lt;="&amp;DATE($B$3,3,24),'Leave log'!$C$7:$C$306,"&gt;="&amp;DATE($B$3,3,24),'Leave log'!$F$7:$F$306,"Pending")&gt;0,"P",""))))</f>
        <v/>
      </c>
      <c r="Z81" s="23" t="str">
        <f>IF(A81="","",IF(IF(OR(DATE($B$3,3,25)&gt;EOMONTH(DATE($B$3,3,1),0),NETWORKDAYS.INTL(DATE($B$3,3,25),DATE($B$3,3,25),1,'Non-working days'!$A$6:$A$45)=0),"",IF(COUNTIFS('Leave log'!$A$7:$A$306,Employees!$A$12,'Leave log'!$B$7:$B$306,"&lt;="&amp;DATE($B$3,3,25),'Leave log'!$C$7:$C$306,"&gt;="&amp;DATE($B$3,3,25),'Leave log'!$F$7:$F$306,"Approved")&gt;0,"A",""))="A","A",IF(OR(DATE($B$3,3,25)&gt;EOMONTH(DATE($B$3,3,1),0),NETWORKDAYS.INTL(DATE($B$3,3,25),DATE($B$3,3,25),1,'Non-working days'!$A$6:$A$45)=0),"",IF(COUNTIFS('Leave log'!$A$7:$A$306,Employees!$A$12,'Leave log'!$B$7:$B$306,"&lt;="&amp;DATE($B$3,3,25),'Leave log'!$C$7:$C$306,"&gt;="&amp;DATE($B$3,3,25),'Leave log'!$F$7:$F$306,"Pending")&gt;0,"P",""))))</f>
        <v/>
      </c>
      <c r="AA81" s="23" t="str">
        <f>IF(A81="","",IF(IF(OR(DATE($B$3,3,26)&gt;EOMONTH(DATE($B$3,3,1),0),NETWORKDAYS.INTL(DATE($B$3,3,26),DATE($B$3,3,26),1,'Non-working days'!$A$6:$A$45)=0),"",IF(COUNTIFS('Leave log'!$A$7:$A$306,Employees!$A$12,'Leave log'!$B$7:$B$306,"&lt;="&amp;DATE($B$3,3,26),'Leave log'!$C$7:$C$306,"&gt;="&amp;DATE($B$3,3,26),'Leave log'!$F$7:$F$306,"Approved")&gt;0,"A",""))="A","A",IF(OR(DATE($B$3,3,26)&gt;EOMONTH(DATE($B$3,3,1),0),NETWORKDAYS.INTL(DATE($B$3,3,26),DATE($B$3,3,26),1,'Non-working days'!$A$6:$A$45)=0),"",IF(COUNTIFS('Leave log'!$A$7:$A$306,Employees!$A$12,'Leave log'!$B$7:$B$306,"&lt;="&amp;DATE($B$3,3,26),'Leave log'!$C$7:$C$306,"&gt;="&amp;DATE($B$3,3,26),'Leave log'!$F$7:$F$306,"Pending")&gt;0,"P",""))))</f>
        <v/>
      </c>
      <c r="AB81" s="23" t="str">
        <f>IF(A81="","",IF(IF(OR(DATE($B$3,3,27)&gt;EOMONTH(DATE($B$3,3,1),0),NETWORKDAYS.INTL(DATE($B$3,3,27),DATE($B$3,3,27),1,'Non-working days'!$A$6:$A$45)=0),"",IF(COUNTIFS('Leave log'!$A$7:$A$306,Employees!$A$12,'Leave log'!$B$7:$B$306,"&lt;="&amp;DATE($B$3,3,27),'Leave log'!$C$7:$C$306,"&gt;="&amp;DATE($B$3,3,27),'Leave log'!$F$7:$F$306,"Approved")&gt;0,"A",""))="A","A",IF(OR(DATE($B$3,3,27)&gt;EOMONTH(DATE($B$3,3,1),0),NETWORKDAYS.INTL(DATE($B$3,3,27),DATE($B$3,3,27),1,'Non-working days'!$A$6:$A$45)=0),"",IF(COUNTIFS('Leave log'!$A$7:$A$306,Employees!$A$12,'Leave log'!$B$7:$B$306,"&lt;="&amp;DATE($B$3,3,27),'Leave log'!$C$7:$C$306,"&gt;="&amp;DATE($B$3,3,27),'Leave log'!$F$7:$F$306,"Pending")&gt;0,"P",""))))</f>
        <v/>
      </c>
      <c r="AC81" s="23" t="str">
        <f>IF(A81="","",IF(IF(OR(DATE($B$3,3,28)&gt;EOMONTH(DATE($B$3,3,1),0),NETWORKDAYS.INTL(DATE($B$3,3,28),DATE($B$3,3,28),1,'Non-working days'!$A$6:$A$45)=0),"",IF(COUNTIFS('Leave log'!$A$7:$A$306,Employees!$A$12,'Leave log'!$B$7:$B$306,"&lt;="&amp;DATE($B$3,3,28),'Leave log'!$C$7:$C$306,"&gt;="&amp;DATE($B$3,3,28),'Leave log'!$F$7:$F$306,"Approved")&gt;0,"A",""))="A","A",IF(OR(DATE($B$3,3,28)&gt;EOMONTH(DATE($B$3,3,1),0),NETWORKDAYS.INTL(DATE($B$3,3,28),DATE($B$3,3,28),1,'Non-working days'!$A$6:$A$45)=0),"",IF(COUNTIFS('Leave log'!$A$7:$A$306,Employees!$A$12,'Leave log'!$B$7:$B$306,"&lt;="&amp;DATE($B$3,3,28),'Leave log'!$C$7:$C$306,"&gt;="&amp;DATE($B$3,3,28),'Leave log'!$F$7:$F$306,"Pending")&gt;0,"P",""))))</f>
        <v/>
      </c>
      <c r="AD81" s="23" t="str">
        <f>IF(A81="","",IF(IF(OR(DATE($B$3,3,29)&gt;EOMONTH(DATE($B$3,3,1),0),NETWORKDAYS.INTL(DATE($B$3,3,29),DATE($B$3,3,29),1,'Non-working days'!$A$6:$A$45)=0),"",IF(COUNTIFS('Leave log'!$A$7:$A$306,Employees!$A$12,'Leave log'!$B$7:$B$306,"&lt;="&amp;DATE($B$3,3,29),'Leave log'!$C$7:$C$306,"&gt;="&amp;DATE($B$3,3,29),'Leave log'!$F$7:$F$306,"Approved")&gt;0,"A",""))="A","A",IF(OR(DATE($B$3,3,29)&gt;EOMONTH(DATE($B$3,3,1),0),NETWORKDAYS.INTL(DATE($B$3,3,29),DATE($B$3,3,29),1,'Non-working days'!$A$6:$A$45)=0),"",IF(COUNTIFS('Leave log'!$A$7:$A$306,Employees!$A$12,'Leave log'!$B$7:$B$306,"&lt;="&amp;DATE($B$3,3,29),'Leave log'!$C$7:$C$306,"&gt;="&amp;DATE($B$3,3,29),'Leave log'!$F$7:$F$306,"Pending")&gt;0,"P",""))))</f>
        <v/>
      </c>
      <c r="AE81" s="23" t="str">
        <f>IF(A81="","",IF(IF(OR(DATE($B$3,3,30)&gt;EOMONTH(DATE($B$3,3,1),0),NETWORKDAYS.INTL(DATE($B$3,3,30),DATE($B$3,3,30),1,'Non-working days'!$A$6:$A$45)=0),"",IF(COUNTIFS('Leave log'!$A$7:$A$306,Employees!$A$12,'Leave log'!$B$7:$B$306,"&lt;="&amp;DATE($B$3,3,30),'Leave log'!$C$7:$C$306,"&gt;="&amp;DATE($B$3,3,30),'Leave log'!$F$7:$F$306,"Approved")&gt;0,"A",""))="A","A",IF(OR(DATE($B$3,3,30)&gt;EOMONTH(DATE($B$3,3,1),0),NETWORKDAYS.INTL(DATE($B$3,3,30),DATE($B$3,3,30),1,'Non-working days'!$A$6:$A$45)=0),"",IF(COUNTIFS('Leave log'!$A$7:$A$306,Employees!$A$12,'Leave log'!$B$7:$B$306,"&lt;="&amp;DATE($B$3,3,30),'Leave log'!$C$7:$C$306,"&gt;="&amp;DATE($B$3,3,30),'Leave log'!$F$7:$F$306,"Pending")&gt;0,"P",""))))</f>
        <v/>
      </c>
      <c r="AF81" s="23" t="str">
        <f>IF(A81="","",IF(IF(OR(DATE($B$3,3,31)&gt;EOMONTH(DATE($B$3,3,1),0),NETWORKDAYS.INTL(DATE($B$3,3,31),DATE($B$3,3,31),1,'Non-working days'!$A$6:$A$45)=0),"",IF(COUNTIFS('Leave log'!$A$7:$A$306,Employees!$A$12,'Leave log'!$B$7:$B$306,"&lt;="&amp;DATE($B$3,3,31),'Leave log'!$C$7:$C$306,"&gt;="&amp;DATE($B$3,3,31),'Leave log'!$F$7:$F$306,"Approved")&gt;0,"A",""))="A","A",IF(OR(DATE($B$3,3,31)&gt;EOMONTH(DATE($B$3,3,1),0),NETWORKDAYS.INTL(DATE($B$3,3,31),DATE($B$3,3,31),1,'Non-working days'!$A$6:$A$45)=0),"",IF(COUNTIFS('Leave log'!$A$7:$A$306,Employees!$A$12,'Leave log'!$B$7:$B$306,"&lt;="&amp;DATE($B$3,3,31),'Leave log'!$C$7:$C$306,"&gt;="&amp;DATE($B$3,3,31),'Leave log'!$F$7:$F$306,"Pending")&gt;0,"P",""))))</f>
        <v/>
      </c>
    </row>
    <row r="82" spans="1:32" ht="18" customHeight="1" x14ac:dyDescent="0.3">
      <c r="A82" s="22" t="str">
        <f>IF(Employees!F13="Yes",Employees!B13,"")</f>
        <v/>
      </c>
      <c r="B82" s="23" t="str">
        <f>IF(A82="","",IF(IF(OR(DATE($B$3,3,1)&gt;EOMONTH(DATE($B$3,3,1),0),NETWORKDAYS.INTL(DATE($B$3,3,1),DATE($B$3,3,1),1,'Non-working days'!$A$6:$A$45)=0),"",IF(COUNTIFS('Leave log'!$A$7:$A$306,Employees!$A$13,'Leave log'!$B$7:$B$306,"&lt;="&amp;DATE($B$3,3,1),'Leave log'!$C$7:$C$306,"&gt;="&amp;DATE($B$3,3,1),'Leave log'!$F$7:$F$306,"Approved")&gt;0,"A",""))="A","A",IF(OR(DATE($B$3,3,1)&gt;EOMONTH(DATE($B$3,3,1),0),NETWORKDAYS.INTL(DATE($B$3,3,1),DATE($B$3,3,1),1,'Non-working days'!$A$6:$A$45)=0),"",IF(COUNTIFS('Leave log'!$A$7:$A$306,Employees!$A$13,'Leave log'!$B$7:$B$306,"&lt;="&amp;DATE($B$3,3,1),'Leave log'!$C$7:$C$306,"&gt;="&amp;DATE($B$3,3,1),'Leave log'!$F$7:$F$306,"Pending")&gt;0,"P",""))))</f>
        <v/>
      </c>
      <c r="C82" s="23" t="str">
        <f>IF(A82="","",IF(IF(OR(DATE($B$3,3,2)&gt;EOMONTH(DATE($B$3,3,1),0),NETWORKDAYS.INTL(DATE($B$3,3,2),DATE($B$3,3,2),1,'Non-working days'!$A$6:$A$45)=0),"",IF(COUNTIFS('Leave log'!$A$7:$A$306,Employees!$A$13,'Leave log'!$B$7:$B$306,"&lt;="&amp;DATE($B$3,3,2),'Leave log'!$C$7:$C$306,"&gt;="&amp;DATE($B$3,3,2),'Leave log'!$F$7:$F$306,"Approved")&gt;0,"A",""))="A","A",IF(OR(DATE($B$3,3,2)&gt;EOMONTH(DATE($B$3,3,1),0),NETWORKDAYS.INTL(DATE($B$3,3,2),DATE($B$3,3,2),1,'Non-working days'!$A$6:$A$45)=0),"",IF(COUNTIFS('Leave log'!$A$7:$A$306,Employees!$A$13,'Leave log'!$B$7:$B$306,"&lt;="&amp;DATE($B$3,3,2),'Leave log'!$C$7:$C$306,"&gt;="&amp;DATE($B$3,3,2),'Leave log'!$F$7:$F$306,"Pending")&gt;0,"P",""))))</f>
        <v/>
      </c>
      <c r="D82" s="23" t="str">
        <f>IF(A82="","",IF(IF(OR(DATE($B$3,3,3)&gt;EOMONTH(DATE($B$3,3,1),0),NETWORKDAYS.INTL(DATE($B$3,3,3),DATE($B$3,3,3),1,'Non-working days'!$A$6:$A$45)=0),"",IF(COUNTIFS('Leave log'!$A$7:$A$306,Employees!$A$13,'Leave log'!$B$7:$B$306,"&lt;="&amp;DATE($B$3,3,3),'Leave log'!$C$7:$C$306,"&gt;="&amp;DATE($B$3,3,3),'Leave log'!$F$7:$F$306,"Approved")&gt;0,"A",""))="A","A",IF(OR(DATE($B$3,3,3)&gt;EOMONTH(DATE($B$3,3,1),0),NETWORKDAYS.INTL(DATE($B$3,3,3),DATE($B$3,3,3),1,'Non-working days'!$A$6:$A$45)=0),"",IF(COUNTIFS('Leave log'!$A$7:$A$306,Employees!$A$13,'Leave log'!$B$7:$B$306,"&lt;="&amp;DATE($B$3,3,3),'Leave log'!$C$7:$C$306,"&gt;="&amp;DATE($B$3,3,3),'Leave log'!$F$7:$F$306,"Pending")&gt;0,"P",""))))</f>
        <v/>
      </c>
      <c r="E82" s="23" t="str">
        <f>IF(A82="","",IF(IF(OR(DATE($B$3,3,4)&gt;EOMONTH(DATE($B$3,3,1),0),NETWORKDAYS.INTL(DATE($B$3,3,4),DATE($B$3,3,4),1,'Non-working days'!$A$6:$A$45)=0),"",IF(COUNTIFS('Leave log'!$A$7:$A$306,Employees!$A$13,'Leave log'!$B$7:$B$306,"&lt;="&amp;DATE($B$3,3,4),'Leave log'!$C$7:$C$306,"&gt;="&amp;DATE($B$3,3,4),'Leave log'!$F$7:$F$306,"Approved")&gt;0,"A",""))="A","A",IF(OR(DATE($B$3,3,4)&gt;EOMONTH(DATE($B$3,3,1),0),NETWORKDAYS.INTL(DATE($B$3,3,4),DATE($B$3,3,4),1,'Non-working days'!$A$6:$A$45)=0),"",IF(COUNTIFS('Leave log'!$A$7:$A$306,Employees!$A$13,'Leave log'!$B$7:$B$306,"&lt;="&amp;DATE($B$3,3,4),'Leave log'!$C$7:$C$306,"&gt;="&amp;DATE($B$3,3,4),'Leave log'!$F$7:$F$306,"Pending")&gt;0,"P",""))))</f>
        <v/>
      </c>
      <c r="F82" s="23" t="str">
        <f>IF(A82="","",IF(IF(OR(DATE($B$3,3,5)&gt;EOMONTH(DATE($B$3,3,1),0),NETWORKDAYS.INTL(DATE($B$3,3,5),DATE($B$3,3,5),1,'Non-working days'!$A$6:$A$45)=0),"",IF(COUNTIFS('Leave log'!$A$7:$A$306,Employees!$A$13,'Leave log'!$B$7:$B$306,"&lt;="&amp;DATE($B$3,3,5),'Leave log'!$C$7:$C$306,"&gt;="&amp;DATE($B$3,3,5),'Leave log'!$F$7:$F$306,"Approved")&gt;0,"A",""))="A","A",IF(OR(DATE($B$3,3,5)&gt;EOMONTH(DATE($B$3,3,1),0),NETWORKDAYS.INTL(DATE($B$3,3,5),DATE($B$3,3,5),1,'Non-working days'!$A$6:$A$45)=0),"",IF(COUNTIFS('Leave log'!$A$7:$A$306,Employees!$A$13,'Leave log'!$B$7:$B$306,"&lt;="&amp;DATE($B$3,3,5),'Leave log'!$C$7:$C$306,"&gt;="&amp;DATE($B$3,3,5),'Leave log'!$F$7:$F$306,"Pending")&gt;0,"P",""))))</f>
        <v/>
      </c>
      <c r="G82" s="23" t="str">
        <f>IF(A82="","",IF(IF(OR(DATE($B$3,3,6)&gt;EOMONTH(DATE($B$3,3,1),0),NETWORKDAYS.INTL(DATE($B$3,3,6),DATE($B$3,3,6),1,'Non-working days'!$A$6:$A$45)=0),"",IF(COUNTIFS('Leave log'!$A$7:$A$306,Employees!$A$13,'Leave log'!$B$7:$B$306,"&lt;="&amp;DATE($B$3,3,6),'Leave log'!$C$7:$C$306,"&gt;="&amp;DATE($B$3,3,6),'Leave log'!$F$7:$F$306,"Approved")&gt;0,"A",""))="A","A",IF(OR(DATE($B$3,3,6)&gt;EOMONTH(DATE($B$3,3,1),0),NETWORKDAYS.INTL(DATE($B$3,3,6),DATE($B$3,3,6),1,'Non-working days'!$A$6:$A$45)=0),"",IF(COUNTIFS('Leave log'!$A$7:$A$306,Employees!$A$13,'Leave log'!$B$7:$B$306,"&lt;="&amp;DATE($B$3,3,6),'Leave log'!$C$7:$C$306,"&gt;="&amp;DATE($B$3,3,6),'Leave log'!$F$7:$F$306,"Pending")&gt;0,"P",""))))</f>
        <v/>
      </c>
      <c r="H82" s="23" t="str">
        <f>IF(A82="","",IF(IF(OR(DATE($B$3,3,7)&gt;EOMONTH(DATE($B$3,3,1),0),NETWORKDAYS.INTL(DATE($B$3,3,7),DATE($B$3,3,7),1,'Non-working days'!$A$6:$A$45)=0),"",IF(COUNTIFS('Leave log'!$A$7:$A$306,Employees!$A$13,'Leave log'!$B$7:$B$306,"&lt;="&amp;DATE($B$3,3,7),'Leave log'!$C$7:$C$306,"&gt;="&amp;DATE($B$3,3,7),'Leave log'!$F$7:$F$306,"Approved")&gt;0,"A",""))="A","A",IF(OR(DATE($B$3,3,7)&gt;EOMONTH(DATE($B$3,3,1),0),NETWORKDAYS.INTL(DATE($B$3,3,7),DATE($B$3,3,7),1,'Non-working days'!$A$6:$A$45)=0),"",IF(COUNTIFS('Leave log'!$A$7:$A$306,Employees!$A$13,'Leave log'!$B$7:$B$306,"&lt;="&amp;DATE($B$3,3,7),'Leave log'!$C$7:$C$306,"&gt;="&amp;DATE($B$3,3,7),'Leave log'!$F$7:$F$306,"Pending")&gt;0,"P",""))))</f>
        <v/>
      </c>
      <c r="I82" s="23" t="str">
        <f>IF(A82="","",IF(IF(OR(DATE($B$3,3,8)&gt;EOMONTH(DATE($B$3,3,1),0),NETWORKDAYS.INTL(DATE($B$3,3,8),DATE($B$3,3,8),1,'Non-working days'!$A$6:$A$45)=0),"",IF(COUNTIFS('Leave log'!$A$7:$A$306,Employees!$A$13,'Leave log'!$B$7:$B$306,"&lt;="&amp;DATE($B$3,3,8),'Leave log'!$C$7:$C$306,"&gt;="&amp;DATE($B$3,3,8),'Leave log'!$F$7:$F$306,"Approved")&gt;0,"A",""))="A","A",IF(OR(DATE($B$3,3,8)&gt;EOMONTH(DATE($B$3,3,1),0),NETWORKDAYS.INTL(DATE($B$3,3,8),DATE($B$3,3,8),1,'Non-working days'!$A$6:$A$45)=0),"",IF(COUNTIFS('Leave log'!$A$7:$A$306,Employees!$A$13,'Leave log'!$B$7:$B$306,"&lt;="&amp;DATE($B$3,3,8),'Leave log'!$C$7:$C$306,"&gt;="&amp;DATE($B$3,3,8),'Leave log'!$F$7:$F$306,"Pending")&gt;0,"P",""))))</f>
        <v/>
      </c>
      <c r="J82" s="23" t="str">
        <f>IF(A82="","",IF(IF(OR(DATE($B$3,3,9)&gt;EOMONTH(DATE($B$3,3,1),0),NETWORKDAYS.INTL(DATE($B$3,3,9),DATE($B$3,3,9),1,'Non-working days'!$A$6:$A$45)=0),"",IF(COUNTIFS('Leave log'!$A$7:$A$306,Employees!$A$13,'Leave log'!$B$7:$B$306,"&lt;="&amp;DATE($B$3,3,9),'Leave log'!$C$7:$C$306,"&gt;="&amp;DATE($B$3,3,9),'Leave log'!$F$7:$F$306,"Approved")&gt;0,"A",""))="A","A",IF(OR(DATE($B$3,3,9)&gt;EOMONTH(DATE($B$3,3,1),0),NETWORKDAYS.INTL(DATE($B$3,3,9),DATE($B$3,3,9),1,'Non-working days'!$A$6:$A$45)=0),"",IF(COUNTIFS('Leave log'!$A$7:$A$306,Employees!$A$13,'Leave log'!$B$7:$B$306,"&lt;="&amp;DATE($B$3,3,9),'Leave log'!$C$7:$C$306,"&gt;="&amp;DATE($B$3,3,9),'Leave log'!$F$7:$F$306,"Pending")&gt;0,"P",""))))</f>
        <v/>
      </c>
      <c r="K82" s="23" t="str">
        <f>IF(A82="","",IF(IF(OR(DATE($B$3,3,10)&gt;EOMONTH(DATE($B$3,3,1),0),NETWORKDAYS.INTL(DATE($B$3,3,10),DATE($B$3,3,10),1,'Non-working days'!$A$6:$A$45)=0),"",IF(COUNTIFS('Leave log'!$A$7:$A$306,Employees!$A$13,'Leave log'!$B$7:$B$306,"&lt;="&amp;DATE($B$3,3,10),'Leave log'!$C$7:$C$306,"&gt;="&amp;DATE($B$3,3,10),'Leave log'!$F$7:$F$306,"Approved")&gt;0,"A",""))="A","A",IF(OR(DATE($B$3,3,10)&gt;EOMONTH(DATE($B$3,3,1),0),NETWORKDAYS.INTL(DATE($B$3,3,10),DATE($B$3,3,10),1,'Non-working days'!$A$6:$A$45)=0),"",IF(COUNTIFS('Leave log'!$A$7:$A$306,Employees!$A$13,'Leave log'!$B$7:$B$306,"&lt;="&amp;DATE($B$3,3,10),'Leave log'!$C$7:$C$306,"&gt;="&amp;DATE($B$3,3,10),'Leave log'!$F$7:$F$306,"Pending")&gt;0,"P",""))))</f>
        <v/>
      </c>
      <c r="L82" s="23" t="str">
        <f>IF(A82="","",IF(IF(OR(DATE($B$3,3,11)&gt;EOMONTH(DATE($B$3,3,1),0),NETWORKDAYS.INTL(DATE($B$3,3,11),DATE($B$3,3,11),1,'Non-working days'!$A$6:$A$45)=0),"",IF(COUNTIFS('Leave log'!$A$7:$A$306,Employees!$A$13,'Leave log'!$B$7:$B$306,"&lt;="&amp;DATE($B$3,3,11),'Leave log'!$C$7:$C$306,"&gt;="&amp;DATE($B$3,3,11),'Leave log'!$F$7:$F$306,"Approved")&gt;0,"A",""))="A","A",IF(OR(DATE($B$3,3,11)&gt;EOMONTH(DATE($B$3,3,1),0),NETWORKDAYS.INTL(DATE($B$3,3,11),DATE($B$3,3,11),1,'Non-working days'!$A$6:$A$45)=0),"",IF(COUNTIFS('Leave log'!$A$7:$A$306,Employees!$A$13,'Leave log'!$B$7:$B$306,"&lt;="&amp;DATE($B$3,3,11),'Leave log'!$C$7:$C$306,"&gt;="&amp;DATE($B$3,3,11),'Leave log'!$F$7:$F$306,"Pending")&gt;0,"P",""))))</f>
        <v/>
      </c>
      <c r="M82" s="23" t="str">
        <f>IF(A82="","",IF(IF(OR(DATE($B$3,3,12)&gt;EOMONTH(DATE($B$3,3,1),0),NETWORKDAYS.INTL(DATE($B$3,3,12),DATE($B$3,3,12),1,'Non-working days'!$A$6:$A$45)=0),"",IF(COUNTIFS('Leave log'!$A$7:$A$306,Employees!$A$13,'Leave log'!$B$7:$B$306,"&lt;="&amp;DATE($B$3,3,12),'Leave log'!$C$7:$C$306,"&gt;="&amp;DATE($B$3,3,12),'Leave log'!$F$7:$F$306,"Approved")&gt;0,"A",""))="A","A",IF(OR(DATE($B$3,3,12)&gt;EOMONTH(DATE($B$3,3,1),0),NETWORKDAYS.INTL(DATE($B$3,3,12),DATE($B$3,3,12),1,'Non-working days'!$A$6:$A$45)=0),"",IF(COUNTIFS('Leave log'!$A$7:$A$306,Employees!$A$13,'Leave log'!$B$7:$B$306,"&lt;="&amp;DATE($B$3,3,12),'Leave log'!$C$7:$C$306,"&gt;="&amp;DATE($B$3,3,12),'Leave log'!$F$7:$F$306,"Pending")&gt;0,"P",""))))</f>
        <v/>
      </c>
      <c r="N82" s="23" t="str">
        <f>IF(A82="","",IF(IF(OR(DATE($B$3,3,13)&gt;EOMONTH(DATE($B$3,3,1),0),NETWORKDAYS.INTL(DATE($B$3,3,13),DATE($B$3,3,13),1,'Non-working days'!$A$6:$A$45)=0),"",IF(COUNTIFS('Leave log'!$A$7:$A$306,Employees!$A$13,'Leave log'!$B$7:$B$306,"&lt;="&amp;DATE($B$3,3,13),'Leave log'!$C$7:$C$306,"&gt;="&amp;DATE($B$3,3,13),'Leave log'!$F$7:$F$306,"Approved")&gt;0,"A",""))="A","A",IF(OR(DATE($B$3,3,13)&gt;EOMONTH(DATE($B$3,3,1),0),NETWORKDAYS.INTL(DATE($B$3,3,13),DATE($B$3,3,13),1,'Non-working days'!$A$6:$A$45)=0),"",IF(COUNTIFS('Leave log'!$A$7:$A$306,Employees!$A$13,'Leave log'!$B$7:$B$306,"&lt;="&amp;DATE($B$3,3,13),'Leave log'!$C$7:$C$306,"&gt;="&amp;DATE($B$3,3,13),'Leave log'!$F$7:$F$306,"Pending")&gt;0,"P",""))))</f>
        <v/>
      </c>
      <c r="O82" s="23" t="str">
        <f>IF(A82="","",IF(IF(OR(DATE($B$3,3,14)&gt;EOMONTH(DATE($B$3,3,1),0),NETWORKDAYS.INTL(DATE($B$3,3,14),DATE($B$3,3,14),1,'Non-working days'!$A$6:$A$45)=0),"",IF(COUNTIFS('Leave log'!$A$7:$A$306,Employees!$A$13,'Leave log'!$B$7:$B$306,"&lt;="&amp;DATE($B$3,3,14),'Leave log'!$C$7:$C$306,"&gt;="&amp;DATE($B$3,3,14),'Leave log'!$F$7:$F$306,"Approved")&gt;0,"A",""))="A","A",IF(OR(DATE($B$3,3,14)&gt;EOMONTH(DATE($B$3,3,1),0),NETWORKDAYS.INTL(DATE($B$3,3,14),DATE($B$3,3,14),1,'Non-working days'!$A$6:$A$45)=0),"",IF(COUNTIFS('Leave log'!$A$7:$A$306,Employees!$A$13,'Leave log'!$B$7:$B$306,"&lt;="&amp;DATE($B$3,3,14),'Leave log'!$C$7:$C$306,"&gt;="&amp;DATE($B$3,3,14),'Leave log'!$F$7:$F$306,"Pending")&gt;0,"P",""))))</f>
        <v/>
      </c>
      <c r="P82" s="23" t="str">
        <f>IF(A82="","",IF(IF(OR(DATE($B$3,3,15)&gt;EOMONTH(DATE($B$3,3,1),0),NETWORKDAYS.INTL(DATE($B$3,3,15),DATE($B$3,3,15),1,'Non-working days'!$A$6:$A$45)=0),"",IF(COUNTIFS('Leave log'!$A$7:$A$306,Employees!$A$13,'Leave log'!$B$7:$B$306,"&lt;="&amp;DATE($B$3,3,15),'Leave log'!$C$7:$C$306,"&gt;="&amp;DATE($B$3,3,15),'Leave log'!$F$7:$F$306,"Approved")&gt;0,"A",""))="A","A",IF(OR(DATE($B$3,3,15)&gt;EOMONTH(DATE($B$3,3,1),0),NETWORKDAYS.INTL(DATE($B$3,3,15),DATE($B$3,3,15),1,'Non-working days'!$A$6:$A$45)=0),"",IF(COUNTIFS('Leave log'!$A$7:$A$306,Employees!$A$13,'Leave log'!$B$7:$B$306,"&lt;="&amp;DATE($B$3,3,15),'Leave log'!$C$7:$C$306,"&gt;="&amp;DATE($B$3,3,15),'Leave log'!$F$7:$F$306,"Pending")&gt;0,"P",""))))</f>
        <v/>
      </c>
      <c r="Q82" s="23" t="str">
        <f>IF(A82="","",IF(IF(OR(DATE($B$3,3,16)&gt;EOMONTH(DATE($B$3,3,1),0),NETWORKDAYS.INTL(DATE($B$3,3,16),DATE($B$3,3,16),1,'Non-working days'!$A$6:$A$45)=0),"",IF(COUNTIFS('Leave log'!$A$7:$A$306,Employees!$A$13,'Leave log'!$B$7:$B$306,"&lt;="&amp;DATE($B$3,3,16),'Leave log'!$C$7:$C$306,"&gt;="&amp;DATE($B$3,3,16),'Leave log'!$F$7:$F$306,"Approved")&gt;0,"A",""))="A","A",IF(OR(DATE($B$3,3,16)&gt;EOMONTH(DATE($B$3,3,1),0),NETWORKDAYS.INTL(DATE($B$3,3,16),DATE($B$3,3,16),1,'Non-working days'!$A$6:$A$45)=0),"",IF(COUNTIFS('Leave log'!$A$7:$A$306,Employees!$A$13,'Leave log'!$B$7:$B$306,"&lt;="&amp;DATE($B$3,3,16),'Leave log'!$C$7:$C$306,"&gt;="&amp;DATE($B$3,3,16),'Leave log'!$F$7:$F$306,"Pending")&gt;0,"P",""))))</f>
        <v/>
      </c>
      <c r="R82" s="23" t="str">
        <f>IF(A82="","",IF(IF(OR(DATE($B$3,3,17)&gt;EOMONTH(DATE($B$3,3,1),0),NETWORKDAYS.INTL(DATE($B$3,3,17),DATE($B$3,3,17),1,'Non-working days'!$A$6:$A$45)=0),"",IF(COUNTIFS('Leave log'!$A$7:$A$306,Employees!$A$13,'Leave log'!$B$7:$B$306,"&lt;="&amp;DATE($B$3,3,17),'Leave log'!$C$7:$C$306,"&gt;="&amp;DATE($B$3,3,17),'Leave log'!$F$7:$F$306,"Approved")&gt;0,"A",""))="A","A",IF(OR(DATE($B$3,3,17)&gt;EOMONTH(DATE($B$3,3,1),0),NETWORKDAYS.INTL(DATE($B$3,3,17),DATE($B$3,3,17),1,'Non-working days'!$A$6:$A$45)=0),"",IF(COUNTIFS('Leave log'!$A$7:$A$306,Employees!$A$13,'Leave log'!$B$7:$B$306,"&lt;="&amp;DATE($B$3,3,17),'Leave log'!$C$7:$C$306,"&gt;="&amp;DATE($B$3,3,17),'Leave log'!$F$7:$F$306,"Pending")&gt;0,"P",""))))</f>
        <v/>
      </c>
      <c r="S82" s="23" t="str">
        <f>IF(A82="","",IF(IF(OR(DATE($B$3,3,18)&gt;EOMONTH(DATE($B$3,3,1),0),NETWORKDAYS.INTL(DATE($B$3,3,18),DATE($B$3,3,18),1,'Non-working days'!$A$6:$A$45)=0),"",IF(COUNTIFS('Leave log'!$A$7:$A$306,Employees!$A$13,'Leave log'!$B$7:$B$306,"&lt;="&amp;DATE($B$3,3,18),'Leave log'!$C$7:$C$306,"&gt;="&amp;DATE($B$3,3,18),'Leave log'!$F$7:$F$306,"Approved")&gt;0,"A",""))="A","A",IF(OR(DATE($B$3,3,18)&gt;EOMONTH(DATE($B$3,3,1),0),NETWORKDAYS.INTL(DATE($B$3,3,18),DATE($B$3,3,18),1,'Non-working days'!$A$6:$A$45)=0),"",IF(COUNTIFS('Leave log'!$A$7:$A$306,Employees!$A$13,'Leave log'!$B$7:$B$306,"&lt;="&amp;DATE($B$3,3,18),'Leave log'!$C$7:$C$306,"&gt;="&amp;DATE($B$3,3,18),'Leave log'!$F$7:$F$306,"Pending")&gt;0,"P",""))))</f>
        <v/>
      </c>
      <c r="T82" s="23" t="str">
        <f>IF(A82="","",IF(IF(OR(DATE($B$3,3,19)&gt;EOMONTH(DATE($B$3,3,1),0),NETWORKDAYS.INTL(DATE($B$3,3,19),DATE($B$3,3,19),1,'Non-working days'!$A$6:$A$45)=0),"",IF(COUNTIFS('Leave log'!$A$7:$A$306,Employees!$A$13,'Leave log'!$B$7:$B$306,"&lt;="&amp;DATE($B$3,3,19),'Leave log'!$C$7:$C$306,"&gt;="&amp;DATE($B$3,3,19),'Leave log'!$F$7:$F$306,"Approved")&gt;0,"A",""))="A","A",IF(OR(DATE($B$3,3,19)&gt;EOMONTH(DATE($B$3,3,1),0),NETWORKDAYS.INTL(DATE($B$3,3,19),DATE($B$3,3,19),1,'Non-working days'!$A$6:$A$45)=0),"",IF(COUNTIFS('Leave log'!$A$7:$A$306,Employees!$A$13,'Leave log'!$B$7:$B$306,"&lt;="&amp;DATE($B$3,3,19),'Leave log'!$C$7:$C$306,"&gt;="&amp;DATE($B$3,3,19),'Leave log'!$F$7:$F$306,"Pending")&gt;0,"P",""))))</f>
        <v/>
      </c>
      <c r="U82" s="23" t="str">
        <f>IF(A82="","",IF(IF(OR(DATE($B$3,3,20)&gt;EOMONTH(DATE($B$3,3,1),0),NETWORKDAYS.INTL(DATE($B$3,3,20),DATE($B$3,3,20),1,'Non-working days'!$A$6:$A$45)=0),"",IF(COUNTIFS('Leave log'!$A$7:$A$306,Employees!$A$13,'Leave log'!$B$7:$B$306,"&lt;="&amp;DATE($B$3,3,20),'Leave log'!$C$7:$C$306,"&gt;="&amp;DATE($B$3,3,20),'Leave log'!$F$7:$F$306,"Approved")&gt;0,"A",""))="A","A",IF(OR(DATE($B$3,3,20)&gt;EOMONTH(DATE($B$3,3,1),0),NETWORKDAYS.INTL(DATE($B$3,3,20),DATE($B$3,3,20),1,'Non-working days'!$A$6:$A$45)=0),"",IF(COUNTIFS('Leave log'!$A$7:$A$306,Employees!$A$13,'Leave log'!$B$7:$B$306,"&lt;="&amp;DATE($B$3,3,20),'Leave log'!$C$7:$C$306,"&gt;="&amp;DATE($B$3,3,20),'Leave log'!$F$7:$F$306,"Pending")&gt;0,"P",""))))</f>
        <v/>
      </c>
      <c r="V82" s="23" t="str">
        <f>IF(A82="","",IF(IF(OR(DATE($B$3,3,21)&gt;EOMONTH(DATE($B$3,3,1),0),NETWORKDAYS.INTL(DATE($B$3,3,21),DATE($B$3,3,21),1,'Non-working days'!$A$6:$A$45)=0),"",IF(COUNTIFS('Leave log'!$A$7:$A$306,Employees!$A$13,'Leave log'!$B$7:$B$306,"&lt;="&amp;DATE($B$3,3,21),'Leave log'!$C$7:$C$306,"&gt;="&amp;DATE($B$3,3,21),'Leave log'!$F$7:$F$306,"Approved")&gt;0,"A",""))="A","A",IF(OR(DATE($B$3,3,21)&gt;EOMONTH(DATE($B$3,3,1),0),NETWORKDAYS.INTL(DATE($B$3,3,21),DATE($B$3,3,21),1,'Non-working days'!$A$6:$A$45)=0),"",IF(COUNTIFS('Leave log'!$A$7:$A$306,Employees!$A$13,'Leave log'!$B$7:$B$306,"&lt;="&amp;DATE($B$3,3,21),'Leave log'!$C$7:$C$306,"&gt;="&amp;DATE($B$3,3,21),'Leave log'!$F$7:$F$306,"Pending")&gt;0,"P",""))))</f>
        <v/>
      </c>
      <c r="W82" s="23" t="str">
        <f>IF(A82="","",IF(IF(OR(DATE($B$3,3,22)&gt;EOMONTH(DATE($B$3,3,1),0),NETWORKDAYS.INTL(DATE($B$3,3,22),DATE($B$3,3,22),1,'Non-working days'!$A$6:$A$45)=0),"",IF(COUNTIFS('Leave log'!$A$7:$A$306,Employees!$A$13,'Leave log'!$B$7:$B$306,"&lt;="&amp;DATE($B$3,3,22),'Leave log'!$C$7:$C$306,"&gt;="&amp;DATE($B$3,3,22),'Leave log'!$F$7:$F$306,"Approved")&gt;0,"A",""))="A","A",IF(OR(DATE($B$3,3,22)&gt;EOMONTH(DATE($B$3,3,1),0),NETWORKDAYS.INTL(DATE($B$3,3,22),DATE($B$3,3,22),1,'Non-working days'!$A$6:$A$45)=0),"",IF(COUNTIFS('Leave log'!$A$7:$A$306,Employees!$A$13,'Leave log'!$B$7:$B$306,"&lt;="&amp;DATE($B$3,3,22),'Leave log'!$C$7:$C$306,"&gt;="&amp;DATE($B$3,3,22),'Leave log'!$F$7:$F$306,"Pending")&gt;0,"P",""))))</f>
        <v/>
      </c>
      <c r="X82" s="23" t="str">
        <f>IF(A82="","",IF(IF(OR(DATE($B$3,3,23)&gt;EOMONTH(DATE($B$3,3,1),0),NETWORKDAYS.INTL(DATE($B$3,3,23),DATE($B$3,3,23),1,'Non-working days'!$A$6:$A$45)=0),"",IF(COUNTIFS('Leave log'!$A$7:$A$306,Employees!$A$13,'Leave log'!$B$7:$B$306,"&lt;="&amp;DATE($B$3,3,23),'Leave log'!$C$7:$C$306,"&gt;="&amp;DATE($B$3,3,23),'Leave log'!$F$7:$F$306,"Approved")&gt;0,"A",""))="A","A",IF(OR(DATE($B$3,3,23)&gt;EOMONTH(DATE($B$3,3,1),0),NETWORKDAYS.INTL(DATE($B$3,3,23),DATE($B$3,3,23),1,'Non-working days'!$A$6:$A$45)=0),"",IF(COUNTIFS('Leave log'!$A$7:$A$306,Employees!$A$13,'Leave log'!$B$7:$B$306,"&lt;="&amp;DATE($B$3,3,23),'Leave log'!$C$7:$C$306,"&gt;="&amp;DATE($B$3,3,23),'Leave log'!$F$7:$F$306,"Pending")&gt;0,"P",""))))</f>
        <v/>
      </c>
      <c r="Y82" s="23" t="str">
        <f>IF(A82="","",IF(IF(OR(DATE($B$3,3,24)&gt;EOMONTH(DATE($B$3,3,1),0),NETWORKDAYS.INTL(DATE($B$3,3,24),DATE($B$3,3,24),1,'Non-working days'!$A$6:$A$45)=0),"",IF(COUNTIFS('Leave log'!$A$7:$A$306,Employees!$A$13,'Leave log'!$B$7:$B$306,"&lt;="&amp;DATE($B$3,3,24),'Leave log'!$C$7:$C$306,"&gt;="&amp;DATE($B$3,3,24),'Leave log'!$F$7:$F$306,"Approved")&gt;0,"A",""))="A","A",IF(OR(DATE($B$3,3,24)&gt;EOMONTH(DATE($B$3,3,1),0),NETWORKDAYS.INTL(DATE($B$3,3,24),DATE($B$3,3,24),1,'Non-working days'!$A$6:$A$45)=0),"",IF(COUNTIFS('Leave log'!$A$7:$A$306,Employees!$A$13,'Leave log'!$B$7:$B$306,"&lt;="&amp;DATE($B$3,3,24),'Leave log'!$C$7:$C$306,"&gt;="&amp;DATE($B$3,3,24),'Leave log'!$F$7:$F$306,"Pending")&gt;0,"P",""))))</f>
        <v/>
      </c>
      <c r="Z82" s="23" t="str">
        <f>IF(A82="","",IF(IF(OR(DATE($B$3,3,25)&gt;EOMONTH(DATE($B$3,3,1),0),NETWORKDAYS.INTL(DATE($B$3,3,25),DATE($B$3,3,25),1,'Non-working days'!$A$6:$A$45)=0),"",IF(COUNTIFS('Leave log'!$A$7:$A$306,Employees!$A$13,'Leave log'!$B$7:$B$306,"&lt;="&amp;DATE($B$3,3,25),'Leave log'!$C$7:$C$306,"&gt;="&amp;DATE($B$3,3,25),'Leave log'!$F$7:$F$306,"Approved")&gt;0,"A",""))="A","A",IF(OR(DATE($B$3,3,25)&gt;EOMONTH(DATE($B$3,3,1),0),NETWORKDAYS.INTL(DATE($B$3,3,25),DATE($B$3,3,25),1,'Non-working days'!$A$6:$A$45)=0),"",IF(COUNTIFS('Leave log'!$A$7:$A$306,Employees!$A$13,'Leave log'!$B$7:$B$306,"&lt;="&amp;DATE($B$3,3,25),'Leave log'!$C$7:$C$306,"&gt;="&amp;DATE($B$3,3,25),'Leave log'!$F$7:$F$306,"Pending")&gt;0,"P",""))))</f>
        <v/>
      </c>
      <c r="AA82" s="23" t="str">
        <f>IF(A82="","",IF(IF(OR(DATE($B$3,3,26)&gt;EOMONTH(DATE($B$3,3,1),0),NETWORKDAYS.INTL(DATE($B$3,3,26),DATE($B$3,3,26),1,'Non-working days'!$A$6:$A$45)=0),"",IF(COUNTIFS('Leave log'!$A$7:$A$306,Employees!$A$13,'Leave log'!$B$7:$B$306,"&lt;="&amp;DATE($B$3,3,26),'Leave log'!$C$7:$C$306,"&gt;="&amp;DATE($B$3,3,26),'Leave log'!$F$7:$F$306,"Approved")&gt;0,"A",""))="A","A",IF(OR(DATE($B$3,3,26)&gt;EOMONTH(DATE($B$3,3,1),0),NETWORKDAYS.INTL(DATE($B$3,3,26),DATE($B$3,3,26),1,'Non-working days'!$A$6:$A$45)=0),"",IF(COUNTIFS('Leave log'!$A$7:$A$306,Employees!$A$13,'Leave log'!$B$7:$B$306,"&lt;="&amp;DATE($B$3,3,26),'Leave log'!$C$7:$C$306,"&gt;="&amp;DATE($B$3,3,26),'Leave log'!$F$7:$F$306,"Pending")&gt;0,"P",""))))</f>
        <v/>
      </c>
      <c r="AB82" s="23" t="str">
        <f>IF(A82="","",IF(IF(OR(DATE($B$3,3,27)&gt;EOMONTH(DATE($B$3,3,1),0),NETWORKDAYS.INTL(DATE($B$3,3,27),DATE($B$3,3,27),1,'Non-working days'!$A$6:$A$45)=0),"",IF(COUNTIFS('Leave log'!$A$7:$A$306,Employees!$A$13,'Leave log'!$B$7:$B$306,"&lt;="&amp;DATE($B$3,3,27),'Leave log'!$C$7:$C$306,"&gt;="&amp;DATE($B$3,3,27),'Leave log'!$F$7:$F$306,"Approved")&gt;0,"A",""))="A","A",IF(OR(DATE($B$3,3,27)&gt;EOMONTH(DATE($B$3,3,1),0),NETWORKDAYS.INTL(DATE($B$3,3,27),DATE($B$3,3,27),1,'Non-working days'!$A$6:$A$45)=0),"",IF(COUNTIFS('Leave log'!$A$7:$A$306,Employees!$A$13,'Leave log'!$B$7:$B$306,"&lt;="&amp;DATE($B$3,3,27),'Leave log'!$C$7:$C$306,"&gt;="&amp;DATE($B$3,3,27),'Leave log'!$F$7:$F$306,"Pending")&gt;0,"P",""))))</f>
        <v/>
      </c>
      <c r="AC82" s="23" t="str">
        <f>IF(A82="","",IF(IF(OR(DATE($B$3,3,28)&gt;EOMONTH(DATE($B$3,3,1),0),NETWORKDAYS.INTL(DATE($B$3,3,28),DATE($B$3,3,28),1,'Non-working days'!$A$6:$A$45)=0),"",IF(COUNTIFS('Leave log'!$A$7:$A$306,Employees!$A$13,'Leave log'!$B$7:$B$306,"&lt;="&amp;DATE($B$3,3,28),'Leave log'!$C$7:$C$306,"&gt;="&amp;DATE($B$3,3,28),'Leave log'!$F$7:$F$306,"Approved")&gt;0,"A",""))="A","A",IF(OR(DATE($B$3,3,28)&gt;EOMONTH(DATE($B$3,3,1),0),NETWORKDAYS.INTL(DATE($B$3,3,28),DATE($B$3,3,28),1,'Non-working days'!$A$6:$A$45)=0),"",IF(COUNTIFS('Leave log'!$A$7:$A$306,Employees!$A$13,'Leave log'!$B$7:$B$306,"&lt;="&amp;DATE($B$3,3,28),'Leave log'!$C$7:$C$306,"&gt;="&amp;DATE($B$3,3,28),'Leave log'!$F$7:$F$306,"Pending")&gt;0,"P",""))))</f>
        <v/>
      </c>
      <c r="AD82" s="23" t="str">
        <f>IF(A82="","",IF(IF(OR(DATE($B$3,3,29)&gt;EOMONTH(DATE($B$3,3,1),0),NETWORKDAYS.INTL(DATE($B$3,3,29),DATE($B$3,3,29),1,'Non-working days'!$A$6:$A$45)=0),"",IF(COUNTIFS('Leave log'!$A$7:$A$306,Employees!$A$13,'Leave log'!$B$7:$B$306,"&lt;="&amp;DATE($B$3,3,29),'Leave log'!$C$7:$C$306,"&gt;="&amp;DATE($B$3,3,29),'Leave log'!$F$7:$F$306,"Approved")&gt;0,"A",""))="A","A",IF(OR(DATE($B$3,3,29)&gt;EOMONTH(DATE($B$3,3,1),0),NETWORKDAYS.INTL(DATE($B$3,3,29),DATE($B$3,3,29),1,'Non-working days'!$A$6:$A$45)=0),"",IF(COUNTIFS('Leave log'!$A$7:$A$306,Employees!$A$13,'Leave log'!$B$7:$B$306,"&lt;="&amp;DATE($B$3,3,29),'Leave log'!$C$7:$C$306,"&gt;="&amp;DATE($B$3,3,29),'Leave log'!$F$7:$F$306,"Pending")&gt;0,"P",""))))</f>
        <v/>
      </c>
      <c r="AE82" s="23" t="str">
        <f>IF(A82="","",IF(IF(OR(DATE($B$3,3,30)&gt;EOMONTH(DATE($B$3,3,1),0),NETWORKDAYS.INTL(DATE($B$3,3,30),DATE($B$3,3,30),1,'Non-working days'!$A$6:$A$45)=0),"",IF(COUNTIFS('Leave log'!$A$7:$A$306,Employees!$A$13,'Leave log'!$B$7:$B$306,"&lt;="&amp;DATE($B$3,3,30),'Leave log'!$C$7:$C$306,"&gt;="&amp;DATE($B$3,3,30),'Leave log'!$F$7:$F$306,"Approved")&gt;0,"A",""))="A","A",IF(OR(DATE($B$3,3,30)&gt;EOMONTH(DATE($B$3,3,1),0),NETWORKDAYS.INTL(DATE($B$3,3,30),DATE($B$3,3,30),1,'Non-working days'!$A$6:$A$45)=0),"",IF(COUNTIFS('Leave log'!$A$7:$A$306,Employees!$A$13,'Leave log'!$B$7:$B$306,"&lt;="&amp;DATE($B$3,3,30),'Leave log'!$C$7:$C$306,"&gt;="&amp;DATE($B$3,3,30),'Leave log'!$F$7:$F$306,"Pending")&gt;0,"P",""))))</f>
        <v/>
      </c>
      <c r="AF82" s="23" t="str">
        <f>IF(A82="","",IF(IF(OR(DATE($B$3,3,31)&gt;EOMONTH(DATE($B$3,3,1),0),NETWORKDAYS.INTL(DATE($B$3,3,31),DATE($B$3,3,31),1,'Non-working days'!$A$6:$A$45)=0),"",IF(COUNTIFS('Leave log'!$A$7:$A$306,Employees!$A$13,'Leave log'!$B$7:$B$306,"&lt;="&amp;DATE($B$3,3,31),'Leave log'!$C$7:$C$306,"&gt;="&amp;DATE($B$3,3,31),'Leave log'!$F$7:$F$306,"Approved")&gt;0,"A",""))="A","A",IF(OR(DATE($B$3,3,31)&gt;EOMONTH(DATE($B$3,3,1),0),NETWORKDAYS.INTL(DATE($B$3,3,31),DATE($B$3,3,31),1,'Non-working days'!$A$6:$A$45)=0),"",IF(COUNTIFS('Leave log'!$A$7:$A$306,Employees!$A$13,'Leave log'!$B$7:$B$306,"&lt;="&amp;DATE($B$3,3,31),'Leave log'!$C$7:$C$306,"&gt;="&amp;DATE($B$3,3,31),'Leave log'!$F$7:$F$306,"Pending")&gt;0,"P",""))))</f>
        <v/>
      </c>
    </row>
    <row r="83" spans="1:32" ht="18" customHeight="1" x14ac:dyDescent="0.3">
      <c r="A83" s="22" t="str">
        <f>IF(Employees!F14="Yes",Employees!B14,"")</f>
        <v/>
      </c>
      <c r="B83" s="23" t="str">
        <f>IF(A83="","",IF(IF(OR(DATE($B$3,3,1)&gt;EOMONTH(DATE($B$3,3,1),0),NETWORKDAYS.INTL(DATE($B$3,3,1),DATE($B$3,3,1),1,'Non-working days'!$A$6:$A$45)=0),"",IF(COUNTIFS('Leave log'!$A$7:$A$306,Employees!$A$14,'Leave log'!$B$7:$B$306,"&lt;="&amp;DATE($B$3,3,1),'Leave log'!$C$7:$C$306,"&gt;="&amp;DATE($B$3,3,1),'Leave log'!$F$7:$F$306,"Approved")&gt;0,"A",""))="A","A",IF(OR(DATE($B$3,3,1)&gt;EOMONTH(DATE($B$3,3,1),0),NETWORKDAYS.INTL(DATE($B$3,3,1),DATE($B$3,3,1),1,'Non-working days'!$A$6:$A$45)=0),"",IF(COUNTIFS('Leave log'!$A$7:$A$306,Employees!$A$14,'Leave log'!$B$7:$B$306,"&lt;="&amp;DATE($B$3,3,1),'Leave log'!$C$7:$C$306,"&gt;="&amp;DATE($B$3,3,1),'Leave log'!$F$7:$F$306,"Pending")&gt;0,"P",""))))</f>
        <v/>
      </c>
      <c r="C83" s="23" t="str">
        <f>IF(A83="","",IF(IF(OR(DATE($B$3,3,2)&gt;EOMONTH(DATE($B$3,3,1),0),NETWORKDAYS.INTL(DATE($B$3,3,2),DATE($B$3,3,2),1,'Non-working days'!$A$6:$A$45)=0),"",IF(COUNTIFS('Leave log'!$A$7:$A$306,Employees!$A$14,'Leave log'!$B$7:$B$306,"&lt;="&amp;DATE($B$3,3,2),'Leave log'!$C$7:$C$306,"&gt;="&amp;DATE($B$3,3,2),'Leave log'!$F$7:$F$306,"Approved")&gt;0,"A",""))="A","A",IF(OR(DATE($B$3,3,2)&gt;EOMONTH(DATE($B$3,3,1),0),NETWORKDAYS.INTL(DATE($B$3,3,2),DATE($B$3,3,2),1,'Non-working days'!$A$6:$A$45)=0),"",IF(COUNTIFS('Leave log'!$A$7:$A$306,Employees!$A$14,'Leave log'!$B$7:$B$306,"&lt;="&amp;DATE($B$3,3,2),'Leave log'!$C$7:$C$306,"&gt;="&amp;DATE($B$3,3,2),'Leave log'!$F$7:$F$306,"Pending")&gt;0,"P",""))))</f>
        <v/>
      </c>
      <c r="D83" s="23" t="str">
        <f>IF(A83="","",IF(IF(OR(DATE($B$3,3,3)&gt;EOMONTH(DATE($B$3,3,1),0),NETWORKDAYS.INTL(DATE($B$3,3,3),DATE($B$3,3,3),1,'Non-working days'!$A$6:$A$45)=0),"",IF(COUNTIFS('Leave log'!$A$7:$A$306,Employees!$A$14,'Leave log'!$B$7:$B$306,"&lt;="&amp;DATE($B$3,3,3),'Leave log'!$C$7:$C$306,"&gt;="&amp;DATE($B$3,3,3),'Leave log'!$F$7:$F$306,"Approved")&gt;0,"A",""))="A","A",IF(OR(DATE($B$3,3,3)&gt;EOMONTH(DATE($B$3,3,1),0),NETWORKDAYS.INTL(DATE($B$3,3,3),DATE($B$3,3,3),1,'Non-working days'!$A$6:$A$45)=0),"",IF(COUNTIFS('Leave log'!$A$7:$A$306,Employees!$A$14,'Leave log'!$B$7:$B$306,"&lt;="&amp;DATE($B$3,3,3),'Leave log'!$C$7:$C$306,"&gt;="&amp;DATE($B$3,3,3),'Leave log'!$F$7:$F$306,"Pending")&gt;0,"P",""))))</f>
        <v/>
      </c>
      <c r="E83" s="23" t="str">
        <f>IF(A83="","",IF(IF(OR(DATE($B$3,3,4)&gt;EOMONTH(DATE($B$3,3,1),0),NETWORKDAYS.INTL(DATE($B$3,3,4),DATE($B$3,3,4),1,'Non-working days'!$A$6:$A$45)=0),"",IF(COUNTIFS('Leave log'!$A$7:$A$306,Employees!$A$14,'Leave log'!$B$7:$B$306,"&lt;="&amp;DATE($B$3,3,4),'Leave log'!$C$7:$C$306,"&gt;="&amp;DATE($B$3,3,4),'Leave log'!$F$7:$F$306,"Approved")&gt;0,"A",""))="A","A",IF(OR(DATE($B$3,3,4)&gt;EOMONTH(DATE($B$3,3,1),0),NETWORKDAYS.INTL(DATE($B$3,3,4),DATE($B$3,3,4),1,'Non-working days'!$A$6:$A$45)=0),"",IF(COUNTIFS('Leave log'!$A$7:$A$306,Employees!$A$14,'Leave log'!$B$7:$B$306,"&lt;="&amp;DATE($B$3,3,4),'Leave log'!$C$7:$C$306,"&gt;="&amp;DATE($B$3,3,4),'Leave log'!$F$7:$F$306,"Pending")&gt;0,"P",""))))</f>
        <v/>
      </c>
      <c r="F83" s="23" t="str">
        <f>IF(A83="","",IF(IF(OR(DATE($B$3,3,5)&gt;EOMONTH(DATE($B$3,3,1),0),NETWORKDAYS.INTL(DATE($B$3,3,5),DATE($B$3,3,5),1,'Non-working days'!$A$6:$A$45)=0),"",IF(COUNTIFS('Leave log'!$A$7:$A$306,Employees!$A$14,'Leave log'!$B$7:$B$306,"&lt;="&amp;DATE($B$3,3,5),'Leave log'!$C$7:$C$306,"&gt;="&amp;DATE($B$3,3,5),'Leave log'!$F$7:$F$306,"Approved")&gt;0,"A",""))="A","A",IF(OR(DATE($B$3,3,5)&gt;EOMONTH(DATE($B$3,3,1),0),NETWORKDAYS.INTL(DATE($B$3,3,5),DATE($B$3,3,5),1,'Non-working days'!$A$6:$A$45)=0),"",IF(COUNTIFS('Leave log'!$A$7:$A$306,Employees!$A$14,'Leave log'!$B$7:$B$306,"&lt;="&amp;DATE($B$3,3,5),'Leave log'!$C$7:$C$306,"&gt;="&amp;DATE($B$3,3,5),'Leave log'!$F$7:$F$306,"Pending")&gt;0,"P",""))))</f>
        <v/>
      </c>
      <c r="G83" s="23" t="str">
        <f>IF(A83="","",IF(IF(OR(DATE($B$3,3,6)&gt;EOMONTH(DATE($B$3,3,1),0),NETWORKDAYS.INTL(DATE($B$3,3,6),DATE($B$3,3,6),1,'Non-working days'!$A$6:$A$45)=0),"",IF(COUNTIFS('Leave log'!$A$7:$A$306,Employees!$A$14,'Leave log'!$B$7:$B$306,"&lt;="&amp;DATE($B$3,3,6),'Leave log'!$C$7:$C$306,"&gt;="&amp;DATE($B$3,3,6),'Leave log'!$F$7:$F$306,"Approved")&gt;0,"A",""))="A","A",IF(OR(DATE($B$3,3,6)&gt;EOMONTH(DATE($B$3,3,1),0),NETWORKDAYS.INTL(DATE($B$3,3,6),DATE($B$3,3,6),1,'Non-working days'!$A$6:$A$45)=0),"",IF(COUNTIFS('Leave log'!$A$7:$A$306,Employees!$A$14,'Leave log'!$B$7:$B$306,"&lt;="&amp;DATE($B$3,3,6),'Leave log'!$C$7:$C$306,"&gt;="&amp;DATE($B$3,3,6),'Leave log'!$F$7:$F$306,"Pending")&gt;0,"P",""))))</f>
        <v/>
      </c>
      <c r="H83" s="23" t="str">
        <f>IF(A83="","",IF(IF(OR(DATE($B$3,3,7)&gt;EOMONTH(DATE($B$3,3,1),0),NETWORKDAYS.INTL(DATE($B$3,3,7),DATE($B$3,3,7),1,'Non-working days'!$A$6:$A$45)=0),"",IF(COUNTIFS('Leave log'!$A$7:$A$306,Employees!$A$14,'Leave log'!$B$7:$B$306,"&lt;="&amp;DATE($B$3,3,7),'Leave log'!$C$7:$C$306,"&gt;="&amp;DATE($B$3,3,7),'Leave log'!$F$7:$F$306,"Approved")&gt;0,"A",""))="A","A",IF(OR(DATE($B$3,3,7)&gt;EOMONTH(DATE($B$3,3,1),0),NETWORKDAYS.INTL(DATE($B$3,3,7),DATE($B$3,3,7),1,'Non-working days'!$A$6:$A$45)=0),"",IF(COUNTIFS('Leave log'!$A$7:$A$306,Employees!$A$14,'Leave log'!$B$7:$B$306,"&lt;="&amp;DATE($B$3,3,7),'Leave log'!$C$7:$C$306,"&gt;="&amp;DATE($B$3,3,7),'Leave log'!$F$7:$F$306,"Pending")&gt;0,"P",""))))</f>
        <v/>
      </c>
      <c r="I83" s="23" t="str">
        <f>IF(A83="","",IF(IF(OR(DATE($B$3,3,8)&gt;EOMONTH(DATE($B$3,3,1),0),NETWORKDAYS.INTL(DATE($B$3,3,8),DATE($B$3,3,8),1,'Non-working days'!$A$6:$A$45)=0),"",IF(COUNTIFS('Leave log'!$A$7:$A$306,Employees!$A$14,'Leave log'!$B$7:$B$306,"&lt;="&amp;DATE($B$3,3,8),'Leave log'!$C$7:$C$306,"&gt;="&amp;DATE($B$3,3,8),'Leave log'!$F$7:$F$306,"Approved")&gt;0,"A",""))="A","A",IF(OR(DATE($B$3,3,8)&gt;EOMONTH(DATE($B$3,3,1),0),NETWORKDAYS.INTL(DATE($B$3,3,8),DATE($B$3,3,8),1,'Non-working days'!$A$6:$A$45)=0),"",IF(COUNTIFS('Leave log'!$A$7:$A$306,Employees!$A$14,'Leave log'!$B$7:$B$306,"&lt;="&amp;DATE($B$3,3,8),'Leave log'!$C$7:$C$306,"&gt;="&amp;DATE($B$3,3,8),'Leave log'!$F$7:$F$306,"Pending")&gt;0,"P",""))))</f>
        <v/>
      </c>
      <c r="J83" s="23" t="str">
        <f>IF(A83="","",IF(IF(OR(DATE($B$3,3,9)&gt;EOMONTH(DATE($B$3,3,1),0),NETWORKDAYS.INTL(DATE($B$3,3,9),DATE($B$3,3,9),1,'Non-working days'!$A$6:$A$45)=0),"",IF(COUNTIFS('Leave log'!$A$7:$A$306,Employees!$A$14,'Leave log'!$B$7:$B$306,"&lt;="&amp;DATE($B$3,3,9),'Leave log'!$C$7:$C$306,"&gt;="&amp;DATE($B$3,3,9),'Leave log'!$F$7:$F$306,"Approved")&gt;0,"A",""))="A","A",IF(OR(DATE($B$3,3,9)&gt;EOMONTH(DATE($B$3,3,1),0),NETWORKDAYS.INTL(DATE($B$3,3,9),DATE($B$3,3,9),1,'Non-working days'!$A$6:$A$45)=0),"",IF(COUNTIFS('Leave log'!$A$7:$A$306,Employees!$A$14,'Leave log'!$B$7:$B$306,"&lt;="&amp;DATE($B$3,3,9),'Leave log'!$C$7:$C$306,"&gt;="&amp;DATE($B$3,3,9),'Leave log'!$F$7:$F$306,"Pending")&gt;0,"P",""))))</f>
        <v/>
      </c>
      <c r="K83" s="23" t="str">
        <f>IF(A83="","",IF(IF(OR(DATE($B$3,3,10)&gt;EOMONTH(DATE($B$3,3,1),0),NETWORKDAYS.INTL(DATE($B$3,3,10),DATE($B$3,3,10),1,'Non-working days'!$A$6:$A$45)=0),"",IF(COUNTIFS('Leave log'!$A$7:$A$306,Employees!$A$14,'Leave log'!$B$7:$B$306,"&lt;="&amp;DATE($B$3,3,10),'Leave log'!$C$7:$C$306,"&gt;="&amp;DATE($B$3,3,10),'Leave log'!$F$7:$F$306,"Approved")&gt;0,"A",""))="A","A",IF(OR(DATE($B$3,3,10)&gt;EOMONTH(DATE($B$3,3,1),0),NETWORKDAYS.INTL(DATE($B$3,3,10),DATE($B$3,3,10),1,'Non-working days'!$A$6:$A$45)=0),"",IF(COUNTIFS('Leave log'!$A$7:$A$306,Employees!$A$14,'Leave log'!$B$7:$B$306,"&lt;="&amp;DATE($B$3,3,10),'Leave log'!$C$7:$C$306,"&gt;="&amp;DATE($B$3,3,10),'Leave log'!$F$7:$F$306,"Pending")&gt;0,"P",""))))</f>
        <v/>
      </c>
      <c r="L83" s="23" t="str">
        <f>IF(A83="","",IF(IF(OR(DATE($B$3,3,11)&gt;EOMONTH(DATE($B$3,3,1),0),NETWORKDAYS.INTL(DATE($B$3,3,11),DATE($B$3,3,11),1,'Non-working days'!$A$6:$A$45)=0),"",IF(COUNTIFS('Leave log'!$A$7:$A$306,Employees!$A$14,'Leave log'!$B$7:$B$306,"&lt;="&amp;DATE($B$3,3,11),'Leave log'!$C$7:$C$306,"&gt;="&amp;DATE($B$3,3,11),'Leave log'!$F$7:$F$306,"Approved")&gt;0,"A",""))="A","A",IF(OR(DATE($B$3,3,11)&gt;EOMONTH(DATE($B$3,3,1),0),NETWORKDAYS.INTL(DATE($B$3,3,11),DATE($B$3,3,11),1,'Non-working days'!$A$6:$A$45)=0),"",IF(COUNTIFS('Leave log'!$A$7:$A$306,Employees!$A$14,'Leave log'!$B$7:$B$306,"&lt;="&amp;DATE($B$3,3,11),'Leave log'!$C$7:$C$306,"&gt;="&amp;DATE($B$3,3,11),'Leave log'!$F$7:$F$306,"Pending")&gt;0,"P",""))))</f>
        <v/>
      </c>
      <c r="M83" s="23" t="str">
        <f>IF(A83="","",IF(IF(OR(DATE($B$3,3,12)&gt;EOMONTH(DATE($B$3,3,1),0),NETWORKDAYS.INTL(DATE($B$3,3,12),DATE($B$3,3,12),1,'Non-working days'!$A$6:$A$45)=0),"",IF(COUNTIFS('Leave log'!$A$7:$A$306,Employees!$A$14,'Leave log'!$B$7:$B$306,"&lt;="&amp;DATE($B$3,3,12),'Leave log'!$C$7:$C$306,"&gt;="&amp;DATE($B$3,3,12),'Leave log'!$F$7:$F$306,"Approved")&gt;0,"A",""))="A","A",IF(OR(DATE($B$3,3,12)&gt;EOMONTH(DATE($B$3,3,1),0),NETWORKDAYS.INTL(DATE($B$3,3,12),DATE($B$3,3,12),1,'Non-working days'!$A$6:$A$45)=0),"",IF(COUNTIFS('Leave log'!$A$7:$A$306,Employees!$A$14,'Leave log'!$B$7:$B$306,"&lt;="&amp;DATE($B$3,3,12),'Leave log'!$C$7:$C$306,"&gt;="&amp;DATE($B$3,3,12),'Leave log'!$F$7:$F$306,"Pending")&gt;0,"P",""))))</f>
        <v/>
      </c>
      <c r="N83" s="23" t="str">
        <f>IF(A83="","",IF(IF(OR(DATE($B$3,3,13)&gt;EOMONTH(DATE($B$3,3,1),0),NETWORKDAYS.INTL(DATE($B$3,3,13),DATE($B$3,3,13),1,'Non-working days'!$A$6:$A$45)=0),"",IF(COUNTIFS('Leave log'!$A$7:$A$306,Employees!$A$14,'Leave log'!$B$7:$B$306,"&lt;="&amp;DATE($B$3,3,13),'Leave log'!$C$7:$C$306,"&gt;="&amp;DATE($B$3,3,13),'Leave log'!$F$7:$F$306,"Approved")&gt;0,"A",""))="A","A",IF(OR(DATE($B$3,3,13)&gt;EOMONTH(DATE($B$3,3,1),0),NETWORKDAYS.INTL(DATE($B$3,3,13),DATE($B$3,3,13),1,'Non-working days'!$A$6:$A$45)=0),"",IF(COUNTIFS('Leave log'!$A$7:$A$306,Employees!$A$14,'Leave log'!$B$7:$B$306,"&lt;="&amp;DATE($B$3,3,13),'Leave log'!$C$7:$C$306,"&gt;="&amp;DATE($B$3,3,13),'Leave log'!$F$7:$F$306,"Pending")&gt;0,"P",""))))</f>
        <v/>
      </c>
      <c r="O83" s="23" t="str">
        <f>IF(A83="","",IF(IF(OR(DATE($B$3,3,14)&gt;EOMONTH(DATE($B$3,3,1),0),NETWORKDAYS.INTL(DATE($B$3,3,14),DATE($B$3,3,14),1,'Non-working days'!$A$6:$A$45)=0),"",IF(COUNTIFS('Leave log'!$A$7:$A$306,Employees!$A$14,'Leave log'!$B$7:$B$306,"&lt;="&amp;DATE($B$3,3,14),'Leave log'!$C$7:$C$306,"&gt;="&amp;DATE($B$3,3,14),'Leave log'!$F$7:$F$306,"Approved")&gt;0,"A",""))="A","A",IF(OR(DATE($B$3,3,14)&gt;EOMONTH(DATE($B$3,3,1),0),NETWORKDAYS.INTL(DATE($B$3,3,14),DATE($B$3,3,14),1,'Non-working days'!$A$6:$A$45)=0),"",IF(COUNTIFS('Leave log'!$A$7:$A$306,Employees!$A$14,'Leave log'!$B$7:$B$306,"&lt;="&amp;DATE($B$3,3,14),'Leave log'!$C$7:$C$306,"&gt;="&amp;DATE($B$3,3,14),'Leave log'!$F$7:$F$306,"Pending")&gt;0,"P",""))))</f>
        <v/>
      </c>
      <c r="P83" s="23" t="str">
        <f>IF(A83="","",IF(IF(OR(DATE($B$3,3,15)&gt;EOMONTH(DATE($B$3,3,1),0),NETWORKDAYS.INTL(DATE($B$3,3,15),DATE($B$3,3,15),1,'Non-working days'!$A$6:$A$45)=0),"",IF(COUNTIFS('Leave log'!$A$7:$A$306,Employees!$A$14,'Leave log'!$B$7:$B$306,"&lt;="&amp;DATE($B$3,3,15),'Leave log'!$C$7:$C$306,"&gt;="&amp;DATE($B$3,3,15),'Leave log'!$F$7:$F$306,"Approved")&gt;0,"A",""))="A","A",IF(OR(DATE($B$3,3,15)&gt;EOMONTH(DATE($B$3,3,1),0),NETWORKDAYS.INTL(DATE($B$3,3,15),DATE($B$3,3,15),1,'Non-working days'!$A$6:$A$45)=0),"",IF(COUNTIFS('Leave log'!$A$7:$A$306,Employees!$A$14,'Leave log'!$B$7:$B$306,"&lt;="&amp;DATE($B$3,3,15),'Leave log'!$C$7:$C$306,"&gt;="&amp;DATE($B$3,3,15),'Leave log'!$F$7:$F$306,"Pending")&gt;0,"P",""))))</f>
        <v/>
      </c>
      <c r="Q83" s="23" t="str">
        <f>IF(A83="","",IF(IF(OR(DATE($B$3,3,16)&gt;EOMONTH(DATE($B$3,3,1),0),NETWORKDAYS.INTL(DATE($B$3,3,16),DATE($B$3,3,16),1,'Non-working days'!$A$6:$A$45)=0),"",IF(COUNTIFS('Leave log'!$A$7:$A$306,Employees!$A$14,'Leave log'!$B$7:$B$306,"&lt;="&amp;DATE($B$3,3,16),'Leave log'!$C$7:$C$306,"&gt;="&amp;DATE($B$3,3,16),'Leave log'!$F$7:$F$306,"Approved")&gt;0,"A",""))="A","A",IF(OR(DATE($B$3,3,16)&gt;EOMONTH(DATE($B$3,3,1),0),NETWORKDAYS.INTL(DATE($B$3,3,16),DATE($B$3,3,16),1,'Non-working days'!$A$6:$A$45)=0),"",IF(COUNTIFS('Leave log'!$A$7:$A$306,Employees!$A$14,'Leave log'!$B$7:$B$306,"&lt;="&amp;DATE($B$3,3,16),'Leave log'!$C$7:$C$306,"&gt;="&amp;DATE($B$3,3,16),'Leave log'!$F$7:$F$306,"Pending")&gt;0,"P",""))))</f>
        <v/>
      </c>
      <c r="R83" s="23" t="str">
        <f>IF(A83="","",IF(IF(OR(DATE($B$3,3,17)&gt;EOMONTH(DATE($B$3,3,1),0),NETWORKDAYS.INTL(DATE($B$3,3,17),DATE($B$3,3,17),1,'Non-working days'!$A$6:$A$45)=0),"",IF(COUNTIFS('Leave log'!$A$7:$A$306,Employees!$A$14,'Leave log'!$B$7:$B$306,"&lt;="&amp;DATE($B$3,3,17),'Leave log'!$C$7:$C$306,"&gt;="&amp;DATE($B$3,3,17),'Leave log'!$F$7:$F$306,"Approved")&gt;0,"A",""))="A","A",IF(OR(DATE($B$3,3,17)&gt;EOMONTH(DATE($B$3,3,1),0),NETWORKDAYS.INTL(DATE($B$3,3,17),DATE($B$3,3,17),1,'Non-working days'!$A$6:$A$45)=0),"",IF(COUNTIFS('Leave log'!$A$7:$A$306,Employees!$A$14,'Leave log'!$B$7:$B$306,"&lt;="&amp;DATE($B$3,3,17),'Leave log'!$C$7:$C$306,"&gt;="&amp;DATE($B$3,3,17),'Leave log'!$F$7:$F$306,"Pending")&gt;0,"P",""))))</f>
        <v/>
      </c>
      <c r="S83" s="23" t="str">
        <f>IF(A83="","",IF(IF(OR(DATE($B$3,3,18)&gt;EOMONTH(DATE($B$3,3,1),0),NETWORKDAYS.INTL(DATE($B$3,3,18),DATE($B$3,3,18),1,'Non-working days'!$A$6:$A$45)=0),"",IF(COUNTIFS('Leave log'!$A$7:$A$306,Employees!$A$14,'Leave log'!$B$7:$B$306,"&lt;="&amp;DATE($B$3,3,18),'Leave log'!$C$7:$C$306,"&gt;="&amp;DATE($B$3,3,18),'Leave log'!$F$7:$F$306,"Approved")&gt;0,"A",""))="A","A",IF(OR(DATE($B$3,3,18)&gt;EOMONTH(DATE($B$3,3,1),0),NETWORKDAYS.INTL(DATE($B$3,3,18),DATE($B$3,3,18),1,'Non-working days'!$A$6:$A$45)=0),"",IF(COUNTIFS('Leave log'!$A$7:$A$306,Employees!$A$14,'Leave log'!$B$7:$B$306,"&lt;="&amp;DATE($B$3,3,18),'Leave log'!$C$7:$C$306,"&gt;="&amp;DATE($B$3,3,18),'Leave log'!$F$7:$F$306,"Pending")&gt;0,"P",""))))</f>
        <v/>
      </c>
      <c r="T83" s="23" t="str">
        <f>IF(A83="","",IF(IF(OR(DATE($B$3,3,19)&gt;EOMONTH(DATE($B$3,3,1),0),NETWORKDAYS.INTL(DATE($B$3,3,19),DATE($B$3,3,19),1,'Non-working days'!$A$6:$A$45)=0),"",IF(COUNTIFS('Leave log'!$A$7:$A$306,Employees!$A$14,'Leave log'!$B$7:$B$306,"&lt;="&amp;DATE($B$3,3,19),'Leave log'!$C$7:$C$306,"&gt;="&amp;DATE($B$3,3,19),'Leave log'!$F$7:$F$306,"Approved")&gt;0,"A",""))="A","A",IF(OR(DATE($B$3,3,19)&gt;EOMONTH(DATE($B$3,3,1),0),NETWORKDAYS.INTL(DATE($B$3,3,19),DATE($B$3,3,19),1,'Non-working days'!$A$6:$A$45)=0),"",IF(COUNTIFS('Leave log'!$A$7:$A$306,Employees!$A$14,'Leave log'!$B$7:$B$306,"&lt;="&amp;DATE($B$3,3,19),'Leave log'!$C$7:$C$306,"&gt;="&amp;DATE($B$3,3,19),'Leave log'!$F$7:$F$306,"Pending")&gt;0,"P",""))))</f>
        <v/>
      </c>
      <c r="U83" s="23" t="str">
        <f>IF(A83="","",IF(IF(OR(DATE($B$3,3,20)&gt;EOMONTH(DATE($B$3,3,1),0),NETWORKDAYS.INTL(DATE($B$3,3,20),DATE($B$3,3,20),1,'Non-working days'!$A$6:$A$45)=0),"",IF(COUNTIFS('Leave log'!$A$7:$A$306,Employees!$A$14,'Leave log'!$B$7:$B$306,"&lt;="&amp;DATE($B$3,3,20),'Leave log'!$C$7:$C$306,"&gt;="&amp;DATE($B$3,3,20),'Leave log'!$F$7:$F$306,"Approved")&gt;0,"A",""))="A","A",IF(OR(DATE($B$3,3,20)&gt;EOMONTH(DATE($B$3,3,1),0),NETWORKDAYS.INTL(DATE($B$3,3,20),DATE($B$3,3,20),1,'Non-working days'!$A$6:$A$45)=0),"",IF(COUNTIFS('Leave log'!$A$7:$A$306,Employees!$A$14,'Leave log'!$B$7:$B$306,"&lt;="&amp;DATE($B$3,3,20),'Leave log'!$C$7:$C$306,"&gt;="&amp;DATE($B$3,3,20),'Leave log'!$F$7:$F$306,"Pending")&gt;0,"P",""))))</f>
        <v/>
      </c>
      <c r="V83" s="23" t="str">
        <f>IF(A83="","",IF(IF(OR(DATE($B$3,3,21)&gt;EOMONTH(DATE($B$3,3,1),0),NETWORKDAYS.INTL(DATE($B$3,3,21),DATE($B$3,3,21),1,'Non-working days'!$A$6:$A$45)=0),"",IF(COUNTIFS('Leave log'!$A$7:$A$306,Employees!$A$14,'Leave log'!$B$7:$B$306,"&lt;="&amp;DATE($B$3,3,21),'Leave log'!$C$7:$C$306,"&gt;="&amp;DATE($B$3,3,21),'Leave log'!$F$7:$F$306,"Approved")&gt;0,"A",""))="A","A",IF(OR(DATE($B$3,3,21)&gt;EOMONTH(DATE($B$3,3,1),0),NETWORKDAYS.INTL(DATE($B$3,3,21),DATE($B$3,3,21),1,'Non-working days'!$A$6:$A$45)=0),"",IF(COUNTIFS('Leave log'!$A$7:$A$306,Employees!$A$14,'Leave log'!$B$7:$B$306,"&lt;="&amp;DATE($B$3,3,21),'Leave log'!$C$7:$C$306,"&gt;="&amp;DATE($B$3,3,21),'Leave log'!$F$7:$F$306,"Pending")&gt;0,"P",""))))</f>
        <v/>
      </c>
      <c r="W83" s="23" t="str">
        <f>IF(A83="","",IF(IF(OR(DATE($B$3,3,22)&gt;EOMONTH(DATE($B$3,3,1),0),NETWORKDAYS.INTL(DATE($B$3,3,22),DATE($B$3,3,22),1,'Non-working days'!$A$6:$A$45)=0),"",IF(COUNTIFS('Leave log'!$A$7:$A$306,Employees!$A$14,'Leave log'!$B$7:$B$306,"&lt;="&amp;DATE($B$3,3,22),'Leave log'!$C$7:$C$306,"&gt;="&amp;DATE($B$3,3,22),'Leave log'!$F$7:$F$306,"Approved")&gt;0,"A",""))="A","A",IF(OR(DATE($B$3,3,22)&gt;EOMONTH(DATE($B$3,3,1),0),NETWORKDAYS.INTL(DATE($B$3,3,22),DATE($B$3,3,22),1,'Non-working days'!$A$6:$A$45)=0),"",IF(COUNTIFS('Leave log'!$A$7:$A$306,Employees!$A$14,'Leave log'!$B$7:$B$306,"&lt;="&amp;DATE($B$3,3,22),'Leave log'!$C$7:$C$306,"&gt;="&amp;DATE($B$3,3,22),'Leave log'!$F$7:$F$306,"Pending")&gt;0,"P",""))))</f>
        <v/>
      </c>
      <c r="X83" s="23" t="str">
        <f>IF(A83="","",IF(IF(OR(DATE($B$3,3,23)&gt;EOMONTH(DATE($B$3,3,1),0),NETWORKDAYS.INTL(DATE($B$3,3,23),DATE($B$3,3,23),1,'Non-working days'!$A$6:$A$45)=0),"",IF(COUNTIFS('Leave log'!$A$7:$A$306,Employees!$A$14,'Leave log'!$B$7:$B$306,"&lt;="&amp;DATE($B$3,3,23),'Leave log'!$C$7:$C$306,"&gt;="&amp;DATE($B$3,3,23),'Leave log'!$F$7:$F$306,"Approved")&gt;0,"A",""))="A","A",IF(OR(DATE($B$3,3,23)&gt;EOMONTH(DATE($B$3,3,1),0),NETWORKDAYS.INTL(DATE($B$3,3,23),DATE($B$3,3,23),1,'Non-working days'!$A$6:$A$45)=0),"",IF(COUNTIFS('Leave log'!$A$7:$A$306,Employees!$A$14,'Leave log'!$B$7:$B$306,"&lt;="&amp;DATE($B$3,3,23),'Leave log'!$C$7:$C$306,"&gt;="&amp;DATE($B$3,3,23),'Leave log'!$F$7:$F$306,"Pending")&gt;0,"P",""))))</f>
        <v/>
      </c>
      <c r="Y83" s="23" t="str">
        <f>IF(A83="","",IF(IF(OR(DATE($B$3,3,24)&gt;EOMONTH(DATE($B$3,3,1),0),NETWORKDAYS.INTL(DATE($B$3,3,24),DATE($B$3,3,24),1,'Non-working days'!$A$6:$A$45)=0),"",IF(COUNTIFS('Leave log'!$A$7:$A$306,Employees!$A$14,'Leave log'!$B$7:$B$306,"&lt;="&amp;DATE($B$3,3,24),'Leave log'!$C$7:$C$306,"&gt;="&amp;DATE($B$3,3,24),'Leave log'!$F$7:$F$306,"Approved")&gt;0,"A",""))="A","A",IF(OR(DATE($B$3,3,24)&gt;EOMONTH(DATE($B$3,3,1),0),NETWORKDAYS.INTL(DATE($B$3,3,24),DATE($B$3,3,24),1,'Non-working days'!$A$6:$A$45)=0),"",IF(COUNTIFS('Leave log'!$A$7:$A$306,Employees!$A$14,'Leave log'!$B$7:$B$306,"&lt;="&amp;DATE($B$3,3,24),'Leave log'!$C$7:$C$306,"&gt;="&amp;DATE($B$3,3,24),'Leave log'!$F$7:$F$306,"Pending")&gt;0,"P",""))))</f>
        <v/>
      </c>
      <c r="Z83" s="23" t="str">
        <f>IF(A83="","",IF(IF(OR(DATE($B$3,3,25)&gt;EOMONTH(DATE($B$3,3,1),0),NETWORKDAYS.INTL(DATE($B$3,3,25),DATE($B$3,3,25),1,'Non-working days'!$A$6:$A$45)=0),"",IF(COUNTIFS('Leave log'!$A$7:$A$306,Employees!$A$14,'Leave log'!$B$7:$B$306,"&lt;="&amp;DATE($B$3,3,25),'Leave log'!$C$7:$C$306,"&gt;="&amp;DATE($B$3,3,25),'Leave log'!$F$7:$F$306,"Approved")&gt;0,"A",""))="A","A",IF(OR(DATE($B$3,3,25)&gt;EOMONTH(DATE($B$3,3,1),0),NETWORKDAYS.INTL(DATE($B$3,3,25),DATE($B$3,3,25),1,'Non-working days'!$A$6:$A$45)=0),"",IF(COUNTIFS('Leave log'!$A$7:$A$306,Employees!$A$14,'Leave log'!$B$7:$B$306,"&lt;="&amp;DATE($B$3,3,25),'Leave log'!$C$7:$C$306,"&gt;="&amp;DATE($B$3,3,25),'Leave log'!$F$7:$F$306,"Pending")&gt;0,"P",""))))</f>
        <v/>
      </c>
      <c r="AA83" s="23" t="str">
        <f>IF(A83="","",IF(IF(OR(DATE($B$3,3,26)&gt;EOMONTH(DATE($B$3,3,1),0),NETWORKDAYS.INTL(DATE($B$3,3,26),DATE($B$3,3,26),1,'Non-working days'!$A$6:$A$45)=0),"",IF(COUNTIFS('Leave log'!$A$7:$A$306,Employees!$A$14,'Leave log'!$B$7:$B$306,"&lt;="&amp;DATE($B$3,3,26),'Leave log'!$C$7:$C$306,"&gt;="&amp;DATE($B$3,3,26),'Leave log'!$F$7:$F$306,"Approved")&gt;0,"A",""))="A","A",IF(OR(DATE($B$3,3,26)&gt;EOMONTH(DATE($B$3,3,1),0),NETWORKDAYS.INTL(DATE($B$3,3,26),DATE($B$3,3,26),1,'Non-working days'!$A$6:$A$45)=0),"",IF(COUNTIFS('Leave log'!$A$7:$A$306,Employees!$A$14,'Leave log'!$B$7:$B$306,"&lt;="&amp;DATE($B$3,3,26),'Leave log'!$C$7:$C$306,"&gt;="&amp;DATE($B$3,3,26),'Leave log'!$F$7:$F$306,"Pending")&gt;0,"P",""))))</f>
        <v/>
      </c>
      <c r="AB83" s="23" t="str">
        <f>IF(A83="","",IF(IF(OR(DATE($B$3,3,27)&gt;EOMONTH(DATE($B$3,3,1),0),NETWORKDAYS.INTL(DATE($B$3,3,27),DATE($B$3,3,27),1,'Non-working days'!$A$6:$A$45)=0),"",IF(COUNTIFS('Leave log'!$A$7:$A$306,Employees!$A$14,'Leave log'!$B$7:$B$306,"&lt;="&amp;DATE($B$3,3,27),'Leave log'!$C$7:$C$306,"&gt;="&amp;DATE($B$3,3,27),'Leave log'!$F$7:$F$306,"Approved")&gt;0,"A",""))="A","A",IF(OR(DATE($B$3,3,27)&gt;EOMONTH(DATE($B$3,3,1),0),NETWORKDAYS.INTL(DATE($B$3,3,27),DATE($B$3,3,27),1,'Non-working days'!$A$6:$A$45)=0),"",IF(COUNTIFS('Leave log'!$A$7:$A$306,Employees!$A$14,'Leave log'!$B$7:$B$306,"&lt;="&amp;DATE($B$3,3,27),'Leave log'!$C$7:$C$306,"&gt;="&amp;DATE($B$3,3,27),'Leave log'!$F$7:$F$306,"Pending")&gt;0,"P",""))))</f>
        <v/>
      </c>
      <c r="AC83" s="23" t="str">
        <f>IF(A83="","",IF(IF(OR(DATE($B$3,3,28)&gt;EOMONTH(DATE($B$3,3,1),0),NETWORKDAYS.INTL(DATE($B$3,3,28),DATE($B$3,3,28),1,'Non-working days'!$A$6:$A$45)=0),"",IF(COUNTIFS('Leave log'!$A$7:$A$306,Employees!$A$14,'Leave log'!$B$7:$B$306,"&lt;="&amp;DATE($B$3,3,28),'Leave log'!$C$7:$C$306,"&gt;="&amp;DATE($B$3,3,28),'Leave log'!$F$7:$F$306,"Approved")&gt;0,"A",""))="A","A",IF(OR(DATE($B$3,3,28)&gt;EOMONTH(DATE($B$3,3,1),0),NETWORKDAYS.INTL(DATE($B$3,3,28),DATE($B$3,3,28),1,'Non-working days'!$A$6:$A$45)=0),"",IF(COUNTIFS('Leave log'!$A$7:$A$306,Employees!$A$14,'Leave log'!$B$7:$B$306,"&lt;="&amp;DATE($B$3,3,28),'Leave log'!$C$7:$C$306,"&gt;="&amp;DATE($B$3,3,28),'Leave log'!$F$7:$F$306,"Pending")&gt;0,"P",""))))</f>
        <v/>
      </c>
      <c r="AD83" s="23" t="str">
        <f>IF(A83="","",IF(IF(OR(DATE($B$3,3,29)&gt;EOMONTH(DATE($B$3,3,1),0),NETWORKDAYS.INTL(DATE($B$3,3,29),DATE($B$3,3,29),1,'Non-working days'!$A$6:$A$45)=0),"",IF(COUNTIFS('Leave log'!$A$7:$A$306,Employees!$A$14,'Leave log'!$B$7:$B$306,"&lt;="&amp;DATE($B$3,3,29),'Leave log'!$C$7:$C$306,"&gt;="&amp;DATE($B$3,3,29),'Leave log'!$F$7:$F$306,"Approved")&gt;0,"A",""))="A","A",IF(OR(DATE($B$3,3,29)&gt;EOMONTH(DATE($B$3,3,1),0),NETWORKDAYS.INTL(DATE($B$3,3,29),DATE($B$3,3,29),1,'Non-working days'!$A$6:$A$45)=0),"",IF(COUNTIFS('Leave log'!$A$7:$A$306,Employees!$A$14,'Leave log'!$B$7:$B$306,"&lt;="&amp;DATE($B$3,3,29),'Leave log'!$C$7:$C$306,"&gt;="&amp;DATE($B$3,3,29),'Leave log'!$F$7:$F$306,"Pending")&gt;0,"P",""))))</f>
        <v/>
      </c>
      <c r="AE83" s="23" t="str">
        <f>IF(A83="","",IF(IF(OR(DATE($B$3,3,30)&gt;EOMONTH(DATE($B$3,3,1),0),NETWORKDAYS.INTL(DATE($B$3,3,30),DATE($B$3,3,30),1,'Non-working days'!$A$6:$A$45)=0),"",IF(COUNTIFS('Leave log'!$A$7:$A$306,Employees!$A$14,'Leave log'!$B$7:$B$306,"&lt;="&amp;DATE($B$3,3,30),'Leave log'!$C$7:$C$306,"&gt;="&amp;DATE($B$3,3,30),'Leave log'!$F$7:$F$306,"Approved")&gt;0,"A",""))="A","A",IF(OR(DATE($B$3,3,30)&gt;EOMONTH(DATE($B$3,3,1),0),NETWORKDAYS.INTL(DATE($B$3,3,30),DATE($B$3,3,30),1,'Non-working days'!$A$6:$A$45)=0),"",IF(COUNTIFS('Leave log'!$A$7:$A$306,Employees!$A$14,'Leave log'!$B$7:$B$306,"&lt;="&amp;DATE($B$3,3,30),'Leave log'!$C$7:$C$306,"&gt;="&amp;DATE($B$3,3,30),'Leave log'!$F$7:$F$306,"Pending")&gt;0,"P",""))))</f>
        <v/>
      </c>
      <c r="AF83" s="23" t="str">
        <f>IF(A83="","",IF(IF(OR(DATE($B$3,3,31)&gt;EOMONTH(DATE($B$3,3,1),0),NETWORKDAYS.INTL(DATE($B$3,3,31),DATE($B$3,3,31),1,'Non-working days'!$A$6:$A$45)=0),"",IF(COUNTIFS('Leave log'!$A$7:$A$306,Employees!$A$14,'Leave log'!$B$7:$B$306,"&lt;="&amp;DATE($B$3,3,31),'Leave log'!$C$7:$C$306,"&gt;="&amp;DATE($B$3,3,31),'Leave log'!$F$7:$F$306,"Approved")&gt;0,"A",""))="A","A",IF(OR(DATE($B$3,3,31)&gt;EOMONTH(DATE($B$3,3,1),0),NETWORKDAYS.INTL(DATE($B$3,3,31),DATE($B$3,3,31),1,'Non-working days'!$A$6:$A$45)=0),"",IF(COUNTIFS('Leave log'!$A$7:$A$306,Employees!$A$14,'Leave log'!$B$7:$B$306,"&lt;="&amp;DATE($B$3,3,31),'Leave log'!$C$7:$C$306,"&gt;="&amp;DATE($B$3,3,31),'Leave log'!$F$7:$F$306,"Pending")&gt;0,"P",""))))</f>
        <v/>
      </c>
    </row>
    <row r="84" spans="1:32" ht="18" customHeight="1" x14ac:dyDescent="0.3">
      <c r="A84" s="22" t="str">
        <f>IF(Employees!F15="Yes",Employees!B15,"")</f>
        <v/>
      </c>
      <c r="B84" s="23" t="str">
        <f>IF(A84="","",IF(IF(OR(DATE($B$3,3,1)&gt;EOMONTH(DATE($B$3,3,1),0),NETWORKDAYS.INTL(DATE($B$3,3,1),DATE($B$3,3,1),1,'Non-working days'!$A$6:$A$45)=0),"",IF(COUNTIFS('Leave log'!$A$7:$A$306,Employees!$A$15,'Leave log'!$B$7:$B$306,"&lt;="&amp;DATE($B$3,3,1),'Leave log'!$C$7:$C$306,"&gt;="&amp;DATE($B$3,3,1),'Leave log'!$F$7:$F$306,"Approved")&gt;0,"A",""))="A","A",IF(OR(DATE($B$3,3,1)&gt;EOMONTH(DATE($B$3,3,1),0),NETWORKDAYS.INTL(DATE($B$3,3,1),DATE($B$3,3,1),1,'Non-working days'!$A$6:$A$45)=0),"",IF(COUNTIFS('Leave log'!$A$7:$A$306,Employees!$A$15,'Leave log'!$B$7:$B$306,"&lt;="&amp;DATE($B$3,3,1),'Leave log'!$C$7:$C$306,"&gt;="&amp;DATE($B$3,3,1),'Leave log'!$F$7:$F$306,"Pending")&gt;0,"P",""))))</f>
        <v/>
      </c>
      <c r="C84" s="23" t="str">
        <f>IF(A84="","",IF(IF(OR(DATE($B$3,3,2)&gt;EOMONTH(DATE($B$3,3,1),0),NETWORKDAYS.INTL(DATE($B$3,3,2),DATE($B$3,3,2),1,'Non-working days'!$A$6:$A$45)=0),"",IF(COUNTIFS('Leave log'!$A$7:$A$306,Employees!$A$15,'Leave log'!$B$7:$B$306,"&lt;="&amp;DATE($B$3,3,2),'Leave log'!$C$7:$C$306,"&gt;="&amp;DATE($B$3,3,2),'Leave log'!$F$7:$F$306,"Approved")&gt;0,"A",""))="A","A",IF(OR(DATE($B$3,3,2)&gt;EOMONTH(DATE($B$3,3,1),0),NETWORKDAYS.INTL(DATE($B$3,3,2),DATE($B$3,3,2),1,'Non-working days'!$A$6:$A$45)=0),"",IF(COUNTIFS('Leave log'!$A$7:$A$306,Employees!$A$15,'Leave log'!$B$7:$B$306,"&lt;="&amp;DATE($B$3,3,2),'Leave log'!$C$7:$C$306,"&gt;="&amp;DATE($B$3,3,2),'Leave log'!$F$7:$F$306,"Pending")&gt;0,"P",""))))</f>
        <v/>
      </c>
      <c r="D84" s="23" t="str">
        <f>IF(A84="","",IF(IF(OR(DATE($B$3,3,3)&gt;EOMONTH(DATE($B$3,3,1),0),NETWORKDAYS.INTL(DATE($B$3,3,3),DATE($B$3,3,3),1,'Non-working days'!$A$6:$A$45)=0),"",IF(COUNTIFS('Leave log'!$A$7:$A$306,Employees!$A$15,'Leave log'!$B$7:$B$306,"&lt;="&amp;DATE($B$3,3,3),'Leave log'!$C$7:$C$306,"&gt;="&amp;DATE($B$3,3,3),'Leave log'!$F$7:$F$306,"Approved")&gt;0,"A",""))="A","A",IF(OR(DATE($B$3,3,3)&gt;EOMONTH(DATE($B$3,3,1),0),NETWORKDAYS.INTL(DATE($B$3,3,3),DATE($B$3,3,3),1,'Non-working days'!$A$6:$A$45)=0),"",IF(COUNTIFS('Leave log'!$A$7:$A$306,Employees!$A$15,'Leave log'!$B$7:$B$306,"&lt;="&amp;DATE($B$3,3,3),'Leave log'!$C$7:$C$306,"&gt;="&amp;DATE($B$3,3,3),'Leave log'!$F$7:$F$306,"Pending")&gt;0,"P",""))))</f>
        <v/>
      </c>
      <c r="E84" s="23" t="str">
        <f>IF(A84="","",IF(IF(OR(DATE($B$3,3,4)&gt;EOMONTH(DATE($B$3,3,1),0),NETWORKDAYS.INTL(DATE($B$3,3,4),DATE($B$3,3,4),1,'Non-working days'!$A$6:$A$45)=0),"",IF(COUNTIFS('Leave log'!$A$7:$A$306,Employees!$A$15,'Leave log'!$B$7:$B$306,"&lt;="&amp;DATE($B$3,3,4),'Leave log'!$C$7:$C$306,"&gt;="&amp;DATE($B$3,3,4),'Leave log'!$F$7:$F$306,"Approved")&gt;0,"A",""))="A","A",IF(OR(DATE($B$3,3,4)&gt;EOMONTH(DATE($B$3,3,1),0),NETWORKDAYS.INTL(DATE($B$3,3,4),DATE($B$3,3,4),1,'Non-working days'!$A$6:$A$45)=0),"",IF(COUNTIFS('Leave log'!$A$7:$A$306,Employees!$A$15,'Leave log'!$B$7:$B$306,"&lt;="&amp;DATE($B$3,3,4),'Leave log'!$C$7:$C$306,"&gt;="&amp;DATE($B$3,3,4),'Leave log'!$F$7:$F$306,"Pending")&gt;0,"P",""))))</f>
        <v/>
      </c>
      <c r="F84" s="23" t="str">
        <f>IF(A84="","",IF(IF(OR(DATE($B$3,3,5)&gt;EOMONTH(DATE($B$3,3,1),0),NETWORKDAYS.INTL(DATE($B$3,3,5),DATE($B$3,3,5),1,'Non-working days'!$A$6:$A$45)=0),"",IF(COUNTIFS('Leave log'!$A$7:$A$306,Employees!$A$15,'Leave log'!$B$7:$B$306,"&lt;="&amp;DATE($B$3,3,5),'Leave log'!$C$7:$C$306,"&gt;="&amp;DATE($B$3,3,5),'Leave log'!$F$7:$F$306,"Approved")&gt;0,"A",""))="A","A",IF(OR(DATE($B$3,3,5)&gt;EOMONTH(DATE($B$3,3,1),0),NETWORKDAYS.INTL(DATE($B$3,3,5),DATE($B$3,3,5),1,'Non-working days'!$A$6:$A$45)=0),"",IF(COUNTIFS('Leave log'!$A$7:$A$306,Employees!$A$15,'Leave log'!$B$7:$B$306,"&lt;="&amp;DATE($B$3,3,5),'Leave log'!$C$7:$C$306,"&gt;="&amp;DATE($B$3,3,5),'Leave log'!$F$7:$F$306,"Pending")&gt;0,"P",""))))</f>
        <v/>
      </c>
      <c r="G84" s="23" t="str">
        <f>IF(A84="","",IF(IF(OR(DATE($B$3,3,6)&gt;EOMONTH(DATE($B$3,3,1),0),NETWORKDAYS.INTL(DATE($B$3,3,6),DATE($B$3,3,6),1,'Non-working days'!$A$6:$A$45)=0),"",IF(COUNTIFS('Leave log'!$A$7:$A$306,Employees!$A$15,'Leave log'!$B$7:$B$306,"&lt;="&amp;DATE($B$3,3,6),'Leave log'!$C$7:$C$306,"&gt;="&amp;DATE($B$3,3,6),'Leave log'!$F$7:$F$306,"Approved")&gt;0,"A",""))="A","A",IF(OR(DATE($B$3,3,6)&gt;EOMONTH(DATE($B$3,3,1),0),NETWORKDAYS.INTL(DATE($B$3,3,6),DATE($B$3,3,6),1,'Non-working days'!$A$6:$A$45)=0),"",IF(COUNTIFS('Leave log'!$A$7:$A$306,Employees!$A$15,'Leave log'!$B$7:$B$306,"&lt;="&amp;DATE($B$3,3,6),'Leave log'!$C$7:$C$306,"&gt;="&amp;DATE($B$3,3,6),'Leave log'!$F$7:$F$306,"Pending")&gt;0,"P",""))))</f>
        <v/>
      </c>
      <c r="H84" s="23" t="str">
        <f>IF(A84="","",IF(IF(OR(DATE($B$3,3,7)&gt;EOMONTH(DATE($B$3,3,1),0),NETWORKDAYS.INTL(DATE($B$3,3,7),DATE($B$3,3,7),1,'Non-working days'!$A$6:$A$45)=0),"",IF(COUNTIFS('Leave log'!$A$7:$A$306,Employees!$A$15,'Leave log'!$B$7:$B$306,"&lt;="&amp;DATE($B$3,3,7),'Leave log'!$C$7:$C$306,"&gt;="&amp;DATE($B$3,3,7),'Leave log'!$F$7:$F$306,"Approved")&gt;0,"A",""))="A","A",IF(OR(DATE($B$3,3,7)&gt;EOMONTH(DATE($B$3,3,1),0),NETWORKDAYS.INTL(DATE($B$3,3,7),DATE($B$3,3,7),1,'Non-working days'!$A$6:$A$45)=0),"",IF(COUNTIFS('Leave log'!$A$7:$A$306,Employees!$A$15,'Leave log'!$B$7:$B$306,"&lt;="&amp;DATE($B$3,3,7),'Leave log'!$C$7:$C$306,"&gt;="&amp;DATE($B$3,3,7),'Leave log'!$F$7:$F$306,"Pending")&gt;0,"P",""))))</f>
        <v/>
      </c>
      <c r="I84" s="23" t="str">
        <f>IF(A84="","",IF(IF(OR(DATE($B$3,3,8)&gt;EOMONTH(DATE($B$3,3,1),0),NETWORKDAYS.INTL(DATE($B$3,3,8),DATE($B$3,3,8),1,'Non-working days'!$A$6:$A$45)=0),"",IF(COUNTIFS('Leave log'!$A$7:$A$306,Employees!$A$15,'Leave log'!$B$7:$B$306,"&lt;="&amp;DATE($B$3,3,8),'Leave log'!$C$7:$C$306,"&gt;="&amp;DATE($B$3,3,8),'Leave log'!$F$7:$F$306,"Approved")&gt;0,"A",""))="A","A",IF(OR(DATE($B$3,3,8)&gt;EOMONTH(DATE($B$3,3,1),0),NETWORKDAYS.INTL(DATE($B$3,3,8),DATE($B$3,3,8),1,'Non-working days'!$A$6:$A$45)=0),"",IF(COUNTIFS('Leave log'!$A$7:$A$306,Employees!$A$15,'Leave log'!$B$7:$B$306,"&lt;="&amp;DATE($B$3,3,8),'Leave log'!$C$7:$C$306,"&gt;="&amp;DATE($B$3,3,8),'Leave log'!$F$7:$F$306,"Pending")&gt;0,"P",""))))</f>
        <v/>
      </c>
      <c r="J84" s="23" t="str">
        <f>IF(A84="","",IF(IF(OR(DATE($B$3,3,9)&gt;EOMONTH(DATE($B$3,3,1),0),NETWORKDAYS.INTL(DATE($B$3,3,9),DATE($B$3,3,9),1,'Non-working days'!$A$6:$A$45)=0),"",IF(COUNTIFS('Leave log'!$A$7:$A$306,Employees!$A$15,'Leave log'!$B$7:$B$306,"&lt;="&amp;DATE($B$3,3,9),'Leave log'!$C$7:$C$306,"&gt;="&amp;DATE($B$3,3,9),'Leave log'!$F$7:$F$306,"Approved")&gt;0,"A",""))="A","A",IF(OR(DATE($B$3,3,9)&gt;EOMONTH(DATE($B$3,3,1),0),NETWORKDAYS.INTL(DATE($B$3,3,9),DATE($B$3,3,9),1,'Non-working days'!$A$6:$A$45)=0),"",IF(COUNTIFS('Leave log'!$A$7:$A$306,Employees!$A$15,'Leave log'!$B$7:$B$306,"&lt;="&amp;DATE($B$3,3,9),'Leave log'!$C$7:$C$306,"&gt;="&amp;DATE($B$3,3,9),'Leave log'!$F$7:$F$306,"Pending")&gt;0,"P",""))))</f>
        <v/>
      </c>
      <c r="K84" s="23" t="str">
        <f>IF(A84="","",IF(IF(OR(DATE($B$3,3,10)&gt;EOMONTH(DATE($B$3,3,1),0),NETWORKDAYS.INTL(DATE($B$3,3,10),DATE($B$3,3,10),1,'Non-working days'!$A$6:$A$45)=0),"",IF(COUNTIFS('Leave log'!$A$7:$A$306,Employees!$A$15,'Leave log'!$B$7:$B$306,"&lt;="&amp;DATE($B$3,3,10),'Leave log'!$C$7:$C$306,"&gt;="&amp;DATE($B$3,3,10),'Leave log'!$F$7:$F$306,"Approved")&gt;0,"A",""))="A","A",IF(OR(DATE($B$3,3,10)&gt;EOMONTH(DATE($B$3,3,1),0),NETWORKDAYS.INTL(DATE($B$3,3,10),DATE($B$3,3,10),1,'Non-working days'!$A$6:$A$45)=0),"",IF(COUNTIFS('Leave log'!$A$7:$A$306,Employees!$A$15,'Leave log'!$B$7:$B$306,"&lt;="&amp;DATE($B$3,3,10),'Leave log'!$C$7:$C$306,"&gt;="&amp;DATE($B$3,3,10),'Leave log'!$F$7:$F$306,"Pending")&gt;0,"P",""))))</f>
        <v/>
      </c>
      <c r="L84" s="23" t="str">
        <f>IF(A84="","",IF(IF(OR(DATE($B$3,3,11)&gt;EOMONTH(DATE($B$3,3,1),0),NETWORKDAYS.INTL(DATE($B$3,3,11),DATE($B$3,3,11),1,'Non-working days'!$A$6:$A$45)=0),"",IF(COUNTIFS('Leave log'!$A$7:$A$306,Employees!$A$15,'Leave log'!$B$7:$B$306,"&lt;="&amp;DATE($B$3,3,11),'Leave log'!$C$7:$C$306,"&gt;="&amp;DATE($B$3,3,11),'Leave log'!$F$7:$F$306,"Approved")&gt;0,"A",""))="A","A",IF(OR(DATE($B$3,3,11)&gt;EOMONTH(DATE($B$3,3,1),0),NETWORKDAYS.INTL(DATE($B$3,3,11),DATE($B$3,3,11),1,'Non-working days'!$A$6:$A$45)=0),"",IF(COUNTIFS('Leave log'!$A$7:$A$306,Employees!$A$15,'Leave log'!$B$7:$B$306,"&lt;="&amp;DATE($B$3,3,11),'Leave log'!$C$7:$C$306,"&gt;="&amp;DATE($B$3,3,11),'Leave log'!$F$7:$F$306,"Pending")&gt;0,"P",""))))</f>
        <v/>
      </c>
      <c r="M84" s="23" t="str">
        <f>IF(A84="","",IF(IF(OR(DATE($B$3,3,12)&gt;EOMONTH(DATE($B$3,3,1),0),NETWORKDAYS.INTL(DATE($B$3,3,12),DATE($B$3,3,12),1,'Non-working days'!$A$6:$A$45)=0),"",IF(COUNTIFS('Leave log'!$A$7:$A$306,Employees!$A$15,'Leave log'!$B$7:$B$306,"&lt;="&amp;DATE($B$3,3,12),'Leave log'!$C$7:$C$306,"&gt;="&amp;DATE($B$3,3,12),'Leave log'!$F$7:$F$306,"Approved")&gt;0,"A",""))="A","A",IF(OR(DATE($B$3,3,12)&gt;EOMONTH(DATE($B$3,3,1),0),NETWORKDAYS.INTL(DATE($B$3,3,12),DATE($B$3,3,12),1,'Non-working days'!$A$6:$A$45)=0),"",IF(COUNTIFS('Leave log'!$A$7:$A$306,Employees!$A$15,'Leave log'!$B$7:$B$306,"&lt;="&amp;DATE($B$3,3,12),'Leave log'!$C$7:$C$306,"&gt;="&amp;DATE($B$3,3,12),'Leave log'!$F$7:$F$306,"Pending")&gt;0,"P",""))))</f>
        <v/>
      </c>
      <c r="N84" s="23" t="str">
        <f>IF(A84="","",IF(IF(OR(DATE($B$3,3,13)&gt;EOMONTH(DATE($B$3,3,1),0),NETWORKDAYS.INTL(DATE($B$3,3,13),DATE($B$3,3,13),1,'Non-working days'!$A$6:$A$45)=0),"",IF(COUNTIFS('Leave log'!$A$7:$A$306,Employees!$A$15,'Leave log'!$B$7:$B$306,"&lt;="&amp;DATE($B$3,3,13),'Leave log'!$C$7:$C$306,"&gt;="&amp;DATE($B$3,3,13),'Leave log'!$F$7:$F$306,"Approved")&gt;0,"A",""))="A","A",IF(OR(DATE($B$3,3,13)&gt;EOMONTH(DATE($B$3,3,1),0),NETWORKDAYS.INTL(DATE($B$3,3,13),DATE($B$3,3,13),1,'Non-working days'!$A$6:$A$45)=0),"",IF(COUNTIFS('Leave log'!$A$7:$A$306,Employees!$A$15,'Leave log'!$B$7:$B$306,"&lt;="&amp;DATE($B$3,3,13),'Leave log'!$C$7:$C$306,"&gt;="&amp;DATE($B$3,3,13),'Leave log'!$F$7:$F$306,"Pending")&gt;0,"P",""))))</f>
        <v/>
      </c>
      <c r="O84" s="23" t="str">
        <f>IF(A84="","",IF(IF(OR(DATE($B$3,3,14)&gt;EOMONTH(DATE($B$3,3,1),0),NETWORKDAYS.INTL(DATE($B$3,3,14),DATE($B$3,3,14),1,'Non-working days'!$A$6:$A$45)=0),"",IF(COUNTIFS('Leave log'!$A$7:$A$306,Employees!$A$15,'Leave log'!$B$7:$B$306,"&lt;="&amp;DATE($B$3,3,14),'Leave log'!$C$7:$C$306,"&gt;="&amp;DATE($B$3,3,14),'Leave log'!$F$7:$F$306,"Approved")&gt;0,"A",""))="A","A",IF(OR(DATE($B$3,3,14)&gt;EOMONTH(DATE($B$3,3,1),0),NETWORKDAYS.INTL(DATE($B$3,3,14),DATE($B$3,3,14),1,'Non-working days'!$A$6:$A$45)=0),"",IF(COUNTIFS('Leave log'!$A$7:$A$306,Employees!$A$15,'Leave log'!$B$7:$B$306,"&lt;="&amp;DATE($B$3,3,14),'Leave log'!$C$7:$C$306,"&gt;="&amp;DATE($B$3,3,14),'Leave log'!$F$7:$F$306,"Pending")&gt;0,"P",""))))</f>
        <v/>
      </c>
      <c r="P84" s="23" t="str">
        <f>IF(A84="","",IF(IF(OR(DATE($B$3,3,15)&gt;EOMONTH(DATE($B$3,3,1),0),NETWORKDAYS.INTL(DATE($B$3,3,15),DATE($B$3,3,15),1,'Non-working days'!$A$6:$A$45)=0),"",IF(COUNTIFS('Leave log'!$A$7:$A$306,Employees!$A$15,'Leave log'!$B$7:$B$306,"&lt;="&amp;DATE($B$3,3,15),'Leave log'!$C$7:$C$306,"&gt;="&amp;DATE($B$3,3,15),'Leave log'!$F$7:$F$306,"Approved")&gt;0,"A",""))="A","A",IF(OR(DATE($B$3,3,15)&gt;EOMONTH(DATE($B$3,3,1),0),NETWORKDAYS.INTL(DATE($B$3,3,15),DATE($B$3,3,15),1,'Non-working days'!$A$6:$A$45)=0),"",IF(COUNTIFS('Leave log'!$A$7:$A$306,Employees!$A$15,'Leave log'!$B$7:$B$306,"&lt;="&amp;DATE($B$3,3,15),'Leave log'!$C$7:$C$306,"&gt;="&amp;DATE($B$3,3,15),'Leave log'!$F$7:$F$306,"Pending")&gt;0,"P",""))))</f>
        <v/>
      </c>
      <c r="Q84" s="23" t="str">
        <f>IF(A84="","",IF(IF(OR(DATE($B$3,3,16)&gt;EOMONTH(DATE($B$3,3,1),0),NETWORKDAYS.INTL(DATE($B$3,3,16),DATE($B$3,3,16),1,'Non-working days'!$A$6:$A$45)=0),"",IF(COUNTIFS('Leave log'!$A$7:$A$306,Employees!$A$15,'Leave log'!$B$7:$B$306,"&lt;="&amp;DATE($B$3,3,16),'Leave log'!$C$7:$C$306,"&gt;="&amp;DATE($B$3,3,16),'Leave log'!$F$7:$F$306,"Approved")&gt;0,"A",""))="A","A",IF(OR(DATE($B$3,3,16)&gt;EOMONTH(DATE($B$3,3,1),0),NETWORKDAYS.INTL(DATE($B$3,3,16),DATE($B$3,3,16),1,'Non-working days'!$A$6:$A$45)=0),"",IF(COUNTIFS('Leave log'!$A$7:$A$306,Employees!$A$15,'Leave log'!$B$7:$B$306,"&lt;="&amp;DATE($B$3,3,16),'Leave log'!$C$7:$C$306,"&gt;="&amp;DATE($B$3,3,16),'Leave log'!$F$7:$F$306,"Pending")&gt;0,"P",""))))</f>
        <v/>
      </c>
      <c r="R84" s="23" t="str">
        <f>IF(A84="","",IF(IF(OR(DATE($B$3,3,17)&gt;EOMONTH(DATE($B$3,3,1),0),NETWORKDAYS.INTL(DATE($B$3,3,17),DATE($B$3,3,17),1,'Non-working days'!$A$6:$A$45)=0),"",IF(COUNTIFS('Leave log'!$A$7:$A$306,Employees!$A$15,'Leave log'!$B$7:$B$306,"&lt;="&amp;DATE($B$3,3,17),'Leave log'!$C$7:$C$306,"&gt;="&amp;DATE($B$3,3,17),'Leave log'!$F$7:$F$306,"Approved")&gt;0,"A",""))="A","A",IF(OR(DATE($B$3,3,17)&gt;EOMONTH(DATE($B$3,3,1),0),NETWORKDAYS.INTL(DATE($B$3,3,17),DATE($B$3,3,17),1,'Non-working days'!$A$6:$A$45)=0),"",IF(COUNTIFS('Leave log'!$A$7:$A$306,Employees!$A$15,'Leave log'!$B$7:$B$306,"&lt;="&amp;DATE($B$3,3,17),'Leave log'!$C$7:$C$306,"&gt;="&amp;DATE($B$3,3,17),'Leave log'!$F$7:$F$306,"Pending")&gt;0,"P",""))))</f>
        <v/>
      </c>
      <c r="S84" s="23" t="str">
        <f>IF(A84="","",IF(IF(OR(DATE($B$3,3,18)&gt;EOMONTH(DATE($B$3,3,1),0),NETWORKDAYS.INTL(DATE($B$3,3,18),DATE($B$3,3,18),1,'Non-working days'!$A$6:$A$45)=0),"",IF(COUNTIFS('Leave log'!$A$7:$A$306,Employees!$A$15,'Leave log'!$B$7:$B$306,"&lt;="&amp;DATE($B$3,3,18),'Leave log'!$C$7:$C$306,"&gt;="&amp;DATE($B$3,3,18),'Leave log'!$F$7:$F$306,"Approved")&gt;0,"A",""))="A","A",IF(OR(DATE($B$3,3,18)&gt;EOMONTH(DATE($B$3,3,1),0),NETWORKDAYS.INTL(DATE($B$3,3,18),DATE($B$3,3,18),1,'Non-working days'!$A$6:$A$45)=0),"",IF(COUNTIFS('Leave log'!$A$7:$A$306,Employees!$A$15,'Leave log'!$B$7:$B$306,"&lt;="&amp;DATE($B$3,3,18),'Leave log'!$C$7:$C$306,"&gt;="&amp;DATE($B$3,3,18),'Leave log'!$F$7:$F$306,"Pending")&gt;0,"P",""))))</f>
        <v/>
      </c>
      <c r="T84" s="23" t="str">
        <f>IF(A84="","",IF(IF(OR(DATE($B$3,3,19)&gt;EOMONTH(DATE($B$3,3,1),0),NETWORKDAYS.INTL(DATE($B$3,3,19),DATE($B$3,3,19),1,'Non-working days'!$A$6:$A$45)=0),"",IF(COUNTIFS('Leave log'!$A$7:$A$306,Employees!$A$15,'Leave log'!$B$7:$B$306,"&lt;="&amp;DATE($B$3,3,19),'Leave log'!$C$7:$C$306,"&gt;="&amp;DATE($B$3,3,19),'Leave log'!$F$7:$F$306,"Approved")&gt;0,"A",""))="A","A",IF(OR(DATE($B$3,3,19)&gt;EOMONTH(DATE($B$3,3,1),0),NETWORKDAYS.INTL(DATE($B$3,3,19),DATE($B$3,3,19),1,'Non-working days'!$A$6:$A$45)=0),"",IF(COUNTIFS('Leave log'!$A$7:$A$306,Employees!$A$15,'Leave log'!$B$7:$B$306,"&lt;="&amp;DATE($B$3,3,19),'Leave log'!$C$7:$C$306,"&gt;="&amp;DATE($B$3,3,19),'Leave log'!$F$7:$F$306,"Pending")&gt;0,"P",""))))</f>
        <v/>
      </c>
      <c r="U84" s="23" t="str">
        <f>IF(A84="","",IF(IF(OR(DATE($B$3,3,20)&gt;EOMONTH(DATE($B$3,3,1),0),NETWORKDAYS.INTL(DATE($B$3,3,20),DATE($B$3,3,20),1,'Non-working days'!$A$6:$A$45)=0),"",IF(COUNTIFS('Leave log'!$A$7:$A$306,Employees!$A$15,'Leave log'!$B$7:$B$306,"&lt;="&amp;DATE($B$3,3,20),'Leave log'!$C$7:$C$306,"&gt;="&amp;DATE($B$3,3,20),'Leave log'!$F$7:$F$306,"Approved")&gt;0,"A",""))="A","A",IF(OR(DATE($B$3,3,20)&gt;EOMONTH(DATE($B$3,3,1),0),NETWORKDAYS.INTL(DATE($B$3,3,20),DATE($B$3,3,20),1,'Non-working days'!$A$6:$A$45)=0),"",IF(COUNTIFS('Leave log'!$A$7:$A$306,Employees!$A$15,'Leave log'!$B$7:$B$306,"&lt;="&amp;DATE($B$3,3,20),'Leave log'!$C$7:$C$306,"&gt;="&amp;DATE($B$3,3,20),'Leave log'!$F$7:$F$306,"Pending")&gt;0,"P",""))))</f>
        <v/>
      </c>
      <c r="V84" s="23" t="str">
        <f>IF(A84="","",IF(IF(OR(DATE($B$3,3,21)&gt;EOMONTH(DATE($B$3,3,1),0),NETWORKDAYS.INTL(DATE($B$3,3,21),DATE($B$3,3,21),1,'Non-working days'!$A$6:$A$45)=0),"",IF(COUNTIFS('Leave log'!$A$7:$A$306,Employees!$A$15,'Leave log'!$B$7:$B$306,"&lt;="&amp;DATE($B$3,3,21),'Leave log'!$C$7:$C$306,"&gt;="&amp;DATE($B$3,3,21),'Leave log'!$F$7:$F$306,"Approved")&gt;0,"A",""))="A","A",IF(OR(DATE($B$3,3,21)&gt;EOMONTH(DATE($B$3,3,1),0),NETWORKDAYS.INTL(DATE($B$3,3,21),DATE($B$3,3,21),1,'Non-working days'!$A$6:$A$45)=0),"",IF(COUNTIFS('Leave log'!$A$7:$A$306,Employees!$A$15,'Leave log'!$B$7:$B$306,"&lt;="&amp;DATE($B$3,3,21),'Leave log'!$C$7:$C$306,"&gt;="&amp;DATE($B$3,3,21),'Leave log'!$F$7:$F$306,"Pending")&gt;0,"P",""))))</f>
        <v/>
      </c>
      <c r="W84" s="23" t="str">
        <f>IF(A84="","",IF(IF(OR(DATE($B$3,3,22)&gt;EOMONTH(DATE($B$3,3,1),0),NETWORKDAYS.INTL(DATE($B$3,3,22),DATE($B$3,3,22),1,'Non-working days'!$A$6:$A$45)=0),"",IF(COUNTIFS('Leave log'!$A$7:$A$306,Employees!$A$15,'Leave log'!$B$7:$B$306,"&lt;="&amp;DATE($B$3,3,22),'Leave log'!$C$7:$C$306,"&gt;="&amp;DATE($B$3,3,22),'Leave log'!$F$7:$F$306,"Approved")&gt;0,"A",""))="A","A",IF(OR(DATE($B$3,3,22)&gt;EOMONTH(DATE($B$3,3,1),0),NETWORKDAYS.INTL(DATE($B$3,3,22),DATE($B$3,3,22),1,'Non-working days'!$A$6:$A$45)=0),"",IF(COUNTIFS('Leave log'!$A$7:$A$306,Employees!$A$15,'Leave log'!$B$7:$B$306,"&lt;="&amp;DATE($B$3,3,22),'Leave log'!$C$7:$C$306,"&gt;="&amp;DATE($B$3,3,22),'Leave log'!$F$7:$F$306,"Pending")&gt;0,"P",""))))</f>
        <v/>
      </c>
      <c r="X84" s="23" t="str">
        <f>IF(A84="","",IF(IF(OR(DATE($B$3,3,23)&gt;EOMONTH(DATE($B$3,3,1),0),NETWORKDAYS.INTL(DATE($B$3,3,23),DATE($B$3,3,23),1,'Non-working days'!$A$6:$A$45)=0),"",IF(COUNTIFS('Leave log'!$A$7:$A$306,Employees!$A$15,'Leave log'!$B$7:$B$306,"&lt;="&amp;DATE($B$3,3,23),'Leave log'!$C$7:$C$306,"&gt;="&amp;DATE($B$3,3,23),'Leave log'!$F$7:$F$306,"Approved")&gt;0,"A",""))="A","A",IF(OR(DATE($B$3,3,23)&gt;EOMONTH(DATE($B$3,3,1),0),NETWORKDAYS.INTL(DATE($B$3,3,23),DATE($B$3,3,23),1,'Non-working days'!$A$6:$A$45)=0),"",IF(COUNTIFS('Leave log'!$A$7:$A$306,Employees!$A$15,'Leave log'!$B$7:$B$306,"&lt;="&amp;DATE($B$3,3,23),'Leave log'!$C$7:$C$306,"&gt;="&amp;DATE($B$3,3,23),'Leave log'!$F$7:$F$306,"Pending")&gt;0,"P",""))))</f>
        <v/>
      </c>
      <c r="Y84" s="23" t="str">
        <f>IF(A84="","",IF(IF(OR(DATE($B$3,3,24)&gt;EOMONTH(DATE($B$3,3,1),0),NETWORKDAYS.INTL(DATE($B$3,3,24),DATE($B$3,3,24),1,'Non-working days'!$A$6:$A$45)=0),"",IF(COUNTIFS('Leave log'!$A$7:$A$306,Employees!$A$15,'Leave log'!$B$7:$B$306,"&lt;="&amp;DATE($B$3,3,24),'Leave log'!$C$7:$C$306,"&gt;="&amp;DATE($B$3,3,24),'Leave log'!$F$7:$F$306,"Approved")&gt;0,"A",""))="A","A",IF(OR(DATE($B$3,3,24)&gt;EOMONTH(DATE($B$3,3,1),0),NETWORKDAYS.INTL(DATE($B$3,3,24),DATE($B$3,3,24),1,'Non-working days'!$A$6:$A$45)=0),"",IF(COUNTIFS('Leave log'!$A$7:$A$306,Employees!$A$15,'Leave log'!$B$7:$B$306,"&lt;="&amp;DATE($B$3,3,24),'Leave log'!$C$7:$C$306,"&gt;="&amp;DATE($B$3,3,24),'Leave log'!$F$7:$F$306,"Pending")&gt;0,"P",""))))</f>
        <v/>
      </c>
      <c r="Z84" s="23" t="str">
        <f>IF(A84="","",IF(IF(OR(DATE($B$3,3,25)&gt;EOMONTH(DATE($B$3,3,1),0),NETWORKDAYS.INTL(DATE($B$3,3,25),DATE($B$3,3,25),1,'Non-working days'!$A$6:$A$45)=0),"",IF(COUNTIFS('Leave log'!$A$7:$A$306,Employees!$A$15,'Leave log'!$B$7:$B$306,"&lt;="&amp;DATE($B$3,3,25),'Leave log'!$C$7:$C$306,"&gt;="&amp;DATE($B$3,3,25),'Leave log'!$F$7:$F$306,"Approved")&gt;0,"A",""))="A","A",IF(OR(DATE($B$3,3,25)&gt;EOMONTH(DATE($B$3,3,1),0),NETWORKDAYS.INTL(DATE($B$3,3,25),DATE($B$3,3,25),1,'Non-working days'!$A$6:$A$45)=0),"",IF(COUNTIFS('Leave log'!$A$7:$A$306,Employees!$A$15,'Leave log'!$B$7:$B$306,"&lt;="&amp;DATE($B$3,3,25),'Leave log'!$C$7:$C$306,"&gt;="&amp;DATE($B$3,3,25),'Leave log'!$F$7:$F$306,"Pending")&gt;0,"P",""))))</f>
        <v/>
      </c>
      <c r="AA84" s="23" t="str">
        <f>IF(A84="","",IF(IF(OR(DATE($B$3,3,26)&gt;EOMONTH(DATE($B$3,3,1),0),NETWORKDAYS.INTL(DATE($B$3,3,26),DATE($B$3,3,26),1,'Non-working days'!$A$6:$A$45)=0),"",IF(COUNTIFS('Leave log'!$A$7:$A$306,Employees!$A$15,'Leave log'!$B$7:$B$306,"&lt;="&amp;DATE($B$3,3,26),'Leave log'!$C$7:$C$306,"&gt;="&amp;DATE($B$3,3,26),'Leave log'!$F$7:$F$306,"Approved")&gt;0,"A",""))="A","A",IF(OR(DATE($B$3,3,26)&gt;EOMONTH(DATE($B$3,3,1),0),NETWORKDAYS.INTL(DATE($B$3,3,26),DATE($B$3,3,26),1,'Non-working days'!$A$6:$A$45)=0),"",IF(COUNTIFS('Leave log'!$A$7:$A$306,Employees!$A$15,'Leave log'!$B$7:$B$306,"&lt;="&amp;DATE($B$3,3,26),'Leave log'!$C$7:$C$306,"&gt;="&amp;DATE($B$3,3,26),'Leave log'!$F$7:$F$306,"Pending")&gt;0,"P",""))))</f>
        <v/>
      </c>
      <c r="AB84" s="23" t="str">
        <f>IF(A84="","",IF(IF(OR(DATE($B$3,3,27)&gt;EOMONTH(DATE($B$3,3,1),0),NETWORKDAYS.INTL(DATE($B$3,3,27),DATE($B$3,3,27),1,'Non-working days'!$A$6:$A$45)=0),"",IF(COUNTIFS('Leave log'!$A$7:$A$306,Employees!$A$15,'Leave log'!$B$7:$B$306,"&lt;="&amp;DATE($B$3,3,27),'Leave log'!$C$7:$C$306,"&gt;="&amp;DATE($B$3,3,27),'Leave log'!$F$7:$F$306,"Approved")&gt;0,"A",""))="A","A",IF(OR(DATE($B$3,3,27)&gt;EOMONTH(DATE($B$3,3,1),0),NETWORKDAYS.INTL(DATE($B$3,3,27),DATE($B$3,3,27),1,'Non-working days'!$A$6:$A$45)=0),"",IF(COUNTIFS('Leave log'!$A$7:$A$306,Employees!$A$15,'Leave log'!$B$7:$B$306,"&lt;="&amp;DATE($B$3,3,27),'Leave log'!$C$7:$C$306,"&gt;="&amp;DATE($B$3,3,27),'Leave log'!$F$7:$F$306,"Pending")&gt;0,"P",""))))</f>
        <v/>
      </c>
      <c r="AC84" s="23" t="str">
        <f>IF(A84="","",IF(IF(OR(DATE($B$3,3,28)&gt;EOMONTH(DATE($B$3,3,1),0),NETWORKDAYS.INTL(DATE($B$3,3,28),DATE($B$3,3,28),1,'Non-working days'!$A$6:$A$45)=0),"",IF(COUNTIFS('Leave log'!$A$7:$A$306,Employees!$A$15,'Leave log'!$B$7:$B$306,"&lt;="&amp;DATE($B$3,3,28),'Leave log'!$C$7:$C$306,"&gt;="&amp;DATE($B$3,3,28),'Leave log'!$F$7:$F$306,"Approved")&gt;0,"A",""))="A","A",IF(OR(DATE($B$3,3,28)&gt;EOMONTH(DATE($B$3,3,1),0),NETWORKDAYS.INTL(DATE($B$3,3,28),DATE($B$3,3,28),1,'Non-working days'!$A$6:$A$45)=0),"",IF(COUNTIFS('Leave log'!$A$7:$A$306,Employees!$A$15,'Leave log'!$B$7:$B$306,"&lt;="&amp;DATE($B$3,3,28),'Leave log'!$C$7:$C$306,"&gt;="&amp;DATE($B$3,3,28),'Leave log'!$F$7:$F$306,"Pending")&gt;0,"P",""))))</f>
        <v/>
      </c>
      <c r="AD84" s="23" t="str">
        <f>IF(A84="","",IF(IF(OR(DATE($B$3,3,29)&gt;EOMONTH(DATE($B$3,3,1),0),NETWORKDAYS.INTL(DATE($B$3,3,29),DATE($B$3,3,29),1,'Non-working days'!$A$6:$A$45)=0),"",IF(COUNTIFS('Leave log'!$A$7:$A$306,Employees!$A$15,'Leave log'!$B$7:$B$306,"&lt;="&amp;DATE($B$3,3,29),'Leave log'!$C$7:$C$306,"&gt;="&amp;DATE($B$3,3,29),'Leave log'!$F$7:$F$306,"Approved")&gt;0,"A",""))="A","A",IF(OR(DATE($B$3,3,29)&gt;EOMONTH(DATE($B$3,3,1),0),NETWORKDAYS.INTL(DATE($B$3,3,29),DATE($B$3,3,29),1,'Non-working days'!$A$6:$A$45)=0),"",IF(COUNTIFS('Leave log'!$A$7:$A$306,Employees!$A$15,'Leave log'!$B$7:$B$306,"&lt;="&amp;DATE($B$3,3,29),'Leave log'!$C$7:$C$306,"&gt;="&amp;DATE($B$3,3,29),'Leave log'!$F$7:$F$306,"Pending")&gt;0,"P",""))))</f>
        <v/>
      </c>
      <c r="AE84" s="23" t="str">
        <f>IF(A84="","",IF(IF(OR(DATE($B$3,3,30)&gt;EOMONTH(DATE($B$3,3,1),0),NETWORKDAYS.INTL(DATE($B$3,3,30),DATE($B$3,3,30),1,'Non-working days'!$A$6:$A$45)=0),"",IF(COUNTIFS('Leave log'!$A$7:$A$306,Employees!$A$15,'Leave log'!$B$7:$B$306,"&lt;="&amp;DATE($B$3,3,30),'Leave log'!$C$7:$C$306,"&gt;="&amp;DATE($B$3,3,30),'Leave log'!$F$7:$F$306,"Approved")&gt;0,"A",""))="A","A",IF(OR(DATE($B$3,3,30)&gt;EOMONTH(DATE($B$3,3,1),0),NETWORKDAYS.INTL(DATE($B$3,3,30),DATE($B$3,3,30),1,'Non-working days'!$A$6:$A$45)=0),"",IF(COUNTIFS('Leave log'!$A$7:$A$306,Employees!$A$15,'Leave log'!$B$7:$B$306,"&lt;="&amp;DATE($B$3,3,30),'Leave log'!$C$7:$C$306,"&gt;="&amp;DATE($B$3,3,30),'Leave log'!$F$7:$F$306,"Pending")&gt;0,"P",""))))</f>
        <v/>
      </c>
      <c r="AF84" s="23" t="str">
        <f>IF(A84="","",IF(IF(OR(DATE($B$3,3,31)&gt;EOMONTH(DATE($B$3,3,1),0),NETWORKDAYS.INTL(DATE($B$3,3,31),DATE($B$3,3,31),1,'Non-working days'!$A$6:$A$45)=0),"",IF(COUNTIFS('Leave log'!$A$7:$A$306,Employees!$A$15,'Leave log'!$B$7:$B$306,"&lt;="&amp;DATE($B$3,3,31),'Leave log'!$C$7:$C$306,"&gt;="&amp;DATE($B$3,3,31),'Leave log'!$F$7:$F$306,"Approved")&gt;0,"A",""))="A","A",IF(OR(DATE($B$3,3,31)&gt;EOMONTH(DATE($B$3,3,1),0),NETWORKDAYS.INTL(DATE($B$3,3,31),DATE($B$3,3,31),1,'Non-working days'!$A$6:$A$45)=0),"",IF(COUNTIFS('Leave log'!$A$7:$A$306,Employees!$A$15,'Leave log'!$B$7:$B$306,"&lt;="&amp;DATE($B$3,3,31),'Leave log'!$C$7:$C$306,"&gt;="&amp;DATE($B$3,3,31),'Leave log'!$F$7:$F$306,"Pending")&gt;0,"P",""))))</f>
        <v/>
      </c>
    </row>
    <row r="85" spans="1:32" ht="18" customHeight="1" x14ac:dyDescent="0.3">
      <c r="A85" s="22" t="str">
        <f>IF(Employees!F16="Yes",Employees!B16,"")</f>
        <v/>
      </c>
      <c r="B85" s="23" t="str">
        <f>IF(A85="","",IF(IF(OR(DATE($B$3,3,1)&gt;EOMONTH(DATE($B$3,3,1),0),NETWORKDAYS.INTL(DATE($B$3,3,1),DATE($B$3,3,1),1,'Non-working days'!$A$6:$A$45)=0),"",IF(COUNTIFS('Leave log'!$A$7:$A$306,Employees!$A$16,'Leave log'!$B$7:$B$306,"&lt;="&amp;DATE($B$3,3,1),'Leave log'!$C$7:$C$306,"&gt;="&amp;DATE($B$3,3,1),'Leave log'!$F$7:$F$306,"Approved")&gt;0,"A",""))="A","A",IF(OR(DATE($B$3,3,1)&gt;EOMONTH(DATE($B$3,3,1),0),NETWORKDAYS.INTL(DATE($B$3,3,1),DATE($B$3,3,1),1,'Non-working days'!$A$6:$A$45)=0),"",IF(COUNTIFS('Leave log'!$A$7:$A$306,Employees!$A$16,'Leave log'!$B$7:$B$306,"&lt;="&amp;DATE($B$3,3,1),'Leave log'!$C$7:$C$306,"&gt;="&amp;DATE($B$3,3,1),'Leave log'!$F$7:$F$306,"Pending")&gt;0,"P",""))))</f>
        <v/>
      </c>
      <c r="C85" s="23" t="str">
        <f>IF(A85="","",IF(IF(OR(DATE($B$3,3,2)&gt;EOMONTH(DATE($B$3,3,1),0),NETWORKDAYS.INTL(DATE($B$3,3,2),DATE($B$3,3,2),1,'Non-working days'!$A$6:$A$45)=0),"",IF(COUNTIFS('Leave log'!$A$7:$A$306,Employees!$A$16,'Leave log'!$B$7:$B$306,"&lt;="&amp;DATE($B$3,3,2),'Leave log'!$C$7:$C$306,"&gt;="&amp;DATE($B$3,3,2),'Leave log'!$F$7:$F$306,"Approved")&gt;0,"A",""))="A","A",IF(OR(DATE($B$3,3,2)&gt;EOMONTH(DATE($B$3,3,1),0),NETWORKDAYS.INTL(DATE($B$3,3,2),DATE($B$3,3,2),1,'Non-working days'!$A$6:$A$45)=0),"",IF(COUNTIFS('Leave log'!$A$7:$A$306,Employees!$A$16,'Leave log'!$B$7:$B$306,"&lt;="&amp;DATE($B$3,3,2),'Leave log'!$C$7:$C$306,"&gt;="&amp;DATE($B$3,3,2),'Leave log'!$F$7:$F$306,"Pending")&gt;0,"P",""))))</f>
        <v/>
      </c>
      <c r="D85" s="23" t="str">
        <f>IF(A85="","",IF(IF(OR(DATE($B$3,3,3)&gt;EOMONTH(DATE($B$3,3,1),0),NETWORKDAYS.INTL(DATE($B$3,3,3),DATE($B$3,3,3),1,'Non-working days'!$A$6:$A$45)=0),"",IF(COUNTIFS('Leave log'!$A$7:$A$306,Employees!$A$16,'Leave log'!$B$7:$B$306,"&lt;="&amp;DATE($B$3,3,3),'Leave log'!$C$7:$C$306,"&gt;="&amp;DATE($B$3,3,3),'Leave log'!$F$7:$F$306,"Approved")&gt;0,"A",""))="A","A",IF(OR(DATE($B$3,3,3)&gt;EOMONTH(DATE($B$3,3,1),0),NETWORKDAYS.INTL(DATE($B$3,3,3),DATE($B$3,3,3),1,'Non-working days'!$A$6:$A$45)=0),"",IF(COUNTIFS('Leave log'!$A$7:$A$306,Employees!$A$16,'Leave log'!$B$7:$B$306,"&lt;="&amp;DATE($B$3,3,3),'Leave log'!$C$7:$C$306,"&gt;="&amp;DATE($B$3,3,3),'Leave log'!$F$7:$F$306,"Pending")&gt;0,"P",""))))</f>
        <v/>
      </c>
      <c r="E85" s="23" t="str">
        <f>IF(A85="","",IF(IF(OR(DATE($B$3,3,4)&gt;EOMONTH(DATE($B$3,3,1),0),NETWORKDAYS.INTL(DATE($B$3,3,4),DATE($B$3,3,4),1,'Non-working days'!$A$6:$A$45)=0),"",IF(COUNTIFS('Leave log'!$A$7:$A$306,Employees!$A$16,'Leave log'!$B$7:$B$306,"&lt;="&amp;DATE($B$3,3,4),'Leave log'!$C$7:$C$306,"&gt;="&amp;DATE($B$3,3,4),'Leave log'!$F$7:$F$306,"Approved")&gt;0,"A",""))="A","A",IF(OR(DATE($B$3,3,4)&gt;EOMONTH(DATE($B$3,3,1),0),NETWORKDAYS.INTL(DATE($B$3,3,4),DATE($B$3,3,4),1,'Non-working days'!$A$6:$A$45)=0),"",IF(COUNTIFS('Leave log'!$A$7:$A$306,Employees!$A$16,'Leave log'!$B$7:$B$306,"&lt;="&amp;DATE($B$3,3,4),'Leave log'!$C$7:$C$306,"&gt;="&amp;DATE($B$3,3,4),'Leave log'!$F$7:$F$306,"Pending")&gt;0,"P",""))))</f>
        <v/>
      </c>
      <c r="F85" s="23" t="str">
        <f>IF(A85="","",IF(IF(OR(DATE($B$3,3,5)&gt;EOMONTH(DATE($B$3,3,1),0),NETWORKDAYS.INTL(DATE($B$3,3,5),DATE($B$3,3,5),1,'Non-working days'!$A$6:$A$45)=0),"",IF(COUNTIFS('Leave log'!$A$7:$A$306,Employees!$A$16,'Leave log'!$B$7:$B$306,"&lt;="&amp;DATE($B$3,3,5),'Leave log'!$C$7:$C$306,"&gt;="&amp;DATE($B$3,3,5),'Leave log'!$F$7:$F$306,"Approved")&gt;0,"A",""))="A","A",IF(OR(DATE($B$3,3,5)&gt;EOMONTH(DATE($B$3,3,1),0),NETWORKDAYS.INTL(DATE($B$3,3,5),DATE($B$3,3,5),1,'Non-working days'!$A$6:$A$45)=0),"",IF(COUNTIFS('Leave log'!$A$7:$A$306,Employees!$A$16,'Leave log'!$B$7:$B$306,"&lt;="&amp;DATE($B$3,3,5),'Leave log'!$C$7:$C$306,"&gt;="&amp;DATE($B$3,3,5),'Leave log'!$F$7:$F$306,"Pending")&gt;0,"P",""))))</f>
        <v/>
      </c>
      <c r="G85" s="23" t="str">
        <f>IF(A85="","",IF(IF(OR(DATE($B$3,3,6)&gt;EOMONTH(DATE($B$3,3,1),0),NETWORKDAYS.INTL(DATE($B$3,3,6),DATE($B$3,3,6),1,'Non-working days'!$A$6:$A$45)=0),"",IF(COUNTIFS('Leave log'!$A$7:$A$306,Employees!$A$16,'Leave log'!$B$7:$B$306,"&lt;="&amp;DATE($B$3,3,6),'Leave log'!$C$7:$C$306,"&gt;="&amp;DATE($B$3,3,6),'Leave log'!$F$7:$F$306,"Approved")&gt;0,"A",""))="A","A",IF(OR(DATE($B$3,3,6)&gt;EOMONTH(DATE($B$3,3,1),0),NETWORKDAYS.INTL(DATE($B$3,3,6),DATE($B$3,3,6),1,'Non-working days'!$A$6:$A$45)=0),"",IF(COUNTIFS('Leave log'!$A$7:$A$306,Employees!$A$16,'Leave log'!$B$7:$B$306,"&lt;="&amp;DATE($B$3,3,6),'Leave log'!$C$7:$C$306,"&gt;="&amp;DATE($B$3,3,6),'Leave log'!$F$7:$F$306,"Pending")&gt;0,"P",""))))</f>
        <v/>
      </c>
      <c r="H85" s="23" t="str">
        <f>IF(A85="","",IF(IF(OR(DATE($B$3,3,7)&gt;EOMONTH(DATE($B$3,3,1),0),NETWORKDAYS.INTL(DATE($B$3,3,7),DATE($B$3,3,7),1,'Non-working days'!$A$6:$A$45)=0),"",IF(COUNTIFS('Leave log'!$A$7:$A$306,Employees!$A$16,'Leave log'!$B$7:$B$306,"&lt;="&amp;DATE($B$3,3,7),'Leave log'!$C$7:$C$306,"&gt;="&amp;DATE($B$3,3,7),'Leave log'!$F$7:$F$306,"Approved")&gt;0,"A",""))="A","A",IF(OR(DATE($B$3,3,7)&gt;EOMONTH(DATE($B$3,3,1),0),NETWORKDAYS.INTL(DATE($B$3,3,7),DATE($B$3,3,7),1,'Non-working days'!$A$6:$A$45)=0),"",IF(COUNTIFS('Leave log'!$A$7:$A$306,Employees!$A$16,'Leave log'!$B$7:$B$306,"&lt;="&amp;DATE($B$3,3,7),'Leave log'!$C$7:$C$306,"&gt;="&amp;DATE($B$3,3,7),'Leave log'!$F$7:$F$306,"Pending")&gt;0,"P",""))))</f>
        <v/>
      </c>
      <c r="I85" s="23" t="str">
        <f>IF(A85="","",IF(IF(OR(DATE($B$3,3,8)&gt;EOMONTH(DATE($B$3,3,1),0),NETWORKDAYS.INTL(DATE($B$3,3,8),DATE($B$3,3,8),1,'Non-working days'!$A$6:$A$45)=0),"",IF(COUNTIFS('Leave log'!$A$7:$A$306,Employees!$A$16,'Leave log'!$B$7:$B$306,"&lt;="&amp;DATE($B$3,3,8),'Leave log'!$C$7:$C$306,"&gt;="&amp;DATE($B$3,3,8),'Leave log'!$F$7:$F$306,"Approved")&gt;0,"A",""))="A","A",IF(OR(DATE($B$3,3,8)&gt;EOMONTH(DATE($B$3,3,1),0),NETWORKDAYS.INTL(DATE($B$3,3,8),DATE($B$3,3,8),1,'Non-working days'!$A$6:$A$45)=0),"",IF(COUNTIFS('Leave log'!$A$7:$A$306,Employees!$A$16,'Leave log'!$B$7:$B$306,"&lt;="&amp;DATE($B$3,3,8),'Leave log'!$C$7:$C$306,"&gt;="&amp;DATE($B$3,3,8),'Leave log'!$F$7:$F$306,"Pending")&gt;0,"P",""))))</f>
        <v/>
      </c>
      <c r="J85" s="23" t="str">
        <f>IF(A85="","",IF(IF(OR(DATE($B$3,3,9)&gt;EOMONTH(DATE($B$3,3,1),0),NETWORKDAYS.INTL(DATE($B$3,3,9),DATE($B$3,3,9),1,'Non-working days'!$A$6:$A$45)=0),"",IF(COUNTIFS('Leave log'!$A$7:$A$306,Employees!$A$16,'Leave log'!$B$7:$B$306,"&lt;="&amp;DATE($B$3,3,9),'Leave log'!$C$7:$C$306,"&gt;="&amp;DATE($B$3,3,9),'Leave log'!$F$7:$F$306,"Approved")&gt;0,"A",""))="A","A",IF(OR(DATE($B$3,3,9)&gt;EOMONTH(DATE($B$3,3,1),0),NETWORKDAYS.INTL(DATE($B$3,3,9),DATE($B$3,3,9),1,'Non-working days'!$A$6:$A$45)=0),"",IF(COUNTIFS('Leave log'!$A$7:$A$306,Employees!$A$16,'Leave log'!$B$7:$B$306,"&lt;="&amp;DATE($B$3,3,9),'Leave log'!$C$7:$C$306,"&gt;="&amp;DATE($B$3,3,9),'Leave log'!$F$7:$F$306,"Pending")&gt;0,"P",""))))</f>
        <v/>
      </c>
      <c r="K85" s="23" t="str">
        <f>IF(A85="","",IF(IF(OR(DATE($B$3,3,10)&gt;EOMONTH(DATE($B$3,3,1),0),NETWORKDAYS.INTL(DATE($B$3,3,10),DATE($B$3,3,10),1,'Non-working days'!$A$6:$A$45)=0),"",IF(COUNTIFS('Leave log'!$A$7:$A$306,Employees!$A$16,'Leave log'!$B$7:$B$306,"&lt;="&amp;DATE($B$3,3,10),'Leave log'!$C$7:$C$306,"&gt;="&amp;DATE($B$3,3,10),'Leave log'!$F$7:$F$306,"Approved")&gt;0,"A",""))="A","A",IF(OR(DATE($B$3,3,10)&gt;EOMONTH(DATE($B$3,3,1),0),NETWORKDAYS.INTL(DATE($B$3,3,10),DATE($B$3,3,10),1,'Non-working days'!$A$6:$A$45)=0),"",IF(COUNTIFS('Leave log'!$A$7:$A$306,Employees!$A$16,'Leave log'!$B$7:$B$306,"&lt;="&amp;DATE($B$3,3,10),'Leave log'!$C$7:$C$306,"&gt;="&amp;DATE($B$3,3,10),'Leave log'!$F$7:$F$306,"Pending")&gt;0,"P",""))))</f>
        <v/>
      </c>
      <c r="L85" s="23" t="str">
        <f>IF(A85="","",IF(IF(OR(DATE($B$3,3,11)&gt;EOMONTH(DATE($B$3,3,1),0),NETWORKDAYS.INTL(DATE($B$3,3,11),DATE($B$3,3,11),1,'Non-working days'!$A$6:$A$45)=0),"",IF(COUNTIFS('Leave log'!$A$7:$A$306,Employees!$A$16,'Leave log'!$B$7:$B$306,"&lt;="&amp;DATE($B$3,3,11),'Leave log'!$C$7:$C$306,"&gt;="&amp;DATE($B$3,3,11),'Leave log'!$F$7:$F$306,"Approved")&gt;0,"A",""))="A","A",IF(OR(DATE($B$3,3,11)&gt;EOMONTH(DATE($B$3,3,1),0),NETWORKDAYS.INTL(DATE($B$3,3,11),DATE($B$3,3,11),1,'Non-working days'!$A$6:$A$45)=0),"",IF(COUNTIFS('Leave log'!$A$7:$A$306,Employees!$A$16,'Leave log'!$B$7:$B$306,"&lt;="&amp;DATE($B$3,3,11),'Leave log'!$C$7:$C$306,"&gt;="&amp;DATE($B$3,3,11),'Leave log'!$F$7:$F$306,"Pending")&gt;0,"P",""))))</f>
        <v/>
      </c>
      <c r="M85" s="23" t="str">
        <f>IF(A85="","",IF(IF(OR(DATE($B$3,3,12)&gt;EOMONTH(DATE($B$3,3,1),0),NETWORKDAYS.INTL(DATE($B$3,3,12),DATE($B$3,3,12),1,'Non-working days'!$A$6:$A$45)=0),"",IF(COUNTIFS('Leave log'!$A$7:$A$306,Employees!$A$16,'Leave log'!$B$7:$B$306,"&lt;="&amp;DATE($B$3,3,12),'Leave log'!$C$7:$C$306,"&gt;="&amp;DATE($B$3,3,12),'Leave log'!$F$7:$F$306,"Approved")&gt;0,"A",""))="A","A",IF(OR(DATE($B$3,3,12)&gt;EOMONTH(DATE($B$3,3,1),0),NETWORKDAYS.INTL(DATE($B$3,3,12),DATE($B$3,3,12),1,'Non-working days'!$A$6:$A$45)=0),"",IF(COUNTIFS('Leave log'!$A$7:$A$306,Employees!$A$16,'Leave log'!$B$7:$B$306,"&lt;="&amp;DATE($B$3,3,12),'Leave log'!$C$7:$C$306,"&gt;="&amp;DATE($B$3,3,12),'Leave log'!$F$7:$F$306,"Pending")&gt;0,"P",""))))</f>
        <v/>
      </c>
      <c r="N85" s="23" t="str">
        <f>IF(A85="","",IF(IF(OR(DATE($B$3,3,13)&gt;EOMONTH(DATE($B$3,3,1),0),NETWORKDAYS.INTL(DATE($B$3,3,13),DATE($B$3,3,13),1,'Non-working days'!$A$6:$A$45)=0),"",IF(COUNTIFS('Leave log'!$A$7:$A$306,Employees!$A$16,'Leave log'!$B$7:$B$306,"&lt;="&amp;DATE($B$3,3,13),'Leave log'!$C$7:$C$306,"&gt;="&amp;DATE($B$3,3,13),'Leave log'!$F$7:$F$306,"Approved")&gt;0,"A",""))="A","A",IF(OR(DATE($B$3,3,13)&gt;EOMONTH(DATE($B$3,3,1),0),NETWORKDAYS.INTL(DATE($B$3,3,13),DATE($B$3,3,13),1,'Non-working days'!$A$6:$A$45)=0),"",IF(COUNTIFS('Leave log'!$A$7:$A$306,Employees!$A$16,'Leave log'!$B$7:$B$306,"&lt;="&amp;DATE($B$3,3,13),'Leave log'!$C$7:$C$306,"&gt;="&amp;DATE($B$3,3,13),'Leave log'!$F$7:$F$306,"Pending")&gt;0,"P",""))))</f>
        <v/>
      </c>
      <c r="O85" s="23" t="str">
        <f>IF(A85="","",IF(IF(OR(DATE($B$3,3,14)&gt;EOMONTH(DATE($B$3,3,1),0),NETWORKDAYS.INTL(DATE($B$3,3,14),DATE($B$3,3,14),1,'Non-working days'!$A$6:$A$45)=0),"",IF(COUNTIFS('Leave log'!$A$7:$A$306,Employees!$A$16,'Leave log'!$B$7:$B$306,"&lt;="&amp;DATE($B$3,3,14),'Leave log'!$C$7:$C$306,"&gt;="&amp;DATE($B$3,3,14),'Leave log'!$F$7:$F$306,"Approved")&gt;0,"A",""))="A","A",IF(OR(DATE($B$3,3,14)&gt;EOMONTH(DATE($B$3,3,1),0),NETWORKDAYS.INTL(DATE($B$3,3,14),DATE($B$3,3,14),1,'Non-working days'!$A$6:$A$45)=0),"",IF(COUNTIFS('Leave log'!$A$7:$A$306,Employees!$A$16,'Leave log'!$B$7:$B$306,"&lt;="&amp;DATE($B$3,3,14),'Leave log'!$C$7:$C$306,"&gt;="&amp;DATE($B$3,3,14),'Leave log'!$F$7:$F$306,"Pending")&gt;0,"P",""))))</f>
        <v/>
      </c>
      <c r="P85" s="23" t="str">
        <f>IF(A85="","",IF(IF(OR(DATE($B$3,3,15)&gt;EOMONTH(DATE($B$3,3,1),0),NETWORKDAYS.INTL(DATE($B$3,3,15),DATE($B$3,3,15),1,'Non-working days'!$A$6:$A$45)=0),"",IF(COUNTIFS('Leave log'!$A$7:$A$306,Employees!$A$16,'Leave log'!$B$7:$B$306,"&lt;="&amp;DATE($B$3,3,15),'Leave log'!$C$7:$C$306,"&gt;="&amp;DATE($B$3,3,15),'Leave log'!$F$7:$F$306,"Approved")&gt;0,"A",""))="A","A",IF(OR(DATE($B$3,3,15)&gt;EOMONTH(DATE($B$3,3,1),0),NETWORKDAYS.INTL(DATE($B$3,3,15),DATE($B$3,3,15),1,'Non-working days'!$A$6:$A$45)=0),"",IF(COUNTIFS('Leave log'!$A$7:$A$306,Employees!$A$16,'Leave log'!$B$7:$B$306,"&lt;="&amp;DATE($B$3,3,15),'Leave log'!$C$7:$C$306,"&gt;="&amp;DATE($B$3,3,15),'Leave log'!$F$7:$F$306,"Pending")&gt;0,"P",""))))</f>
        <v/>
      </c>
      <c r="Q85" s="23" t="str">
        <f>IF(A85="","",IF(IF(OR(DATE($B$3,3,16)&gt;EOMONTH(DATE($B$3,3,1),0),NETWORKDAYS.INTL(DATE($B$3,3,16),DATE($B$3,3,16),1,'Non-working days'!$A$6:$A$45)=0),"",IF(COUNTIFS('Leave log'!$A$7:$A$306,Employees!$A$16,'Leave log'!$B$7:$B$306,"&lt;="&amp;DATE($B$3,3,16),'Leave log'!$C$7:$C$306,"&gt;="&amp;DATE($B$3,3,16),'Leave log'!$F$7:$F$306,"Approved")&gt;0,"A",""))="A","A",IF(OR(DATE($B$3,3,16)&gt;EOMONTH(DATE($B$3,3,1),0),NETWORKDAYS.INTL(DATE($B$3,3,16),DATE($B$3,3,16),1,'Non-working days'!$A$6:$A$45)=0),"",IF(COUNTIFS('Leave log'!$A$7:$A$306,Employees!$A$16,'Leave log'!$B$7:$B$306,"&lt;="&amp;DATE($B$3,3,16),'Leave log'!$C$7:$C$306,"&gt;="&amp;DATE($B$3,3,16),'Leave log'!$F$7:$F$306,"Pending")&gt;0,"P",""))))</f>
        <v/>
      </c>
      <c r="R85" s="23" t="str">
        <f>IF(A85="","",IF(IF(OR(DATE($B$3,3,17)&gt;EOMONTH(DATE($B$3,3,1),0),NETWORKDAYS.INTL(DATE($B$3,3,17),DATE($B$3,3,17),1,'Non-working days'!$A$6:$A$45)=0),"",IF(COUNTIFS('Leave log'!$A$7:$A$306,Employees!$A$16,'Leave log'!$B$7:$B$306,"&lt;="&amp;DATE($B$3,3,17),'Leave log'!$C$7:$C$306,"&gt;="&amp;DATE($B$3,3,17),'Leave log'!$F$7:$F$306,"Approved")&gt;0,"A",""))="A","A",IF(OR(DATE($B$3,3,17)&gt;EOMONTH(DATE($B$3,3,1),0),NETWORKDAYS.INTL(DATE($B$3,3,17),DATE($B$3,3,17),1,'Non-working days'!$A$6:$A$45)=0),"",IF(COUNTIFS('Leave log'!$A$7:$A$306,Employees!$A$16,'Leave log'!$B$7:$B$306,"&lt;="&amp;DATE($B$3,3,17),'Leave log'!$C$7:$C$306,"&gt;="&amp;DATE($B$3,3,17),'Leave log'!$F$7:$F$306,"Pending")&gt;0,"P",""))))</f>
        <v/>
      </c>
      <c r="S85" s="23" t="str">
        <f>IF(A85="","",IF(IF(OR(DATE($B$3,3,18)&gt;EOMONTH(DATE($B$3,3,1),0),NETWORKDAYS.INTL(DATE($B$3,3,18),DATE($B$3,3,18),1,'Non-working days'!$A$6:$A$45)=0),"",IF(COUNTIFS('Leave log'!$A$7:$A$306,Employees!$A$16,'Leave log'!$B$7:$B$306,"&lt;="&amp;DATE($B$3,3,18),'Leave log'!$C$7:$C$306,"&gt;="&amp;DATE($B$3,3,18),'Leave log'!$F$7:$F$306,"Approved")&gt;0,"A",""))="A","A",IF(OR(DATE($B$3,3,18)&gt;EOMONTH(DATE($B$3,3,1),0),NETWORKDAYS.INTL(DATE($B$3,3,18),DATE($B$3,3,18),1,'Non-working days'!$A$6:$A$45)=0),"",IF(COUNTIFS('Leave log'!$A$7:$A$306,Employees!$A$16,'Leave log'!$B$7:$B$306,"&lt;="&amp;DATE($B$3,3,18),'Leave log'!$C$7:$C$306,"&gt;="&amp;DATE($B$3,3,18),'Leave log'!$F$7:$F$306,"Pending")&gt;0,"P",""))))</f>
        <v/>
      </c>
      <c r="T85" s="23" t="str">
        <f>IF(A85="","",IF(IF(OR(DATE($B$3,3,19)&gt;EOMONTH(DATE($B$3,3,1),0),NETWORKDAYS.INTL(DATE($B$3,3,19),DATE($B$3,3,19),1,'Non-working days'!$A$6:$A$45)=0),"",IF(COUNTIFS('Leave log'!$A$7:$A$306,Employees!$A$16,'Leave log'!$B$7:$B$306,"&lt;="&amp;DATE($B$3,3,19),'Leave log'!$C$7:$C$306,"&gt;="&amp;DATE($B$3,3,19),'Leave log'!$F$7:$F$306,"Approved")&gt;0,"A",""))="A","A",IF(OR(DATE($B$3,3,19)&gt;EOMONTH(DATE($B$3,3,1),0),NETWORKDAYS.INTL(DATE($B$3,3,19),DATE($B$3,3,19),1,'Non-working days'!$A$6:$A$45)=0),"",IF(COUNTIFS('Leave log'!$A$7:$A$306,Employees!$A$16,'Leave log'!$B$7:$B$306,"&lt;="&amp;DATE($B$3,3,19),'Leave log'!$C$7:$C$306,"&gt;="&amp;DATE($B$3,3,19),'Leave log'!$F$7:$F$306,"Pending")&gt;0,"P",""))))</f>
        <v/>
      </c>
      <c r="U85" s="23" t="str">
        <f>IF(A85="","",IF(IF(OR(DATE($B$3,3,20)&gt;EOMONTH(DATE($B$3,3,1),0),NETWORKDAYS.INTL(DATE($B$3,3,20),DATE($B$3,3,20),1,'Non-working days'!$A$6:$A$45)=0),"",IF(COUNTIFS('Leave log'!$A$7:$A$306,Employees!$A$16,'Leave log'!$B$7:$B$306,"&lt;="&amp;DATE($B$3,3,20),'Leave log'!$C$7:$C$306,"&gt;="&amp;DATE($B$3,3,20),'Leave log'!$F$7:$F$306,"Approved")&gt;0,"A",""))="A","A",IF(OR(DATE($B$3,3,20)&gt;EOMONTH(DATE($B$3,3,1),0),NETWORKDAYS.INTL(DATE($B$3,3,20),DATE($B$3,3,20),1,'Non-working days'!$A$6:$A$45)=0),"",IF(COUNTIFS('Leave log'!$A$7:$A$306,Employees!$A$16,'Leave log'!$B$7:$B$306,"&lt;="&amp;DATE($B$3,3,20),'Leave log'!$C$7:$C$306,"&gt;="&amp;DATE($B$3,3,20),'Leave log'!$F$7:$F$306,"Pending")&gt;0,"P",""))))</f>
        <v/>
      </c>
      <c r="V85" s="23" t="str">
        <f>IF(A85="","",IF(IF(OR(DATE($B$3,3,21)&gt;EOMONTH(DATE($B$3,3,1),0),NETWORKDAYS.INTL(DATE($B$3,3,21),DATE($B$3,3,21),1,'Non-working days'!$A$6:$A$45)=0),"",IF(COUNTIFS('Leave log'!$A$7:$A$306,Employees!$A$16,'Leave log'!$B$7:$B$306,"&lt;="&amp;DATE($B$3,3,21),'Leave log'!$C$7:$C$306,"&gt;="&amp;DATE($B$3,3,21),'Leave log'!$F$7:$F$306,"Approved")&gt;0,"A",""))="A","A",IF(OR(DATE($B$3,3,21)&gt;EOMONTH(DATE($B$3,3,1),0),NETWORKDAYS.INTL(DATE($B$3,3,21),DATE($B$3,3,21),1,'Non-working days'!$A$6:$A$45)=0),"",IF(COUNTIFS('Leave log'!$A$7:$A$306,Employees!$A$16,'Leave log'!$B$7:$B$306,"&lt;="&amp;DATE($B$3,3,21),'Leave log'!$C$7:$C$306,"&gt;="&amp;DATE($B$3,3,21),'Leave log'!$F$7:$F$306,"Pending")&gt;0,"P",""))))</f>
        <v/>
      </c>
      <c r="W85" s="23" t="str">
        <f>IF(A85="","",IF(IF(OR(DATE($B$3,3,22)&gt;EOMONTH(DATE($B$3,3,1),0),NETWORKDAYS.INTL(DATE($B$3,3,22),DATE($B$3,3,22),1,'Non-working days'!$A$6:$A$45)=0),"",IF(COUNTIFS('Leave log'!$A$7:$A$306,Employees!$A$16,'Leave log'!$B$7:$B$306,"&lt;="&amp;DATE($B$3,3,22),'Leave log'!$C$7:$C$306,"&gt;="&amp;DATE($B$3,3,22),'Leave log'!$F$7:$F$306,"Approved")&gt;0,"A",""))="A","A",IF(OR(DATE($B$3,3,22)&gt;EOMONTH(DATE($B$3,3,1),0),NETWORKDAYS.INTL(DATE($B$3,3,22),DATE($B$3,3,22),1,'Non-working days'!$A$6:$A$45)=0),"",IF(COUNTIFS('Leave log'!$A$7:$A$306,Employees!$A$16,'Leave log'!$B$7:$B$306,"&lt;="&amp;DATE($B$3,3,22),'Leave log'!$C$7:$C$306,"&gt;="&amp;DATE($B$3,3,22),'Leave log'!$F$7:$F$306,"Pending")&gt;0,"P",""))))</f>
        <v/>
      </c>
      <c r="X85" s="23" t="str">
        <f>IF(A85="","",IF(IF(OR(DATE($B$3,3,23)&gt;EOMONTH(DATE($B$3,3,1),0),NETWORKDAYS.INTL(DATE($B$3,3,23),DATE($B$3,3,23),1,'Non-working days'!$A$6:$A$45)=0),"",IF(COUNTIFS('Leave log'!$A$7:$A$306,Employees!$A$16,'Leave log'!$B$7:$B$306,"&lt;="&amp;DATE($B$3,3,23),'Leave log'!$C$7:$C$306,"&gt;="&amp;DATE($B$3,3,23),'Leave log'!$F$7:$F$306,"Approved")&gt;0,"A",""))="A","A",IF(OR(DATE($B$3,3,23)&gt;EOMONTH(DATE($B$3,3,1),0),NETWORKDAYS.INTL(DATE($B$3,3,23),DATE($B$3,3,23),1,'Non-working days'!$A$6:$A$45)=0),"",IF(COUNTIFS('Leave log'!$A$7:$A$306,Employees!$A$16,'Leave log'!$B$7:$B$306,"&lt;="&amp;DATE($B$3,3,23),'Leave log'!$C$7:$C$306,"&gt;="&amp;DATE($B$3,3,23),'Leave log'!$F$7:$F$306,"Pending")&gt;0,"P",""))))</f>
        <v/>
      </c>
      <c r="Y85" s="23" t="str">
        <f>IF(A85="","",IF(IF(OR(DATE($B$3,3,24)&gt;EOMONTH(DATE($B$3,3,1),0),NETWORKDAYS.INTL(DATE($B$3,3,24),DATE($B$3,3,24),1,'Non-working days'!$A$6:$A$45)=0),"",IF(COUNTIFS('Leave log'!$A$7:$A$306,Employees!$A$16,'Leave log'!$B$7:$B$306,"&lt;="&amp;DATE($B$3,3,24),'Leave log'!$C$7:$C$306,"&gt;="&amp;DATE($B$3,3,24),'Leave log'!$F$7:$F$306,"Approved")&gt;0,"A",""))="A","A",IF(OR(DATE($B$3,3,24)&gt;EOMONTH(DATE($B$3,3,1),0),NETWORKDAYS.INTL(DATE($B$3,3,24),DATE($B$3,3,24),1,'Non-working days'!$A$6:$A$45)=0),"",IF(COUNTIFS('Leave log'!$A$7:$A$306,Employees!$A$16,'Leave log'!$B$7:$B$306,"&lt;="&amp;DATE($B$3,3,24),'Leave log'!$C$7:$C$306,"&gt;="&amp;DATE($B$3,3,24),'Leave log'!$F$7:$F$306,"Pending")&gt;0,"P",""))))</f>
        <v/>
      </c>
      <c r="Z85" s="23" t="str">
        <f>IF(A85="","",IF(IF(OR(DATE($B$3,3,25)&gt;EOMONTH(DATE($B$3,3,1),0),NETWORKDAYS.INTL(DATE($B$3,3,25),DATE($B$3,3,25),1,'Non-working days'!$A$6:$A$45)=0),"",IF(COUNTIFS('Leave log'!$A$7:$A$306,Employees!$A$16,'Leave log'!$B$7:$B$306,"&lt;="&amp;DATE($B$3,3,25),'Leave log'!$C$7:$C$306,"&gt;="&amp;DATE($B$3,3,25),'Leave log'!$F$7:$F$306,"Approved")&gt;0,"A",""))="A","A",IF(OR(DATE($B$3,3,25)&gt;EOMONTH(DATE($B$3,3,1),0),NETWORKDAYS.INTL(DATE($B$3,3,25),DATE($B$3,3,25),1,'Non-working days'!$A$6:$A$45)=0),"",IF(COUNTIFS('Leave log'!$A$7:$A$306,Employees!$A$16,'Leave log'!$B$7:$B$306,"&lt;="&amp;DATE($B$3,3,25),'Leave log'!$C$7:$C$306,"&gt;="&amp;DATE($B$3,3,25),'Leave log'!$F$7:$F$306,"Pending")&gt;0,"P",""))))</f>
        <v/>
      </c>
      <c r="AA85" s="23" t="str">
        <f>IF(A85="","",IF(IF(OR(DATE($B$3,3,26)&gt;EOMONTH(DATE($B$3,3,1),0),NETWORKDAYS.INTL(DATE($B$3,3,26),DATE($B$3,3,26),1,'Non-working days'!$A$6:$A$45)=0),"",IF(COUNTIFS('Leave log'!$A$7:$A$306,Employees!$A$16,'Leave log'!$B$7:$B$306,"&lt;="&amp;DATE($B$3,3,26),'Leave log'!$C$7:$C$306,"&gt;="&amp;DATE($B$3,3,26),'Leave log'!$F$7:$F$306,"Approved")&gt;0,"A",""))="A","A",IF(OR(DATE($B$3,3,26)&gt;EOMONTH(DATE($B$3,3,1),0),NETWORKDAYS.INTL(DATE($B$3,3,26),DATE($B$3,3,26),1,'Non-working days'!$A$6:$A$45)=0),"",IF(COUNTIFS('Leave log'!$A$7:$A$306,Employees!$A$16,'Leave log'!$B$7:$B$306,"&lt;="&amp;DATE($B$3,3,26),'Leave log'!$C$7:$C$306,"&gt;="&amp;DATE($B$3,3,26),'Leave log'!$F$7:$F$306,"Pending")&gt;0,"P",""))))</f>
        <v/>
      </c>
      <c r="AB85" s="23" t="str">
        <f>IF(A85="","",IF(IF(OR(DATE($B$3,3,27)&gt;EOMONTH(DATE($B$3,3,1),0),NETWORKDAYS.INTL(DATE($B$3,3,27),DATE($B$3,3,27),1,'Non-working days'!$A$6:$A$45)=0),"",IF(COUNTIFS('Leave log'!$A$7:$A$306,Employees!$A$16,'Leave log'!$B$7:$B$306,"&lt;="&amp;DATE($B$3,3,27),'Leave log'!$C$7:$C$306,"&gt;="&amp;DATE($B$3,3,27),'Leave log'!$F$7:$F$306,"Approved")&gt;0,"A",""))="A","A",IF(OR(DATE($B$3,3,27)&gt;EOMONTH(DATE($B$3,3,1),0),NETWORKDAYS.INTL(DATE($B$3,3,27),DATE($B$3,3,27),1,'Non-working days'!$A$6:$A$45)=0),"",IF(COUNTIFS('Leave log'!$A$7:$A$306,Employees!$A$16,'Leave log'!$B$7:$B$306,"&lt;="&amp;DATE($B$3,3,27),'Leave log'!$C$7:$C$306,"&gt;="&amp;DATE($B$3,3,27),'Leave log'!$F$7:$F$306,"Pending")&gt;0,"P",""))))</f>
        <v/>
      </c>
      <c r="AC85" s="23" t="str">
        <f>IF(A85="","",IF(IF(OR(DATE($B$3,3,28)&gt;EOMONTH(DATE($B$3,3,1),0),NETWORKDAYS.INTL(DATE($B$3,3,28),DATE($B$3,3,28),1,'Non-working days'!$A$6:$A$45)=0),"",IF(COUNTIFS('Leave log'!$A$7:$A$306,Employees!$A$16,'Leave log'!$B$7:$B$306,"&lt;="&amp;DATE($B$3,3,28),'Leave log'!$C$7:$C$306,"&gt;="&amp;DATE($B$3,3,28),'Leave log'!$F$7:$F$306,"Approved")&gt;0,"A",""))="A","A",IF(OR(DATE($B$3,3,28)&gt;EOMONTH(DATE($B$3,3,1),0),NETWORKDAYS.INTL(DATE($B$3,3,28),DATE($B$3,3,28),1,'Non-working days'!$A$6:$A$45)=0),"",IF(COUNTIFS('Leave log'!$A$7:$A$306,Employees!$A$16,'Leave log'!$B$7:$B$306,"&lt;="&amp;DATE($B$3,3,28),'Leave log'!$C$7:$C$306,"&gt;="&amp;DATE($B$3,3,28),'Leave log'!$F$7:$F$306,"Pending")&gt;0,"P",""))))</f>
        <v/>
      </c>
      <c r="AD85" s="23" t="str">
        <f>IF(A85="","",IF(IF(OR(DATE($B$3,3,29)&gt;EOMONTH(DATE($B$3,3,1),0),NETWORKDAYS.INTL(DATE($B$3,3,29),DATE($B$3,3,29),1,'Non-working days'!$A$6:$A$45)=0),"",IF(COUNTIFS('Leave log'!$A$7:$A$306,Employees!$A$16,'Leave log'!$B$7:$B$306,"&lt;="&amp;DATE($B$3,3,29),'Leave log'!$C$7:$C$306,"&gt;="&amp;DATE($B$3,3,29),'Leave log'!$F$7:$F$306,"Approved")&gt;0,"A",""))="A","A",IF(OR(DATE($B$3,3,29)&gt;EOMONTH(DATE($B$3,3,1),0),NETWORKDAYS.INTL(DATE($B$3,3,29),DATE($B$3,3,29),1,'Non-working days'!$A$6:$A$45)=0),"",IF(COUNTIFS('Leave log'!$A$7:$A$306,Employees!$A$16,'Leave log'!$B$7:$B$306,"&lt;="&amp;DATE($B$3,3,29),'Leave log'!$C$7:$C$306,"&gt;="&amp;DATE($B$3,3,29),'Leave log'!$F$7:$F$306,"Pending")&gt;0,"P",""))))</f>
        <v/>
      </c>
      <c r="AE85" s="23" t="str">
        <f>IF(A85="","",IF(IF(OR(DATE($B$3,3,30)&gt;EOMONTH(DATE($B$3,3,1),0),NETWORKDAYS.INTL(DATE($B$3,3,30),DATE($B$3,3,30),1,'Non-working days'!$A$6:$A$45)=0),"",IF(COUNTIFS('Leave log'!$A$7:$A$306,Employees!$A$16,'Leave log'!$B$7:$B$306,"&lt;="&amp;DATE($B$3,3,30),'Leave log'!$C$7:$C$306,"&gt;="&amp;DATE($B$3,3,30),'Leave log'!$F$7:$F$306,"Approved")&gt;0,"A",""))="A","A",IF(OR(DATE($B$3,3,30)&gt;EOMONTH(DATE($B$3,3,1),0),NETWORKDAYS.INTL(DATE($B$3,3,30),DATE($B$3,3,30),1,'Non-working days'!$A$6:$A$45)=0),"",IF(COUNTIFS('Leave log'!$A$7:$A$306,Employees!$A$16,'Leave log'!$B$7:$B$306,"&lt;="&amp;DATE($B$3,3,30),'Leave log'!$C$7:$C$306,"&gt;="&amp;DATE($B$3,3,30),'Leave log'!$F$7:$F$306,"Pending")&gt;0,"P",""))))</f>
        <v/>
      </c>
      <c r="AF85" s="23" t="str">
        <f>IF(A85="","",IF(IF(OR(DATE($B$3,3,31)&gt;EOMONTH(DATE($B$3,3,1),0),NETWORKDAYS.INTL(DATE($B$3,3,31),DATE($B$3,3,31),1,'Non-working days'!$A$6:$A$45)=0),"",IF(COUNTIFS('Leave log'!$A$7:$A$306,Employees!$A$16,'Leave log'!$B$7:$B$306,"&lt;="&amp;DATE($B$3,3,31),'Leave log'!$C$7:$C$306,"&gt;="&amp;DATE($B$3,3,31),'Leave log'!$F$7:$F$306,"Approved")&gt;0,"A",""))="A","A",IF(OR(DATE($B$3,3,31)&gt;EOMONTH(DATE($B$3,3,1),0),NETWORKDAYS.INTL(DATE($B$3,3,31),DATE($B$3,3,31),1,'Non-working days'!$A$6:$A$45)=0),"",IF(COUNTIFS('Leave log'!$A$7:$A$306,Employees!$A$16,'Leave log'!$B$7:$B$306,"&lt;="&amp;DATE($B$3,3,31),'Leave log'!$C$7:$C$306,"&gt;="&amp;DATE($B$3,3,31),'Leave log'!$F$7:$F$306,"Pending")&gt;0,"P",""))))</f>
        <v/>
      </c>
    </row>
    <row r="86" spans="1:32" ht="18" customHeight="1" x14ac:dyDescent="0.3">
      <c r="A86" s="22" t="str">
        <f>IF(Employees!F17="Yes",Employees!B17,"")</f>
        <v/>
      </c>
      <c r="B86" s="23" t="str">
        <f>IF(A86="","",IF(IF(OR(DATE($B$3,3,1)&gt;EOMONTH(DATE($B$3,3,1),0),NETWORKDAYS.INTL(DATE($B$3,3,1),DATE($B$3,3,1),1,'Non-working days'!$A$6:$A$45)=0),"",IF(COUNTIFS('Leave log'!$A$7:$A$306,Employees!$A$17,'Leave log'!$B$7:$B$306,"&lt;="&amp;DATE($B$3,3,1),'Leave log'!$C$7:$C$306,"&gt;="&amp;DATE($B$3,3,1),'Leave log'!$F$7:$F$306,"Approved")&gt;0,"A",""))="A","A",IF(OR(DATE($B$3,3,1)&gt;EOMONTH(DATE($B$3,3,1),0),NETWORKDAYS.INTL(DATE($B$3,3,1),DATE($B$3,3,1),1,'Non-working days'!$A$6:$A$45)=0),"",IF(COUNTIFS('Leave log'!$A$7:$A$306,Employees!$A$17,'Leave log'!$B$7:$B$306,"&lt;="&amp;DATE($B$3,3,1),'Leave log'!$C$7:$C$306,"&gt;="&amp;DATE($B$3,3,1),'Leave log'!$F$7:$F$306,"Pending")&gt;0,"P",""))))</f>
        <v/>
      </c>
      <c r="C86" s="23" t="str">
        <f>IF(A86="","",IF(IF(OR(DATE($B$3,3,2)&gt;EOMONTH(DATE($B$3,3,1),0),NETWORKDAYS.INTL(DATE($B$3,3,2),DATE($B$3,3,2),1,'Non-working days'!$A$6:$A$45)=0),"",IF(COUNTIFS('Leave log'!$A$7:$A$306,Employees!$A$17,'Leave log'!$B$7:$B$306,"&lt;="&amp;DATE($B$3,3,2),'Leave log'!$C$7:$C$306,"&gt;="&amp;DATE($B$3,3,2),'Leave log'!$F$7:$F$306,"Approved")&gt;0,"A",""))="A","A",IF(OR(DATE($B$3,3,2)&gt;EOMONTH(DATE($B$3,3,1),0),NETWORKDAYS.INTL(DATE($B$3,3,2),DATE($B$3,3,2),1,'Non-working days'!$A$6:$A$45)=0),"",IF(COUNTIFS('Leave log'!$A$7:$A$306,Employees!$A$17,'Leave log'!$B$7:$B$306,"&lt;="&amp;DATE($B$3,3,2),'Leave log'!$C$7:$C$306,"&gt;="&amp;DATE($B$3,3,2),'Leave log'!$F$7:$F$306,"Pending")&gt;0,"P",""))))</f>
        <v/>
      </c>
      <c r="D86" s="23" t="str">
        <f>IF(A86="","",IF(IF(OR(DATE($B$3,3,3)&gt;EOMONTH(DATE($B$3,3,1),0),NETWORKDAYS.INTL(DATE($B$3,3,3),DATE($B$3,3,3),1,'Non-working days'!$A$6:$A$45)=0),"",IF(COUNTIFS('Leave log'!$A$7:$A$306,Employees!$A$17,'Leave log'!$B$7:$B$306,"&lt;="&amp;DATE($B$3,3,3),'Leave log'!$C$7:$C$306,"&gt;="&amp;DATE($B$3,3,3),'Leave log'!$F$7:$F$306,"Approved")&gt;0,"A",""))="A","A",IF(OR(DATE($B$3,3,3)&gt;EOMONTH(DATE($B$3,3,1),0),NETWORKDAYS.INTL(DATE($B$3,3,3),DATE($B$3,3,3),1,'Non-working days'!$A$6:$A$45)=0),"",IF(COUNTIFS('Leave log'!$A$7:$A$306,Employees!$A$17,'Leave log'!$B$7:$B$306,"&lt;="&amp;DATE($B$3,3,3),'Leave log'!$C$7:$C$306,"&gt;="&amp;DATE($B$3,3,3),'Leave log'!$F$7:$F$306,"Pending")&gt;0,"P",""))))</f>
        <v/>
      </c>
      <c r="E86" s="23" t="str">
        <f>IF(A86="","",IF(IF(OR(DATE($B$3,3,4)&gt;EOMONTH(DATE($B$3,3,1),0),NETWORKDAYS.INTL(DATE($B$3,3,4),DATE($B$3,3,4),1,'Non-working days'!$A$6:$A$45)=0),"",IF(COUNTIFS('Leave log'!$A$7:$A$306,Employees!$A$17,'Leave log'!$B$7:$B$306,"&lt;="&amp;DATE($B$3,3,4),'Leave log'!$C$7:$C$306,"&gt;="&amp;DATE($B$3,3,4),'Leave log'!$F$7:$F$306,"Approved")&gt;0,"A",""))="A","A",IF(OR(DATE($B$3,3,4)&gt;EOMONTH(DATE($B$3,3,1),0),NETWORKDAYS.INTL(DATE($B$3,3,4),DATE($B$3,3,4),1,'Non-working days'!$A$6:$A$45)=0),"",IF(COUNTIFS('Leave log'!$A$7:$A$306,Employees!$A$17,'Leave log'!$B$7:$B$306,"&lt;="&amp;DATE($B$3,3,4),'Leave log'!$C$7:$C$306,"&gt;="&amp;DATE($B$3,3,4),'Leave log'!$F$7:$F$306,"Pending")&gt;0,"P",""))))</f>
        <v/>
      </c>
      <c r="F86" s="23" t="str">
        <f>IF(A86="","",IF(IF(OR(DATE($B$3,3,5)&gt;EOMONTH(DATE($B$3,3,1),0),NETWORKDAYS.INTL(DATE($B$3,3,5),DATE($B$3,3,5),1,'Non-working days'!$A$6:$A$45)=0),"",IF(COUNTIFS('Leave log'!$A$7:$A$306,Employees!$A$17,'Leave log'!$B$7:$B$306,"&lt;="&amp;DATE($B$3,3,5),'Leave log'!$C$7:$C$306,"&gt;="&amp;DATE($B$3,3,5),'Leave log'!$F$7:$F$306,"Approved")&gt;0,"A",""))="A","A",IF(OR(DATE($B$3,3,5)&gt;EOMONTH(DATE($B$3,3,1),0),NETWORKDAYS.INTL(DATE($B$3,3,5),DATE($B$3,3,5),1,'Non-working days'!$A$6:$A$45)=0),"",IF(COUNTIFS('Leave log'!$A$7:$A$306,Employees!$A$17,'Leave log'!$B$7:$B$306,"&lt;="&amp;DATE($B$3,3,5),'Leave log'!$C$7:$C$306,"&gt;="&amp;DATE($B$3,3,5),'Leave log'!$F$7:$F$306,"Pending")&gt;0,"P",""))))</f>
        <v/>
      </c>
      <c r="G86" s="23" t="str">
        <f>IF(A86="","",IF(IF(OR(DATE($B$3,3,6)&gt;EOMONTH(DATE($B$3,3,1),0),NETWORKDAYS.INTL(DATE($B$3,3,6),DATE($B$3,3,6),1,'Non-working days'!$A$6:$A$45)=0),"",IF(COUNTIFS('Leave log'!$A$7:$A$306,Employees!$A$17,'Leave log'!$B$7:$B$306,"&lt;="&amp;DATE($B$3,3,6),'Leave log'!$C$7:$C$306,"&gt;="&amp;DATE($B$3,3,6),'Leave log'!$F$7:$F$306,"Approved")&gt;0,"A",""))="A","A",IF(OR(DATE($B$3,3,6)&gt;EOMONTH(DATE($B$3,3,1),0),NETWORKDAYS.INTL(DATE($B$3,3,6),DATE($B$3,3,6),1,'Non-working days'!$A$6:$A$45)=0),"",IF(COUNTIFS('Leave log'!$A$7:$A$306,Employees!$A$17,'Leave log'!$B$7:$B$306,"&lt;="&amp;DATE($B$3,3,6),'Leave log'!$C$7:$C$306,"&gt;="&amp;DATE($B$3,3,6),'Leave log'!$F$7:$F$306,"Pending")&gt;0,"P",""))))</f>
        <v/>
      </c>
      <c r="H86" s="23" t="str">
        <f>IF(A86="","",IF(IF(OR(DATE($B$3,3,7)&gt;EOMONTH(DATE($B$3,3,1),0),NETWORKDAYS.INTL(DATE($B$3,3,7),DATE($B$3,3,7),1,'Non-working days'!$A$6:$A$45)=0),"",IF(COUNTIFS('Leave log'!$A$7:$A$306,Employees!$A$17,'Leave log'!$B$7:$B$306,"&lt;="&amp;DATE($B$3,3,7),'Leave log'!$C$7:$C$306,"&gt;="&amp;DATE($B$3,3,7),'Leave log'!$F$7:$F$306,"Approved")&gt;0,"A",""))="A","A",IF(OR(DATE($B$3,3,7)&gt;EOMONTH(DATE($B$3,3,1),0),NETWORKDAYS.INTL(DATE($B$3,3,7),DATE($B$3,3,7),1,'Non-working days'!$A$6:$A$45)=0),"",IF(COUNTIFS('Leave log'!$A$7:$A$306,Employees!$A$17,'Leave log'!$B$7:$B$306,"&lt;="&amp;DATE($B$3,3,7),'Leave log'!$C$7:$C$306,"&gt;="&amp;DATE($B$3,3,7),'Leave log'!$F$7:$F$306,"Pending")&gt;0,"P",""))))</f>
        <v/>
      </c>
      <c r="I86" s="23" t="str">
        <f>IF(A86="","",IF(IF(OR(DATE($B$3,3,8)&gt;EOMONTH(DATE($B$3,3,1),0),NETWORKDAYS.INTL(DATE($B$3,3,8),DATE($B$3,3,8),1,'Non-working days'!$A$6:$A$45)=0),"",IF(COUNTIFS('Leave log'!$A$7:$A$306,Employees!$A$17,'Leave log'!$B$7:$B$306,"&lt;="&amp;DATE($B$3,3,8),'Leave log'!$C$7:$C$306,"&gt;="&amp;DATE($B$3,3,8),'Leave log'!$F$7:$F$306,"Approved")&gt;0,"A",""))="A","A",IF(OR(DATE($B$3,3,8)&gt;EOMONTH(DATE($B$3,3,1),0),NETWORKDAYS.INTL(DATE($B$3,3,8),DATE($B$3,3,8),1,'Non-working days'!$A$6:$A$45)=0),"",IF(COUNTIFS('Leave log'!$A$7:$A$306,Employees!$A$17,'Leave log'!$B$7:$B$306,"&lt;="&amp;DATE($B$3,3,8),'Leave log'!$C$7:$C$306,"&gt;="&amp;DATE($B$3,3,8),'Leave log'!$F$7:$F$306,"Pending")&gt;0,"P",""))))</f>
        <v/>
      </c>
      <c r="J86" s="23" t="str">
        <f>IF(A86="","",IF(IF(OR(DATE($B$3,3,9)&gt;EOMONTH(DATE($B$3,3,1),0),NETWORKDAYS.INTL(DATE($B$3,3,9),DATE($B$3,3,9),1,'Non-working days'!$A$6:$A$45)=0),"",IF(COUNTIFS('Leave log'!$A$7:$A$306,Employees!$A$17,'Leave log'!$B$7:$B$306,"&lt;="&amp;DATE($B$3,3,9),'Leave log'!$C$7:$C$306,"&gt;="&amp;DATE($B$3,3,9),'Leave log'!$F$7:$F$306,"Approved")&gt;0,"A",""))="A","A",IF(OR(DATE($B$3,3,9)&gt;EOMONTH(DATE($B$3,3,1),0),NETWORKDAYS.INTL(DATE($B$3,3,9),DATE($B$3,3,9),1,'Non-working days'!$A$6:$A$45)=0),"",IF(COUNTIFS('Leave log'!$A$7:$A$306,Employees!$A$17,'Leave log'!$B$7:$B$306,"&lt;="&amp;DATE($B$3,3,9),'Leave log'!$C$7:$C$306,"&gt;="&amp;DATE($B$3,3,9),'Leave log'!$F$7:$F$306,"Pending")&gt;0,"P",""))))</f>
        <v/>
      </c>
      <c r="K86" s="23" t="str">
        <f>IF(A86="","",IF(IF(OR(DATE($B$3,3,10)&gt;EOMONTH(DATE($B$3,3,1),0),NETWORKDAYS.INTL(DATE($B$3,3,10),DATE($B$3,3,10),1,'Non-working days'!$A$6:$A$45)=0),"",IF(COUNTIFS('Leave log'!$A$7:$A$306,Employees!$A$17,'Leave log'!$B$7:$B$306,"&lt;="&amp;DATE($B$3,3,10),'Leave log'!$C$7:$C$306,"&gt;="&amp;DATE($B$3,3,10),'Leave log'!$F$7:$F$306,"Approved")&gt;0,"A",""))="A","A",IF(OR(DATE($B$3,3,10)&gt;EOMONTH(DATE($B$3,3,1),0),NETWORKDAYS.INTL(DATE($B$3,3,10),DATE($B$3,3,10),1,'Non-working days'!$A$6:$A$45)=0),"",IF(COUNTIFS('Leave log'!$A$7:$A$306,Employees!$A$17,'Leave log'!$B$7:$B$306,"&lt;="&amp;DATE($B$3,3,10),'Leave log'!$C$7:$C$306,"&gt;="&amp;DATE($B$3,3,10),'Leave log'!$F$7:$F$306,"Pending")&gt;0,"P",""))))</f>
        <v/>
      </c>
      <c r="L86" s="23" t="str">
        <f>IF(A86="","",IF(IF(OR(DATE($B$3,3,11)&gt;EOMONTH(DATE($B$3,3,1),0),NETWORKDAYS.INTL(DATE($B$3,3,11),DATE($B$3,3,11),1,'Non-working days'!$A$6:$A$45)=0),"",IF(COUNTIFS('Leave log'!$A$7:$A$306,Employees!$A$17,'Leave log'!$B$7:$B$306,"&lt;="&amp;DATE($B$3,3,11),'Leave log'!$C$7:$C$306,"&gt;="&amp;DATE($B$3,3,11),'Leave log'!$F$7:$F$306,"Approved")&gt;0,"A",""))="A","A",IF(OR(DATE($B$3,3,11)&gt;EOMONTH(DATE($B$3,3,1),0),NETWORKDAYS.INTL(DATE($B$3,3,11),DATE($B$3,3,11),1,'Non-working days'!$A$6:$A$45)=0),"",IF(COUNTIFS('Leave log'!$A$7:$A$306,Employees!$A$17,'Leave log'!$B$7:$B$306,"&lt;="&amp;DATE($B$3,3,11),'Leave log'!$C$7:$C$306,"&gt;="&amp;DATE($B$3,3,11),'Leave log'!$F$7:$F$306,"Pending")&gt;0,"P",""))))</f>
        <v/>
      </c>
      <c r="M86" s="23" t="str">
        <f>IF(A86="","",IF(IF(OR(DATE($B$3,3,12)&gt;EOMONTH(DATE($B$3,3,1),0),NETWORKDAYS.INTL(DATE($B$3,3,12),DATE($B$3,3,12),1,'Non-working days'!$A$6:$A$45)=0),"",IF(COUNTIFS('Leave log'!$A$7:$A$306,Employees!$A$17,'Leave log'!$B$7:$B$306,"&lt;="&amp;DATE($B$3,3,12),'Leave log'!$C$7:$C$306,"&gt;="&amp;DATE($B$3,3,12),'Leave log'!$F$7:$F$306,"Approved")&gt;0,"A",""))="A","A",IF(OR(DATE($B$3,3,12)&gt;EOMONTH(DATE($B$3,3,1),0),NETWORKDAYS.INTL(DATE($B$3,3,12),DATE($B$3,3,12),1,'Non-working days'!$A$6:$A$45)=0),"",IF(COUNTIFS('Leave log'!$A$7:$A$306,Employees!$A$17,'Leave log'!$B$7:$B$306,"&lt;="&amp;DATE($B$3,3,12),'Leave log'!$C$7:$C$306,"&gt;="&amp;DATE($B$3,3,12),'Leave log'!$F$7:$F$306,"Pending")&gt;0,"P",""))))</f>
        <v/>
      </c>
      <c r="N86" s="23" t="str">
        <f>IF(A86="","",IF(IF(OR(DATE($B$3,3,13)&gt;EOMONTH(DATE($B$3,3,1),0),NETWORKDAYS.INTL(DATE($B$3,3,13),DATE($B$3,3,13),1,'Non-working days'!$A$6:$A$45)=0),"",IF(COUNTIFS('Leave log'!$A$7:$A$306,Employees!$A$17,'Leave log'!$B$7:$B$306,"&lt;="&amp;DATE($B$3,3,13),'Leave log'!$C$7:$C$306,"&gt;="&amp;DATE($B$3,3,13),'Leave log'!$F$7:$F$306,"Approved")&gt;0,"A",""))="A","A",IF(OR(DATE($B$3,3,13)&gt;EOMONTH(DATE($B$3,3,1),0),NETWORKDAYS.INTL(DATE($B$3,3,13),DATE($B$3,3,13),1,'Non-working days'!$A$6:$A$45)=0),"",IF(COUNTIFS('Leave log'!$A$7:$A$306,Employees!$A$17,'Leave log'!$B$7:$B$306,"&lt;="&amp;DATE($B$3,3,13),'Leave log'!$C$7:$C$306,"&gt;="&amp;DATE($B$3,3,13),'Leave log'!$F$7:$F$306,"Pending")&gt;0,"P",""))))</f>
        <v/>
      </c>
      <c r="O86" s="23" t="str">
        <f>IF(A86="","",IF(IF(OR(DATE($B$3,3,14)&gt;EOMONTH(DATE($B$3,3,1),0),NETWORKDAYS.INTL(DATE($B$3,3,14),DATE($B$3,3,14),1,'Non-working days'!$A$6:$A$45)=0),"",IF(COUNTIFS('Leave log'!$A$7:$A$306,Employees!$A$17,'Leave log'!$B$7:$B$306,"&lt;="&amp;DATE($B$3,3,14),'Leave log'!$C$7:$C$306,"&gt;="&amp;DATE($B$3,3,14),'Leave log'!$F$7:$F$306,"Approved")&gt;0,"A",""))="A","A",IF(OR(DATE($B$3,3,14)&gt;EOMONTH(DATE($B$3,3,1),0),NETWORKDAYS.INTL(DATE($B$3,3,14),DATE($B$3,3,14),1,'Non-working days'!$A$6:$A$45)=0),"",IF(COUNTIFS('Leave log'!$A$7:$A$306,Employees!$A$17,'Leave log'!$B$7:$B$306,"&lt;="&amp;DATE($B$3,3,14),'Leave log'!$C$7:$C$306,"&gt;="&amp;DATE($B$3,3,14),'Leave log'!$F$7:$F$306,"Pending")&gt;0,"P",""))))</f>
        <v/>
      </c>
      <c r="P86" s="23" t="str">
        <f>IF(A86="","",IF(IF(OR(DATE($B$3,3,15)&gt;EOMONTH(DATE($B$3,3,1),0),NETWORKDAYS.INTL(DATE($B$3,3,15),DATE($B$3,3,15),1,'Non-working days'!$A$6:$A$45)=0),"",IF(COUNTIFS('Leave log'!$A$7:$A$306,Employees!$A$17,'Leave log'!$B$7:$B$306,"&lt;="&amp;DATE($B$3,3,15),'Leave log'!$C$7:$C$306,"&gt;="&amp;DATE($B$3,3,15),'Leave log'!$F$7:$F$306,"Approved")&gt;0,"A",""))="A","A",IF(OR(DATE($B$3,3,15)&gt;EOMONTH(DATE($B$3,3,1),0),NETWORKDAYS.INTL(DATE($B$3,3,15),DATE($B$3,3,15),1,'Non-working days'!$A$6:$A$45)=0),"",IF(COUNTIFS('Leave log'!$A$7:$A$306,Employees!$A$17,'Leave log'!$B$7:$B$306,"&lt;="&amp;DATE($B$3,3,15),'Leave log'!$C$7:$C$306,"&gt;="&amp;DATE($B$3,3,15),'Leave log'!$F$7:$F$306,"Pending")&gt;0,"P",""))))</f>
        <v/>
      </c>
      <c r="Q86" s="23" t="str">
        <f>IF(A86="","",IF(IF(OR(DATE($B$3,3,16)&gt;EOMONTH(DATE($B$3,3,1),0),NETWORKDAYS.INTL(DATE($B$3,3,16),DATE($B$3,3,16),1,'Non-working days'!$A$6:$A$45)=0),"",IF(COUNTIFS('Leave log'!$A$7:$A$306,Employees!$A$17,'Leave log'!$B$7:$B$306,"&lt;="&amp;DATE($B$3,3,16),'Leave log'!$C$7:$C$306,"&gt;="&amp;DATE($B$3,3,16),'Leave log'!$F$7:$F$306,"Approved")&gt;0,"A",""))="A","A",IF(OR(DATE($B$3,3,16)&gt;EOMONTH(DATE($B$3,3,1),0),NETWORKDAYS.INTL(DATE($B$3,3,16),DATE($B$3,3,16),1,'Non-working days'!$A$6:$A$45)=0),"",IF(COUNTIFS('Leave log'!$A$7:$A$306,Employees!$A$17,'Leave log'!$B$7:$B$306,"&lt;="&amp;DATE($B$3,3,16),'Leave log'!$C$7:$C$306,"&gt;="&amp;DATE($B$3,3,16),'Leave log'!$F$7:$F$306,"Pending")&gt;0,"P",""))))</f>
        <v/>
      </c>
      <c r="R86" s="23" t="str">
        <f>IF(A86="","",IF(IF(OR(DATE($B$3,3,17)&gt;EOMONTH(DATE($B$3,3,1),0),NETWORKDAYS.INTL(DATE($B$3,3,17),DATE($B$3,3,17),1,'Non-working days'!$A$6:$A$45)=0),"",IF(COUNTIFS('Leave log'!$A$7:$A$306,Employees!$A$17,'Leave log'!$B$7:$B$306,"&lt;="&amp;DATE($B$3,3,17),'Leave log'!$C$7:$C$306,"&gt;="&amp;DATE($B$3,3,17),'Leave log'!$F$7:$F$306,"Approved")&gt;0,"A",""))="A","A",IF(OR(DATE($B$3,3,17)&gt;EOMONTH(DATE($B$3,3,1),0),NETWORKDAYS.INTL(DATE($B$3,3,17),DATE($B$3,3,17),1,'Non-working days'!$A$6:$A$45)=0),"",IF(COUNTIFS('Leave log'!$A$7:$A$306,Employees!$A$17,'Leave log'!$B$7:$B$306,"&lt;="&amp;DATE($B$3,3,17),'Leave log'!$C$7:$C$306,"&gt;="&amp;DATE($B$3,3,17),'Leave log'!$F$7:$F$306,"Pending")&gt;0,"P",""))))</f>
        <v/>
      </c>
      <c r="S86" s="23" t="str">
        <f>IF(A86="","",IF(IF(OR(DATE($B$3,3,18)&gt;EOMONTH(DATE($B$3,3,1),0),NETWORKDAYS.INTL(DATE($B$3,3,18),DATE($B$3,3,18),1,'Non-working days'!$A$6:$A$45)=0),"",IF(COUNTIFS('Leave log'!$A$7:$A$306,Employees!$A$17,'Leave log'!$B$7:$B$306,"&lt;="&amp;DATE($B$3,3,18),'Leave log'!$C$7:$C$306,"&gt;="&amp;DATE($B$3,3,18),'Leave log'!$F$7:$F$306,"Approved")&gt;0,"A",""))="A","A",IF(OR(DATE($B$3,3,18)&gt;EOMONTH(DATE($B$3,3,1),0),NETWORKDAYS.INTL(DATE($B$3,3,18),DATE($B$3,3,18),1,'Non-working days'!$A$6:$A$45)=0),"",IF(COUNTIFS('Leave log'!$A$7:$A$306,Employees!$A$17,'Leave log'!$B$7:$B$306,"&lt;="&amp;DATE($B$3,3,18),'Leave log'!$C$7:$C$306,"&gt;="&amp;DATE($B$3,3,18),'Leave log'!$F$7:$F$306,"Pending")&gt;0,"P",""))))</f>
        <v/>
      </c>
      <c r="T86" s="23" t="str">
        <f>IF(A86="","",IF(IF(OR(DATE($B$3,3,19)&gt;EOMONTH(DATE($B$3,3,1),0),NETWORKDAYS.INTL(DATE($B$3,3,19),DATE($B$3,3,19),1,'Non-working days'!$A$6:$A$45)=0),"",IF(COUNTIFS('Leave log'!$A$7:$A$306,Employees!$A$17,'Leave log'!$B$7:$B$306,"&lt;="&amp;DATE($B$3,3,19),'Leave log'!$C$7:$C$306,"&gt;="&amp;DATE($B$3,3,19),'Leave log'!$F$7:$F$306,"Approved")&gt;0,"A",""))="A","A",IF(OR(DATE($B$3,3,19)&gt;EOMONTH(DATE($B$3,3,1),0),NETWORKDAYS.INTL(DATE($B$3,3,19),DATE($B$3,3,19),1,'Non-working days'!$A$6:$A$45)=0),"",IF(COUNTIFS('Leave log'!$A$7:$A$306,Employees!$A$17,'Leave log'!$B$7:$B$306,"&lt;="&amp;DATE($B$3,3,19),'Leave log'!$C$7:$C$306,"&gt;="&amp;DATE($B$3,3,19),'Leave log'!$F$7:$F$306,"Pending")&gt;0,"P",""))))</f>
        <v/>
      </c>
      <c r="U86" s="23" t="str">
        <f>IF(A86="","",IF(IF(OR(DATE($B$3,3,20)&gt;EOMONTH(DATE($B$3,3,1),0),NETWORKDAYS.INTL(DATE($B$3,3,20),DATE($B$3,3,20),1,'Non-working days'!$A$6:$A$45)=0),"",IF(COUNTIFS('Leave log'!$A$7:$A$306,Employees!$A$17,'Leave log'!$B$7:$B$306,"&lt;="&amp;DATE($B$3,3,20),'Leave log'!$C$7:$C$306,"&gt;="&amp;DATE($B$3,3,20),'Leave log'!$F$7:$F$306,"Approved")&gt;0,"A",""))="A","A",IF(OR(DATE($B$3,3,20)&gt;EOMONTH(DATE($B$3,3,1),0),NETWORKDAYS.INTL(DATE($B$3,3,20),DATE($B$3,3,20),1,'Non-working days'!$A$6:$A$45)=0),"",IF(COUNTIFS('Leave log'!$A$7:$A$306,Employees!$A$17,'Leave log'!$B$7:$B$306,"&lt;="&amp;DATE($B$3,3,20),'Leave log'!$C$7:$C$306,"&gt;="&amp;DATE($B$3,3,20),'Leave log'!$F$7:$F$306,"Pending")&gt;0,"P",""))))</f>
        <v/>
      </c>
      <c r="V86" s="23" t="str">
        <f>IF(A86="","",IF(IF(OR(DATE($B$3,3,21)&gt;EOMONTH(DATE($B$3,3,1),0),NETWORKDAYS.INTL(DATE($B$3,3,21),DATE($B$3,3,21),1,'Non-working days'!$A$6:$A$45)=0),"",IF(COUNTIFS('Leave log'!$A$7:$A$306,Employees!$A$17,'Leave log'!$B$7:$B$306,"&lt;="&amp;DATE($B$3,3,21),'Leave log'!$C$7:$C$306,"&gt;="&amp;DATE($B$3,3,21),'Leave log'!$F$7:$F$306,"Approved")&gt;0,"A",""))="A","A",IF(OR(DATE($B$3,3,21)&gt;EOMONTH(DATE($B$3,3,1),0),NETWORKDAYS.INTL(DATE($B$3,3,21),DATE($B$3,3,21),1,'Non-working days'!$A$6:$A$45)=0),"",IF(COUNTIFS('Leave log'!$A$7:$A$306,Employees!$A$17,'Leave log'!$B$7:$B$306,"&lt;="&amp;DATE($B$3,3,21),'Leave log'!$C$7:$C$306,"&gt;="&amp;DATE($B$3,3,21),'Leave log'!$F$7:$F$306,"Pending")&gt;0,"P",""))))</f>
        <v/>
      </c>
      <c r="W86" s="23" t="str">
        <f>IF(A86="","",IF(IF(OR(DATE($B$3,3,22)&gt;EOMONTH(DATE($B$3,3,1),0),NETWORKDAYS.INTL(DATE($B$3,3,22),DATE($B$3,3,22),1,'Non-working days'!$A$6:$A$45)=0),"",IF(COUNTIFS('Leave log'!$A$7:$A$306,Employees!$A$17,'Leave log'!$B$7:$B$306,"&lt;="&amp;DATE($B$3,3,22),'Leave log'!$C$7:$C$306,"&gt;="&amp;DATE($B$3,3,22),'Leave log'!$F$7:$F$306,"Approved")&gt;0,"A",""))="A","A",IF(OR(DATE($B$3,3,22)&gt;EOMONTH(DATE($B$3,3,1),0),NETWORKDAYS.INTL(DATE($B$3,3,22),DATE($B$3,3,22),1,'Non-working days'!$A$6:$A$45)=0),"",IF(COUNTIFS('Leave log'!$A$7:$A$306,Employees!$A$17,'Leave log'!$B$7:$B$306,"&lt;="&amp;DATE($B$3,3,22),'Leave log'!$C$7:$C$306,"&gt;="&amp;DATE($B$3,3,22),'Leave log'!$F$7:$F$306,"Pending")&gt;0,"P",""))))</f>
        <v/>
      </c>
      <c r="X86" s="23" t="str">
        <f>IF(A86="","",IF(IF(OR(DATE($B$3,3,23)&gt;EOMONTH(DATE($B$3,3,1),0),NETWORKDAYS.INTL(DATE($B$3,3,23),DATE($B$3,3,23),1,'Non-working days'!$A$6:$A$45)=0),"",IF(COUNTIFS('Leave log'!$A$7:$A$306,Employees!$A$17,'Leave log'!$B$7:$B$306,"&lt;="&amp;DATE($B$3,3,23),'Leave log'!$C$7:$C$306,"&gt;="&amp;DATE($B$3,3,23),'Leave log'!$F$7:$F$306,"Approved")&gt;0,"A",""))="A","A",IF(OR(DATE($B$3,3,23)&gt;EOMONTH(DATE($B$3,3,1),0),NETWORKDAYS.INTL(DATE($B$3,3,23),DATE($B$3,3,23),1,'Non-working days'!$A$6:$A$45)=0),"",IF(COUNTIFS('Leave log'!$A$7:$A$306,Employees!$A$17,'Leave log'!$B$7:$B$306,"&lt;="&amp;DATE($B$3,3,23),'Leave log'!$C$7:$C$306,"&gt;="&amp;DATE($B$3,3,23),'Leave log'!$F$7:$F$306,"Pending")&gt;0,"P",""))))</f>
        <v/>
      </c>
      <c r="Y86" s="23" t="str">
        <f>IF(A86="","",IF(IF(OR(DATE($B$3,3,24)&gt;EOMONTH(DATE($B$3,3,1),0),NETWORKDAYS.INTL(DATE($B$3,3,24),DATE($B$3,3,24),1,'Non-working days'!$A$6:$A$45)=0),"",IF(COUNTIFS('Leave log'!$A$7:$A$306,Employees!$A$17,'Leave log'!$B$7:$B$306,"&lt;="&amp;DATE($B$3,3,24),'Leave log'!$C$7:$C$306,"&gt;="&amp;DATE($B$3,3,24),'Leave log'!$F$7:$F$306,"Approved")&gt;0,"A",""))="A","A",IF(OR(DATE($B$3,3,24)&gt;EOMONTH(DATE($B$3,3,1),0),NETWORKDAYS.INTL(DATE($B$3,3,24),DATE($B$3,3,24),1,'Non-working days'!$A$6:$A$45)=0),"",IF(COUNTIFS('Leave log'!$A$7:$A$306,Employees!$A$17,'Leave log'!$B$7:$B$306,"&lt;="&amp;DATE($B$3,3,24),'Leave log'!$C$7:$C$306,"&gt;="&amp;DATE($B$3,3,24),'Leave log'!$F$7:$F$306,"Pending")&gt;0,"P",""))))</f>
        <v/>
      </c>
      <c r="Z86" s="23" t="str">
        <f>IF(A86="","",IF(IF(OR(DATE($B$3,3,25)&gt;EOMONTH(DATE($B$3,3,1),0),NETWORKDAYS.INTL(DATE($B$3,3,25),DATE($B$3,3,25),1,'Non-working days'!$A$6:$A$45)=0),"",IF(COUNTIFS('Leave log'!$A$7:$A$306,Employees!$A$17,'Leave log'!$B$7:$B$306,"&lt;="&amp;DATE($B$3,3,25),'Leave log'!$C$7:$C$306,"&gt;="&amp;DATE($B$3,3,25),'Leave log'!$F$7:$F$306,"Approved")&gt;0,"A",""))="A","A",IF(OR(DATE($B$3,3,25)&gt;EOMONTH(DATE($B$3,3,1),0),NETWORKDAYS.INTL(DATE($B$3,3,25),DATE($B$3,3,25),1,'Non-working days'!$A$6:$A$45)=0),"",IF(COUNTIFS('Leave log'!$A$7:$A$306,Employees!$A$17,'Leave log'!$B$7:$B$306,"&lt;="&amp;DATE($B$3,3,25),'Leave log'!$C$7:$C$306,"&gt;="&amp;DATE($B$3,3,25),'Leave log'!$F$7:$F$306,"Pending")&gt;0,"P",""))))</f>
        <v/>
      </c>
      <c r="AA86" s="23" t="str">
        <f>IF(A86="","",IF(IF(OR(DATE($B$3,3,26)&gt;EOMONTH(DATE($B$3,3,1),0),NETWORKDAYS.INTL(DATE($B$3,3,26),DATE($B$3,3,26),1,'Non-working days'!$A$6:$A$45)=0),"",IF(COUNTIFS('Leave log'!$A$7:$A$306,Employees!$A$17,'Leave log'!$B$7:$B$306,"&lt;="&amp;DATE($B$3,3,26),'Leave log'!$C$7:$C$306,"&gt;="&amp;DATE($B$3,3,26),'Leave log'!$F$7:$F$306,"Approved")&gt;0,"A",""))="A","A",IF(OR(DATE($B$3,3,26)&gt;EOMONTH(DATE($B$3,3,1),0),NETWORKDAYS.INTL(DATE($B$3,3,26),DATE($B$3,3,26),1,'Non-working days'!$A$6:$A$45)=0),"",IF(COUNTIFS('Leave log'!$A$7:$A$306,Employees!$A$17,'Leave log'!$B$7:$B$306,"&lt;="&amp;DATE($B$3,3,26),'Leave log'!$C$7:$C$306,"&gt;="&amp;DATE($B$3,3,26),'Leave log'!$F$7:$F$306,"Pending")&gt;0,"P",""))))</f>
        <v/>
      </c>
      <c r="AB86" s="23" t="str">
        <f>IF(A86="","",IF(IF(OR(DATE($B$3,3,27)&gt;EOMONTH(DATE($B$3,3,1),0),NETWORKDAYS.INTL(DATE($B$3,3,27),DATE($B$3,3,27),1,'Non-working days'!$A$6:$A$45)=0),"",IF(COUNTIFS('Leave log'!$A$7:$A$306,Employees!$A$17,'Leave log'!$B$7:$B$306,"&lt;="&amp;DATE($B$3,3,27),'Leave log'!$C$7:$C$306,"&gt;="&amp;DATE($B$3,3,27),'Leave log'!$F$7:$F$306,"Approved")&gt;0,"A",""))="A","A",IF(OR(DATE($B$3,3,27)&gt;EOMONTH(DATE($B$3,3,1),0),NETWORKDAYS.INTL(DATE($B$3,3,27),DATE($B$3,3,27),1,'Non-working days'!$A$6:$A$45)=0),"",IF(COUNTIFS('Leave log'!$A$7:$A$306,Employees!$A$17,'Leave log'!$B$7:$B$306,"&lt;="&amp;DATE($B$3,3,27),'Leave log'!$C$7:$C$306,"&gt;="&amp;DATE($B$3,3,27),'Leave log'!$F$7:$F$306,"Pending")&gt;0,"P",""))))</f>
        <v/>
      </c>
      <c r="AC86" s="23" t="str">
        <f>IF(A86="","",IF(IF(OR(DATE($B$3,3,28)&gt;EOMONTH(DATE($B$3,3,1),0),NETWORKDAYS.INTL(DATE($B$3,3,28),DATE($B$3,3,28),1,'Non-working days'!$A$6:$A$45)=0),"",IF(COUNTIFS('Leave log'!$A$7:$A$306,Employees!$A$17,'Leave log'!$B$7:$B$306,"&lt;="&amp;DATE($B$3,3,28),'Leave log'!$C$7:$C$306,"&gt;="&amp;DATE($B$3,3,28),'Leave log'!$F$7:$F$306,"Approved")&gt;0,"A",""))="A","A",IF(OR(DATE($B$3,3,28)&gt;EOMONTH(DATE($B$3,3,1),0),NETWORKDAYS.INTL(DATE($B$3,3,28),DATE($B$3,3,28),1,'Non-working days'!$A$6:$A$45)=0),"",IF(COUNTIFS('Leave log'!$A$7:$A$306,Employees!$A$17,'Leave log'!$B$7:$B$306,"&lt;="&amp;DATE($B$3,3,28),'Leave log'!$C$7:$C$306,"&gt;="&amp;DATE($B$3,3,28),'Leave log'!$F$7:$F$306,"Pending")&gt;0,"P",""))))</f>
        <v/>
      </c>
      <c r="AD86" s="23" t="str">
        <f>IF(A86="","",IF(IF(OR(DATE($B$3,3,29)&gt;EOMONTH(DATE($B$3,3,1),0),NETWORKDAYS.INTL(DATE($B$3,3,29),DATE($B$3,3,29),1,'Non-working days'!$A$6:$A$45)=0),"",IF(COUNTIFS('Leave log'!$A$7:$A$306,Employees!$A$17,'Leave log'!$B$7:$B$306,"&lt;="&amp;DATE($B$3,3,29),'Leave log'!$C$7:$C$306,"&gt;="&amp;DATE($B$3,3,29),'Leave log'!$F$7:$F$306,"Approved")&gt;0,"A",""))="A","A",IF(OR(DATE($B$3,3,29)&gt;EOMONTH(DATE($B$3,3,1),0),NETWORKDAYS.INTL(DATE($B$3,3,29),DATE($B$3,3,29),1,'Non-working days'!$A$6:$A$45)=0),"",IF(COUNTIFS('Leave log'!$A$7:$A$306,Employees!$A$17,'Leave log'!$B$7:$B$306,"&lt;="&amp;DATE($B$3,3,29),'Leave log'!$C$7:$C$306,"&gt;="&amp;DATE($B$3,3,29),'Leave log'!$F$7:$F$306,"Pending")&gt;0,"P",""))))</f>
        <v/>
      </c>
      <c r="AE86" s="23" t="str">
        <f>IF(A86="","",IF(IF(OR(DATE($B$3,3,30)&gt;EOMONTH(DATE($B$3,3,1),0),NETWORKDAYS.INTL(DATE($B$3,3,30),DATE($B$3,3,30),1,'Non-working days'!$A$6:$A$45)=0),"",IF(COUNTIFS('Leave log'!$A$7:$A$306,Employees!$A$17,'Leave log'!$B$7:$B$306,"&lt;="&amp;DATE($B$3,3,30),'Leave log'!$C$7:$C$306,"&gt;="&amp;DATE($B$3,3,30),'Leave log'!$F$7:$F$306,"Approved")&gt;0,"A",""))="A","A",IF(OR(DATE($B$3,3,30)&gt;EOMONTH(DATE($B$3,3,1),0),NETWORKDAYS.INTL(DATE($B$3,3,30),DATE($B$3,3,30),1,'Non-working days'!$A$6:$A$45)=0),"",IF(COUNTIFS('Leave log'!$A$7:$A$306,Employees!$A$17,'Leave log'!$B$7:$B$306,"&lt;="&amp;DATE($B$3,3,30),'Leave log'!$C$7:$C$306,"&gt;="&amp;DATE($B$3,3,30),'Leave log'!$F$7:$F$306,"Pending")&gt;0,"P",""))))</f>
        <v/>
      </c>
      <c r="AF86" s="23" t="str">
        <f>IF(A86="","",IF(IF(OR(DATE($B$3,3,31)&gt;EOMONTH(DATE($B$3,3,1),0),NETWORKDAYS.INTL(DATE($B$3,3,31),DATE($B$3,3,31),1,'Non-working days'!$A$6:$A$45)=0),"",IF(COUNTIFS('Leave log'!$A$7:$A$306,Employees!$A$17,'Leave log'!$B$7:$B$306,"&lt;="&amp;DATE($B$3,3,31),'Leave log'!$C$7:$C$306,"&gt;="&amp;DATE($B$3,3,31),'Leave log'!$F$7:$F$306,"Approved")&gt;0,"A",""))="A","A",IF(OR(DATE($B$3,3,31)&gt;EOMONTH(DATE($B$3,3,1),0),NETWORKDAYS.INTL(DATE($B$3,3,31),DATE($B$3,3,31),1,'Non-working days'!$A$6:$A$45)=0),"",IF(COUNTIFS('Leave log'!$A$7:$A$306,Employees!$A$17,'Leave log'!$B$7:$B$306,"&lt;="&amp;DATE($B$3,3,31),'Leave log'!$C$7:$C$306,"&gt;="&amp;DATE($B$3,3,31),'Leave log'!$F$7:$F$306,"Pending")&gt;0,"P",""))))</f>
        <v/>
      </c>
    </row>
    <row r="87" spans="1:32" ht="18" customHeight="1" x14ac:dyDescent="0.3">
      <c r="A87" s="22" t="str">
        <f>IF(Employees!F18="Yes",Employees!B18,"")</f>
        <v/>
      </c>
      <c r="B87" s="23" t="str">
        <f>IF(A87="","",IF(IF(OR(DATE($B$3,3,1)&gt;EOMONTH(DATE($B$3,3,1),0),NETWORKDAYS.INTL(DATE($B$3,3,1),DATE($B$3,3,1),1,'Non-working days'!$A$6:$A$45)=0),"",IF(COUNTIFS('Leave log'!$A$7:$A$306,Employees!$A$18,'Leave log'!$B$7:$B$306,"&lt;="&amp;DATE($B$3,3,1),'Leave log'!$C$7:$C$306,"&gt;="&amp;DATE($B$3,3,1),'Leave log'!$F$7:$F$306,"Approved")&gt;0,"A",""))="A","A",IF(OR(DATE($B$3,3,1)&gt;EOMONTH(DATE($B$3,3,1),0),NETWORKDAYS.INTL(DATE($B$3,3,1),DATE($B$3,3,1),1,'Non-working days'!$A$6:$A$45)=0),"",IF(COUNTIFS('Leave log'!$A$7:$A$306,Employees!$A$18,'Leave log'!$B$7:$B$306,"&lt;="&amp;DATE($B$3,3,1),'Leave log'!$C$7:$C$306,"&gt;="&amp;DATE($B$3,3,1),'Leave log'!$F$7:$F$306,"Pending")&gt;0,"P",""))))</f>
        <v/>
      </c>
      <c r="C87" s="23" t="str">
        <f>IF(A87="","",IF(IF(OR(DATE($B$3,3,2)&gt;EOMONTH(DATE($B$3,3,1),0),NETWORKDAYS.INTL(DATE($B$3,3,2),DATE($B$3,3,2),1,'Non-working days'!$A$6:$A$45)=0),"",IF(COUNTIFS('Leave log'!$A$7:$A$306,Employees!$A$18,'Leave log'!$B$7:$B$306,"&lt;="&amp;DATE($B$3,3,2),'Leave log'!$C$7:$C$306,"&gt;="&amp;DATE($B$3,3,2),'Leave log'!$F$7:$F$306,"Approved")&gt;0,"A",""))="A","A",IF(OR(DATE($B$3,3,2)&gt;EOMONTH(DATE($B$3,3,1),0),NETWORKDAYS.INTL(DATE($B$3,3,2),DATE($B$3,3,2),1,'Non-working days'!$A$6:$A$45)=0),"",IF(COUNTIFS('Leave log'!$A$7:$A$306,Employees!$A$18,'Leave log'!$B$7:$B$306,"&lt;="&amp;DATE($B$3,3,2),'Leave log'!$C$7:$C$306,"&gt;="&amp;DATE($B$3,3,2),'Leave log'!$F$7:$F$306,"Pending")&gt;0,"P",""))))</f>
        <v/>
      </c>
      <c r="D87" s="23" t="str">
        <f>IF(A87="","",IF(IF(OR(DATE($B$3,3,3)&gt;EOMONTH(DATE($B$3,3,1),0),NETWORKDAYS.INTL(DATE($B$3,3,3),DATE($B$3,3,3),1,'Non-working days'!$A$6:$A$45)=0),"",IF(COUNTIFS('Leave log'!$A$7:$A$306,Employees!$A$18,'Leave log'!$B$7:$B$306,"&lt;="&amp;DATE($B$3,3,3),'Leave log'!$C$7:$C$306,"&gt;="&amp;DATE($B$3,3,3),'Leave log'!$F$7:$F$306,"Approved")&gt;0,"A",""))="A","A",IF(OR(DATE($B$3,3,3)&gt;EOMONTH(DATE($B$3,3,1),0),NETWORKDAYS.INTL(DATE($B$3,3,3),DATE($B$3,3,3),1,'Non-working days'!$A$6:$A$45)=0),"",IF(COUNTIFS('Leave log'!$A$7:$A$306,Employees!$A$18,'Leave log'!$B$7:$B$306,"&lt;="&amp;DATE($B$3,3,3),'Leave log'!$C$7:$C$306,"&gt;="&amp;DATE($B$3,3,3),'Leave log'!$F$7:$F$306,"Pending")&gt;0,"P",""))))</f>
        <v/>
      </c>
      <c r="E87" s="23" t="str">
        <f>IF(A87="","",IF(IF(OR(DATE($B$3,3,4)&gt;EOMONTH(DATE($B$3,3,1),0),NETWORKDAYS.INTL(DATE($B$3,3,4),DATE($B$3,3,4),1,'Non-working days'!$A$6:$A$45)=0),"",IF(COUNTIFS('Leave log'!$A$7:$A$306,Employees!$A$18,'Leave log'!$B$7:$B$306,"&lt;="&amp;DATE($B$3,3,4),'Leave log'!$C$7:$C$306,"&gt;="&amp;DATE($B$3,3,4),'Leave log'!$F$7:$F$306,"Approved")&gt;0,"A",""))="A","A",IF(OR(DATE($B$3,3,4)&gt;EOMONTH(DATE($B$3,3,1),0),NETWORKDAYS.INTL(DATE($B$3,3,4),DATE($B$3,3,4),1,'Non-working days'!$A$6:$A$45)=0),"",IF(COUNTIFS('Leave log'!$A$7:$A$306,Employees!$A$18,'Leave log'!$B$7:$B$306,"&lt;="&amp;DATE($B$3,3,4),'Leave log'!$C$7:$C$306,"&gt;="&amp;DATE($B$3,3,4),'Leave log'!$F$7:$F$306,"Pending")&gt;0,"P",""))))</f>
        <v/>
      </c>
      <c r="F87" s="23" t="str">
        <f>IF(A87="","",IF(IF(OR(DATE($B$3,3,5)&gt;EOMONTH(DATE($B$3,3,1),0),NETWORKDAYS.INTL(DATE($B$3,3,5),DATE($B$3,3,5),1,'Non-working days'!$A$6:$A$45)=0),"",IF(COUNTIFS('Leave log'!$A$7:$A$306,Employees!$A$18,'Leave log'!$B$7:$B$306,"&lt;="&amp;DATE($B$3,3,5),'Leave log'!$C$7:$C$306,"&gt;="&amp;DATE($B$3,3,5),'Leave log'!$F$7:$F$306,"Approved")&gt;0,"A",""))="A","A",IF(OR(DATE($B$3,3,5)&gt;EOMONTH(DATE($B$3,3,1),0),NETWORKDAYS.INTL(DATE($B$3,3,5),DATE($B$3,3,5),1,'Non-working days'!$A$6:$A$45)=0),"",IF(COUNTIFS('Leave log'!$A$7:$A$306,Employees!$A$18,'Leave log'!$B$7:$B$306,"&lt;="&amp;DATE($B$3,3,5),'Leave log'!$C$7:$C$306,"&gt;="&amp;DATE($B$3,3,5),'Leave log'!$F$7:$F$306,"Pending")&gt;0,"P",""))))</f>
        <v/>
      </c>
      <c r="G87" s="23" t="str">
        <f>IF(A87="","",IF(IF(OR(DATE($B$3,3,6)&gt;EOMONTH(DATE($B$3,3,1),0),NETWORKDAYS.INTL(DATE($B$3,3,6),DATE($B$3,3,6),1,'Non-working days'!$A$6:$A$45)=0),"",IF(COUNTIFS('Leave log'!$A$7:$A$306,Employees!$A$18,'Leave log'!$B$7:$B$306,"&lt;="&amp;DATE($B$3,3,6),'Leave log'!$C$7:$C$306,"&gt;="&amp;DATE($B$3,3,6),'Leave log'!$F$7:$F$306,"Approved")&gt;0,"A",""))="A","A",IF(OR(DATE($B$3,3,6)&gt;EOMONTH(DATE($B$3,3,1),0),NETWORKDAYS.INTL(DATE($B$3,3,6),DATE($B$3,3,6),1,'Non-working days'!$A$6:$A$45)=0),"",IF(COUNTIFS('Leave log'!$A$7:$A$306,Employees!$A$18,'Leave log'!$B$7:$B$306,"&lt;="&amp;DATE($B$3,3,6),'Leave log'!$C$7:$C$306,"&gt;="&amp;DATE($B$3,3,6),'Leave log'!$F$7:$F$306,"Pending")&gt;0,"P",""))))</f>
        <v/>
      </c>
      <c r="H87" s="23" t="str">
        <f>IF(A87="","",IF(IF(OR(DATE($B$3,3,7)&gt;EOMONTH(DATE($B$3,3,1),0),NETWORKDAYS.INTL(DATE($B$3,3,7),DATE($B$3,3,7),1,'Non-working days'!$A$6:$A$45)=0),"",IF(COUNTIFS('Leave log'!$A$7:$A$306,Employees!$A$18,'Leave log'!$B$7:$B$306,"&lt;="&amp;DATE($B$3,3,7),'Leave log'!$C$7:$C$306,"&gt;="&amp;DATE($B$3,3,7),'Leave log'!$F$7:$F$306,"Approved")&gt;0,"A",""))="A","A",IF(OR(DATE($B$3,3,7)&gt;EOMONTH(DATE($B$3,3,1),0),NETWORKDAYS.INTL(DATE($B$3,3,7),DATE($B$3,3,7),1,'Non-working days'!$A$6:$A$45)=0),"",IF(COUNTIFS('Leave log'!$A$7:$A$306,Employees!$A$18,'Leave log'!$B$7:$B$306,"&lt;="&amp;DATE($B$3,3,7),'Leave log'!$C$7:$C$306,"&gt;="&amp;DATE($B$3,3,7),'Leave log'!$F$7:$F$306,"Pending")&gt;0,"P",""))))</f>
        <v/>
      </c>
      <c r="I87" s="23" t="str">
        <f>IF(A87="","",IF(IF(OR(DATE($B$3,3,8)&gt;EOMONTH(DATE($B$3,3,1),0),NETWORKDAYS.INTL(DATE($B$3,3,8),DATE($B$3,3,8),1,'Non-working days'!$A$6:$A$45)=0),"",IF(COUNTIFS('Leave log'!$A$7:$A$306,Employees!$A$18,'Leave log'!$B$7:$B$306,"&lt;="&amp;DATE($B$3,3,8),'Leave log'!$C$7:$C$306,"&gt;="&amp;DATE($B$3,3,8),'Leave log'!$F$7:$F$306,"Approved")&gt;0,"A",""))="A","A",IF(OR(DATE($B$3,3,8)&gt;EOMONTH(DATE($B$3,3,1),0),NETWORKDAYS.INTL(DATE($B$3,3,8),DATE($B$3,3,8),1,'Non-working days'!$A$6:$A$45)=0),"",IF(COUNTIFS('Leave log'!$A$7:$A$306,Employees!$A$18,'Leave log'!$B$7:$B$306,"&lt;="&amp;DATE($B$3,3,8),'Leave log'!$C$7:$C$306,"&gt;="&amp;DATE($B$3,3,8),'Leave log'!$F$7:$F$306,"Pending")&gt;0,"P",""))))</f>
        <v/>
      </c>
      <c r="J87" s="23" t="str">
        <f>IF(A87="","",IF(IF(OR(DATE($B$3,3,9)&gt;EOMONTH(DATE($B$3,3,1),0),NETWORKDAYS.INTL(DATE($B$3,3,9),DATE($B$3,3,9),1,'Non-working days'!$A$6:$A$45)=0),"",IF(COUNTIFS('Leave log'!$A$7:$A$306,Employees!$A$18,'Leave log'!$B$7:$B$306,"&lt;="&amp;DATE($B$3,3,9),'Leave log'!$C$7:$C$306,"&gt;="&amp;DATE($B$3,3,9),'Leave log'!$F$7:$F$306,"Approved")&gt;0,"A",""))="A","A",IF(OR(DATE($B$3,3,9)&gt;EOMONTH(DATE($B$3,3,1),0),NETWORKDAYS.INTL(DATE($B$3,3,9),DATE($B$3,3,9),1,'Non-working days'!$A$6:$A$45)=0),"",IF(COUNTIFS('Leave log'!$A$7:$A$306,Employees!$A$18,'Leave log'!$B$7:$B$306,"&lt;="&amp;DATE($B$3,3,9),'Leave log'!$C$7:$C$306,"&gt;="&amp;DATE($B$3,3,9),'Leave log'!$F$7:$F$306,"Pending")&gt;0,"P",""))))</f>
        <v/>
      </c>
      <c r="K87" s="23" t="str">
        <f>IF(A87="","",IF(IF(OR(DATE($B$3,3,10)&gt;EOMONTH(DATE($B$3,3,1),0),NETWORKDAYS.INTL(DATE($B$3,3,10),DATE($B$3,3,10),1,'Non-working days'!$A$6:$A$45)=0),"",IF(COUNTIFS('Leave log'!$A$7:$A$306,Employees!$A$18,'Leave log'!$B$7:$B$306,"&lt;="&amp;DATE($B$3,3,10),'Leave log'!$C$7:$C$306,"&gt;="&amp;DATE($B$3,3,10),'Leave log'!$F$7:$F$306,"Approved")&gt;0,"A",""))="A","A",IF(OR(DATE($B$3,3,10)&gt;EOMONTH(DATE($B$3,3,1),0),NETWORKDAYS.INTL(DATE($B$3,3,10),DATE($B$3,3,10),1,'Non-working days'!$A$6:$A$45)=0),"",IF(COUNTIFS('Leave log'!$A$7:$A$306,Employees!$A$18,'Leave log'!$B$7:$B$306,"&lt;="&amp;DATE($B$3,3,10),'Leave log'!$C$7:$C$306,"&gt;="&amp;DATE($B$3,3,10),'Leave log'!$F$7:$F$306,"Pending")&gt;0,"P",""))))</f>
        <v/>
      </c>
      <c r="L87" s="23" t="str">
        <f>IF(A87="","",IF(IF(OR(DATE($B$3,3,11)&gt;EOMONTH(DATE($B$3,3,1),0),NETWORKDAYS.INTL(DATE($B$3,3,11),DATE($B$3,3,11),1,'Non-working days'!$A$6:$A$45)=0),"",IF(COUNTIFS('Leave log'!$A$7:$A$306,Employees!$A$18,'Leave log'!$B$7:$B$306,"&lt;="&amp;DATE($B$3,3,11),'Leave log'!$C$7:$C$306,"&gt;="&amp;DATE($B$3,3,11),'Leave log'!$F$7:$F$306,"Approved")&gt;0,"A",""))="A","A",IF(OR(DATE($B$3,3,11)&gt;EOMONTH(DATE($B$3,3,1),0),NETWORKDAYS.INTL(DATE($B$3,3,11),DATE($B$3,3,11),1,'Non-working days'!$A$6:$A$45)=0),"",IF(COUNTIFS('Leave log'!$A$7:$A$306,Employees!$A$18,'Leave log'!$B$7:$B$306,"&lt;="&amp;DATE($B$3,3,11),'Leave log'!$C$7:$C$306,"&gt;="&amp;DATE($B$3,3,11),'Leave log'!$F$7:$F$306,"Pending")&gt;0,"P",""))))</f>
        <v/>
      </c>
      <c r="M87" s="23" t="str">
        <f>IF(A87="","",IF(IF(OR(DATE($B$3,3,12)&gt;EOMONTH(DATE($B$3,3,1),0),NETWORKDAYS.INTL(DATE($B$3,3,12),DATE($B$3,3,12),1,'Non-working days'!$A$6:$A$45)=0),"",IF(COUNTIFS('Leave log'!$A$7:$A$306,Employees!$A$18,'Leave log'!$B$7:$B$306,"&lt;="&amp;DATE($B$3,3,12),'Leave log'!$C$7:$C$306,"&gt;="&amp;DATE($B$3,3,12),'Leave log'!$F$7:$F$306,"Approved")&gt;0,"A",""))="A","A",IF(OR(DATE($B$3,3,12)&gt;EOMONTH(DATE($B$3,3,1),0),NETWORKDAYS.INTL(DATE($B$3,3,12),DATE($B$3,3,12),1,'Non-working days'!$A$6:$A$45)=0),"",IF(COUNTIFS('Leave log'!$A$7:$A$306,Employees!$A$18,'Leave log'!$B$7:$B$306,"&lt;="&amp;DATE($B$3,3,12),'Leave log'!$C$7:$C$306,"&gt;="&amp;DATE($B$3,3,12),'Leave log'!$F$7:$F$306,"Pending")&gt;0,"P",""))))</f>
        <v/>
      </c>
      <c r="N87" s="23" t="str">
        <f>IF(A87="","",IF(IF(OR(DATE($B$3,3,13)&gt;EOMONTH(DATE($B$3,3,1),0),NETWORKDAYS.INTL(DATE($B$3,3,13),DATE($B$3,3,13),1,'Non-working days'!$A$6:$A$45)=0),"",IF(COUNTIFS('Leave log'!$A$7:$A$306,Employees!$A$18,'Leave log'!$B$7:$B$306,"&lt;="&amp;DATE($B$3,3,13),'Leave log'!$C$7:$C$306,"&gt;="&amp;DATE($B$3,3,13),'Leave log'!$F$7:$F$306,"Approved")&gt;0,"A",""))="A","A",IF(OR(DATE($B$3,3,13)&gt;EOMONTH(DATE($B$3,3,1),0),NETWORKDAYS.INTL(DATE($B$3,3,13),DATE($B$3,3,13),1,'Non-working days'!$A$6:$A$45)=0),"",IF(COUNTIFS('Leave log'!$A$7:$A$306,Employees!$A$18,'Leave log'!$B$7:$B$306,"&lt;="&amp;DATE($B$3,3,13),'Leave log'!$C$7:$C$306,"&gt;="&amp;DATE($B$3,3,13),'Leave log'!$F$7:$F$306,"Pending")&gt;0,"P",""))))</f>
        <v/>
      </c>
      <c r="O87" s="23" t="str">
        <f>IF(A87="","",IF(IF(OR(DATE($B$3,3,14)&gt;EOMONTH(DATE($B$3,3,1),0),NETWORKDAYS.INTL(DATE($B$3,3,14),DATE($B$3,3,14),1,'Non-working days'!$A$6:$A$45)=0),"",IF(COUNTIFS('Leave log'!$A$7:$A$306,Employees!$A$18,'Leave log'!$B$7:$B$306,"&lt;="&amp;DATE($B$3,3,14),'Leave log'!$C$7:$C$306,"&gt;="&amp;DATE($B$3,3,14),'Leave log'!$F$7:$F$306,"Approved")&gt;0,"A",""))="A","A",IF(OR(DATE($B$3,3,14)&gt;EOMONTH(DATE($B$3,3,1),0),NETWORKDAYS.INTL(DATE($B$3,3,14),DATE($B$3,3,14),1,'Non-working days'!$A$6:$A$45)=0),"",IF(COUNTIFS('Leave log'!$A$7:$A$306,Employees!$A$18,'Leave log'!$B$7:$B$306,"&lt;="&amp;DATE($B$3,3,14),'Leave log'!$C$7:$C$306,"&gt;="&amp;DATE($B$3,3,14),'Leave log'!$F$7:$F$306,"Pending")&gt;0,"P",""))))</f>
        <v/>
      </c>
      <c r="P87" s="23" t="str">
        <f>IF(A87="","",IF(IF(OR(DATE($B$3,3,15)&gt;EOMONTH(DATE($B$3,3,1),0),NETWORKDAYS.INTL(DATE($B$3,3,15),DATE($B$3,3,15),1,'Non-working days'!$A$6:$A$45)=0),"",IF(COUNTIFS('Leave log'!$A$7:$A$306,Employees!$A$18,'Leave log'!$B$7:$B$306,"&lt;="&amp;DATE($B$3,3,15),'Leave log'!$C$7:$C$306,"&gt;="&amp;DATE($B$3,3,15),'Leave log'!$F$7:$F$306,"Approved")&gt;0,"A",""))="A","A",IF(OR(DATE($B$3,3,15)&gt;EOMONTH(DATE($B$3,3,1),0),NETWORKDAYS.INTL(DATE($B$3,3,15),DATE($B$3,3,15),1,'Non-working days'!$A$6:$A$45)=0),"",IF(COUNTIFS('Leave log'!$A$7:$A$306,Employees!$A$18,'Leave log'!$B$7:$B$306,"&lt;="&amp;DATE($B$3,3,15),'Leave log'!$C$7:$C$306,"&gt;="&amp;DATE($B$3,3,15),'Leave log'!$F$7:$F$306,"Pending")&gt;0,"P",""))))</f>
        <v/>
      </c>
      <c r="Q87" s="23" t="str">
        <f>IF(A87="","",IF(IF(OR(DATE($B$3,3,16)&gt;EOMONTH(DATE($B$3,3,1),0),NETWORKDAYS.INTL(DATE($B$3,3,16),DATE($B$3,3,16),1,'Non-working days'!$A$6:$A$45)=0),"",IF(COUNTIFS('Leave log'!$A$7:$A$306,Employees!$A$18,'Leave log'!$B$7:$B$306,"&lt;="&amp;DATE($B$3,3,16),'Leave log'!$C$7:$C$306,"&gt;="&amp;DATE($B$3,3,16),'Leave log'!$F$7:$F$306,"Approved")&gt;0,"A",""))="A","A",IF(OR(DATE($B$3,3,16)&gt;EOMONTH(DATE($B$3,3,1),0),NETWORKDAYS.INTL(DATE($B$3,3,16),DATE($B$3,3,16),1,'Non-working days'!$A$6:$A$45)=0),"",IF(COUNTIFS('Leave log'!$A$7:$A$306,Employees!$A$18,'Leave log'!$B$7:$B$306,"&lt;="&amp;DATE($B$3,3,16),'Leave log'!$C$7:$C$306,"&gt;="&amp;DATE($B$3,3,16),'Leave log'!$F$7:$F$306,"Pending")&gt;0,"P",""))))</f>
        <v/>
      </c>
      <c r="R87" s="23" t="str">
        <f>IF(A87="","",IF(IF(OR(DATE($B$3,3,17)&gt;EOMONTH(DATE($B$3,3,1),0),NETWORKDAYS.INTL(DATE($B$3,3,17),DATE($B$3,3,17),1,'Non-working days'!$A$6:$A$45)=0),"",IF(COUNTIFS('Leave log'!$A$7:$A$306,Employees!$A$18,'Leave log'!$B$7:$B$306,"&lt;="&amp;DATE($B$3,3,17),'Leave log'!$C$7:$C$306,"&gt;="&amp;DATE($B$3,3,17),'Leave log'!$F$7:$F$306,"Approved")&gt;0,"A",""))="A","A",IF(OR(DATE($B$3,3,17)&gt;EOMONTH(DATE($B$3,3,1),0),NETWORKDAYS.INTL(DATE($B$3,3,17),DATE($B$3,3,17),1,'Non-working days'!$A$6:$A$45)=0),"",IF(COUNTIFS('Leave log'!$A$7:$A$306,Employees!$A$18,'Leave log'!$B$7:$B$306,"&lt;="&amp;DATE($B$3,3,17),'Leave log'!$C$7:$C$306,"&gt;="&amp;DATE($B$3,3,17),'Leave log'!$F$7:$F$306,"Pending")&gt;0,"P",""))))</f>
        <v/>
      </c>
      <c r="S87" s="23" t="str">
        <f>IF(A87="","",IF(IF(OR(DATE($B$3,3,18)&gt;EOMONTH(DATE($B$3,3,1),0),NETWORKDAYS.INTL(DATE($B$3,3,18),DATE($B$3,3,18),1,'Non-working days'!$A$6:$A$45)=0),"",IF(COUNTIFS('Leave log'!$A$7:$A$306,Employees!$A$18,'Leave log'!$B$7:$B$306,"&lt;="&amp;DATE($B$3,3,18),'Leave log'!$C$7:$C$306,"&gt;="&amp;DATE($B$3,3,18),'Leave log'!$F$7:$F$306,"Approved")&gt;0,"A",""))="A","A",IF(OR(DATE($B$3,3,18)&gt;EOMONTH(DATE($B$3,3,1),0),NETWORKDAYS.INTL(DATE($B$3,3,18),DATE($B$3,3,18),1,'Non-working days'!$A$6:$A$45)=0),"",IF(COUNTIFS('Leave log'!$A$7:$A$306,Employees!$A$18,'Leave log'!$B$7:$B$306,"&lt;="&amp;DATE($B$3,3,18),'Leave log'!$C$7:$C$306,"&gt;="&amp;DATE($B$3,3,18),'Leave log'!$F$7:$F$306,"Pending")&gt;0,"P",""))))</f>
        <v/>
      </c>
      <c r="T87" s="23" t="str">
        <f>IF(A87="","",IF(IF(OR(DATE($B$3,3,19)&gt;EOMONTH(DATE($B$3,3,1),0),NETWORKDAYS.INTL(DATE($B$3,3,19),DATE($B$3,3,19),1,'Non-working days'!$A$6:$A$45)=0),"",IF(COUNTIFS('Leave log'!$A$7:$A$306,Employees!$A$18,'Leave log'!$B$7:$B$306,"&lt;="&amp;DATE($B$3,3,19),'Leave log'!$C$7:$C$306,"&gt;="&amp;DATE($B$3,3,19),'Leave log'!$F$7:$F$306,"Approved")&gt;0,"A",""))="A","A",IF(OR(DATE($B$3,3,19)&gt;EOMONTH(DATE($B$3,3,1),0),NETWORKDAYS.INTL(DATE($B$3,3,19),DATE($B$3,3,19),1,'Non-working days'!$A$6:$A$45)=0),"",IF(COUNTIFS('Leave log'!$A$7:$A$306,Employees!$A$18,'Leave log'!$B$7:$B$306,"&lt;="&amp;DATE($B$3,3,19),'Leave log'!$C$7:$C$306,"&gt;="&amp;DATE($B$3,3,19),'Leave log'!$F$7:$F$306,"Pending")&gt;0,"P",""))))</f>
        <v/>
      </c>
      <c r="U87" s="23" t="str">
        <f>IF(A87="","",IF(IF(OR(DATE($B$3,3,20)&gt;EOMONTH(DATE($B$3,3,1),0),NETWORKDAYS.INTL(DATE($B$3,3,20),DATE($B$3,3,20),1,'Non-working days'!$A$6:$A$45)=0),"",IF(COUNTIFS('Leave log'!$A$7:$A$306,Employees!$A$18,'Leave log'!$B$7:$B$306,"&lt;="&amp;DATE($B$3,3,20),'Leave log'!$C$7:$C$306,"&gt;="&amp;DATE($B$3,3,20),'Leave log'!$F$7:$F$306,"Approved")&gt;0,"A",""))="A","A",IF(OR(DATE($B$3,3,20)&gt;EOMONTH(DATE($B$3,3,1),0),NETWORKDAYS.INTL(DATE($B$3,3,20),DATE($B$3,3,20),1,'Non-working days'!$A$6:$A$45)=0),"",IF(COUNTIFS('Leave log'!$A$7:$A$306,Employees!$A$18,'Leave log'!$B$7:$B$306,"&lt;="&amp;DATE($B$3,3,20),'Leave log'!$C$7:$C$306,"&gt;="&amp;DATE($B$3,3,20),'Leave log'!$F$7:$F$306,"Pending")&gt;0,"P",""))))</f>
        <v/>
      </c>
      <c r="V87" s="23" t="str">
        <f>IF(A87="","",IF(IF(OR(DATE($B$3,3,21)&gt;EOMONTH(DATE($B$3,3,1),0),NETWORKDAYS.INTL(DATE($B$3,3,21),DATE($B$3,3,21),1,'Non-working days'!$A$6:$A$45)=0),"",IF(COUNTIFS('Leave log'!$A$7:$A$306,Employees!$A$18,'Leave log'!$B$7:$B$306,"&lt;="&amp;DATE($B$3,3,21),'Leave log'!$C$7:$C$306,"&gt;="&amp;DATE($B$3,3,21),'Leave log'!$F$7:$F$306,"Approved")&gt;0,"A",""))="A","A",IF(OR(DATE($B$3,3,21)&gt;EOMONTH(DATE($B$3,3,1),0),NETWORKDAYS.INTL(DATE($B$3,3,21),DATE($B$3,3,21),1,'Non-working days'!$A$6:$A$45)=0),"",IF(COUNTIFS('Leave log'!$A$7:$A$306,Employees!$A$18,'Leave log'!$B$7:$B$306,"&lt;="&amp;DATE($B$3,3,21),'Leave log'!$C$7:$C$306,"&gt;="&amp;DATE($B$3,3,21),'Leave log'!$F$7:$F$306,"Pending")&gt;0,"P",""))))</f>
        <v/>
      </c>
      <c r="W87" s="23" t="str">
        <f>IF(A87="","",IF(IF(OR(DATE($B$3,3,22)&gt;EOMONTH(DATE($B$3,3,1),0),NETWORKDAYS.INTL(DATE($B$3,3,22),DATE($B$3,3,22),1,'Non-working days'!$A$6:$A$45)=0),"",IF(COUNTIFS('Leave log'!$A$7:$A$306,Employees!$A$18,'Leave log'!$B$7:$B$306,"&lt;="&amp;DATE($B$3,3,22),'Leave log'!$C$7:$C$306,"&gt;="&amp;DATE($B$3,3,22),'Leave log'!$F$7:$F$306,"Approved")&gt;0,"A",""))="A","A",IF(OR(DATE($B$3,3,22)&gt;EOMONTH(DATE($B$3,3,1),0),NETWORKDAYS.INTL(DATE($B$3,3,22),DATE($B$3,3,22),1,'Non-working days'!$A$6:$A$45)=0),"",IF(COUNTIFS('Leave log'!$A$7:$A$306,Employees!$A$18,'Leave log'!$B$7:$B$306,"&lt;="&amp;DATE($B$3,3,22),'Leave log'!$C$7:$C$306,"&gt;="&amp;DATE($B$3,3,22),'Leave log'!$F$7:$F$306,"Pending")&gt;0,"P",""))))</f>
        <v/>
      </c>
      <c r="X87" s="23" t="str">
        <f>IF(A87="","",IF(IF(OR(DATE($B$3,3,23)&gt;EOMONTH(DATE($B$3,3,1),0),NETWORKDAYS.INTL(DATE($B$3,3,23),DATE($B$3,3,23),1,'Non-working days'!$A$6:$A$45)=0),"",IF(COUNTIFS('Leave log'!$A$7:$A$306,Employees!$A$18,'Leave log'!$B$7:$B$306,"&lt;="&amp;DATE($B$3,3,23),'Leave log'!$C$7:$C$306,"&gt;="&amp;DATE($B$3,3,23),'Leave log'!$F$7:$F$306,"Approved")&gt;0,"A",""))="A","A",IF(OR(DATE($B$3,3,23)&gt;EOMONTH(DATE($B$3,3,1),0),NETWORKDAYS.INTL(DATE($B$3,3,23),DATE($B$3,3,23),1,'Non-working days'!$A$6:$A$45)=0),"",IF(COUNTIFS('Leave log'!$A$7:$A$306,Employees!$A$18,'Leave log'!$B$7:$B$306,"&lt;="&amp;DATE($B$3,3,23),'Leave log'!$C$7:$C$306,"&gt;="&amp;DATE($B$3,3,23),'Leave log'!$F$7:$F$306,"Pending")&gt;0,"P",""))))</f>
        <v/>
      </c>
      <c r="Y87" s="23" t="str">
        <f>IF(A87="","",IF(IF(OR(DATE($B$3,3,24)&gt;EOMONTH(DATE($B$3,3,1),0),NETWORKDAYS.INTL(DATE($B$3,3,24),DATE($B$3,3,24),1,'Non-working days'!$A$6:$A$45)=0),"",IF(COUNTIFS('Leave log'!$A$7:$A$306,Employees!$A$18,'Leave log'!$B$7:$B$306,"&lt;="&amp;DATE($B$3,3,24),'Leave log'!$C$7:$C$306,"&gt;="&amp;DATE($B$3,3,24),'Leave log'!$F$7:$F$306,"Approved")&gt;0,"A",""))="A","A",IF(OR(DATE($B$3,3,24)&gt;EOMONTH(DATE($B$3,3,1),0),NETWORKDAYS.INTL(DATE($B$3,3,24),DATE($B$3,3,24),1,'Non-working days'!$A$6:$A$45)=0),"",IF(COUNTIFS('Leave log'!$A$7:$A$306,Employees!$A$18,'Leave log'!$B$7:$B$306,"&lt;="&amp;DATE($B$3,3,24),'Leave log'!$C$7:$C$306,"&gt;="&amp;DATE($B$3,3,24),'Leave log'!$F$7:$F$306,"Pending")&gt;0,"P",""))))</f>
        <v/>
      </c>
      <c r="Z87" s="23" t="str">
        <f>IF(A87="","",IF(IF(OR(DATE($B$3,3,25)&gt;EOMONTH(DATE($B$3,3,1),0),NETWORKDAYS.INTL(DATE($B$3,3,25),DATE($B$3,3,25),1,'Non-working days'!$A$6:$A$45)=0),"",IF(COUNTIFS('Leave log'!$A$7:$A$306,Employees!$A$18,'Leave log'!$B$7:$B$306,"&lt;="&amp;DATE($B$3,3,25),'Leave log'!$C$7:$C$306,"&gt;="&amp;DATE($B$3,3,25),'Leave log'!$F$7:$F$306,"Approved")&gt;0,"A",""))="A","A",IF(OR(DATE($B$3,3,25)&gt;EOMONTH(DATE($B$3,3,1),0),NETWORKDAYS.INTL(DATE($B$3,3,25),DATE($B$3,3,25),1,'Non-working days'!$A$6:$A$45)=0),"",IF(COUNTIFS('Leave log'!$A$7:$A$306,Employees!$A$18,'Leave log'!$B$7:$B$306,"&lt;="&amp;DATE($B$3,3,25),'Leave log'!$C$7:$C$306,"&gt;="&amp;DATE($B$3,3,25),'Leave log'!$F$7:$F$306,"Pending")&gt;0,"P",""))))</f>
        <v/>
      </c>
      <c r="AA87" s="23" t="str">
        <f>IF(A87="","",IF(IF(OR(DATE($B$3,3,26)&gt;EOMONTH(DATE($B$3,3,1),0),NETWORKDAYS.INTL(DATE($B$3,3,26),DATE($B$3,3,26),1,'Non-working days'!$A$6:$A$45)=0),"",IF(COUNTIFS('Leave log'!$A$7:$A$306,Employees!$A$18,'Leave log'!$B$7:$B$306,"&lt;="&amp;DATE($B$3,3,26),'Leave log'!$C$7:$C$306,"&gt;="&amp;DATE($B$3,3,26),'Leave log'!$F$7:$F$306,"Approved")&gt;0,"A",""))="A","A",IF(OR(DATE($B$3,3,26)&gt;EOMONTH(DATE($B$3,3,1),0),NETWORKDAYS.INTL(DATE($B$3,3,26),DATE($B$3,3,26),1,'Non-working days'!$A$6:$A$45)=0),"",IF(COUNTIFS('Leave log'!$A$7:$A$306,Employees!$A$18,'Leave log'!$B$7:$B$306,"&lt;="&amp;DATE($B$3,3,26),'Leave log'!$C$7:$C$306,"&gt;="&amp;DATE($B$3,3,26),'Leave log'!$F$7:$F$306,"Pending")&gt;0,"P",""))))</f>
        <v/>
      </c>
      <c r="AB87" s="23" t="str">
        <f>IF(A87="","",IF(IF(OR(DATE($B$3,3,27)&gt;EOMONTH(DATE($B$3,3,1),0),NETWORKDAYS.INTL(DATE($B$3,3,27),DATE($B$3,3,27),1,'Non-working days'!$A$6:$A$45)=0),"",IF(COUNTIFS('Leave log'!$A$7:$A$306,Employees!$A$18,'Leave log'!$B$7:$B$306,"&lt;="&amp;DATE($B$3,3,27),'Leave log'!$C$7:$C$306,"&gt;="&amp;DATE($B$3,3,27),'Leave log'!$F$7:$F$306,"Approved")&gt;0,"A",""))="A","A",IF(OR(DATE($B$3,3,27)&gt;EOMONTH(DATE($B$3,3,1),0),NETWORKDAYS.INTL(DATE($B$3,3,27),DATE($B$3,3,27),1,'Non-working days'!$A$6:$A$45)=0),"",IF(COUNTIFS('Leave log'!$A$7:$A$306,Employees!$A$18,'Leave log'!$B$7:$B$306,"&lt;="&amp;DATE($B$3,3,27),'Leave log'!$C$7:$C$306,"&gt;="&amp;DATE($B$3,3,27),'Leave log'!$F$7:$F$306,"Pending")&gt;0,"P",""))))</f>
        <v/>
      </c>
      <c r="AC87" s="23" t="str">
        <f>IF(A87="","",IF(IF(OR(DATE($B$3,3,28)&gt;EOMONTH(DATE($B$3,3,1),0),NETWORKDAYS.INTL(DATE($B$3,3,28),DATE($B$3,3,28),1,'Non-working days'!$A$6:$A$45)=0),"",IF(COUNTIFS('Leave log'!$A$7:$A$306,Employees!$A$18,'Leave log'!$B$7:$B$306,"&lt;="&amp;DATE($B$3,3,28),'Leave log'!$C$7:$C$306,"&gt;="&amp;DATE($B$3,3,28),'Leave log'!$F$7:$F$306,"Approved")&gt;0,"A",""))="A","A",IF(OR(DATE($B$3,3,28)&gt;EOMONTH(DATE($B$3,3,1),0),NETWORKDAYS.INTL(DATE($B$3,3,28),DATE($B$3,3,28),1,'Non-working days'!$A$6:$A$45)=0),"",IF(COUNTIFS('Leave log'!$A$7:$A$306,Employees!$A$18,'Leave log'!$B$7:$B$306,"&lt;="&amp;DATE($B$3,3,28),'Leave log'!$C$7:$C$306,"&gt;="&amp;DATE($B$3,3,28),'Leave log'!$F$7:$F$306,"Pending")&gt;0,"P",""))))</f>
        <v/>
      </c>
      <c r="AD87" s="23" t="str">
        <f>IF(A87="","",IF(IF(OR(DATE($B$3,3,29)&gt;EOMONTH(DATE($B$3,3,1),0),NETWORKDAYS.INTL(DATE($B$3,3,29),DATE($B$3,3,29),1,'Non-working days'!$A$6:$A$45)=0),"",IF(COUNTIFS('Leave log'!$A$7:$A$306,Employees!$A$18,'Leave log'!$B$7:$B$306,"&lt;="&amp;DATE($B$3,3,29),'Leave log'!$C$7:$C$306,"&gt;="&amp;DATE($B$3,3,29),'Leave log'!$F$7:$F$306,"Approved")&gt;0,"A",""))="A","A",IF(OR(DATE($B$3,3,29)&gt;EOMONTH(DATE($B$3,3,1),0),NETWORKDAYS.INTL(DATE($B$3,3,29),DATE($B$3,3,29),1,'Non-working days'!$A$6:$A$45)=0),"",IF(COUNTIFS('Leave log'!$A$7:$A$306,Employees!$A$18,'Leave log'!$B$7:$B$306,"&lt;="&amp;DATE($B$3,3,29),'Leave log'!$C$7:$C$306,"&gt;="&amp;DATE($B$3,3,29),'Leave log'!$F$7:$F$306,"Pending")&gt;0,"P",""))))</f>
        <v/>
      </c>
      <c r="AE87" s="23" t="str">
        <f>IF(A87="","",IF(IF(OR(DATE($B$3,3,30)&gt;EOMONTH(DATE($B$3,3,1),0),NETWORKDAYS.INTL(DATE($B$3,3,30),DATE($B$3,3,30),1,'Non-working days'!$A$6:$A$45)=0),"",IF(COUNTIFS('Leave log'!$A$7:$A$306,Employees!$A$18,'Leave log'!$B$7:$B$306,"&lt;="&amp;DATE($B$3,3,30),'Leave log'!$C$7:$C$306,"&gt;="&amp;DATE($B$3,3,30),'Leave log'!$F$7:$F$306,"Approved")&gt;0,"A",""))="A","A",IF(OR(DATE($B$3,3,30)&gt;EOMONTH(DATE($B$3,3,1),0),NETWORKDAYS.INTL(DATE($B$3,3,30),DATE($B$3,3,30),1,'Non-working days'!$A$6:$A$45)=0),"",IF(COUNTIFS('Leave log'!$A$7:$A$306,Employees!$A$18,'Leave log'!$B$7:$B$306,"&lt;="&amp;DATE($B$3,3,30),'Leave log'!$C$7:$C$306,"&gt;="&amp;DATE($B$3,3,30),'Leave log'!$F$7:$F$306,"Pending")&gt;0,"P",""))))</f>
        <v/>
      </c>
      <c r="AF87" s="23" t="str">
        <f>IF(A87="","",IF(IF(OR(DATE($B$3,3,31)&gt;EOMONTH(DATE($B$3,3,1),0),NETWORKDAYS.INTL(DATE($B$3,3,31),DATE($B$3,3,31),1,'Non-working days'!$A$6:$A$45)=0),"",IF(COUNTIFS('Leave log'!$A$7:$A$306,Employees!$A$18,'Leave log'!$B$7:$B$306,"&lt;="&amp;DATE($B$3,3,31),'Leave log'!$C$7:$C$306,"&gt;="&amp;DATE($B$3,3,31),'Leave log'!$F$7:$F$306,"Approved")&gt;0,"A",""))="A","A",IF(OR(DATE($B$3,3,31)&gt;EOMONTH(DATE($B$3,3,1),0),NETWORKDAYS.INTL(DATE($B$3,3,31),DATE($B$3,3,31),1,'Non-working days'!$A$6:$A$45)=0),"",IF(COUNTIFS('Leave log'!$A$7:$A$306,Employees!$A$18,'Leave log'!$B$7:$B$306,"&lt;="&amp;DATE($B$3,3,31),'Leave log'!$C$7:$C$306,"&gt;="&amp;DATE($B$3,3,31),'Leave log'!$F$7:$F$306,"Pending")&gt;0,"P",""))))</f>
        <v/>
      </c>
    </row>
    <row r="88" spans="1:32" ht="18" customHeight="1" x14ac:dyDescent="0.3">
      <c r="A88" s="22" t="str">
        <f>IF(Employees!F19="Yes",Employees!B19,"")</f>
        <v/>
      </c>
      <c r="B88" s="23" t="str">
        <f>IF(A88="","",IF(IF(OR(DATE($B$3,3,1)&gt;EOMONTH(DATE($B$3,3,1),0),NETWORKDAYS.INTL(DATE($B$3,3,1),DATE($B$3,3,1),1,'Non-working days'!$A$6:$A$45)=0),"",IF(COUNTIFS('Leave log'!$A$7:$A$306,Employees!$A$19,'Leave log'!$B$7:$B$306,"&lt;="&amp;DATE($B$3,3,1),'Leave log'!$C$7:$C$306,"&gt;="&amp;DATE($B$3,3,1),'Leave log'!$F$7:$F$306,"Approved")&gt;0,"A",""))="A","A",IF(OR(DATE($B$3,3,1)&gt;EOMONTH(DATE($B$3,3,1),0),NETWORKDAYS.INTL(DATE($B$3,3,1),DATE($B$3,3,1),1,'Non-working days'!$A$6:$A$45)=0),"",IF(COUNTIFS('Leave log'!$A$7:$A$306,Employees!$A$19,'Leave log'!$B$7:$B$306,"&lt;="&amp;DATE($B$3,3,1),'Leave log'!$C$7:$C$306,"&gt;="&amp;DATE($B$3,3,1),'Leave log'!$F$7:$F$306,"Pending")&gt;0,"P",""))))</f>
        <v/>
      </c>
      <c r="C88" s="23" t="str">
        <f>IF(A88="","",IF(IF(OR(DATE($B$3,3,2)&gt;EOMONTH(DATE($B$3,3,1),0),NETWORKDAYS.INTL(DATE($B$3,3,2),DATE($B$3,3,2),1,'Non-working days'!$A$6:$A$45)=0),"",IF(COUNTIFS('Leave log'!$A$7:$A$306,Employees!$A$19,'Leave log'!$B$7:$B$306,"&lt;="&amp;DATE($B$3,3,2),'Leave log'!$C$7:$C$306,"&gt;="&amp;DATE($B$3,3,2),'Leave log'!$F$7:$F$306,"Approved")&gt;0,"A",""))="A","A",IF(OR(DATE($B$3,3,2)&gt;EOMONTH(DATE($B$3,3,1),0),NETWORKDAYS.INTL(DATE($B$3,3,2),DATE($B$3,3,2),1,'Non-working days'!$A$6:$A$45)=0),"",IF(COUNTIFS('Leave log'!$A$7:$A$306,Employees!$A$19,'Leave log'!$B$7:$B$306,"&lt;="&amp;DATE($B$3,3,2),'Leave log'!$C$7:$C$306,"&gt;="&amp;DATE($B$3,3,2),'Leave log'!$F$7:$F$306,"Pending")&gt;0,"P",""))))</f>
        <v/>
      </c>
      <c r="D88" s="23" t="str">
        <f>IF(A88="","",IF(IF(OR(DATE($B$3,3,3)&gt;EOMONTH(DATE($B$3,3,1),0),NETWORKDAYS.INTL(DATE($B$3,3,3),DATE($B$3,3,3),1,'Non-working days'!$A$6:$A$45)=0),"",IF(COUNTIFS('Leave log'!$A$7:$A$306,Employees!$A$19,'Leave log'!$B$7:$B$306,"&lt;="&amp;DATE($B$3,3,3),'Leave log'!$C$7:$C$306,"&gt;="&amp;DATE($B$3,3,3),'Leave log'!$F$7:$F$306,"Approved")&gt;0,"A",""))="A","A",IF(OR(DATE($B$3,3,3)&gt;EOMONTH(DATE($B$3,3,1),0),NETWORKDAYS.INTL(DATE($B$3,3,3),DATE($B$3,3,3),1,'Non-working days'!$A$6:$A$45)=0),"",IF(COUNTIFS('Leave log'!$A$7:$A$306,Employees!$A$19,'Leave log'!$B$7:$B$306,"&lt;="&amp;DATE($B$3,3,3),'Leave log'!$C$7:$C$306,"&gt;="&amp;DATE($B$3,3,3),'Leave log'!$F$7:$F$306,"Pending")&gt;0,"P",""))))</f>
        <v/>
      </c>
      <c r="E88" s="23" t="str">
        <f>IF(A88="","",IF(IF(OR(DATE($B$3,3,4)&gt;EOMONTH(DATE($B$3,3,1),0),NETWORKDAYS.INTL(DATE($B$3,3,4),DATE($B$3,3,4),1,'Non-working days'!$A$6:$A$45)=0),"",IF(COUNTIFS('Leave log'!$A$7:$A$306,Employees!$A$19,'Leave log'!$B$7:$B$306,"&lt;="&amp;DATE($B$3,3,4),'Leave log'!$C$7:$C$306,"&gt;="&amp;DATE($B$3,3,4),'Leave log'!$F$7:$F$306,"Approved")&gt;0,"A",""))="A","A",IF(OR(DATE($B$3,3,4)&gt;EOMONTH(DATE($B$3,3,1),0),NETWORKDAYS.INTL(DATE($B$3,3,4),DATE($B$3,3,4),1,'Non-working days'!$A$6:$A$45)=0),"",IF(COUNTIFS('Leave log'!$A$7:$A$306,Employees!$A$19,'Leave log'!$B$7:$B$306,"&lt;="&amp;DATE($B$3,3,4),'Leave log'!$C$7:$C$306,"&gt;="&amp;DATE($B$3,3,4),'Leave log'!$F$7:$F$306,"Pending")&gt;0,"P",""))))</f>
        <v/>
      </c>
      <c r="F88" s="23" t="str">
        <f>IF(A88="","",IF(IF(OR(DATE($B$3,3,5)&gt;EOMONTH(DATE($B$3,3,1),0),NETWORKDAYS.INTL(DATE($B$3,3,5),DATE($B$3,3,5),1,'Non-working days'!$A$6:$A$45)=0),"",IF(COUNTIFS('Leave log'!$A$7:$A$306,Employees!$A$19,'Leave log'!$B$7:$B$306,"&lt;="&amp;DATE($B$3,3,5),'Leave log'!$C$7:$C$306,"&gt;="&amp;DATE($B$3,3,5),'Leave log'!$F$7:$F$306,"Approved")&gt;0,"A",""))="A","A",IF(OR(DATE($B$3,3,5)&gt;EOMONTH(DATE($B$3,3,1),0),NETWORKDAYS.INTL(DATE($B$3,3,5),DATE($B$3,3,5),1,'Non-working days'!$A$6:$A$45)=0),"",IF(COUNTIFS('Leave log'!$A$7:$A$306,Employees!$A$19,'Leave log'!$B$7:$B$306,"&lt;="&amp;DATE($B$3,3,5),'Leave log'!$C$7:$C$306,"&gt;="&amp;DATE($B$3,3,5),'Leave log'!$F$7:$F$306,"Pending")&gt;0,"P",""))))</f>
        <v/>
      </c>
      <c r="G88" s="23" t="str">
        <f>IF(A88="","",IF(IF(OR(DATE($B$3,3,6)&gt;EOMONTH(DATE($B$3,3,1),0),NETWORKDAYS.INTL(DATE($B$3,3,6),DATE($B$3,3,6),1,'Non-working days'!$A$6:$A$45)=0),"",IF(COUNTIFS('Leave log'!$A$7:$A$306,Employees!$A$19,'Leave log'!$B$7:$B$306,"&lt;="&amp;DATE($B$3,3,6),'Leave log'!$C$7:$C$306,"&gt;="&amp;DATE($B$3,3,6),'Leave log'!$F$7:$F$306,"Approved")&gt;0,"A",""))="A","A",IF(OR(DATE($B$3,3,6)&gt;EOMONTH(DATE($B$3,3,1),0),NETWORKDAYS.INTL(DATE($B$3,3,6),DATE($B$3,3,6),1,'Non-working days'!$A$6:$A$45)=0),"",IF(COUNTIFS('Leave log'!$A$7:$A$306,Employees!$A$19,'Leave log'!$B$7:$B$306,"&lt;="&amp;DATE($B$3,3,6),'Leave log'!$C$7:$C$306,"&gt;="&amp;DATE($B$3,3,6),'Leave log'!$F$7:$F$306,"Pending")&gt;0,"P",""))))</f>
        <v/>
      </c>
      <c r="H88" s="23" t="str">
        <f>IF(A88="","",IF(IF(OR(DATE($B$3,3,7)&gt;EOMONTH(DATE($B$3,3,1),0),NETWORKDAYS.INTL(DATE($B$3,3,7),DATE($B$3,3,7),1,'Non-working days'!$A$6:$A$45)=0),"",IF(COUNTIFS('Leave log'!$A$7:$A$306,Employees!$A$19,'Leave log'!$B$7:$B$306,"&lt;="&amp;DATE($B$3,3,7),'Leave log'!$C$7:$C$306,"&gt;="&amp;DATE($B$3,3,7),'Leave log'!$F$7:$F$306,"Approved")&gt;0,"A",""))="A","A",IF(OR(DATE($B$3,3,7)&gt;EOMONTH(DATE($B$3,3,1),0),NETWORKDAYS.INTL(DATE($B$3,3,7),DATE($B$3,3,7),1,'Non-working days'!$A$6:$A$45)=0),"",IF(COUNTIFS('Leave log'!$A$7:$A$306,Employees!$A$19,'Leave log'!$B$7:$B$306,"&lt;="&amp;DATE($B$3,3,7),'Leave log'!$C$7:$C$306,"&gt;="&amp;DATE($B$3,3,7),'Leave log'!$F$7:$F$306,"Pending")&gt;0,"P",""))))</f>
        <v/>
      </c>
      <c r="I88" s="23" t="str">
        <f>IF(A88="","",IF(IF(OR(DATE($B$3,3,8)&gt;EOMONTH(DATE($B$3,3,1),0),NETWORKDAYS.INTL(DATE($B$3,3,8),DATE($B$3,3,8),1,'Non-working days'!$A$6:$A$45)=0),"",IF(COUNTIFS('Leave log'!$A$7:$A$306,Employees!$A$19,'Leave log'!$B$7:$B$306,"&lt;="&amp;DATE($B$3,3,8),'Leave log'!$C$7:$C$306,"&gt;="&amp;DATE($B$3,3,8),'Leave log'!$F$7:$F$306,"Approved")&gt;0,"A",""))="A","A",IF(OR(DATE($B$3,3,8)&gt;EOMONTH(DATE($B$3,3,1),0),NETWORKDAYS.INTL(DATE($B$3,3,8),DATE($B$3,3,8),1,'Non-working days'!$A$6:$A$45)=0),"",IF(COUNTIFS('Leave log'!$A$7:$A$306,Employees!$A$19,'Leave log'!$B$7:$B$306,"&lt;="&amp;DATE($B$3,3,8),'Leave log'!$C$7:$C$306,"&gt;="&amp;DATE($B$3,3,8),'Leave log'!$F$7:$F$306,"Pending")&gt;0,"P",""))))</f>
        <v/>
      </c>
      <c r="J88" s="23" t="str">
        <f>IF(A88="","",IF(IF(OR(DATE($B$3,3,9)&gt;EOMONTH(DATE($B$3,3,1),0),NETWORKDAYS.INTL(DATE($B$3,3,9),DATE($B$3,3,9),1,'Non-working days'!$A$6:$A$45)=0),"",IF(COUNTIFS('Leave log'!$A$7:$A$306,Employees!$A$19,'Leave log'!$B$7:$B$306,"&lt;="&amp;DATE($B$3,3,9),'Leave log'!$C$7:$C$306,"&gt;="&amp;DATE($B$3,3,9),'Leave log'!$F$7:$F$306,"Approved")&gt;0,"A",""))="A","A",IF(OR(DATE($B$3,3,9)&gt;EOMONTH(DATE($B$3,3,1),0),NETWORKDAYS.INTL(DATE($B$3,3,9),DATE($B$3,3,9),1,'Non-working days'!$A$6:$A$45)=0),"",IF(COUNTIFS('Leave log'!$A$7:$A$306,Employees!$A$19,'Leave log'!$B$7:$B$306,"&lt;="&amp;DATE($B$3,3,9),'Leave log'!$C$7:$C$306,"&gt;="&amp;DATE($B$3,3,9),'Leave log'!$F$7:$F$306,"Pending")&gt;0,"P",""))))</f>
        <v/>
      </c>
      <c r="K88" s="23" t="str">
        <f>IF(A88="","",IF(IF(OR(DATE($B$3,3,10)&gt;EOMONTH(DATE($B$3,3,1),0),NETWORKDAYS.INTL(DATE($B$3,3,10),DATE($B$3,3,10),1,'Non-working days'!$A$6:$A$45)=0),"",IF(COUNTIFS('Leave log'!$A$7:$A$306,Employees!$A$19,'Leave log'!$B$7:$B$306,"&lt;="&amp;DATE($B$3,3,10),'Leave log'!$C$7:$C$306,"&gt;="&amp;DATE($B$3,3,10),'Leave log'!$F$7:$F$306,"Approved")&gt;0,"A",""))="A","A",IF(OR(DATE($B$3,3,10)&gt;EOMONTH(DATE($B$3,3,1),0),NETWORKDAYS.INTL(DATE($B$3,3,10),DATE($B$3,3,10),1,'Non-working days'!$A$6:$A$45)=0),"",IF(COUNTIFS('Leave log'!$A$7:$A$306,Employees!$A$19,'Leave log'!$B$7:$B$306,"&lt;="&amp;DATE($B$3,3,10),'Leave log'!$C$7:$C$306,"&gt;="&amp;DATE($B$3,3,10),'Leave log'!$F$7:$F$306,"Pending")&gt;0,"P",""))))</f>
        <v/>
      </c>
      <c r="L88" s="23" t="str">
        <f>IF(A88="","",IF(IF(OR(DATE($B$3,3,11)&gt;EOMONTH(DATE($B$3,3,1),0),NETWORKDAYS.INTL(DATE($B$3,3,11),DATE($B$3,3,11),1,'Non-working days'!$A$6:$A$45)=0),"",IF(COUNTIFS('Leave log'!$A$7:$A$306,Employees!$A$19,'Leave log'!$B$7:$B$306,"&lt;="&amp;DATE($B$3,3,11),'Leave log'!$C$7:$C$306,"&gt;="&amp;DATE($B$3,3,11),'Leave log'!$F$7:$F$306,"Approved")&gt;0,"A",""))="A","A",IF(OR(DATE($B$3,3,11)&gt;EOMONTH(DATE($B$3,3,1),0),NETWORKDAYS.INTL(DATE($B$3,3,11),DATE($B$3,3,11),1,'Non-working days'!$A$6:$A$45)=0),"",IF(COUNTIFS('Leave log'!$A$7:$A$306,Employees!$A$19,'Leave log'!$B$7:$B$306,"&lt;="&amp;DATE($B$3,3,11),'Leave log'!$C$7:$C$306,"&gt;="&amp;DATE($B$3,3,11),'Leave log'!$F$7:$F$306,"Pending")&gt;0,"P",""))))</f>
        <v/>
      </c>
      <c r="M88" s="23" t="str">
        <f>IF(A88="","",IF(IF(OR(DATE($B$3,3,12)&gt;EOMONTH(DATE($B$3,3,1),0),NETWORKDAYS.INTL(DATE($B$3,3,12),DATE($B$3,3,12),1,'Non-working days'!$A$6:$A$45)=0),"",IF(COUNTIFS('Leave log'!$A$7:$A$306,Employees!$A$19,'Leave log'!$B$7:$B$306,"&lt;="&amp;DATE($B$3,3,12),'Leave log'!$C$7:$C$306,"&gt;="&amp;DATE($B$3,3,12),'Leave log'!$F$7:$F$306,"Approved")&gt;0,"A",""))="A","A",IF(OR(DATE($B$3,3,12)&gt;EOMONTH(DATE($B$3,3,1),0),NETWORKDAYS.INTL(DATE($B$3,3,12),DATE($B$3,3,12),1,'Non-working days'!$A$6:$A$45)=0),"",IF(COUNTIFS('Leave log'!$A$7:$A$306,Employees!$A$19,'Leave log'!$B$7:$B$306,"&lt;="&amp;DATE($B$3,3,12),'Leave log'!$C$7:$C$306,"&gt;="&amp;DATE($B$3,3,12),'Leave log'!$F$7:$F$306,"Pending")&gt;0,"P",""))))</f>
        <v/>
      </c>
      <c r="N88" s="23" t="str">
        <f>IF(A88="","",IF(IF(OR(DATE($B$3,3,13)&gt;EOMONTH(DATE($B$3,3,1),0),NETWORKDAYS.INTL(DATE($B$3,3,13),DATE($B$3,3,13),1,'Non-working days'!$A$6:$A$45)=0),"",IF(COUNTIFS('Leave log'!$A$7:$A$306,Employees!$A$19,'Leave log'!$B$7:$B$306,"&lt;="&amp;DATE($B$3,3,13),'Leave log'!$C$7:$C$306,"&gt;="&amp;DATE($B$3,3,13),'Leave log'!$F$7:$F$306,"Approved")&gt;0,"A",""))="A","A",IF(OR(DATE($B$3,3,13)&gt;EOMONTH(DATE($B$3,3,1),0),NETWORKDAYS.INTL(DATE($B$3,3,13),DATE($B$3,3,13),1,'Non-working days'!$A$6:$A$45)=0),"",IF(COUNTIFS('Leave log'!$A$7:$A$306,Employees!$A$19,'Leave log'!$B$7:$B$306,"&lt;="&amp;DATE($B$3,3,13),'Leave log'!$C$7:$C$306,"&gt;="&amp;DATE($B$3,3,13),'Leave log'!$F$7:$F$306,"Pending")&gt;0,"P",""))))</f>
        <v/>
      </c>
      <c r="O88" s="23" t="str">
        <f>IF(A88="","",IF(IF(OR(DATE($B$3,3,14)&gt;EOMONTH(DATE($B$3,3,1),0),NETWORKDAYS.INTL(DATE($B$3,3,14),DATE($B$3,3,14),1,'Non-working days'!$A$6:$A$45)=0),"",IF(COUNTIFS('Leave log'!$A$7:$A$306,Employees!$A$19,'Leave log'!$B$7:$B$306,"&lt;="&amp;DATE($B$3,3,14),'Leave log'!$C$7:$C$306,"&gt;="&amp;DATE($B$3,3,14),'Leave log'!$F$7:$F$306,"Approved")&gt;0,"A",""))="A","A",IF(OR(DATE($B$3,3,14)&gt;EOMONTH(DATE($B$3,3,1),0),NETWORKDAYS.INTL(DATE($B$3,3,14),DATE($B$3,3,14),1,'Non-working days'!$A$6:$A$45)=0),"",IF(COUNTIFS('Leave log'!$A$7:$A$306,Employees!$A$19,'Leave log'!$B$7:$B$306,"&lt;="&amp;DATE($B$3,3,14),'Leave log'!$C$7:$C$306,"&gt;="&amp;DATE($B$3,3,14),'Leave log'!$F$7:$F$306,"Pending")&gt;0,"P",""))))</f>
        <v/>
      </c>
      <c r="P88" s="23" t="str">
        <f>IF(A88="","",IF(IF(OR(DATE($B$3,3,15)&gt;EOMONTH(DATE($B$3,3,1),0),NETWORKDAYS.INTL(DATE($B$3,3,15),DATE($B$3,3,15),1,'Non-working days'!$A$6:$A$45)=0),"",IF(COUNTIFS('Leave log'!$A$7:$A$306,Employees!$A$19,'Leave log'!$B$7:$B$306,"&lt;="&amp;DATE($B$3,3,15),'Leave log'!$C$7:$C$306,"&gt;="&amp;DATE($B$3,3,15),'Leave log'!$F$7:$F$306,"Approved")&gt;0,"A",""))="A","A",IF(OR(DATE($B$3,3,15)&gt;EOMONTH(DATE($B$3,3,1),0),NETWORKDAYS.INTL(DATE($B$3,3,15),DATE($B$3,3,15),1,'Non-working days'!$A$6:$A$45)=0),"",IF(COUNTIFS('Leave log'!$A$7:$A$306,Employees!$A$19,'Leave log'!$B$7:$B$306,"&lt;="&amp;DATE($B$3,3,15),'Leave log'!$C$7:$C$306,"&gt;="&amp;DATE($B$3,3,15),'Leave log'!$F$7:$F$306,"Pending")&gt;0,"P",""))))</f>
        <v/>
      </c>
      <c r="Q88" s="23" t="str">
        <f>IF(A88="","",IF(IF(OR(DATE($B$3,3,16)&gt;EOMONTH(DATE($B$3,3,1),0),NETWORKDAYS.INTL(DATE($B$3,3,16),DATE($B$3,3,16),1,'Non-working days'!$A$6:$A$45)=0),"",IF(COUNTIFS('Leave log'!$A$7:$A$306,Employees!$A$19,'Leave log'!$B$7:$B$306,"&lt;="&amp;DATE($B$3,3,16),'Leave log'!$C$7:$C$306,"&gt;="&amp;DATE($B$3,3,16),'Leave log'!$F$7:$F$306,"Approved")&gt;0,"A",""))="A","A",IF(OR(DATE($B$3,3,16)&gt;EOMONTH(DATE($B$3,3,1),0),NETWORKDAYS.INTL(DATE($B$3,3,16),DATE($B$3,3,16),1,'Non-working days'!$A$6:$A$45)=0),"",IF(COUNTIFS('Leave log'!$A$7:$A$306,Employees!$A$19,'Leave log'!$B$7:$B$306,"&lt;="&amp;DATE($B$3,3,16),'Leave log'!$C$7:$C$306,"&gt;="&amp;DATE($B$3,3,16),'Leave log'!$F$7:$F$306,"Pending")&gt;0,"P",""))))</f>
        <v/>
      </c>
      <c r="R88" s="23" t="str">
        <f>IF(A88="","",IF(IF(OR(DATE($B$3,3,17)&gt;EOMONTH(DATE($B$3,3,1),0),NETWORKDAYS.INTL(DATE($B$3,3,17),DATE($B$3,3,17),1,'Non-working days'!$A$6:$A$45)=0),"",IF(COUNTIFS('Leave log'!$A$7:$A$306,Employees!$A$19,'Leave log'!$B$7:$B$306,"&lt;="&amp;DATE($B$3,3,17),'Leave log'!$C$7:$C$306,"&gt;="&amp;DATE($B$3,3,17),'Leave log'!$F$7:$F$306,"Approved")&gt;0,"A",""))="A","A",IF(OR(DATE($B$3,3,17)&gt;EOMONTH(DATE($B$3,3,1),0),NETWORKDAYS.INTL(DATE($B$3,3,17),DATE($B$3,3,17),1,'Non-working days'!$A$6:$A$45)=0),"",IF(COUNTIFS('Leave log'!$A$7:$A$306,Employees!$A$19,'Leave log'!$B$7:$B$306,"&lt;="&amp;DATE($B$3,3,17),'Leave log'!$C$7:$C$306,"&gt;="&amp;DATE($B$3,3,17),'Leave log'!$F$7:$F$306,"Pending")&gt;0,"P",""))))</f>
        <v/>
      </c>
      <c r="S88" s="23" t="str">
        <f>IF(A88="","",IF(IF(OR(DATE($B$3,3,18)&gt;EOMONTH(DATE($B$3,3,1),0),NETWORKDAYS.INTL(DATE($B$3,3,18),DATE($B$3,3,18),1,'Non-working days'!$A$6:$A$45)=0),"",IF(COUNTIFS('Leave log'!$A$7:$A$306,Employees!$A$19,'Leave log'!$B$7:$B$306,"&lt;="&amp;DATE($B$3,3,18),'Leave log'!$C$7:$C$306,"&gt;="&amp;DATE($B$3,3,18),'Leave log'!$F$7:$F$306,"Approved")&gt;0,"A",""))="A","A",IF(OR(DATE($B$3,3,18)&gt;EOMONTH(DATE($B$3,3,1),0),NETWORKDAYS.INTL(DATE($B$3,3,18),DATE($B$3,3,18),1,'Non-working days'!$A$6:$A$45)=0),"",IF(COUNTIFS('Leave log'!$A$7:$A$306,Employees!$A$19,'Leave log'!$B$7:$B$306,"&lt;="&amp;DATE($B$3,3,18),'Leave log'!$C$7:$C$306,"&gt;="&amp;DATE($B$3,3,18),'Leave log'!$F$7:$F$306,"Pending")&gt;0,"P",""))))</f>
        <v/>
      </c>
      <c r="T88" s="23" t="str">
        <f>IF(A88="","",IF(IF(OR(DATE($B$3,3,19)&gt;EOMONTH(DATE($B$3,3,1),0),NETWORKDAYS.INTL(DATE($B$3,3,19),DATE($B$3,3,19),1,'Non-working days'!$A$6:$A$45)=0),"",IF(COUNTIFS('Leave log'!$A$7:$A$306,Employees!$A$19,'Leave log'!$B$7:$B$306,"&lt;="&amp;DATE($B$3,3,19),'Leave log'!$C$7:$C$306,"&gt;="&amp;DATE($B$3,3,19),'Leave log'!$F$7:$F$306,"Approved")&gt;0,"A",""))="A","A",IF(OR(DATE($B$3,3,19)&gt;EOMONTH(DATE($B$3,3,1),0),NETWORKDAYS.INTL(DATE($B$3,3,19),DATE($B$3,3,19),1,'Non-working days'!$A$6:$A$45)=0),"",IF(COUNTIFS('Leave log'!$A$7:$A$306,Employees!$A$19,'Leave log'!$B$7:$B$306,"&lt;="&amp;DATE($B$3,3,19),'Leave log'!$C$7:$C$306,"&gt;="&amp;DATE($B$3,3,19),'Leave log'!$F$7:$F$306,"Pending")&gt;0,"P",""))))</f>
        <v/>
      </c>
      <c r="U88" s="23" t="str">
        <f>IF(A88="","",IF(IF(OR(DATE($B$3,3,20)&gt;EOMONTH(DATE($B$3,3,1),0),NETWORKDAYS.INTL(DATE($B$3,3,20),DATE($B$3,3,20),1,'Non-working days'!$A$6:$A$45)=0),"",IF(COUNTIFS('Leave log'!$A$7:$A$306,Employees!$A$19,'Leave log'!$B$7:$B$306,"&lt;="&amp;DATE($B$3,3,20),'Leave log'!$C$7:$C$306,"&gt;="&amp;DATE($B$3,3,20),'Leave log'!$F$7:$F$306,"Approved")&gt;0,"A",""))="A","A",IF(OR(DATE($B$3,3,20)&gt;EOMONTH(DATE($B$3,3,1),0),NETWORKDAYS.INTL(DATE($B$3,3,20),DATE($B$3,3,20),1,'Non-working days'!$A$6:$A$45)=0),"",IF(COUNTIFS('Leave log'!$A$7:$A$306,Employees!$A$19,'Leave log'!$B$7:$B$306,"&lt;="&amp;DATE($B$3,3,20),'Leave log'!$C$7:$C$306,"&gt;="&amp;DATE($B$3,3,20),'Leave log'!$F$7:$F$306,"Pending")&gt;0,"P",""))))</f>
        <v/>
      </c>
      <c r="V88" s="23" t="str">
        <f>IF(A88="","",IF(IF(OR(DATE($B$3,3,21)&gt;EOMONTH(DATE($B$3,3,1),0),NETWORKDAYS.INTL(DATE($B$3,3,21),DATE($B$3,3,21),1,'Non-working days'!$A$6:$A$45)=0),"",IF(COUNTIFS('Leave log'!$A$7:$A$306,Employees!$A$19,'Leave log'!$B$7:$B$306,"&lt;="&amp;DATE($B$3,3,21),'Leave log'!$C$7:$C$306,"&gt;="&amp;DATE($B$3,3,21),'Leave log'!$F$7:$F$306,"Approved")&gt;0,"A",""))="A","A",IF(OR(DATE($B$3,3,21)&gt;EOMONTH(DATE($B$3,3,1),0),NETWORKDAYS.INTL(DATE($B$3,3,21),DATE($B$3,3,21),1,'Non-working days'!$A$6:$A$45)=0),"",IF(COUNTIFS('Leave log'!$A$7:$A$306,Employees!$A$19,'Leave log'!$B$7:$B$306,"&lt;="&amp;DATE($B$3,3,21),'Leave log'!$C$7:$C$306,"&gt;="&amp;DATE($B$3,3,21),'Leave log'!$F$7:$F$306,"Pending")&gt;0,"P",""))))</f>
        <v/>
      </c>
      <c r="W88" s="23" t="str">
        <f>IF(A88="","",IF(IF(OR(DATE($B$3,3,22)&gt;EOMONTH(DATE($B$3,3,1),0),NETWORKDAYS.INTL(DATE($B$3,3,22),DATE($B$3,3,22),1,'Non-working days'!$A$6:$A$45)=0),"",IF(COUNTIFS('Leave log'!$A$7:$A$306,Employees!$A$19,'Leave log'!$B$7:$B$306,"&lt;="&amp;DATE($B$3,3,22),'Leave log'!$C$7:$C$306,"&gt;="&amp;DATE($B$3,3,22),'Leave log'!$F$7:$F$306,"Approved")&gt;0,"A",""))="A","A",IF(OR(DATE($B$3,3,22)&gt;EOMONTH(DATE($B$3,3,1),0),NETWORKDAYS.INTL(DATE($B$3,3,22),DATE($B$3,3,22),1,'Non-working days'!$A$6:$A$45)=0),"",IF(COUNTIFS('Leave log'!$A$7:$A$306,Employees!$A$19,'Leave log'!$B$7:$B$306,"&lt;="&amp;DATE($B$3,3,22),'Leave log'!$C$7:$C$306,"&gt;="&amp;DATE($B$3,3,22),'Leave log'!$F$7:$F$306,"Pending")&gt;0,"P",""))))</f>
        <v/>
      </c>
      <c r="X88" s="23" t="str">
        <f>IF(A88="","",IF(IF(OR(DATE($B$3,3,23)&gt;EOMONTH(DATE($B$3,3,1),0),NETWORKDAYS.INTL(DATE($B$3,3,23),DATE($B$3,3,23),1,'Non-working days'!$A$6:$A$45)=0),"",IF(COUNTIFS('Leave log'!$A$7:$A$306,Employees!$A$19,'Leave log'!$B$7:$B$306,"&lt;="&amp;DATE($B$3,3,23),'Leave log'!$C$7:$C$306,"&gt;="&amp;DATE($B$3,3,23),'Leave log'!$F$7:$F$306,"Approved")&gt;0,"A",""))="A","A",IF(OR(DATE($B$3,3,23)&gt;EOMONTH(DATE($B$3,3,1),0),NETWORKDAYS.INTL(DATE($B$3,3,23),DATE($B$3,3,23),1,'Non-working days'!$A$6:$A$45)=0),"",IF(COUNTIFS('Leave log'!$A$7:$A$306,Employees!$A$19,'Leave log'!$B$7:$B$306,"&lt;="&amp;DATE($B$3,3,23),'Leave log'!$C$7:$C$306,"&gt;="&amp;DATE($B$3,3,23),'Leave log'!$F$7:$F$306,"Pending")&gt;0,"P",""))))</f>
        <v/>
      </c>
      <c r="Y88" s="23" t="str">
        <f>IF(A88="","",IF(IF(OR(DATE($B$3,3,24)&gt;EOMONTH(DATE($B$3,3,1),0),NETWORKDAYS.INTL(DATE($B$3,3,24),DATE($B$3,3,24),1,'Non-working days'!$A$6:$A$45)=0),"",IF(COUNTIFS('Leave log'!$A$7:$A$306,Employees!$A$19,'Leave log'!$B$7:$B$306,"&lt;="&amp;DATE($B$3,3,24),'Leave log'!$C$7:$C$306,"&gt;="&amp;DATE($B$3,3,24),'Leave log'!$F$7:$F$306,"Approved")&gt;0,"A",""))="A","A",IF(OR(DATE($B$3,3,24)&gt;EOMONTH(DATE($B$3,3,1),0),NETWORKDAYS.INTL(DATE($B$3,3,24),DATE($B$3,3,24),1,'Non-working days'!$A$6:$A$45)=0),"",IF(COUNTIFS('Leave log'!$A$7:$A$306,Employees!$A$19,'Leave log'!$B$7:$B$306,"&lt;="&amp;DATE($B$3,3,24),'Leave log'!$C$7:$C$306,"&gt;="&amp;DATE($B$3,3,24),'Leave log'!$F$7:$F$306,"Pending")&gt;0,"P",""))))</f>
        <v/>
      </c>
      <c r="Z88" s="23" t="str">
        <f>IF(A88="","",IF(IF(OR(DATE($B$3,3,25)&gt;EOMONTH(DATE($B$3,3,1),0),NETWORKDAYS.INTL(DATE($B$3,3,25),DATE($B$3,3,25),1,'Non-working days'!$A$6:$A$45)=0),"",IF(COUNTIFS('Leave log'!$A$7:$A$306,Employees!$A$19,'Leave log'!$B$7:$B$306,"&lt;="&amp;DATE($B$3,3,25),'Leave log'!$C$7:$C$306,"&gt;="&amp;DATE($B$3,3,25),'Leave log'!$F$7:$F$306,"Approved")&gt;0,"A",""))="A","A",IF(OR(DATE($B$3,3,25)&gt;EOMONTH(DATE($B$3,3,1),0),NETWORKDAYS.INTL(DATE($B$3,3,25),DATE($B$3,3,25),1,'Non-working days'!$A$6:$A$45)=0),"",IF(COUNTIFS('Leave log'!$A$7:$A$306,Employees!$A$19,'Leave log'!$B$7:$B$306,"&lt;="&amp;DATE($B$3,3,25),'Leave log'!$C$7:$C$306,"&gt;="&amp;DATE($B$3,3,25),'Leave log'!$F$7:$F$306,"Pending")&gt;0,"P",""))))</f>
        <v/>
      </c>
      <c r="AA88" s="23" t="str">
        <f>IF(A88="","",IF(IF(OR(DATE($B$3,3,26)&gt;EOMONTH(DATE($B$3,3,1),0),NETWORKDAYS.INTL(DATE($B$3,3,26),DATE($B$3,3,26),1,'Non-working days'!$A$6:$A$45)=0),"",IF(COUNTIFS('Leave log'!$A$7:$A$306,Employees!$A$19,'Leave log'!$B$7:$B$306,"&lt;="&amp;DATE($B$3,3,26),'Leave log'!$C$7:$C$306,"&gt;="&amp;DATE($B$3,3,26),'Leave log'!$F$7:$F$306,"Approved")&gt;0,"A",""))="A","A",IF(OR(DATE($B$3,3,26)&gt;EOMONTH(DATE($B$3,3,1),0),NETWORKDAYS.INTL(DATE($B$3,3,26),DATE($B$3,3,26),1,'Non-working days'!$A$6:$A$45)=0),"",IF(COUNTIFS('Leave log'!$A$7:$A$306,Employees!$A$19,'Leave log'!$B$7:$B$306,"&lt;="&amp;DATE($B$3,3,26),'Leave log'!$C$7:$C$306,"&gt;="&amp;DATE($B$3,3,26),'Leave log'!$F$7:$F$306,"Pending")&gt;0,"P",""))))</f>
        <v/>
      </c>
      <c r="AB88" s="23" t="str">
        <f>IF(A88="","",IF(IF(OR(DATE($B$3,3,27)&gt;EOMONTH(DATE($B$3,3,1),0),NETWORKDAYS.INTL(DATE($B$3,3,27),DATE($B$3,3,27),1,'Non-working days'!$A$6:$A$45)=0),"",IF(COUNTIFS('Leave log'!$A$7:$A$306,Employees!$A$19,'Leave log'!$B$7:$B$306,"&lt;="&amp;DATE($B$3,3,27),'Leave log'!$C$7:$C$306,"&gt;="&amp;DATE($B$3,3,27),'Leave log'!$F$7:$F$306,"Approved")&gt;0,"A",""))="A","A",IF(OR(DATE($B$3,3,27)&gt;EOMONTH(DATE($B$3,3,1),0),NETWORKDAYS.INTL(DATE($B$3,3,27),DATE($B$3,3,27),1,'Non-working days'!$A$6:$A$45)=0),"",IF(COUNTIFS('Leave log'!$A$7:$A$306,Employees!$A$19,'Leave log'!$B$7:$B$306,"&lt;="&amp;DATE($B$3,3,27),'Leave log'!$C$7:$C$306,"&gt;="&amp;DATE($B$3,3,27),'Leave log'!$F$7:$F$306,"Pending")&gt;0,"P",""))))</f>
        <v/>
      </c>
      <c r="AC88" s="23" t="str">
        <f>IF(A88="","",IF(IF(OR(DATE($B$3,3,28)&gt;EOMONTH(DATE($B$3,3,1),0),NETWORKDAYS.INTL(DATE($B$3,3,28),DATE($B$3,3,28),1,'Non-working days'!$A$6:$A$45)=0),"",IF(COUNTIFS('Leave log'!$A$7:$A$306,Employees!$A$19,'Leave log'!$B$7:$B$306,"&lt;="&amp;DATE($B$3,3,28),'Leave log'!$C$7:$C$306,"&gt;="&amp;DATE($B$3,3,28),'Leave log'!$F$7:$F$306,"Approved")&gt;0,"A",""))="A","A",IF(OR(DATE($B$3,3,28)&gt;EOMONTH(DATE($B$3,3,1),0),NETWORKDAYS.INTL(DATE($B$3,3,28),DATE($B$3,3,28),1,'Non-working days'!$A$6:$A$45)=0),"",IF(COUNTIFS('Leave log'!$A$7:$A$306,Employees!$A$19,'Leave log'!$B$7:$B$306,"&lt;="&amp;DATE($B$3,3,28),'Leave log'!$C$7:$C$306,"&gt;="&amp;DATE($B$3,3,28),'Leave log'!$F$7:$F$306,"Pending")&gt;0,"P",""))))</f>
        <v/>
      </c>
      <c r="AD88" s="23" t="str">
        <f>IF(A88="","",IF(IF(OR(DATE($B$3,3,29)&gt;EOMONTH(DATE($B$3,3,1),0),NETWORKDAYS.INTL(DATE($B$3,3,29),DATE($B$3,3,29),1,'Non-working days'!$A$6:$A$45)=0),"",IF(COUNTIFS('Leave log'!$A$7:$A$306,Employees!$A$19,'Leave log'!$B$7:$B$306,"&lt;="&amp;DATE($B$3,3,29),'Leave log'!$C$7:$C$306,"&gt;="&amp;DATE($B$3,3,29),'Leave log'!$F$7:$F$306,"Approved")&gt;0,"A",""))="A","A",IF(OR(DATE($B$3,3,29)&gt;EOMONTH(DATE($B$3,3,1),0),NETWORKDAYS.INTL(DATE($B$3,3,29),DATE($B$3,3,29),1,'Non-working days'!$A$6:$A$45)=0),"",IF(COUNTIFS('Leave log'!$A$7:$A$306,Employees!$A$19,'Leave log'!$B$7:$B$306,"&lt;="&amp;DATE($B$3,3,29),'Leave log'!$C$7:$C$306,"&gt;="&amp;DATE($B$3,3,29),'Leave log'!$F$7:$F$306,"Pending")&gt;0,"P",""))))</f>
        <v/>
      </c>
      <c r="AE88" s="23" t="str">
        <f>IF(A88="","",IF(IF(OR(DATE($B$3,3,30)&gt;EOMONTH(DATE($B$3,3,1),0),NETWORKDAYS.INTL(DATE($B$3,3,30),DATE($B$3,3,30),1,'Non-working days'!$A$6:$A$45)=0),"",IF(COUNTIFS('Leave log'!$A$7:$A$306,Employees!$A$19,'Leave log'!$B$7:$B$306,"&lt;="&amp;DATE($B$3,3,30),'Leave log'!$C$7:$C$306,"&gt;="&amp;DATE($B$3,3,30),'Leave log'!$F$7:$F$306,"Approved")&gt;0,"A",""))="A","A",IF(OR(DATE($B$3,3,30)&gt;EOMONTH(DATE($B$3,3,1),0),NETWORKDAYS.INTL(DATE($B$3,3,30),DATE($B$3,3,30),1,'Non-working days'!$A$6:$A$45)=0),"",IF(COUNTIFS('Leave log'!$A$7:$A$306,Employees!$A$19,'Leave log'!$B$7:$B$306,"&lt;="&amp;DATE($B$3,3,30),'Leave log'!$C$7:$C$306,"&gt;="&amp;DATE($B$3,3,30),'Leave log'!$F$7:$F$306,"Pending")&gt;0,"P",""))))</f>
        <v/>
      </c>
      <c r="AF88" s="23" t="str">
        <f>IF(A88="","",IF(IF(OR(DATE($B$3,3,31)&gt;EOMONTH(DATE($B$3,3,1),0),NETWORKDAYS.INTL(DATE($B$3,3,31),DATE($B$3,3,31),1,'Non-working days'!$A$6:$A$45)=0),"",IF(COUNTIFS('Leave log'!$A$7:$A$306,Employees!$A$19,'Leave log'!$B$7:$B$306,"&lt;="&amp;DATE($B$3,3,31),'Leave log'!$C$7:$C$306,"&gt;="&amp;DATE($B$3,3,31),'Leave log'!$F$7:$F$306,"Approved")&gt;0,"A",""))="A","A",IF(OR(DATE($B$3,3,31)&gt;EOMONTH(DATE($B$3,3,1),0),NETWORKDAYS.INTL(DATE($B$3,3,31),DATE($B$3,3,31),1,'Non-working days'!$A$6:$A$45)=0),"",IF(COUNTIFS('Leave log'!$A$7:$A$306,Employees!$A$19,'Leave log'!$B$7:$B$306,"&lt;="&amp;DATE($B$3,3,31),'Leave log'!$C$7:$C$306,"&gt;="&amp;DATE($B$3,3,31),'Leave log'!$F$7:$F$306,"Pending")&gt;0,"P",""))))</f>
        <v/>
      </c>
    </row>
    <row r="89" spans="1:32" ht="18" customHeight="1" x14ac:dyDescent="0.3">
      <c r="A89" s="22" t="str">
        <f>IF(Employees!F20="Yes",Employees!B20,"")</f>
        <v/>
      </c>
      <c r="B89" s="23" t="str">
        <f>IF(A89="","",IF(IF(OR(DATE($B$3,3,1)&gt;EOMONTH(DATE($B$3,3,1),0),NETWORKDAYS.INTL(DATE($B$3,3,1),DATE($B$3,3,1),1,'Non-working days'!$A$6:$A$45)=0),"",IF(COUNTIFS('Leave log'!$A$7:$A$306,Employees!$A$20,'Leave log'!$B$7:$B$306,"&lt;="&amp;DATE($B$3,3,1),'Leave log'!$C$7:$C$306,"&gt;="&amp;DATE($B$3,3,1),'Leave log'!$F$7:$F$306,"Approved")&gt;0,"A",""))="A","A",IF(OR(DATE($B$3,3,1)&gt;EOMONTH(DATE($B$3,3,1),0),NETWORKDAYS.INTL(DATE($B$3,3,1),DATE($B$3,3,1),1,'Non-working days'!$A$6:$A$45)=0),"",IF(COUNTIFS('Leave log'!$A$7:$A$306,Employees!$A$20,'Leave log'!$B$7:$B$306,"&lt;="&amp;DATE($B$3,3,1),'Leave log'!$C$7:$C$306,"&gt;="&amp;DATE($B$3,3,1),'Leave log'!$F$7:$F$306,"Pending")&gt;0,"P",""))))</f>
        <v/>
      </c>
      <c r="C89" s="23" t="str">
        <f>IF(A89="","",IF(IF(OR(DATE($B$3,3,2)&gt;EOMONTH(DATE($B$3,3,1),0),NETWORKDAYS.INTL(DATE($B$3,3,2),DATE($B$3,3,2),1,'Non-working days'!$A$6:$A$45)=0),"",IF(COUNTIFS('Leave log'!$A$7:$A$306,Employees!$A$20,'Leave log'!$B$7:$B$306,"&lt;="&amp;DATE($B$3,3,2),'Leave log'!$C$7:$C$306,"&gt;="&amp;DATE($B$3,3,2),'Leave log'!$F$7:$F$306,"Approved")&gt;0,"A",""))="A","A",IF(OR(DATE($B$3,3,2)&gt;EOMONTH(DATE($B$3,3,1),0),NETWORKDAYS.INTL(DATE($B$3,3,2),DATE($B$3,3,2),1,'Non-working days'!$A$6:$A$45)=0),"",IF(COUNTIFS('Leave log'!$A$7:$A$306,Employees!$A$20,'Leave log'!$B$7:$B$306,"&lt;="&amp;DATE($B$3,3,2),'Leave log'!$C$7:$C$306,"&gt;="&amp;DATE($B$3,3,2),'Leave log'!$F$7:$F$306,"Pending")&gt;0,"P",""))))</f>
        <v/>
      </c>
      <c r="D89" s="23" t="str">
        <f>IF(A89="","",IF(IF(OR(DATE($B$3,3,3)&gt;EOMONTH(DATE($B$3,3,1),0),NETWORKDAYS.INTL(DATE($B$3,3,3),DATE($B$3,3,3),1,'Non-working days'!$A$6:$A$45)=0),"",IF(COUNTIFS('Leave log'!$A$7:$A$306,Employees!$A$20,'Leave log'!$B$7:$B$306,"&lt;="&amp;DATE($B$3,3,3),'Leave log'!$C$7:$C$306,"&gt;="&amp;DATE($B$3,3,3),'Leave log'!$F$7:$F$306,"Approved")&gt;0,"A",""))="A","A",IF(OR(DATE($B$3,3,3)&gt;EOMONTH(DATE($B$3,3,1),0),NETWORKDAYS.INTL(DATE($B$3,3,3),DATE($B$3,3,3),1,'Non-working days'!$A$6:$A$45)=0),"",IF(COUNTIFS('Leave log'!$A$7:$A$306,Employees!$A$20,'Leave log'!$B$7:$B$306,"&lt;="&amp;DATE($B$3,3,3),'Leave log'!$C$7:$C$306,"&gt;="&amp;DATE($B$3,3,3),'Leave log'!$F$7:$F$306,"Pending")&gt;0,"P",""))))</f>
        <v/>
      </c>
      <c r="E89" s="23" t="str">
        <f>IF(A89="","",IF(IF(OR(DATE($B$3,3,4)&gt;EOMONTH(DATE($B$3,3,1),0),NETWORKDAYS.INTL(DATE($B$3,3,4),DATE($B$3,3,4),1,'Non-working days'!$A$6:$A$45)=0),"",IF(COUNTIFS('Leave log'!$A$7:$A$306,Employees!$A$20,'Leave log'!$B$7:$B$306,"&lt;="&amp;DATE($B$3,3,4),'Leave log'!$C$7:$C$306,"&gt;="&amp;DATE($B$3,3,4),'Leave log'!$F$7:$F$306,"Approved")&gt;0,"A",""))="A","A",IF(OR(DATE($B$3,3,4)&gt;EOMONTH(DATE($B$3,3,1),0),NETWORKDAYS.INTL(DATE($B$3,3,4),DATE($B$3,3,4),1,'Non-working days'!$A$6:$A$45)=0),"",IF(COUNTIFS('Leave log'!$A$7:$A$306,Employees!$A$20,'Leave log'!$B$7:$B$306,"&lt;="&amp;DATE($B$3,3,4),'Leave log'!$C$7:$C$306,"&gt;="&amp;DATE($B$3,3,4),'Leave log'!$F$7:$F$306,"Pending")&gt;0,"P",""))))</f>
        <v/>
      </c>
      <c r="F89" s="23" t="str">
        <f>IF(A89="","",IF(IF(OR(DATE($B$3,3,5)&gt;EOMONTH(DATE($B$3,3,1),0),NETWORKDAYS.INTL(DATE($B$3,3,5),DATE($B$3,3,5),1,'Non-working days'!$A$6:$A$45)=0),"",IF(COUNTIFS('Leave log'!$A$7:$A$306,Employees!$A$20,'Leave log'!$B$7:$B$306,"&lt;="&amp;DATE($B$3,3,5),'Leave log'!$C$7:$C$306,"&gt;="&amp;DATE($B$3,3,5),'Leave log'!$F$7:$F$306,"Approved")&gt;0,"A",""))="A","A",IF(OR(DATE($B$3,3,5)&gt;EOMONTH(DATE($B$3,3,1),0),NETWORKDAYS.INTL(DATE($B$3,3,5),DATE($B$3,3,5),1,'Non-working days'!$A$6:$A$45)=0),"",IF(COUNTIFS('Leave log'!$A$7:$A$306,Employees!$A$20,'Leave log'!$B$7:$B$306,"&lt;="&amp;DATE($B$3,3,5),'Leave log'!$C$7:$C$306,"&gt;="&amp;DATE($B$3,3,5),'Leave log'!$F$7:$F$306,"Pending")&gt;0,"P",""))))</f>
        <v/>
      </c>
      <c r="G89" s="23" t="str">
        <f>IF(A89="","",IF(IF(OR(DATE($B$3,3,6)&gt;EOMONTH(DATE($B$3,3,1),0),NETWORKDAYS.INTL(DATE($B$3,3,6),DATE($B$3,3,6),1,'Non-working days'!$A$6:$A$45)=0),"",IF(COUNTIFS('Leave log'!$A$7:$A$306,Employees!$A$20,'Leave log'!$B$7:$B$306,"&lt;="&amp;DATE($B$3,3,6),'Leave log'!$C$7:$C$306,"&gt;="&amp;DATE($B$3,3,6),'Leave log'!$F$7:$F$306,"Approved")&gt;0,"A",""))="A","A",IF(OR(DATE($B$3,3,6)&gt;EOMONTH(DATE($B$3,3,1),0),NETWORKDAYS.INTL(DATE($B$3,3,6),DATE($B$3,3,6),1,'Non-working days'!$A$6:$A$45)=0),"",IF(COUNTIFS('Leave log'!$A$7:$A$306,Employees!$A$20,'Leave log'!$B$7:$B$306,"&lt;="&amp;DATE($B$3,3,6),'Leave log'!$C$7:$C$306,"&gt;="&amp;DATE($B$3,3,6),'Leave log'!$F$7:$F$306,"Pending")&gt;0,"P",""))))</f>
        <v/>
      </c>
      <c r="H89" s="23" t="str">
        <f>IF(A89="","",IF(IF(OR(DATE($B$3,3,7)&gt;EOMONTH(DATE($B$3,3,1),0),NETWORKDAYS.INTL(DATE($B$3,3,7),DATE($B$3,3,7),1,'Non-working days'!$A$6:$A$45)=0),"",IF(COUNTIFS('Leave log'!$A$7:$A$306,Employees!$A$20,'Leave log'!$B$7:$B$306,"&lt;="&amp;DATE($B$3,3,7),'Leave log'!$C$7:$C$306,"&gt;="&amp;DATE($B$3,3,7),'Leave log'!$F$7:$F$306,"Approved")&gt;0,"A",""))="A","A",IF(OR(DATE($B$3,3,7)&gt;EOMONTH(DATE($B$3,3,1),0),NETWORKDAYS.INTL(DATE($B$3,3,7),DATE($B$3,3,7),1,'Non-working days'!$A$6:$A$45)=0),"",IF(COUNTIFS('Leave log'!$A$7:$A$306,Employees!$A$20,'Leave log'!$B$7:$B$306,"&lt;="&amp;DATE($B$3,3,7),'Leave log'!$C$7:$C$306,"&gt;="&amp;DATE($B$3,3,7),'Leave log'!$F$7:$F$306,"Pending")&gt;0,"P",""))))</f>
        <v/>
      </c>
      <c r="I89" s="23" t="str">
        <f>IF(A89="","",IF(IF(OR(DATE($B$3,3,8)&gt;EOMONTH(DATE($B$3,3,1),0),NETWORKDAYS.INTL(DATE($B$3,3,8),DATE($B$3,3,8),1,'Non-working days'!$A$6:$A$45)=0),"",IF(COUNTIFS('Leave log'!$A$7:$A$306,Employees!$A$20,'Leave log'!$B$7:$B$306,"&lt;="&amp;DATE($B$3,3,8),'Leave log'!$C$7:$C$306,"&gt;="&amp;DATE($B$3,3,8),'Leave log'!$F$7:$F$306,"Approved")&gt;0,"A",""))="A","A",IF(OR(DATE($B$3,3,8)&gt;EOMONTH(DATE($B$3,3,1),0),NETWORKDAYS.INTL(DATE($B$3,3,8),DATE($B$3,3,8),1,'Non-working days'!$A$6:$A$45)=0),"",IF(COUNTIFS('Leave log'!$A$7:$A$306,Employees!$A$20,'Leave log'!$B$7:$B$306,"&lt;="&amp;DATE($B$3,3,8),'Leave log'!$C$7:$C$306,"&gt;="&amp;DATE($B$3,3,8),'Leave log'!$F$7:$F$306,"Pending")&gt;0,"P",""))))</f>
        <v/>
      </c>
      <c r="J89" s="23" t="str">
        <f>IF(A89="","",IF(IF(OR(DATE($B$3,3,9)&gt;EOMONTH(DATE($B$3,3,1),0),NETWORKDAYS.INTL(DATE($B$3,3,9),DATE($B$3,3,9),1,'Non-working days'!$A$6:$A$45)=0),"",IF(COUNTIFS('Leave log'!$A$7:$A$306,Employees!$A$20,'Leave log'!$B$7:$B$306,"&lt;="&amp;DATE($B$3,3,9),'Leave log'!$C$7:$C$306,"&gt;="&amp;DATE($B$3,3,9),'Leave log'!$F$7:$F$306,"Approved")&gt;0,"A",""))="A","A",IF(OR(DATE($B$3,3,9)&gt;EOMONTH(DATE($B$3,3,1),0),NETWORKDAYS.INTL(DATE($B$3,3,9),DATE($B$3,3,9),1,'Non-working days'!$A$6:$A$45)=0),"",IF(COUNTIFS('Leave log'!$A$7:$A$306,Employees!$A$20,'Leave log'!$B$7:$B$306,"&lt;="&amp;DATE($B$3,3,9),'Leave log'!$C$7:$C$306,"&gt;="&amp;DATE($B$3,3,9),'Leave log'!$F$7:$F$306,"Pending")&gt;0,"P",""))))</f>
        <v/>
      </c>
      <c r="K89" s="23" t="str">
        <f>IF(A89="","",IF(IF(OR(DATE($B$3,3,10)&gt;EOMONTH(DATE($B$3,3,1),0),NETWORKDAYS.INTL(DATE($B$3,3,10),DATE($B$3,3,10),1,'Non-working days'!$A$6:$A$45)=0),"",IF(COUNTIFS('Leave log'!$A$7:$A$306,Employees!$A$20,'Leave log'!$B$7:$B$306,"&lt;="&amp;DATE($B$3,3,10),'Leave log'!$C$7:$C$306,"&gt;="&amp;DATE($B$3,3,10),'Leave log'!$F$7:$F$306,"Approved")&gt;0,"A",""))="A","A",IF(OR(DATE($B$3,3,10)&gt;EOMONTH(DATE($B$3,3,1),0),NETWORKDAYS.INTL(DATE($B$3,3,10),DATE($B$3,3,10),1,'Non-working days'!$A$6:$A$45)=0),"",IF(COUNTIFS('Leave log'!$A$7:$A$306,Employees!$A$20,'Leave log'!$B$7:$B$306,"&lt;="&amp;DATE($B$3,3,10),'Leave log'!$C$7:$C$306,"&gt;="&amp;DATE($B$3,3,10),'Leave log'!$F$7:$F$306,"Pending")&gt;0,"P",""))))</f>
        <v/>
      </c>
      <c r="L89" s="23" t="str">
        <f>IF(A89="","",IF(IF(OR(DATE($B$3,3,11)&gt;EOMONTH(DATE($B$3,3,1),0),NETWORKDAYS.INTL(DATE($B$3,3,11),DATE($B$3,3,11),1,'Non-working days'!$A$6:$A$45)=0),"",IF(COUNTIFS('Leave log'!$A$7:$A$306,Employees!$A$20,'Leave log'!$B$7:$B$306,"&lt;="&amp;DATE($B$3,3,11),'Leave log'!$C$7:$C$306,"&gt;="&amp;DATE($B$3,3,11),'Leave log'!$F$7:$F$306,"Approved")&gt;0,"A",""))="A","A",IF(OR(DATE($B$3,3,11)&gt;EOMONTH(DATE($B$3,3,1),0),NETWORKDAYS.INTL(DATE($B$3,3,11),DATE($B$3,3,11),1,'Non-working days'!$A$6:$A$45)=0),"",IF(COUNTIFS('Leave log'!$A$7:$A$306,Employees!$A$20,'Leave log'!$B$7:$B$306,"&lt;="&amp;DATE($B$3,3,11),'Leave log'!$C$7:$C$306,"&gt;="&amp;DATE($B$3,3,11),'Leave log'!$F$7:$F$306,"Pending")&gt;0,"P",""))))</f>
        <v/>
      </c>
      <c r="M89" s="23" t="str">
        <f>IF(A89="","",IF(IF(OR(DATE($B$3,3,12)&gt;EOMONTH(DATE($B$3,3,1),0),NETWORKDAYS.INTL(DATE($B$3,3,12),DATE($B$3,3,12),1,'Non-working days'!$A$6:$A$45)=0),"",IF(COUNTIFS('Leave log'!$A$7:$A$306,Employees!$A$20,'Leave log'!$B$7:$B$306,"&lt;="&amp;DATE($B$3,3,12),'Leave log'!$C$7:$C$306,"&gt;="&amp;DATE($B$3,3,12),'Leave log'!$F$7:$F$306,"Approved")&gt;0,"A",""))="A","A",IF(OR(DATE($B$3,3,12)&gt;EOMONTH(DATE($B$3,3,1),0),NETWORKDAYS.INTL(DATE($B$3,3,12),DATE($B$3,3,12),1,'Non-working days'!$A$6:$A$45)=0),"",IF(COUNTIFS('Leave log'!$A$7:$A$306,Employees!$A$20,'Leave log'!$B$7:$B$306,"&lt;="&amp;DATE($B$3,3,12),'Leave log'!$C$7:$C$306,"&gt;="&amp;DATE($B$3,3,12),'Leave log'!$F$7:$F$306,"Pending")&gt;0,"P",""))))</f>
        <v/>
      </c>
      <c r="N89" s="23" t="str">
        <f>IF(A89="","",IF(IF(OR(DATE($B$3,3,13)&gt;EOMONTH(DATE($B$3,3,1),0),NETWORKDAYS.INTL(DATE($B$3,3,13),DATE($B$3,3,13),1,'Non-working days'!$A$6:$A$45)=0),"",IF(COUNTIFS('Leave log'!$A$7:$A$306,Employees!$A$20,'Leave log'!$B$7:$B$306,"&lt;="&amp;DATE($B$3,3,13),'Leave log'!$C$7:$C$306,"&gt;="&amp;DATE($B$3,3,13),'Leave log'!$F$7:$F$306,"Approved")&gt;0,"A",""))="A","A",IF(OR(DATE($B$3,3,13)&gt;EOMONTH(DATE($B$3,3,1),0),NETWORKDAYS.INTL(DATE($B$3,3,13),DATE($B$3,3,13),1,'Non-working days'!$A$6:$A$45)=0),"",IF(COUNTIFS('Leave log'!$A$7:$A$306,Employees!$A$20,'Leave log'!$B$7:$B$306,"&lt;="&amp;DATE($B$3,3,13),'Leave log'!$C$7:$C$306,"&gt;="&amp;DATE($B$3,3,13),'Leave log'!$F$7:$F$306,"Pending")&gt;0,"P",""))))</f>
        <v/>
      </c>
      <c r="O89" s="23" t="str">
        <f>IF(A89="","",IF(IF(OR(DATE($B$3,3,14)&gt;EOMONTH(DATE($B$3,3,1),0),NETWORKDAYS.INTL(DATE($B$3,3,14),DATE($B$3,3,14),1,'Non-working days'!$A$6:$A$45)=0),"",IF(COUNTIFS('Leave log'!$A$7:$A$306,Employees!$A$20,'Leave log'!$B$7:$B$306,"&lt;="&amp;DATE($B$3,3,14),'Leave log'!$C$7:$C$306,"&gt;="&amp;DATE($B$3,3,14),'Leave log'!$F$7:$F$306,"Approved")&gt;0,"A",""))="A","A",IF(OR(DATE($B$3,3,14)&gt;EOMONTH(DATE($B$3,3,1),0),NETWORKDAYS.INTL(DATE($B$3,3,14),DATE($B$3,3,14),1,'Non-working days'!$A$6:$A$45)=0),"",IF(COUNTIFS('Leave log'!$A$7:$A$306,Employees!$A$20,'Leave log'!$B$7:$B$306,"&lt;="&amp;DATE($B$3,3,14),'Leave log'!$C$7:$C$306,"&gt;="&amp;DATE($B$3,3,14),'Leave log'!$F$7:$F$306,"Pending")&gt;0,"P",""))))</f>
        <v/>
      </c>
      <c r="P89" s="23" t="str">
        <f>IF(A89="","",IF(IF(OR(DATE($B$3,3,15)&gt;EOMONTH(DATE($B$3,3,1),0),NETWORKDAYS.INTL(DATE($B$3,3,15),DATE($B$3,3,15),1,'Non-working days'!$A$6:$A$45)=0),"",IF(COUNTIFS('Leave log'!$A$7:$A$306,Employees!$A$20,'Leave log'!$B$7:$B$306,"&lt;="&amp;DATE($B$3,3,15),'Leave log'!$C$7:$C$306,"&gt;="&amp;DATE($B$3,3,15),'Leave log'!$F$7:$F$306,"Approved")&gt;0,"A",""))="A","A",IF(OR(DATE($B$3,3,15)&gt;EOMONTH(DATE($B$3,3,1),0),NETWORKDAYS.INTL(DATE($B$3,3,15),DATE($B$3,3,15),1,'Non-working days'!$A$6:$A$45)=0),"",IF(COUNTIFS('Leave log'!$A$7:$A$306,Employees!$A$20,'Leave log'!$B$7:$B$306,"&lt;="&amp;DATE($B$3,3,15),'Leave log'!$C$7:$C$306,"&gt;="&amp;DATE($B$3,3,15),'Leave log'!$F$7:$F$306,"Pending")&gt;0,"P",""))))</f>
        <v/>
      </c>
      <c r="Q89" s="23" t="str">
        <f>IF(A89="","",IF(IF(OR(DATE($B$3,3,16)&gt;EOMONTH(DATE($B$3,3,1),0),NETWORKDAYS.INTL(DATE($B$3,3,16),DATE($B$3,3,16),1,'Non-working days'!$A$6:$A$45)=0),"",IF(COUNTIFS('Leave log'!$A$7:$A$306,Employees!$A$20,'Leave log'!$B$7:$B$306,"&lt;="&amp;DATE($B$3,3,16),'Leave log'!$C$7:$C$306,"&gt;="&amp;DATE($B$3,3,16),'Leave log'!$F$7:$F$306,"Approved")&gt;0,"A",""))="A","A",IF(OR(DATE($B$3,3,16)&gt;EOMONTH(DATE($B$3,3,1),0),NETWORKDAYS.INTL(DATE($B$3,3,16),DATE($B$3,3,16),1,'Non-working days'!$A$6:$A$45)=0),"",IF(COUNTIFS('Leave log'!$A$7:$A$306,Employees!$A$20,'Leave log'!$B$7:$B$306,"&lt;="&amp;DATE($B$3,3,16),'Leave log'!$C$7:$C$306,"&gt;="&amp;DATE($B$3,3,16),'Leave log'!$F$7:$F$306,"Pending")&gt;0,"P",""))))</f>
        <v/>
      </c>
      <c r="R89" s="23" t="str">
        <f>IF(A89="","",IF(IF(OR(DATE($B$3,3,17)&gt;EOMONTH(DATE($B$3,3,1),0),NETWORKDAYS.INTL(DATE($B$3,3,17),DATE($B$3,3,17),1,'Non-working days'!$A$6:$A$45)=0),"",IF(COUNTIFS('Leave log'!$A$7:$A$306,Employees!$A$20,'Leave log'!$B$7:$B$306,"&lt;="&amp;DATE($B$3,3,17),'Leave log'!$C$7:$C$306,"&gt;="&amp;DATE($B$3,3,17),'Leave log'!$F$7:$F$306,"Approved")&gt;0,"A",""))="A","A",IF(OR(DATE($B$3,3,17)&gt;EOMONTH(DATE($B$3,3,1),0),NETWORKDAYS.INTL(DATE($B$3,3,17),DATE($B$3,3,17),1,'Non-working days'!$A$6:$A$45)=0),"",IF(COUNTIFS('Leave log'!$A$7:$A$306,Employees!$A$20,'Leave log'!$B$7:$B$306,"&lt;="&amp;DATE($B$3,3,17),'Leave log'!$C$7:$C$306,"&gt;="&amp;DATE($B$3,3,17),'Leave log'!$F$7:$F$306,"Pending")&gt;0,"P",""))))</f>
        <v/>
      </c>
      <c r="S89" s="23" t="str">
        <f>IF(A89="","",IF(IF(OR(DATE($B$3,3,18)&gt;EOMONTH(DATE($B$3,3,1),0),NETWORKDAYS.INTL(DATE($B$3,3,18),DATE($B$3,3,18),1,'Non-working days'!$A$6:$A$45)=0),"",IF(COUNTIFS('Leave log'!$A$7:$A$306,Employees!$A$20,'Leave log'!$B$7:$B$306,"&lt;="&amp;DATE($B$3,3,18),'Leave log'!$C$7:$C$306,"&gt;="&amp;DATE($B$3,3,18),'Leave log'!$F$7:$F$306,"Approved")&gt;0,"A",""))="A","A",IF(OR(DATE($B$3,3,18)&gt;EOMONTH(DATE($B$3,3,1),0),NETWORKDAYS.INTL(DATE($B$3,3,18),DATE($B$3,3,18),1,'Non-working days'!$A$6:$A$45)=0),"",IF(COUNTIFS('Leave log'!$A$7:$A$306,Employees!$A$20,'Leave log'!$B$7:$B$306,"&lt;="&amp;DATE($B$3,3,18),'Leave log'!$C$7:$C$306,"&gt;="&amp;DATE($B$3,3,18),'Leave log'!$F$7:$F$306,"Pending")&gt;0,"P",""))))</f>
        <v/>
      </c>
      <c r="T89" s="23" t="str">
        <f>IF(A89="","",IF(IF(OR(DATE($B$3,3,19)&gt;EOMONTH(DATE($B$3,3,1),0),NETWORKDAYS.INTL(DATE($B$3,3,19),DATE($B$3,3,19),1,'Non-working days'!$A$6:$A$45)=0),"",IF(COUNTIFS('Leave log'!$A$7:$A$306,Employees!$A$20,'Leave log'!$B$7:$B$306,"&lt;="&amp;DATE($B$3,3,19),'Leave log'!$C$7:$C$306,"&gt;="&amp;DATE($B$3,3,19),'Leave log'!$F$7:$F$306,"Approved")&gt;0,"A",""))="A","A",IF(OR(DATE($B$3,3,19)&gt;EOMONTH(DATE($B$3,3,1),0),NETWORKDAYS.INTL(DATE($B$3,3,19),DATE($B$3,3,19),1,'Non-working days'!$A$6:$A$45)=0),"",IF(COUNTIFS('Leave log'!$A$7:$A$306,Employees!$A$20,'Leave log'!$B$7:$B$306,"&lt;="&amp;DATE($B$3,3,19),'Leave log'!$C$7:$C$306,"&gt;="&amp;DATE($B$3,3,19),'Leave log'!$F$7:$F$306,"Pending")&gt;0,"P",""))))</f>
        <v/>
      </c>
      <c r="U89" s="23" t="str">
        <f>IF(A89="","",IF(IF(OR(DATE($B$3,3,20)&gt;EOMONTH(DATE($B$3,3,1),0),NETWORKDAYS.INTL(DATE($B$3,3,20),DATE($B$3,3,20),1,'Non-working days'!$A$6:$A$45)=0),"",IF(COUNTIFS('Leave log'!$A$7:$A$306,Employees!$A$20,'Leave log'!$B$7:$B$306,"&lt;="&amp;DATE($B$3,3,20),'Leave log'!$C$7:$C$306,"&gt;="&amp;DATE($B$3,3,20),'Leave log'!$F$7:$F$306,"Approved")&gt;0,"A",""))="A","A",IF(OR(DATE($B$3,3,20)&gt;EOMONTH(DATE($B$3,3,1),0),NETWORKDAYS.INTL(DATE($B$3,3,20),DATE($B$3,3,20),1,'Non-working days'!$A$6:$A$45)=0),"",IF(COUNTIFS('Leave log'!$A$7:$A$306,Employees!$A$20,'Leave log'!$B$7:$B$306,"&lt;="&amp;DATE($B$3,3,20),'Leave log'!$C$7:$C$306,"&gt;="&amp;DATE($B$3,3,20),'Leave log'!$F$7:$F$306,"Pending")&gt;0,"P",""))))</f>
        <v/>
      </c>
      <c r="V89" s="23" t="str">
        <f>IF(A89="","",IF(IF(OR(DATE($B$3,3,21)&gt;EOMONTH(DATE($B$3,3,1),0),NETWORKDAYS.INTL(DATE($B$3,3,21),DATE($B$3,3,21),1,'Non-working days'!$A$6:$A$45)=0),"",IF(COUNTIFS('Leave log'!$A$7:$A$306,Employees!$A$20,'Leave log'!$B$7:$B$306,"&lt;="&amp;DATE($B$3,3,21),'Leave log'!$C$7:$C$306,"&gt;="&amp;DATE($B$3,3,21),'Leave log'!$F$7:$F$306,"Approved")&gt;0,"A",""))="A","A",IF(OR(DATE($B$3,3,21)&gt;EOMONTH(DATE($B$3,3,1),0),NETWORKDAYS.INTL(DATE($B$3,3,21),DATE($B$3,3,21),1,'Non-working days'!$A$6:$A$45)=0),"",IF(COUNTIFS('Leave log'!$A$7:$A$306,Employees!$A$20,'Leave log'!$B$7:$B$306,"&lt;="&amp;DATE($B$3,3,21),'Leave log'!$C$7:$C$306,"&gt;="&amp;DATE($B$3,3,21),'Leave log'!$F$7:$F$306,"Pending")&gt;0,"P",""))))</f>
        <v/>
      </c>
      <c r="W89" s="23" t="str">
        <f>IF(A89="","",IF(IF(OR(DATE($B$3,3,22)&gt;EOMONTH(DATE($B$3,3,1),0),NETWORKDAYS.INTL(DATE($B$3,3,22),DATE($B$3,3,22),1,'Non-working days'!$A$6:$A$45)=0),"",IF(COUNTIFS('Leave log'!$A$7:$A$306,Employees!$A$20,'Leave log'!$B$7:$B$306,"&lt;="&amp;DATE($B$3,3,22),'Leave log'!$C$7:$C$306,"&gt;="&amp;DATE($B$3,3,22),'Leave log'!$F$7:$F$306,"Approved")&gt;0,"A",""))="A","A",IF(OR(DATE($B$3,3,22)&gt;EOMONTH(DATE($B$3,3,1),0),NETWORKDAYS.INTL(DATE($B$3,3,22),DATE($B$3,3,22),1,'Non-working days'!$A$6:$A$45)=0),"",IF(COUNTIFS('Leave log'!$A$7:$A$306,Employees!$A$20,'Leave log'!$B$7:$B$306,"&lt;="&amp;DATE($B$3,3,22),'Leave log'!$C$7:$C$306,"&gt;="&amp;DATE($B$3,3,22),'Leave log'!$F$7:$F$306,"Pending")&gt;0,"P",""))))</f>
        <v/>
      </c>
      <c r="X89" s="23" t="str">
        <f>IF(A89="","",IF(IF(OR(DATE($B$3,3,23)&gt;EOMONTH(DATE($B$3,3,1),0),NETWORKDAYS.INTL(DATE($B$3,3,23),DATE($B$3,3,23),1,'Non-working days'!$A$6:$A$45)=0),"",IF(COUNTIFS('Leave log'!$A$7:$A$306,Employees!$A$20,'Leave log'!$B$7:$B$306,"&lt;="&amp;DATE($B$3,3,23),'Leave log'!$C$7:$C$306,"&gt;="&amp;DATE($B$3,3,23),'Leave log'!$F$7:$F$306,"Approved")&gt;0,"A",""))="A","A",IF(OR(DATE($B$3,3,23)&gt;EOMONTH(DATE($B$3,3,1),0),NETWORKDAYS.INTL(DATE($B$3,3,23),DATE($B$3,3,23),1,'Non-working days'!$A$6:$A$45)=0),"",IF(COUNTIFS('Leave log'!$A$7:$A$306,Employees!$A$20,'Leave log'!$B$7:$B$306,"&lt;="&amp;DATE($B$3,3,23),'Leave log'!$C$7:$C$306,"&gt;="&amp;DATE($B$3,3,23),'Leave log'!$F$7:$F$306,"Pending")&gt;0,"P",""))))</f>
        <v/>
      </c>
      <c r="Y89" s="23" t="str">
        <f>IF(A89="","",IF(IF(OR(DATE($B$3,3,24)&gt;EOMONTH(DATE($B$3,3,1),0),NETWORKDAYS.INTL(DATE($B$3,3,24),DATE($B$3,3,24),1,'Non-working days'!$A$6:$A$45)=0),"",IF(COUNTIFS('Leave log'!$A$7:$A$306,Employees!$A$20,'Leave log'!$B$7:$B$306,"&lt;="&amp;DATE($B$3,3,24),'Leave log'!$C$7:$C$306,"&gt;="&amp;DATE($B$3,3,24),'Leave log'!$F$7:$F$306,"Approved")&gt;0,"A",""))="A","A",IF(OR(DATE($B$3,3,24)&gt;EOMONTH(DATE($B$3,3,1),0),NETWORKDAYS.INTL(DATE($B$3,3,24),DATE($B$3,3,24),1,'Non-working days'!$A$6:$A$45)=0),"",IF(COUNTIFS('Leave log'!$A$7:$A$306,Employees!$A$20,'Leave log'!$B$7:$B$306,"&lt;="&amp;DATE($B$3,3,24),'Leave log'!$C$7:$C$306,"&gt;="&amp;DATE($B$3,3,24),'Leave log'!$F$7:$F$306,"Pending")&gt;0,"P",""))))</f>
        <v/>
      </c>
      <c r="Z89" s="23" t="str">
        <f>IF(A89="","",IF(IF(OR(DATE($B$3,3,25)&gt;EOMONTH(DATE($B$3,3,1),0),NETWORKDAYS.INTL(DATE($B$3,3,25),DATE($B$3,3,25),1,'Non-working days'!$A$6:$A$45)=0),"",IF(COUNTIFS('Leave log'!$A$7:$A$306,Employees!$A$20,'Leave log'!$B$7:$B$306,"&lt;="&amp;DATE($B$3,3,25),'Leave log'!$C$7:$C$306,"&gt;="&amp;DATE($B$3,3,25),'Leave log'!$F$7:$F$306,"Approved")&gt;0,"A",""))="A","A",IF(OR(DATE($B$3,3,25)&gt;EOMONTH(DATE($B$3,3,1),0),NETWORKDAYS.INTL(DATE($B$3,3,25),DATE($B$3,3,25),1,'Non-working days'!$A$6:$A$45)=0),"",IF(COUNTIFS('Leave log'!$A$7:$A$306,Employees!$A$20,'Leave log'!$B$7:$B$306,"&lt;="&amp;DATE($B$3,3,25),'Leave log'!$C$7:$C$306,"&gt;="&amp;DATE($B$3,3,25),'Leave log'!$F$7:$F$306,"Pending")&gt;0,"P",""))))</f>
        <v/>
      </c>
      <c r="AA89" s="23" t="str">
        <f>IF(A89="","",IF(IF(OR(DATE($B$3,3,26)&gt;EOMONTH(DATE($B$3,3,1),0),NETWORKDAYS.INTL(DATE($B$3,3,26),DATE($B$3,3,26),1,'Non-working days'!$A$6:$A$45)=0),"",IF(COUNTIFS('Leave log'!$A$7:$A$306,Employees!$A$20,'Leave log'!$B$7:$B$306,"&lt;="&amp;DATE($B$3,3,26),'Leave log'!$C$7:$C$306,"&gt;="&amp;DATE($B$3,3,26),'Leave log'!$F$7:$F$306,"Approved")&gt;0,"A",""))="A","A",IF(OR(DATE($B$3,3,26)&gt;EOMONTH(DATE($B$3,3,1),0),NETWORKDAYS.INTL(DATE($B$3,3,26),DATE($B$3,3,26),1,'Non-working days'!$A$6:$A$45)=0),"",IF(COUNTIFS('Leave log'!$A$7:$A$306,Employees!$A$20,'Leave log'!$B$7:$B$306,"&lt;="&amp;DATE($B$3,3,26),'Leave log'!$C$7:$C$306,"&gt;="&amp;DATE($B$3,3,26),'Leave log'!$F$7:$F$306,"Pending")&gt;0,"P",""))))</f>
        <v/>
      </c>
      <c r="AB89" s="23" t="str">
        <f>IF(A89="","",IF(IF(OR(DATE($B$3,3,27)&gt;EOMONTH(DATE($B$3,3,1),0),NETWORKDAYS.INTL(DATE($B$3,3,27),DATE($B$3,3,27),1,'Non-working days'!$A$6:$A$45)=0),"",IF(COUNTIFS('Leave log'!$A$7:$A$306,Employees!$A$20,'Leave log'!$B$7:$B$306,"&lt;="&amp;DATE($B$3,3,27),'Leave log'!$C$7:$C$306,"&gt;="&amp;DATE($B$3,3,27),'Leave log'!$F$7:$F$306,"Approved")&gt;0,"A",""))="A","A",IF(OR(DATE($B$3,3,27)&gt;EOMONTH(DATE($B$3,3,1),0),NETWORKDAYS.INTL(DATE($B$3,3,27),DATE($B$3,3,27),1,'Non-working days'!$A$6:$A$45)=0),"",IF(COUNTIFS('Leave log'!$A$7:$A$306,Employees!$A$20,'Leave log'!$B$7:$B$306,"&lt;="&amp;DATE($B$3,3,27),'Leave log'!$C$7:$C$306,"&gt;="&amp;DATE($B$3,3,27),'Leave log'!$F$7:$F$306,"Pending")&gt;0,"P",""))))</f>
        <v/>
      </c>
      <c r="AC89" s="23" t="str">
        <f>IF(A89="","",IF(IF(OR(DATE($B$3,3,28)&gt;EOMONTH(DATE($B$3,3,1),0),NETWORKDAYS.INTL(DATE($B$3,3,28),DATE($B$3,3,28),1,'Non-working days'!$A$6:$A$45)=0),"",IF(COUNTIFS('Leave log'!$A$7:$A$306,Employees!$A$20,'Leave log'!$B$7:$B$306,"&lt;="&amp;DATE($B$3,3,28),'Leave log'!$C$7:$C$306,"&gt;="&amp;DATE($B$3,3,28),'Leave log'!$F$7:$F$306,"Approved")&gt;0,"A",""))="A","A",IF(OR(DATE($B$3,3,28)&gt;EOMONTH(DATE($B$3,3,1),0),NETWORKDAYS.INTL(DATE($B$3,3,28),DATE($B$3,3,28),1,'Non-working days'!$A$6:$A$45)=0),"",IF(COUNTIFS('Leave log'!$A$7:$A$306,Employees!$A$20,'Leave log'!$B$7:$B$306,"&lt;="&amp;DATE($B$3,3,28),'Leave log'!$C$7:$C$306,"&gt;="&amp;DATE($B$3,3,28),'Leave log'!$F$7:$F$306,"Pending")&gt;0,"P",""))))</f>
        <v/>
      </c>
      <c r="AD89" s="23" t="str">
        <f>IF(A89="","",IF(IF(OR(DATE($B$3,3,29)&gt;EOMONTH(DATE($B$3,3,1),0),NETWORKDAYS.INTL(DATE($B$3,3,29),DATE($B$3,3,29),1,'Non-working days'!$A$6:$A$45)=0),"",IF(COUNTIFS('Leave log'!$A$7:$A$306,Employees!$A$20,'Leave log'!$B$7:$B$306,"&lt;="&amp;DATE($B$3,3,29),'Leave log'!$C$7:$C$306,"&gt;="&amp;DATE($B$3,3,29),'Leave log'!$F$7:$F$306,"Approved")&gt;0,"A",""))="A","A",IF(OR(DATE($B$3,3,29)&gt;EOMONTH(DATE($B$3,3,1),0),NETWORKDAYS.INTL(DATE($B$3,3,29),DATE($B$3,3,29),1,'Non-working days'!$A$6:$A$45)=0),"",IF(COUNTIFS('Leave log'!$A$7:$A$306,Employees!$A$20,'Leave log'!$B$7:$B$306,"&lt;="&amp;DATE($B$3,3,29),'Leave log'!$C$7:$C$306,"&gt;="&amp;DATE($B$3,3,29),'Leave log'!$F$7:$F$306,"Pending")&gt;0,"P",""))))</f>
        <v/>
      </c>
      <c r="AE89" s="23" t="str">
        <f>IF(A89="","",IF(IF(OR(DATE($B$3,3,30)&gt;EOMONTH(DATE($B$3,3,1),0),NETWORKDAYS.INTL(DATE($B$3,3,30),DATE($B$3,3,30),1,'Non-working days'!$A$6:$A$45)=0),"",IF(COUNTIFS('Leave log'!$A$7:$A$306,Employees!$A$20,'Leave log'!$B$7:$B$306,"&lt;="&amp;DATE($B$3,3,30),'Leave log'!$C$7:$C$306,"&gt;="&amp;DATE($B$3,3,30),'Leave log'!$F$7:$F$306,"Approved")&gt;0,"A",""))="A","A",IF(OR(DATE($B$3,3,30)&gt;EOMONTH(DATE($B$3,3,1),0),NETWORKDAYS.INTL(DATE($B$3,3,30),DATE($B$3,3,30),1,'Non-working days'!$A$6:$A$45)=0),"",IF(COUNTIFS('Leave log'!$A$7:$A$306,Employees!$A$20,'Leave log'!$B$7:$B$306,"&lt;="&amp;DATE($B$3,3,30),'Leave log'!$C$7:$C$306,"&gt;="&amp;DATE($B$3,3,30),'Leave log'!$F$7:$F$306,"Pending")&gt;0,"P",""))))</f>
        <v/>
      </c>
      <c r="AF89" s="23" t="str">
        <f>IF(A89="","",IF(IF(OR(DATE($B$3,3,31)&gt;EOMONTH(DATE($B$3,3,1),0),NETWORKDAYS.INTL(DATE($B$3,3,31),DATE($B$3,3,31),1,'Non-working days'!$A$6:$A$45)=0),"",IF(COUNTIFS('Leave log'!$A$7:$A$306,Employees!$A$20,'Leave log'!$B$7:$B$306,"&lt;="&amp;DATE($B$3,3,31),'Leave log'!$C$7:$C$306,"&gt;="&amp;DATE($B$3,3,31),'Leave log'!$F$7:$F$306,"Approved")&gt;0,"A",""))="A","A",IF(OR(DATE($B$3,3,31)&gt;EOMONTH(DATE($B$3,3,1),0),NETWORKDAYS.INTL(DATE($B$3,3,31),DATE($B$3,3,31),1,'Non-working days'!$A$6:$A$45)=0),"",IF(COUNTIFS('Leave log'!$A$7:$A$306,Employees!$A$20,'Leave log'!$B$7:$B$306,"&lt;="&amp;DATE($B$3,3,31),'Leave log'!$C$7:$C$306,"&gt;="&amp;DATE($B$3,3,31),'Leave log'!$F$7:$F$306,"Pending")&gt;0,"P",""))))</f>
        <v/>
      </c>
    </row>
    <row r="90" spans="1:32" ht="18" customHeight="1" x14ac:dyDescent="0.3">
      <c r="A90" s="22" t="str">
        <f>IF(Employees!F21="Yes",Employees!B21,"")</f>
        <v/>
      </c>
      <c r="B90" s="23" t="str">
        <f>IF(A90="","",IF(IF(OR(DATE($B$3,3,1)&gt;EOMONTH(DATE($B$3,3,1),0),NETWORKDAYS.INTL(DATE($B$3,3,1),DATE($B$3,3,1),1,'Non-working days'!$A$6:$A$45)=0),"",IF(COUNTIFS('Leave log'!$A$7:$A$306,Employees!$A$21,'Leave log'!$B$7:$B$306,"&lt;="&amp;DATE($B$3,3,1),'Leave log'!$C$7:$C$306,"&gt;="&amp;DATE($B$3,3,1),'Leave log'!$F$7:$F$306,"Approved")&gt;0,"A",""))="A","A",IF(OR(DATE($B$3,3,1)&gt;EOMONTH(DATE($B$3,3,1),0),NETWORKDAYS.INTL(DATE($B$3,3,1),DATE($B$3,3,1),1,'Non-working days'!$A$6:$A$45)=0),"",IF(COUNTIFS('Leave log'!$A$7:$A$306,Employees!$A$21,'Leave log'!$B$7:$B$306,"&lt;="&amp;DATE($B$3,3,1),'Leave log'!$C$7:$C$306,"&gt;="&amp;DATE($B$3,3,1),'Leave log'!$F$7:$F$306,"Pending")&gt;0,"P",""))))</f>
        <v/>
      </c>
      <c r="C90" s="23" t="str">
        <f>IF(A90="","",IF(IF(OR(DATE($B$3,3,2)&gt;EOMONTH(DATE($B$3,3,1),0),NETWORKDAYS.INTL(DATE($B$3,3,2),DATE($B$3,3,2),1,'Non-working days'!$A$6:$A$45)=0),"",IF(COUNTIFS('Leave log'!$A$7:$A$306,Employees!$A$21,'Leave log'!$B$7:$B$306,"&lt;="&amp;DATE($B$3,3,2),'Leave log'!$C$7:$C$306,"&gt;="&amp;DATE($B$3,3,2),'Leave log'!$F$7:$F$306,"Approved")&gt;0,"A",""))="A","A",IF(OR(DATE($B$3,3,2)&gt;EOMONTH(DATE($B$3,3,1),0),NETWORKDAYS.INTL(DATE($B$3,3,2),DATE($B$3,3,2),1,'Non-working days'!$A$6:$A$45)=0),"",IF(COUNTIFS('Leave log'!$A$7:$A$306,Employees!$A$21,'Leave log'!$B$7:$B$306,"&lt;="&amp;DATE($B$3,3,2),'Leave log'!$C$7:$C$306,"&gt;="&amp;DATE($B$3,3,2),'Leave log'!$F$7:$F$306,"Pending")&gt;0,"P",""))))</f>
        <v/>
      </c>
      <c r="D90" s="23" t="str">
        <f>IF(A90="","",IF(IF(OR(DATE($B$3,3,3)&gt;EOMONTH(DATE($B$3,3,1),0),NETWORKDAYS.INTL(DATE($B$3,3,3),DATE($B$3,3,3),1,'Non-working days'!$A$6:$A$45)=0),"",IF(COUNTIFS('Leave log'!$A$7:$A$306,Employees!$A$21,'Leave log'!$B$7:$B$306,"&lt;="&amp;DATE($B$3,3,3),'Leave log'!$C$7:$C$306,"&gt;="&amp;DATE($B$3,3,3),'Leave log'!$F$7:$F$306,"Approved")&gt;0,"A",""))="A","A",IF(OR(DATE($B$3,3,3)&gt;EOMONTH(DATE($B$3,3,1),0),NETWORKDAYS.INTL(DATE($B$3,3,3),DATE($B$3,3,3),1,'Non-working days'!$A$6:$A$45)=0),"",IF(COUNTIFS('Leave log'!$A$7:$A$306,Employees!$A$21,'Leave log'!$B$7:$B$306,"&lt;="&amp;DATE($B$3,3,3),'Leave log'!$C$7:$C$306,"&gt;="&amp;DATE($B$3,3,3),'Leave log'!$F$7:$F$306,"Pending")&gt;0,"P",""))))</f>
        <v/>
      </c>
      <c r="E90" s="23" t="str">
        <f>IF(A90="","",IF(IF(OR(DATE($B$3,3,4)&gt;EOMONTH(DATE($B$3,3,1),0),NETWORKDAYS.INTL(DATE($B$3,3,4),DATE($B$3,3,4),1,'Non-working days'!$A$6:$A$45)=0),"",IF(COUNTIFS('Leave log'!$A$7:$A$306,Employees!$A$21,'Leave log'!$B$7:$B$306,"&lt;="&amp;DATE($B$3,3,4),'Leave log'!$C$7:$C$306,"&gt;="&amp;DATE($B$3,3,4),'Leave log'!$F$7:$F$306,"Approved")&gt;0,"A",""))="A","A",IF(OR(DATE($B$3,3,4)&gt;EOMONTH(DATE($B$3,3,1),0),NETWORKDAYS.INTL(DATE($B$3,3,4),DATE($B$3,3,4),1,'Non-working days'!$A$6:$A$45)=0),"",IF(COUNTIFS('Leave log'!$A$7:$A$306,Employees!$A$21,'Leave log'!$B$7:$B$306,"&lt;="&amp;DATE($B$3,3,4),'Leave log'!$C$7:$C$306,"&gt;="&amp;DATE($B$3,3,4),'Leave log'!$F$7:$F$306,"Pending")&gt;0,"P",""))))</f>
        <v/>
      </c>
      <c r="F90" s="23" t="str">
        <f>IF(A90="","",IF(IF(OR(DATE($B$3,3,5)&gt;EOMONTH(DATE($B$3,3,1),0),NETWORKDAYS.INTL(DATE($B$3,3,5),DATE($B$3,3,5),1,'Non-working days'!$A$6:$A$45)=0),"",IF(COUNTIFS('Leave log'!$A$7:$A$306,Employees!$A$21,'Leave log'!$B$7:$B$306,"&lt;="&amp;DATE($B$3,3,5),'Leave log'!$C$7:$C$306,"&gt;="&amp;DATE($B$3,3,5),'Leave log'!$F$7:$F$306,"Approved")&gt;0,"A",""))="A","A",IF(OR(DATE($B$3,3,5)&gt;EOMONTH(DATE($B$3,3,1),0),NETWORKDAYS.INTL(DATE($B$3,3,5),DATE($B$3,3,5),1,'Non-working days'!$A$6:$A$45)=0),"",IF(COUNTIFS('Leave log'!$A$7:$A$306,Employees!$A$21,'Leave log'!$B$7:$B$306,"&lt;="&amp;DATE($B$3,3,5),'Leave log'!$C$7:$C$306,"&gt;="&amp;DATE($B$3,3,5),'Leave log'!$F$7:$F$306,"Pending")&gt;0,"P",""))))</f>
        <v/>
      </c>
      <c r="G90" s="23" t="str">
        <f>IF(A90="","",IF(IF(OR(DATE($B$3,3,6)&gt;EOMONTH(DATE($B$3,3,1),0),NETWORKDAYS.INTL(DATE($B$3,3,6),DATE($B$3,3,6),1,'Non-working days'!$A$6:$A$45)=0),"",IF(COUNTIFS('Leave log'!$A$7:$A$306,Employees!$A$21,'Leave log'!$B$7:$B$306,"&lt;="&amp;DATE($B$3,3,6),'Leave log'!$C$7:$C$306,"&gt;="&amp;DATE($B$3,3,6),'Leave log'!$F$7:$F$306,"Approved")&gt;0,"A",""))="A","A",IF(OR(DATE($B$3,3,6)&gt;EOMONTH(DATE($B$3,3,1),0),NETWORKDAYS.INTL(DATE($B$3,3,6),DATE($B$3,3,6),1,'Non-working days'!$A$6:$A$45)=0),"",IF(COUNTIFS('Leave log'!$A$7:$A$306,Employees!$A$21,'Leave log'!$B$7:$B$306,"&lt;="&amp;DATE($B$3,3,6),'Leave log'!$C$7:$C$306,"&gt;="&amp;DATE($B$3,3,6),'Leave log'!$F$7:$F$306,"Pending")&gt;0,"P",""))))</f>
        <v/>
      </c>
      <c r="H90" s="23" t="str">
        <f>IF(A90="","",IF(IF(OR(DATE($B$3,3,7)&gt;EOMONTH(DATE($B$3,3,1),0),NETWORKDAYS.INTL(DATE($B$3,3,7),DATE($B$3,3,7),1,'Non-working days'!$A$6:$A$45)=0),"",IF(COUNTIFS('Leave log'!$A$7:$A$306,Employees!$A$21,'Leave log'!$B$7:$B$306,"&lt;="&amp;DATE($B$3,3,7),'Leave log'!$C$7:$C$306,"&gt;="&amp;DATE($B$3,3,7),'Leave log'!$F$7:$F$306,"Approved")&gt;0,"A",""))="A","A",IF(OR(DATE($B$3,3,7)&gt;EOMONTH(DATE($B$3,3,1),0),NETWORKDAYS.INTL(DATE($B$3,3,7),DATE($B$3,3,7),1,'Non-working days'!$A$6:$A$45)=0),"",IF(COUNTIFS('Leave log'!$A$7:$A$306,Employees!$A$21,'Leave log'!$B$7:$B$306,"&lt;="&amp;DATE($B$3,3,7),'Leave log'!$C$7:$C$306,"&gt;="&amp;DATE($B$3,3,7),'Leave log'!$F$7:$F$306,"Pending")&gt;0,"P",""))))</f>
        <v/>
      </c>
      <c r="I90" s="23" t="str">
        <f>IF(A90="","",IF(IF(OR(DATE($B$3,3,8)&gt;EOMONTH(DATE($B$3,3,1),0),NETWORKDAYS.INTL(DATE($B$3,3,8),DATE($B$3,3,8),1,'Non-working days'!$A$6:$A$45)=0),"",IF(COUNTIFS('Leave log'!$A$7:$A$306,Employees!$A$21,'Leave log'!$B$7:$B$306,"&lt;="&amp;DATE($B$3,3,8),'Leave log'!$C$7:$C$306,"&gt;="&amp;DATE($B$3,3,8),'Leave log'!$F$7:$F$306,"Approved")&gt;0,"A",""))="A","A",IF(OR(DATE($B$3,3,8)&gt;EOMONTH(DATE($B$3,3,1),0),NETWORKDAYS.INTL(DATE($B$3,3,8),DATE($B$3,3,8),1,'Non-working days'!$A$6:$A$45)=0),"",IF(COUNTIFS('Leave log'!$A$7:$A$306,Employees!$A$21,'Leave log'!$B$7:$B$306,"&lt;="&amp;DATE($B$3,3,8),'Leave log'!$C$7:$C$306,"&gt;="&amp;DATE($B$3,3,8),'Leave log'!$F$7:$F$306,"Pending")&gt;0,"P",""))))</f>
        <v/>
      </c>
      <c r="J90" s="23" t="str">
        <f>IF(A90="","",IF(IF(OR(DATE($B$3,3,9)&gt;EOMONTH(DATE($B$3,3,1),0),NETWORKDAYS.INTL(DATE($B$3,3,9),DATE($B$3,3,9),1,'Non-working days'!$A$6:$A$45)=0),"",IF(COUNTIFS('Leave log'!$A$7:$A$306,Employees!$A$21,'Leave log'!$B$7:$B$306,"&lt;="&amp;DATE($B$3,3,9),'Leave log'!$C$7:$C$306,"&gt;="&amp;DATE($B$3,3,9),'Leave log'!$F$7:$F$306,"Approved")&gt;0,"A",""))="A","A",IF(OR(DATE($B$3,3,9)&gt;EOMONTH(DATE($B$3,3,1),0),NETWORKDAYS.INTL(DATE($B$3,3,9),DATE($B$3,3,9),1,'Non-working days'!$A$6:$A$45)=0),"",IF(COUNTIFS('Leave log'!$A$7:$A$306,Employees!$A$21,'Leave log'!$B$7:$B$306,"&lt;="&amp;DATE($B$3,3,9),'Leave log'!$C$7:$C$306,"&gt;="&amp;DATE($B$3,3,9),'Leave log'!$F$7:$F$306,"Pending")&gt;0,"P",""))))</f>
        <v/>
      </c>
      <c r="K90" s="23" t="str">
        <f>IF(A90="","",IF(IF(OR(DATE($B$3,3,10)&gt;EOMONTH(DATE($B$3,3,1),0),NETWORKDAYS.INTL(DATE($B$3,3,10),DATE($B$3,3,10),1,'Non-working days'!$A$6:$A$45)=0),"",IF(COUNTIFS('Leave log'!$A$7:$A$306,Employees!$A$21,'Leave log'!$B$7:$B$306,"&lt;="&amp;DATE($B$3,3,10),'Leave log'!$C$7:$C$306,"&gt;="&amp;DATE($B$3,3,10),'Leave log'!$F$7:$F$306,"Approved")&gt;0,"A",""))="A","A",IF(OR(DATE($B$3,3,10)&gt;EOMONTH(DATE($B$3,3,1),0),NETWORKDAYS.INTL(DATE($B$3,3,10),DATE($B$3,3,10),1,'Non-working days'!$A$6:$A$45)=0),"",IF(COUNTIFS('Leave log'!$A$7:$A$306,Employees!$A$21,'Leave log'!$B$7:$B$306,"&lt;="&amp;DATE($B$3,3,10),'Leave log'!$C$7:$C$306,"&gt;="&amp;DATE($B$3,3,10),'Leave log'!$F$7:$F$306,"Pending")&gt;0,"P",""))))</f>
        <v/>
      </c>
      <c r="L90" s="23" t="str">
        <f>IF(A90="","",IF(IF(OR(DATE($B$3,3,11)&gt;EOMONTH(DATE($B$3,3,1),0),NETWORKDAYS.INTL(DATE($B$3,3,11),DATE($B$3,3,11),1,'Non-working days'!$A$6:$A$45)=0),"",IF(COUNTIFS('Leave log'!$A$7:$A$306,Employees!$A$21,'Leave log'!$B$7:$B$306,"&lt;="&amp;DATE($B$3,3,11),'Leave log'!$C$7:$C$306,"&gt;="&amp;DATE($B$3,3,11),'Leave log'!$F$7:$F$306,"Approved")&gt;0,"A",""))="A","A",IF(OR(DATE($B$3,3,11)&gt;EOMONTH(DATE($B$3,3,1),0),NETWORKDAYS.INTL(DATE($B$3,3,11),DATE($B$3,3,11),1,'Non-working days'!$A$6:$A$45)=0),"",IF(COUNTIFS('Leave log'!$A$7:$A$306,Employees!$A$21,'Leave log'!$B$7:$B$306,"&lt;="&amp;DATE($B$3,3,11),'Leave log'!$C$7:$C$306,"&gt;="&amp;DATE($B$3,3,11),'Leave log'!$F$7:$F$306,"Pending")&gt;0,"P",""))))</f>
        <v/>
      </c>
      <c r="M90" s="23" t="str">
        <f>IF(A90="","",IF(IF(OR(DATE($B$3,3,12)&gt;EOMONTH(DATE($B$3,3,1),0),NETWORKDAYS.INTL(DATE($B$3,3,12),DATE($B$3,3,12),1,'Non-working days'!$A$6:$A$45)=0),"",IF(COUNTIFS('Leave log'!$A$7:$A$306,Employees!$A$21,'Leave log'!$B$7:$B$306,"&lt;="&amp;DATE($B$3,3,12),'Leave log'!$C$7:$C$306,"&gt;="&amp;DATE($B$3,3,12),'Leave log'!$F$7:$F$306,"Approved")&gt;0,"A",""))="A","A",IF(OR(DATE($B$3,3,12)&gt;EOMONTH(DATE($B$3,3,1),0),NETWORKDAYS.INTL(DATE($B$3,3,12),DATE($B$3,3,12),1,'Non-working days'!$A$6:$A$45)=0),"",IF(COUNTIFS('Leave log'!$A$7:$A$306,Employees!$A$21,'Leave log'!$B$7:$B$306,"&lt;="&amp;DATE($B$3,3,12),'Leave log'!$C$7:$C$306,"&gt;="&amp;DATE($B$3,3,12),'Leave log'!$F$7:$F$306,"Pending")&gt;0,"P",""))))</f>
        <v/>
      </c>
      <c r="N90" s="23" t="str">
        <f>IF(A90="","",IF(IF(OR(DATE($B$3,3,13)&gt;EOMONTH(DATE($B$3,3,1),0),NETWORKDAYS.INTL(DATE($B$3,3,13),DATE($B$3,3,13),1,'Non-working days'!$A$6:$A$45)=0),"",IF(COUNTIFS('Leave log'!$A$7:$A$306,Employees!$A$21,'Leave log'!$B$7:$B$306,"&lt;="&amp;DATE($B$3,3,13),'Leave log'!$C$7:$C$306,"&gt;="&amp;DATE($B$3,3,13),'Leave log'!$F$7:$F$306,"Approved")&gt;0,"A",""))="A","A",IF(OR(DATE($B$3,3,13)&gt;EOMONTH(DATE($B$3,3,1),0),NETWORKDAYS.INTL(DATE($B$3,3,13),DATE($B$3,3,13),1,'Non-working days'!$A$6:$A$45)=0),"",IF(COUNTIFS('Leave log'!$A$7:$A$306,Employees!$A$21,'Leave log'!$B$7:$B$306,"&lt;="&amp;DATE($B$3,3,13),'Leave log'!$C$7:$C$306,"&gt;="&amp;DATE($B$3,3,13),'Leave log'!$F$7:$F$306,"Pending")&gt;0,"P",""))))</f>
        <v/>
      </c>
      <c r="O90" s="23" t="str">
        <f>IF(A90="","",IF(IF(OR(DATE($B$3,3,14)&gt;EOMONTH(DATE($B$3,3,1),0),NETWORKDAYS.INTL(DATE($B$3,3,14),DATE($B$3,3,14),1,'Non-working days'!$A$6:$A$45)=0),"",IF(COUNTIFS('Leave log'!$A$7:$A$306,Employees!$A$21,'Leave log'!$B$7:$B$306,"&lt;="&amp;DATE($B$3,3,14),'Leave log'!$C$7:$C$306,"&gt;="&amp;DATE($B$3,3,14),'Leave log'!$F$7:$F$306,"Approved")&gt;0,"A",""))="A","A",IF(OR(DATE($B$3,3,14)&gt;EOMONTH(DATE($B$3,3,1),0),NETWORKDAYS.INTL(DATE($B$3,3,14),DATE($B$3,3,14),1,'Non-working days'!$A$6:$A$45)=0),"",IF(COUNTIFS('Leave log'!$A$7:$A$306,Employees!$A$21,'Leave log'!$B$7:$B$306,"&lt;="&amp;DATE($B$3,3,14),'Leave log'!$C$7:$C$306,"&gt;="&amp;DATE($B$3,3,14),'Leave log'!$F$7:$F$306,"Pending")&gt;0,"P",""))))</f>
        <v/>
      </c>
      <c r="P90" s="23" t="str">
        <f>IF(A90="","",IF(IF(OR(DATE($B$3,3,15)&gt;EOMONTH(DATE($B$3,3,1),0),NETWORKDAYS.INTL(DATE($B$3,3,15),DATE($B$3,3,15),1,'Non-working days'!$A$6:$A$45)=0),"",IF(COUNTIFS('Leave log'!$A$7:$A$306,Employees!$A$21,'Leave log'!$B$7:$B$306,"&lt;="&amp;DATE($B$3,3,15),'Leave log'!$C$7:$C$306,"&gt;="&amp;DATE($B$3,3,15),'Leave log'!$F$7:$F$306,"Approved")&gt;0,"A",""))="A","A",IF(OR(DATE($B$3,3,15)&gt;EOMONTH(DATE($B$3,3,1),0),NETWORKDAYS.INTL(DATE($B$3,3,15),DATE($B$3,3,15),1,'Non-working days'!$A$6:$A$45)=0),"",IF(COUNTIFS('Leave log'!$A$7:$A$306,Employees!$A$21,'Leave log'!$B$7:$B$306,"&lt;="&amp;DATE($B$3,3,15),'Leave log'!$C$7:$C$306,"&gt;="&amp;DATE($B$3,3,15),'Leave log'!$F$7:$F$306,"Pending")&gt;0,"P",""))))</f>
        <v/>
      </c>
      <c r="Q90" s="23" t="str">
        <f>IF(A90="","",IF(IF(OR(DATE($B$3,3,16)&gt;EOMONTH(DATE($B$3,3,1),0),NETWORKDAYS.INTL(DATE($B$3,3,16),DATE($B$3,3,16),1,'Non-working days'!$A$6:$A$45)=0),"",IF(COUNTIFS('Leave log'!$A$7:$A$306,Employees!$A$21,'Leave log'!$B$7:$B$306,"&lt;="&amp;DATE($B$3,3,16),'Leave log'!$C$7:$C$306,"&gt;="&amp;DATE($B$3,3,16),'Leave log'!$F$7:$F$306,"Approved")&gt;0,"A",""))="A","A",IF(OR(DATE($B$3,3,16)&gt;EOMONTH(DATE($B$3,3,1),0),NETWORKDAYS.INTL(DATE($B$3,3,16),DATE($B$3,3,16),1,'Non-working days'!$A$6:$A$45)=0),"",IF(COUNTIFS('Leave log'!$A$7:$A$306,Employees!$A$21,'Leave log'!$B$7:$B$306,"&lt;="&amp;DATE($B$3,3,16),'Leave log'!$C$7:$C$306,"&gt;="&amp;DATE($B$3,3,16),'Leave log'!$F$7:$F$306,"Pending")&gt;0,"P",""))))</f>
        <v/>
      </c>
      <c r="R90" s="23" t="str">
        <f>IF(A90="","",IF(IF(OR(DATE($B$3,3,17)&gt;EOMONTH(DATE($B$3,3,1),0),NETWORKDAYS.INTL(DATE($B$3,3,17),DATE($B$3,3,17),1,'Non-working days'!$A$6:$A$45)=0),"",IF(COUNTIFS('Leave log'!$A$7:$A$306,Employees!$A$21,'Leave log'!$B$7:$B$306,"&lt;="&amp;DATE($B$3,3,17),'Leave log'!$C$7:$C$306,"&gt;="&amp;DATE($B$3,3,17),'Leave log'!$F$7:$F$306,"Approved")&gt;0,"A",""))="A","A",IF(OR(DATE($B$3,3,17)&gt;EOMONTH(DATE($B$3,3,1),0),NETWORKDAYS.INTL(DATE($B$3,3,17),DATE($B$3,3,17),1,'Non-working days'!$A$6:$A$45)=0),"",IF(COUNTIFS('Leave log'!$A$7:$A$306,Employees!$A$21,'Leave log'!$B$7:$B$306,"&lt;="&amp;DATE($B$3,3,17),'Leave log'!$C$7:$C$306,"&gt;="&amp;DATE($B$3,3,17),'Leave log'!$F$7:$F$306,"Pending")&gt;0,"P",""))))</f>
        <v/>
      </c>
      <c r="S90" s="23" t="str">
        <f>IF(A90="","",IF(IF(OR(DATE($B$3,3,18)&gt;EOMONTH(DATE($B$3,3,1),0),NETWORKDAYS.INTL(DATE($B$3,3,18),DATE($B$3,3,18),1,'Non-working days'!$A$6:$A$45)=0),"",IF(COUNTIFS('Leave log'!$A$7:$A$306,Employees!$A$21,'Leave log'!$B$7:$B$306,"&lt;="&amp;DATE($B$3,3,18),'Leave log'!$C$7:$C$306,"&gt;="&amp;DATE($B$3,3,18),'Leave log'!$F$7:$F$306,"Approved")&gt;0,"A",""))="A","A",IF(OR(DATE($B$3,3,18)&gt;EOMONTH(DATE($B$3,3,1),0),NETWORKDAYS.INTL(DATE($B$3,3,18),DATE($B$3,3,18),1,'Non-working days'!$A$6:$A$45)=0),"",IF(COUNTIFS('Leave log'!$A$7:$A$306,Employees!$A$21,'Leave log'!$B$7:$B$306,"&lt;="&amp;DATE($B$3,3,18),'Leave log'!$C$7:$C$306,"&gt;="&amp;DATE($B$3,3,18),'Leave log'!$F$7:$F$306,"Pending")&gt;0,"P",""))))</f>
        <v/>
      </c>
      <c r="T90" s="23" t="str">
        <f>IF(A90="","",IF(IF(OR(DATE($B$3,3,19)&gt;EOMONTH(DATE($B$3,3,1),0),NETWORKDAYS.INTL(DATE($B$3,3,19),DATE($B$3,3,19),1,'Non-working days'!$A$6:$A$45)=0),"",IF(COUNTIFS('Leave log'!$A$7:$A$306,Employees!$A$21,'Leave log'!$B$7:$B$306,"&lt;="&amp;DATE($B$3,3,19),'Leave log'!$C$7:$C$306,"&gt;="&amp;DATE($B$3,3,19),'Leave log'!$F$7:$F$306,"Approved")&gt;0,"A",""))="A","A",IF(OR(DATE($B$3,3,19)&gt;EOMONTH(DATE($B$3,3,1),0),NETWORKDAYS.INTL(DATE($B$3,3,19),DATE($B$3,3,19),1,'Non-working days'!$A$6:$A$45)=0),"",IF(COUNTIFS('Leave log'!$A$7:$A$306,Employees!$A$21,'Leave log'!$B$7:$B$306,"&lt;="&amp;DATE($B$3,3,19),'Leave log'!$C$7:$C$306,"&gt;="&amp;DATE($B$3,3,19),'Leave log'!$F$7:$F$306,"Pending")&gt;0,"P",""))))</f>
        <v/>
      </c>
      <c r="U90" s="23" t="str">
        <f>IF(A90="","",IF(IF(OR(DATE($B$3,3,20)&gt;EOMONTH(DATE($B$3,3,1),0),NETWORKDAYS.INTL(DATE($B$3,3,20),DATE($B$3,3,20),1,'Non-working days'!$A$6:$A$45)=0),"",IF(COUNTIFS('Leave log'!$A$7:$A$306,Employees!$A$21,'Leave log'!$B$7:$B$306,"&lt;="&amp;DATE($B$3,3,20),'Leave log'!$C$7:$C$306,"&gt;="&amp;DATE($B$3,3,20),'Leave log'!$F$7:$F$306,"Approved")&gt;0,"A",""))="A","A",IF(OR(DATE($B$3,3,20)&gt;EOMONTH(DATE($B$3,3,1),0),NETWORKDAYS.INTL(DATE($B$3,3,20),DATE($B$3,3,20),1,'Non-working days'!$A$6:$A$45)=0),"",IF(COUNTIFS('Leave log'!$A$7:$A$306,Employees!$A$21,'Leave log'!$B$7:$B$306,"&lt;="&amp;DATE($B$3,3,20),'Leave log'!$C$7:$C$306,"&gt;="&amp;DATE($B$3,3,20),'Leave log'!$F$7:$F$306,"Pending")&gt;0,"P",""))))</f>
        <v/>
      </c>
      <c r="V90" s="23" t="str">
        <f>IF(A90="","",IF(IF(OR(DATE($B$3,3,21)&gt;EOMONTH(DATE($B$3,3,1),0),NETWORKDAYS.INTL(DATE($B$3,3,21),DATE($B$3,3,21),1,'Non-working days'!$A$6:$A$45)=0),"",IF(COUNTIFS('Leave log'!$A$7:$A$306,Employees!$A$21,'Leave log'!$B$7:$B$306,"&lt;="&amp;DATE($B$3,3,21),'Leave log'!$C$7:$C$306,"&gt;="&amp;DATE($B$3,3,21),'Leave log'!$F$7:$F$306,"Approved")&gt;0,"A",""))="A","A",IF(OR(DATE($B$3,3,21)&gt;EOMONTH(DATE($B$3,3,1),0),NETWORKDAYS.INTL(DATE($B$3,3,21),DATE($B$3,3,21),1,'Non-working days'!$A$6:$A$45)=0),"",IF(COUNTIFS('Leave log'!$A$7:$A$306,Employees!$A$21,'Leave log'!$B$7:$B$306,"&lt;="&amp;DATE($B$3,3,21),'Leave log'!$C$7:$C$306,"&gt;="&amp;DATE($B$3,3,21),'Leave log'!$F$7:$F$306,"Pending")&gt;0,"P",""))))</f>
        <v/>
      </c>
      <c r="W90" s="23" t="str">
        <f>IF(A90="","",IF(IF(OR(DATE($B$3,3,22)&gt;EOMONTH(DATE($B$3,3,1),0),NETWORKDAYS.INTL(DATE($B$3,3,22),DATE($B$3,3,22),1,'Non-working days'!$A$6:$A$45)=0),"",IF(COUNTIFS('Leave log'!$A$7:$A$306,Employees!$A$21,'Leave log'!$B$7:$B$306,"&lt;="&amp;DATE($B$3,3,22),'Leave log'!$C$7:$C$306,"&gt;="&amp;DATE($B$3,3,22),'Leave log'!$F$7:$F$306,"Approved")&gt;0,"A",""))="A","A",IF(OR(DATE($B$3,3,22)&gt;EOMONTH(DATE($B$3,3,1),0),NETWORKDAYS.INTL(DATE($B$3,3,22),DATE($B$3,3,22),1,'Non-working days'!$A$6:$A$45)=0),"",IF(COUNTIFS('Leave log'!$A$7:$A$306,Employees!$A$21,'Leave log'!$B$7:$B$306,"&lt;="&amp;DATE($B$3,3,22),'Leave log'!$C$7:$C$306,"&gt;="&amp;DATE($B$3,3,22),'Leave log'!$F$7:$F$306,"Pending")&gt;0,"P",""))))</f>
        <v/>
      </c>
      <c r="X90" s="23" t="str">
        <f>IF(A90="","",IF(IF(OR(DATE($B$3,3,23)&gt;EOMONTH(DATE($B$3,3,1),0),NETWORKDAYS.INTL(DATE($B$3,3,23),DATE($B$3,3,23),1,'Non-working days'!$A$6:$A$45)=0),"",IF(COUNTIFS('Leave log'!$A$7:$A$306,Employees!$A$21,'Leave log'!$B$7:$B$306,"&lt;="&amp;DATE($B$3,3,23),'Leave log'!$C$7:$C$306,"&gt;="&amp;DATE($B$3,3,23),'Leave log'!$F$7:$F$306,"Approved")&gt;0,"A",""))="A","A",IF(OR(DATE($B$3,3,23)&gt;EOMONTH(DATE($B$3,3,1),0),NETWORKDAYS.INTL(DATE($B$3,3,23),DATE($B$3,3,23),1,'Non-working days'!$A$6:$A$45)=0),"",IF(COUNTIFS('Leave log'!$A$7:$A$306,Employees!$A$21,'Leave log'!$B$7:$B$306,"&lt;="&amp;DATE($B$3,3,23),'Leave log'!$C$7:$C$306,"&gt;="&amp;DATE($B$3,3,23),'Leave log'!$F$7:$F$306,"Pending")&gt;0,"P",""))))</f>
        <v/>
      </c>
      <c r="Y90" s="23" t="str">
        <f>IF(A90="","",IF(IF(OR(DATE($B$3,3,24)&gt;EOMONTH(DATE($B$3,3,1),0),NETWORKDAYS.INTL(DATE($B$3,3,24),DATE($B$3,3,24),1,'Non-working days'!$A$6:$A$45)=0),"",IF(COUNTIFS('Leave log'!$A$7:$A$306,Employees!$A$21,'Leave log'!$B$7:$B$306,"&lt;="&amp;DATE($B$3,3,24),'Leave log'!$C$7:$C$306,"&gt;="&amp;DATE($B$3,3,24),'Leave log'!$F$7:$F$306,"Approved")&gt;0,"A",""))="A","A",IF(OR(DATE($B$3,3,24)&gt;EOMONTH(DATE($B$3,3,1),0),NETWORKDAYS.INTL(DATE($B$3,3,24),DATE($B$3,3,24),1,'Non-working days'!$A$6:$A$45)=0),"",IF(COUNTIFS('Leave log'!$A$7:$A$306,Employees!$A$21,'Leave log'!$B$7:$B$306,"&lt;="&amp;DATE($B$3,3,24),'Leave log'!$C$7:$C$306,"&gt;="&amp;DATE($B$3,3,24),'Leave log'!$F$7:$F$306,"Pending")&gt;0,"P",""))))</f>
        <v/>
      </c>
      <c r="Z90" s="23" t="str">
        <f>IF(A90="","",IF(IF(OR(DATE($B$3,3,25)&gt;EOMONTH(DATE($B$3,3,1),0),NETWORKDAYS.INTL(DATE($B$3,3,25),DATE($B$3,3,25),1,'Non-working days'!$A$6:$A$45)=0),"",IF(COUNTIFS('Leave log'!$A$7:$A$306,Employees!$A$21,'Leave log'!$B$7:$B$306,"&lt;="&amp;DATE($B$3,3,25),'Leave log'!$C$7:$C$306,"&gt;="&amp;DATE($B$3,3,25),'Leave log'!$F$7:$F$306,"Approved")&gt;0,"A",""))="A","A",IF(OR(DATE($B$3,3,25)&gt;EOMONTH(DATE($B$3,3,1),0),NETWORKDAYS.INTL(DATE($B$3,3,25),DATE($B$3,3,25),1,'Non-working days'!$A$6:$A$45)=0),"",IF(COUNTIFS('Leave log'!$A$7:$A$306,Employees!$A$21,'Leave log'!$B$7:$B$306,"&lt;="&amp;DATE($B$3,3,25),'Leave log'!$C$7:$C$306,"&gt;="&amp;DATE($B$3,3,25),'Leave log'!$F$7:$F$306,"Pending")&gt;0,"P",""))))</f>
        <v/>
      </c>
      <c r="AA90" s="23" t="str">
        <f>IF(A90="","",IF(IF(OR(DATE($B$3,3,26)&gt;EOMONTH(DATE($B$3,3,1),0),NETWORKDAYS.INTL(DATE($B$3,3,26),DATE($B$3,3,26),1,'Non-working days'!$A$6:$A$45)=0),"",IF(COUNTIFS('Leave log'!$A$7:$A$306,Employees!$A$21,'Leave log'!$B$7:$B$306,"&lt;="&amp;DATE($B$3,3,26),'Leave log'!$C$7:$C$306,"&gt;="&amp;DATE($B$3,3,26),'Leave log'!$F$7:$F$306,"Approved")&gt;0,"A",""))="A","A",IF(OR(DATE($B$3,3,26)&gt;EOMONTH(DATE($B$3,3,1),0),NETWORKDAYS.INTL(DATE($B$3,3,26),DATE($B$3,3,26),1,'Non-working days'!$A$6:$A$45)=0),"",IF(COUNTIFS('Leave log'!$A$7:$A$306,Employees!$A$21,'Leave log'!$B$7:$B$306,"&lt;="&amp;DATE($B$3,3,26),'Leave log'!$C$7:$C$306,"&gt;="&amp;DATE($B$3,3,26),'Leave log'!$F$7:$F$306,"Pending")&gt;0,"P",""))))</f>
        <v/>
      </c>
      <c r="AB90" s="23" t="str">
        <f>IF(A90="","",IF(IF(OR(DATE($B$3,3,27)&gt;EOMONTH(DATE($B$3,3,1),0),NETWORKDAYS.INTL(DATE($B$3,3,27),DATE($B$3,3,27),1,'Non-working days'!$A$6:$A$45)=0),"",IF(COUNTIFS('Leave log'!$A$7:$A$306,Employees!$A$21,'Leave log'!$B$7:$B$306,"&lt;="&amp;DATE($B$3,3,27),'Leave log'!$C$7:$C$306,"&gt;="&amp;DATE($B$3,3,27),'Leave log'!$F$7:$F$306,"Approved")&gt;0,"A",""))="A","A",IF(OR(DATE($B$3,3,27)&gt;EOMONTH(DATE($B$3,3,1),0),NETWORKDAYS.INTL(DATE($B$3,3,27),DATE($B$3,3,27),1,'Non-working days'!$A$6:$A$45)=0),"",IF(COUNTIFS('Leave log'!$A$7:$A$306,Employees!$A$21,'Leave log'!$B$7:$B$306,"&lt;="&amp;DATE($B$3,3,27),'Leave log'!$C$7:$C$306,"&gt;="&amp;DATE($B$3,3,27),'Leave log'!$F$7:$F$306,"Pending")&gt;0,"P",""))))</f>
        <v/>
      </c>
      <c r="AC90" s="23" t="str">
        <f>IF(A90="","",IF(IF(OR(DATE($B$3,3,28)&gt;EOMONTH(DATE($B$3,3,1),0),NETWORKDAYS.INTL(DATE($B$3,3,28),DATE($B$3,3,28),1,'Non-working days'!$A$6:$A$45)=0),"",IF(COUNTIFS('Leave log'!$A$7:$A$306,Employees!$A$21,'Leave log'!$B$7:$B$306,"&lt;="&amp;DATE($B$3,3,28),'Leave log'!$C$7:$C$306,"&gt;="&amp;DATE($B$3,3,28),'Leave log'!$F$7:$F$306,"Approved")&gt;0,"A",""))="A","A",IF(OR(DATE($B$3,3,28)&gt;EOMONTH(DATE($B$3,3,1),0),NETWORKDAYS.INTL(DATE($B$3,3,28),DATE($B$3,3,28),1,'Non-working days'!$A$6:$A$45)=0),"",IF(COUNTIFS('Leave log'!$A$7:$A$306,Employees!$A$21,'Leave log'!$B$7:$B$306,"&lt;="&amp;DATE($B$3,3,28),'Leave log'!$C$7:$C$306,"&gt;="&amp;DATE($B$3,3,28),'Leave log'!$F$7:$F$306,"Pending")&gt;0,"P",""))))</f>
        <v/>
      </c>
      <c r="AD90" s="23" t="str">
        <f>IF(A90="","",IF(IF(OR(DATE($B$3,3,29)&gt;EOMONTH(DATE($B$3,3,1),0),NETWORKDAYS.INTL(DATE($B$3,3,29),DATE($B$3,3,29),1,'Non-working days'!$A$6:$A$45)=0),"",IF(COUNTIFS('Leave log'!$A$7:$A$306,Employees!$A$21,'Leave log'!$B$7:$B$306,"&lt;="&amp;DATE($B$3,3,29),'Leave log'!$C$7:$C$306,"&gt;="&amp;DATE($B$3,3,29),'Leave log'!$F$7:$F$306,"Approved")&gt;0,"A",""))="A","A",IF(OR(DATE($B$3,3,29)&gt;EOMONTH(DATE($B$3,3,1),0),NETWORKDAYS.INTL(DATE($B$3,3,29),DATE($B$3,3,29),1,'Non-working days'!$A$6:$A$45)=0),"",IF(COUNTIFS('Leave log'!$A$7:$A$306,Employees!$A$21,'Leave log'!$B$7:$B$306,"&lt;="&amp;DATE($B$3,3,29),'Leave log'!$C$7:$C$306,"&gt;="&amp;DATE($B$3,3,29),'Leave log'!$F$7:$F$306,"Pending")&gt;0,"P",""))))</f>
        <v/>
      </c>
      <c r="AE90" s="23" t="str">
        <f>IF(A90="","",IF(IF(OR(DATE($B$3,3,30)&gt;EOMONTH(DATE($B$3,3,1),0),NETWORKDAYS.INTL(DATE($B$3,3,30),DATE($B$3,3,30),1,'Non-working days'!$A$6:$A$45)=0),"",IF(COUNTIFS('Leave log'!$A$7:$A$306,Employees!$A$21,'Leave log'!$B$7:$B$306,"&lt;="&amp;DATE($B$3,3,30),'Leave log'!$C$7:$C$306,"&gt;="&amp;DATE($B$3,3,30),'Leave log'!$F$7:$F$306,"Approved")&gt;0,"A",""))="A","A",IF(OR(DATE($B$3,3,30)&gt;EOMONTH(DATE($B$3,3,1),0),NETWORKDAYS.INTL(DATE($B$3,3,30),DATE($B$3,3,30),1,'Non-working days'!$A$6:$A$45)=0),"",IF(COUNTIFS('Leave log'!$A$7:$A$306,Employees!$A$21,'Leave log'!$B$7:$B$306,"&lt;="&amp;DATE($B$3,3,30),'Leave log'!$C$7:$C$306,"&gt;="&amp;DATE($B$3,3,30),'Leave log'!$F$7:$F$306,"Pending")&gt;0,"P",""))))</f>
        <v/>
      </c>
      <c r="AF90" s="23" t="str">
        <f>IF(A90="","",IF(IF(OR(DATE($B$3,3,31)&gt;EOMONTH(DATE($B$3,3,1),0),NETWORKDAYS.INTL(DATE($B$3,3,31),DATE($B$3,3,31),1,'Non-working days'!$A$6:$A$45)=0),"",IF(COUNTIFS('Leave log'!$A$7:$A$306,Employees!$A$21,'Leave log'!$B$7:$B$306,"&lt;="&amp;DATE($B$3,3,31),'Leave log'!$C$7:$C$306,"&gt;="&amp;DATE($B$3,3,31),'Leave log'!$F$7:$F$306,"Approved")&gt;0,"A",""))="A","A",IF(OR(DATE($B$3,3,31)&gt;EOMONTH(DATE($B$3,3,1),0),NETWORKDAYS.INTL(DATE($B$3,3,31),DATE($B$3,3,31),1,'Non-working days'!$A$6:$A$45)=0),"",IF(COUNTIFS('Leave log'!$A$7:$A$306,Employees!$A$21,'Leave log'!$B$7:$B$306,"&lt;="&amp;DATE($B$3,3,31),'Leave log'!$C$7:$C$306,"&gt;="&amp;DATE($B$3,3,31),'Leave log'!$F$7:$F$306,"Pending")&gt;0,"P",""))))</f>
        <v/>
      </c>
    </row>
    <row r="91" spans="1:32" ht="18" customHeight="1" x14ac:dyDescent="0.3">
      <c r="A91" s="22" t="str">
        <f>IF(Employees!F22="Yes",Employees!B22,"")</f>
        <v/>
      </c>
      <c r="B91" s="23" t="str">
        <f>IF(A91="","",IF(IF(OR(DATE($B$3,3,1)&gt;EOMONTH(DATE($B$3,3,1),0),NETWORKDAYS.INTL(DATE($B$3,3,1),DATE($B$3,3,1),1,'Non-working days'!$A$6:$A$45)=0),"",IF(COUNTIFS('Leave log'!$A$7:$A$306,Employees!$A$22,'Leave log'!$B$7:$B$306,"&lt;="&amp;DATE($B$3,3,1),'Leave log'!$C$7:$C$306,"&gt;="&amp;DATE($B$3,3,1),'Leave log'!$F$7:$F$306,"Approved")&gt;0,"A",""))="A","A",IF(OR(DATE($B$3,3,1)&gt;EOMONTH(DATE($B$3,3,1),0),NETWORKDAYS.INTL(DATE($B$3,3,1),DATE($B$3,3,1),1,'Non-working days'!$A$6:$A$45)=0),"",IF(COUNTIFS('Leave log'!$A$7:$A$306,Employees!$A$22,'Leave log'!$B$7:$B$306,"&lt;="&amp;DATE($B$3,3,1),'Leave log'!$C$7:$C$306,"&gt;="&amp;DATE($B$3,3,1),'Leave log'!$F$7:$F$306,"Pending")&gt;0,"P",""))))</f>
        <v/>
      </c>
      <c r="C91" s="23" t="str">
        <f>IF(A91="","",IF(IF(OR(DATE($B$3,3,2)&gt;EOMONTH(DATE($B$3,3,1),0),NETWORKDAYS.INTL(DATE($B$3,3,2),DATE($B$3,3,2),1,'Non-working days'!$A$6:$A$45)=0),"",IF(COUNTIFS('Leave log'!$A$7:$A$306,Employees!$A$22,'Leave log'!$B$7:$B$306,"&lt;="&amp;DATE($B$3,3,2),'Leave log'!$C$7:$C$306,"&gt;="&amp;DATE($B$3,3,2),'Leave log'!$F$7:$F$306,"Approved")&gt;0,"A",""))="A","A",IF(OR(DATE($B$3,3,2)&gt;EOMONTH(DATE($B$3,3,1),0),NETWORKDAYS.INTL(DATE($B$3,3,2),DATE($B$3,3,2),1,'Non-working days'!$A$6:$A$45)=0),"",IF(COUNTIFS('Leave log'!$A$7:$A$306,Employees!$A$22,'Leave log'!$B$7:$B$306,"&lt;="&amp;DATE($B$3,3,2),'Leave log'!$C$7:$C$306,"&gt;="&amp;DATE($B$3,3,2),'Leave log'!$F$7:$F$306,"Pending")&gt;0,"P",""))))</f>
        <v/>
      </c>
      <c r="D91" s="23" t="str">
        <f>IF(A91="","",IF(IF(OR(DATE($B$3,3,3)&gt;EOMONTH(DATE($B$3,3,1),0),NETWORKDAYS.INTL(DATE($B$3,3,3),DATE($B$3,3,3),1,'Non-working days'!$A$6:$A$45)=0),"",IF(COUNTIFS('Leave log'!$A$7:$A$306,Employees!$A$22,'Leave log'!$B$7:$B$306,"&lt;="&amp;DATE($B$3,3,3),'Leave log'!$C$7:$C$306,"&gt;="&amp;DATE($B$3,3,3),'Leave log'!$F$7:$F$306,"Approved")&gt;0,"A",""))="A","A",IF(OR(DATE($B$3,3,3)&gt;EOMONTH(DATE($B$3,3,1),0),NETWORKDAYS.INTL(DATE($B$3,3,3),DATE($B$3,3,3),1,'Non-working days'!$A$6:$A$45)=0),"",IF(COUNTIFS('Leave log'!$A$7:$A$306,Employees!$A$22,'Leave log'!$B$7:$B$306,"&lt;="&amp;DATE($B$3,3,3),'Leave log'!$C$7:$C$306,"&gt;="&amp;DATE($B$3,3,3),'Leave log'!$F$7:$F$306,"Pending")&gt;0,"P",""))))</f>
        <v/>
      </c>
      <c r="E91" s="23" t="str">
        <f>IF(A91="","",IF(IF(OR(DATE($B$3,3,4)&gt;EOMONTH(DATE($B$3,3,1),0),NETWORKDAYS.INTL(DATE($B$3,3,4),DATE($B$3,3,4),1,'Non-working days'!$A$6:$A$45)=0),"",IF(COUNTIFS('Leave log'!$A$7:$A$306,Employees!$A$22,'Leave log'!$B$7:$B$306,"&lt;="&amp;DATE($B$3,3,4),'Leave log'!$C$7:$C$306,"&gt;="&amp;DATE($B$3,3,4),'Leave log'!$F$7:$F$306,"Approved")&gt;0,"A",""))="A","A",IF(OR(DATE($B$3,3,4)&gt;EOMONTH(DATE($B$3,3,1),0),NETWORKDAYS.INTL(DATE($B$3,3,4),DATE($B$3,3,4),1,'Non-working days'!$A$6:$A$45)=0),"",IF(COUNTIFS('Leave log'!$A$7:$A$306,Employees!$A$22,'Leave log'!$B$7:$B$306,"&lt;="&amp;DATE($B$3,3,4),'Leave log'!$C$7:$C$306,"&gt;="&amp;DATE($B$3,3,4),'Leave log'!$F$7:$F$306,"Pending")&gt;0,"P",""))))</f>
        <v/>
      </c>
      <c r="F91" s="23" t="str">
        <f>IF(A91="","",IF(IF(OR(DATE($B$3,3,5)&gt;EOMONTH(DATE($B$3,3,1),0),NETWORKDAYS.INTL(DATE($B$3,3,5),DATE($B$3,3,5),1,'Non-working days'!$A$6:$A$45)=0),"",IF(COUNTIFS('Leave log'!$A$7:$A$306,Employees!$A$22,'Leave log'!$B$7:$B$306,"&lt;="&amp;DATE($B$3,3,5),'Leave log'!$C$7:$C$306,"&gt;="&amp;DATE($B$3,3,5),'Leave log'!$F$7:$F$306,"Approved")&gt;0,"A",""))="A","A",IF(OR(DATE($B$3,3,5)&gt;EOMONTH(DATE($B$3,3,1),0),NETWORKDAYS.INTL(DATE($B$3,3,5),DATE($B$3,3,5),1,'Non-working days'!$A$6:$A$45)=0),"",IF(COUNTIFS('Leave log'!$A$7:$A$306,Employees!$A$22,'Leave log'!$B$7:$B$306,"&lt;="&amp;DATE($B$3,3,5),'Leave log'!$C$7:$C$306,"&gt;="&amp;DATE($B$3,3,5),'Leave log'!$F$7:$F$306,"Pending")&gt;0,"P",""))))</f>
        <v/>
      </c>
      <c r="G91" s="23" t="str">
        <f>IF(A91="","",IF(IF(OR(DATE($B$3,3,6)&gt;EOMONTH(DATE($B$3,3,1),0),NETWORKDAYS.INTL(DATE($B$3,3,6),DATE($B$3,3,6),1,'Non-working days'!$A$6:$A$45)=0),"",IF(COUNTIFS('Leave log'!$A$7:$A$306,Employees!$A$22,'Leave log'!$B$7:$B$306,"&lt;="&amp;DATE($B$3,3,6),'Leave log'!$C$7:$C$306,"&gt;="&amp;DATE($B$3,3,6),'Leave log'!$F$7:$F$306,"Approved")&gt;0,"A",""))="A","A",IF(OR(DATE($B$3,3,6)&gt;EOMONTH(DATE($B$3,3,1),0),NETWORKDAYS.INTL(DATE($B$3,3,6),DATE($B$3,3,6),1,'Non-working days'!$A$6:$A$45)=0),"",IF(COUNTIFS('Leave log'!$A$7:$A$306,Employees!$A$22,'Leave log'!$B$7:$B$306,"&lt;="&amp;DATE($B$3,3,6),'Leave log'!$C$7:$C$306,"&gt;="&amp;DATE($B$3,3,6),'Leave log'!$F$7:$F$306,"Pending")&gt;0,"P",""))))</f>
        <v/>
      </c>
      <c r="H91" s="23" t="str">
        <f>IF(A91="","",IF(IF(OR(DATE($B$3,3,7)&gt;EOMONTH(DATE($B$3,3,1),0),NETWORKDAYS.INTL(DATE($B$3,3,7),DATE($B$3,3,7),1,'Non-working days'!$A$6:$A$45)=0),"",IF(COUNTIFS('Leave log'!$A$7:$A$306,Employees!$A$22,'Leave log'!$B$7:$B$306,"&lt;="&amp;DATE($B$3,3,7),'Leave log'!$C$7:$C$306,"&gt;="&amp;DATE($B$3,3,7),'Leave log'!$F$7:$F$306,"Approved")&gt;0,"A",""))="A","A",IF(OR(DATE($B$3,3,7)&gt;EOMONTH(DATE($B$3,3,1),0),NETWORKDAYS.INTL(DATE($B$3,3,7),DATE($B$3,3,7),1,'Non-working days'!$A$6:$A$45)=0),"",IF(COUNTIFS('Leave log'!$A$7:$A$306,Employees!$A$22,'Leave log'!$B$7:$B$306,"&lt;="&amp;DATE($B$3,3,7),'Leave log'!$C$7:$C$306,"&gt;="&amp;DATE($B$3,3,7),'Leave log'!$F$7:$F$306,"Pending")&gt;0,"P",""))))</f>
        <v/>
      </c>
      <c r="I91" s="23" t="str">
        <f>IF(A91="","",IF(IF(OR(DATE($B$3,3,8)&gt;EOMONTH(DATE($B$3,3,1),0),NETWORKDAYS.INTL(DATE($B$3,3,8),DATE($B$3,3,8),1,'Non-working days'!$A$6:$A$45)=0),"",IF(COUNTIFS('Leave log'!$A$7:$A$306,Employees!$A$22,'Leave log'!$B$7:$B$306,"&lt;="&amp;DATE($B$3,3,8),'Leave log'!$C$7:$C$306,"&gt;="&amp;DATE($B$3,3,8),'Leave log'!$F$7:$F$306,"Approved")&gt;0,"A",""))="A","A",IF(OR(DATE($B$3,3,8)&gt;EOMONTH(DATE($B$3,3,1),0),NETWORKDAYS.INTL(DATE($B$3,3,8),DATE($B$3,3,8),1,'Non-working days'!$A$6:$A$45)=0),"",IF(COUNTIFS('Leave log'!$A$7:$A$306,Employees!$A$22,'Leave log'!$B$7:$B$306,"&lt;="&amp;DATE($B$3,3,8),'Leave log'!$C$7:$C$306,"&gt;="&amp;DATE($B$3,3,8),'Leave log'!$F$7:$F$306,"Pending")&gt;0,"P",""))))</f>
        <v/>
      </c>
      <c r="J91" s="23" t="str">
        <f>IF(A91="","",IF(IF(OR(DATE($B$3,3,9)&gt;EOMONTH(DATE($B$3,3,1),0),NETWORKDAYS.INTL(DATE($B$3,3,9),DATE($B$3,3,9),1,'Non-working days'!$A$6:$A$45)=0),"",IF(COUNTIFS('Leave log'!$A$7:$A$306,Employees!$A$22,'Leave log'!$B$7:$B$306,"&lt;="&amp;DATE($B$3,3,9),'Leave log'!$C$7:$C$306,"&gt;="&amp;DATE($B$3,3,9),'Leave log'!$F$7:$F$306,"Approved")&gt;0,"A",""))="A","A",IF(OR(DATE($B$3,3,9)&gt;EOMONTH(DATE($B$3,3,1),0),NETWORKDAYS.INTL(DATE($B$3,3,9),DATE($B$3,3,9),1,'Non-working days'!$A$6:$A$45)=0),"",IF(COUNTIFS('Leave log'!$A$7:$A$306,Employees!$A$22,'Leave log'!$B$7:$B$306,"&lt;="&amp;DATE($B$3,3,9),'Leave log'!$C$7:$C$306,"&gt;="&amp;DATE($B$3,3,9),'Leave log'!$F$7:$F$306,"Pending")&gt;0,"P",""))))</f>
        <v/>
      </c>
      <c r="K91" s="23" t="str">
        <f>IF(A91="","",IF(IF(OR(DATE($B$3,3,10)&gt;EOMONTH(DATE($B$3,3,1),0),NETWORKDAYS.INTL(DATE($B$3,3,10),DATE($B$3,3,10),1,'Non-working days'!$A$6:$A$45)=0),"",IF(COUNTIFS('Leave log'!$A$7:$A$306,Employees!$A$22,'Leave log'!$B$7:$B$306,"&lt;="&amp;DATE($B$3,3,10),'Leave log'!$C$7:$C$306,"&gt;="&amp;DATE($B$3,3,10),'Leave log'!$F$7:$F$306,"Approved")&gt;0,"A",""))="A","A",IF(OR(DATE($B$3,3,10)&gt;EOMONTH(DATE($B$3,3,1),0),NETWORKDAYS.INTL(DATE($B$3,3,10),DATE($B$3,3,10),1,'Non-working days'!$A$6:$A$45)=0),"",IF(COUNTIFS('Leave log'!$A$7:$A$306,Employees!$A$22,'Leave log'!$B$7:$B$306,"&lt;="&amp;DATE($B$3,3,10),'Leave log'!$C$7:$C$306,"&gt;="&amp;DATE($B$3,3,10),'Leave log'!$F$7:$F$306,"Pending")&gt;0,"P",""))))</f>
        <v/>
      </c>
      <c r="L91" s="23" t="str">
        <f>IF(A91="","",IF(IF(OR(DATE($B$3,3,11)&gt;EOMONTH(DATE($B$3,3,1),0),NETWORKDAYS.INTL(DATE($B$3,3,11),DATE($B$3,3,11),1,'Non-working days'!$A$6:$A$45)=0),"",IF(COUNTIFS('Leave log'!$A$7:$A$306,Employees!$A$22,'Leave log'!$B$7:$B$306,"&lt;="&amp;DATE($B$3,3,11),'Leave log'!$C$7:$C$306,"&gt;="&amp;DATE($B$3,3,11),'Leave log'!$F$7:$F$306,"Approved")&gt;0,"A",""))="A","A",IF(OR(DATE($B$3,3,11)&gt;EOMONTH(DATE($B$3,3,1),0),NETWORKDAYS.INTL(DATE($B$3,3,11),DATE($B$3,3,11),1,'Non-working days'!$A$6:$A$45)=0),"",IF(COUNTIFS('Leave log'!$A$7:$A$306,Employees!$A$22,'Leave log'!$B$7:$B$306,"&lt;="&amp;DATE($B$3,3,11),'Leave log'!$C$7:$C$306,"&gt;="&amp;DATE($B$3,3,11),'Leave log'!$F$7:$F$306,"Pending")&gt;0,"P",""))))</f>
        <v/>
      </c>
      <c r="M91" s="23" t="str">
        <f>IF(A91="","",IF(IF(OR(DATE($B$3,3,12)&gt;EOMONTH(DATE($B$3,3,1),0),NETWORKDAYS.INTL(DATE($B$3,3,12),DATE($B$3,3,12),1,'Non-working days'!$A$6:$A$45)=0),"",IF(COUNTIFS('Leave log'!$A$7:$A$306,Employees!$A$22,'Leave log'!$B$7:$B$306,"&lt;="&amp;DATE($B$3,3,12),'Leave log'!$C$7:$C$306,"&gt;="&amp;DATE($B$3,3,12),'Leave log'!$F$7:$F$306,"Approved")&gt;0,"A",""))="A","A",IF(OR(DATE($B$3,3,12)&gt;EOMONTH(DATE($B$3,3,1),0),NETWORKDAYS.INTL(DATE($B$3,3,12),DATE($B$3,3,12),1,'Non-working days'!$A$6:$A$45)=0),"",IF(COUNTIFS('Leave log'!$A$7:$A$306,Employees!$A$22,'Leave log'!$B$7:$B$306,"&lt;="&amp;DATE($B$3,3,12),'Leave log'!$C$7:$C$306,"&gt;="&amp;DATE($B$3,3,12),'Leave log'!$F$7:$F$306,"Pending")&gt;0,"P",""))))</f>
        <v/>
      </c>
      <c r="N91" s="23" t="str">
        <f>IF(A91="","",IF(IF(OR(DATE($B$3,3,13)&gt;EOMONTH(DATE($B$3,3,1),0),NETWORKDAYS.INTL(DATE($B$3,3,13),DATE($B$3,3,13),1,'Non-working days'!$A$6:$A$45)=0),"",IF(COUNTIFS('Leave log'!$A$7:$A$306,Employees!$A$22,'Leave log'!$B$7:$B$306,"&lt;="&amp;DATE($B$3,3,13),'Leave log'!$C$7:$C$306,"&gt;="&amp;DATE($B$3,3,13),'Leave log'!$F$7:$F$306,"Approved")&gt;0,"A",""))="A","A",IF(OR(DATE($B$3,3,13)&gt;EOMONTH(DATE($B$3,3,1),0),NETWORKDAYS.INTL(DATE($B$3,3,13),DATE($B$3,3,13),1,'Non-working days'!$A$6:$A$45)=0),"",IF(COUNTIFS('Leave log'!$A$7:$A$306,Employees!$A$22,'Leave log'!$B$7:$B$306,"&lt;="&amp;DATE($B$3,3,13),'Leave log'!$C$7:$C$306,"&gt;="&amp;DATE($B$3,3,13),'Leave log'!$F$7:$F$306,"Pending")&gt;0,"P",""))))</f>
        <v/>
      </c>
      <c r="O91" s="23" t="str">
        <f>IF(A91="","",IF(IF(OR(DATE($B$3,3,14)&gt;EOMONTH(DATE($B$3,3,1),0),NETWORKDAYS.INTL(DATE($B$3,3,14),DATE($B$3,3,14),1,'Non-working days'!$A$6:$A$45)=0),"",IF(COUNTIFS('Leave log'!$A$7:$A$306,Employees!$A$22,'Leave log'!$B$7:$B$306,"&lt;="&amp;DATE($B$3,3,14),'Leave log'!$C$7:$C$306,"&gt;="&amp;DATE($B$3,3,14),'Leave log'!$F$7:$F$306,"Approved")&gt;0,"A",""))="A","A",IF(OR(DATE($B$3,3,14)&gt;EOMONTH(DATE($B$3,3,1),0),NETWORKDAYS.INTL(DATE($B$3,3,14),DATE($B$3,3,14),1,'Non-working days'!$A$6:$A$45)=0),"",IF(COUNTIFS('Leave log'!$A$7:$A$306,Employees!$A$22,'Leave log'!$B$7:$B$306,"&lt;="&amp;DATE($B$3,3,14),'Leave log'!$C$7:$C$306,"&gt;="&amp;DATE($B$3,3,14),'Leave log'!$F$7:$F$306,"Pending")&gt;0,"P",""))))</f>
        <v/>
      </c>
      <c r="P91" s="23" t="str">
        <f>IF(A91="","",IF(IF(OR(DATE($B$3,3,15)&gt;EOMONTH(DATE($B$3,3,1),0),NETWORKDAYS.INTL(DATE($B$3,3,15),DATE($B$3,3,15),1,'Non-working days'!$A$6:$A$45)=0),"",IF(COUNTIFS('Leave log'!$A$7:$A$306,Employees!$A$22,'Leave log'!$B$7:$B$306,"&lt;="&amp;DATE($B$3,3,15),'Leave log'!$C$7:$C$306,"&gt;="&amp;DATE($B$3,3,15),'Leave log'!$F$7:$F$306,"Approved")&gt;0,"A",""))="A","A",IF(OR(DATE($B$3,3,15)&gt;EOMONTH(DATE($B$3,3,1),0),NETWORKDAYS.INTL(DATE($B$3,3,15),DATE($B$3,3,15),1,'Non-working days'!$A$6:$A$45)=0),"",IF(COUNTIFS('Leave log'!$A$7:$A$306,Employees!$A$22,'Leave log'!$B$7:$B$306,"&lt;="&amp;DATE($B$3,3,15),'Leave log'!$C$7:$C$306,"&gt;="&amp;DATE($B$3,3,15),'Leave log'!$F$7:$F$306,"Pending")&gt;0,"P",""))))</f>
        <v/>
      </c>
      <c r="Q91" s="23" t="str">
        <f>IF(A91="","",IF(IF(OR(DATE($B$3,3,16)&gt;EOMONTH(DATE($B$3,3,1),0),NETWORKDAYS.INTL(DATE($B$3,3,16),DATE($B$3,3,16),1,'Non-working days'!$A$6:$A$45)=0),"",IF(COUNTIFS('Leave log'!$A$7:$A$306,Employees!$A$22,'Leave log'!$B$7:$B$306,"&lt;="&amp;DATE($B$3,3,16),'Leave log'!$C$7:$C$306,"&gt;="&amp;DATE($B$3,3,16),'Leave log'!$F$7:$F$306,"Approved")&gt;0,"A",""))="A","A",IF(OR(DATE($B$3,3,16)&gt;EOMONTH(DATE($B$3,3,1),0),NETWORKDAYS.INTL(DATE($B$3,3,16),DATE($B$3,3,16),1,'Non-working days'!$A$6:$A$45)=0),"",IF(COUNTIFS('Leave log'!$A$7:$A$306,Employees!$A$22,'Leave log'!$B$7:$B$306,"&lt;="&amp;DATE($B$3,3,16),'Leave log'!$C$7:$C$306,"&gt;="&amp;DATE($B$3,3,16),'Leave log'!$F$7:$F$306,"Pending")&gt;0,"P",""))))</f>
        <v/>
      </c>
      <c r="R91" s="23" t="str">
        <f>IF(A91="","",IF(IF(OR(DATE($B$3,3,17)&gt;EOMONTH(DATE($B$3,3,1),0),NETWORKDAYS.INTL(DATE($B$3,3,17),DATE($B$3,3,17),1,'Non-working days'!$A$6:$A$45)=0),"",IF(COUNTIFS('Leave log'!$A$7:$A$306,Employees!$A$22,'Leave log'!$B$7:$B$306,"&lt;="&amp;DATE($B$3,3,17),'Leave log'!$C$7:$C$306,"&gt;="&amp;DATE($B$3,3,17),'Leave log'!$F$7:$F$306,"Approved")&gt;0,"A",""))="A","A",IF(OR(DATE($B$3,3,17)&gt;EOMONTH(DATE($B$3,3,1),0),NETWORKDAYS.INTL(DATE($B$3,3,17),DATE($B$3,3,17),1,'Non-working days'!$A$6:$A$45)=0),"",IF(COUNTIFS('Leave log'!$A$7:$A$306,Employees!$A$22,'Leave log'!$B$7:$B$306,"&lt;="&amp;DATE($B$3,3,17),'Leave log'!$C$7:$C$306,"&gt;="&amp;DATE($B$3,3,17),'Leave log'!$F$7:$F$306,"Pending")&gt;0,"P",""))))</f>
        <v/>
      </c>
      <c r="S91" s="23" t="str">
        <f>IF(A91="","",IF(IF(OR(DATE($B$3,3,18)&gt;EOMONTH(DATE($B$3,3,1),0),NETWORKDAYS.INTL(DATE($B$3,3,18),DATE($B$3,3,18),1,'Non-working days'!$A$6:$A$45)=0),"",IF(COUNTIFS('Leave log'!$A$7:$A$306,Employees!$A$22,'Leave log'!$B$7:$B$306,"&lt;="&amp;DATE($B$3,3,18),'Leave log'!$C$7:$C$306,"&gt;="&amp;DATE($B$3,3,18),'Leave log'!$F$7:$F$306,"Approved")&gt;0,"A",""))="A","A",IF(OR(DATE($B$3,3,18)&gt;EOMONTH(DATE($B$3,3,1),0),NETWORKDAYS.INTL(DATE($B$3,3,18),DATE($B$3,3,18),1,'Non-working days'!$A$6:$A$45)=0),"",IF(COUNTIFS('Leave log'!$A$7:$A$306,Employees!$A$22,'Leave log'!$B$7:$B$306,"&lt;="&amp;DATE($B$3,3,18),'Leave log'!$C$7:$C$306,"&gt;="&amp;DATE($B$3,3,18),'Leave log'!$F$7:$F$306,"Pending")&gt;0,"P",""))))</f>
        <v/>
      </c>
      <c r="T91" s="23" t="str">
        <f>IF(A91="","",IF(IF(OR(DATE($B$3,3,19)&gt;EOMONTH(DATE($B$3,3,1),0),NETWORKDAYS.INTL(DATE($B$3,3,19),DATE($B$3,3,19),1,'Non-working days'!$A$6:$A$45)=0),"",IF(COUNTIFS('Leave log'!$A$7:$A$306,Employees!$A$22,'Leave log'!$B$7:$B$306,"&lt;="&amp;DATE($B$3,3,19),'Leave log'!$C$7:$C$306,"&gt;="&amp;DATE($B$3,3,19),'Leave log'!$F$7:$F$306,"Approved")&gt;0,"A",""))="A","A",IF(OR(DATE($B$3,3,19)&gt;EOMONTH(DATE($B$3,3,1),0),NETWORKDAYS.INTL(DATE($B$3,3,19),DATE($B$3,3,19),1,'Non-working days'!$A$6:$A$45)=0),"",IF(COUNTIFS('Leave log'!$A$7:$A$306,Employees!$A$22,'Leave log'!$B$7:$B$306,"&lt;="&amp;DATE($B$3,3,19),'Leave log'!$C$7:$C$306,"&gt;="&amp;DATE($B$3,3,19),'Leave log'!$F$7:$F$306,"Pending")&gt;0,"P",""))))</f>
        <v/>
      </c>
      <c r="U91" s="23" t="str">
        <f>IF(A91="","",IF(IF(OR(DATE($B$3,3,20)&gt;EOMONTH(DATE($B$3,3,1),0),NETWORKDAYS.INTL(DATE($B$3,3,20),DATE($B$3,3,20),1,'Non-working days'!$A$6:$A$45)=0),"",IF(COUNTIFS('Leave log'!$A$7:$A$306,Employees!$A$22,'Leave log'!$B$7:$B$306,"&lt;="&amp;DATE($B$3,3,20),'Leave log'!$C$7:$C$306,"&gt;="&amp;DATE($B$3,3,20),'Leave log'!$F$7:$F$306,"Approved")&gt;0,"A",""))="A","A",IF(OR(DATE($B$3,3,20)&gt;EOMONTH(DATE($B$3,3,1),0),NETWORKDAYS.INTL(DATE($B$3,3,20),DATE($B$3,3,20),1,'Non-working days'!$A$6:$A$45)=0),"",IF(COUNTIFS('Leave log'!$A$7:$A$306,Employees!$A$22,'Leave log'!$B$7:$B$306,"&lt;="&amp;DATE($B$3,3,20),'Leave log'!$C$7:$C$306,"&gt;="&amp;DATE($B$3,3,20),'Leave log'!$F$7:$F$306,"Pending")&gt;0,"P",""))))</f>
        <v/>
      </c>
      <c r="V91" s="23" t="str">
        <f>IF(A91="","",IF(IF(OR(DATE($B$3,3,21)&gt;EOMONTH(DATE($B$3,3,1),0),NETWORKDAYS.INTL(DATE($B$3,3,21),DATE($B$3,3,21),1,'Non-working days'!$A$6:$A$45)=0),"",IF(COUNTIFS('Leave log'!$A$7:$A$306,Employees!$A$22,'Leave log'!$B$7:$B$306,"&lt;="&amp;DATE($B$3,3,21),'Leave log'!$C$7:$C$306,"&gt;="&amp;DATE($B$3,3,21),'Leave log'!$F$7:$F$306,"Approved")&gt;0,"A",""))="A","A",IF(OR(DATE($B$3,3,21)&gt;EOMONTH(DATE($B$3,3,1),0),NETWORKDAYS.INTL(DATE($B$3,3,21),DATE($B$3,3,21),1,'Non-working days'!$A$6:$A$45)=0),"",IF(COUNTIFS('Leave log'!$A$7:$A$306,Employees!$A$22,'Leave log'!$B$7:$B$306,"&lt;="&amp;DATE($B$3,3,21),'Leave log'!$C$7:$C$306,"&gt;="&amp;DATE($B$3,3,21),'Leave log'!$F$7:$F$306,"Pending")&gt;0,"P",""))))</f>
        <v/>
      </c>
      <c r="W91" s="23" t="str">
        <f>IF(A91="","",IF(IF(OR(DATE($B$3,3,22)&gt;EOMONTH(DATE($B$3,3,1),0),NETWORKDAYS.INTL(DATE($B$3,3,22),DATE($B$3,3,22),1,'Non-working days'!$A$6:$A$45)=0),"",IF(COUNTIFS('Leave log'!$A$7:$A$306,Employees!$A$22,'Leave log'!$B$7:$B$306,"&lt;="&amp;DATE($B$3,3,22),'Leave log'!$C$7:$C$306,"&gt;="&amp;DATE($B$3,3,22),'Leave log'!$F$7:$F$306,"Approved")&gt;0,"A",""))="A","A",IF(OR(DATE($B$3,3,22)&gt;EOMONTH(DATE($B$3,3,1),0),NETWORKDAYS.INTL(DATE($B$3,3,22),DATE($B$3,3,22),1,'Non-working days'!$A$6:$A$45)=0),"",IF(COUNTIFS('Leave log'!$A$7:$A$306,Employees!$A$22,'Leave log'!$B$7:$B$306,"&lt;="&amp;DATE($B$3,3,22),'Leave log'!$C$7:$C$306,"&gt;="&amp;DATE($B$3,3,22),'Leave log'!$F$7:$F$306,"Pending")&gt;0,"P",""))))</f>
        <v/>
      </c>
      <c r="X91" s="23" t="str">
        <f>IF(A91="","",IF(IF(OR(DATE($B$3,3,23)&gt;EOMONTH(DATE($B$3,3,1),0),NETWORKDAYS.INTL(DATE($B$3,3,23),DATE($B$3,3,23),1,'Non-working days'!$A$6:$A$45)=0),"",IF(COUNTIFS('Leave log'!$A$7:$A$306,Employees!$A$22,'Leave log'!$B$7:$B$306,"&lt;="&amp;DATE($B$3,3,23),'Leave log'!$C$7:$C$306,"&gt;="&amp;DATE($B$3,3,23),'Leave log'!$F$7:$F$306,"Approved")&gt;0,"A",""))="A","A",IF(OR(DATE($B$3,3,23)&gt;EOMONTH(DATE($B$3,3,1),0),NETWORKDAYS.INTL(DATE($B$3,3,23),DATE($B$3,3,23),1,'Non-working days'!$A$6:$A$45)=0),"",IF(COUNTIFS('Leave log'!$A$7:$A$306,Employees!$A$22,'Leave log'!$B$7:$B$306,"&lt;="&amp;DATE($B$3,3,23),'Leave log'!$C$7:$C$306,"&gt;="&amp;DATE($B$3,3,23),'Leave log'!$F$7:$F$306,"Pending")&gt;0,"P",""))))</f>
        <v/>
      </c>
      <c r="Y91" s="23" t="str">
        <f>IF(A91="","",IF(IF(OR(DATE($B$3,3,24)&gt;EOMONTH(DATE($B$3,3,1),0),NETWORKDAYS.INTL(DATE($B$3,3,24),DATE($B$3,3,24),1,'Non-working days'!$A$6:$A$45)=0),"",IF(COUNTIFS('Leave log'!$A$7:$A$306,Employees!$A$22,'Leave log'!$B$7:$B$306,"&lt;="&amp;DATE($B$3,3,24),'Leave log'!$C$7:$C$306,"&gt;="&amp;DATE($B$3,3,24),'Leave log'!$F$7:$F$306,"Approved")&gt;0,"A",""))="A","A",IF(OR(DATE($B$3,3,24)&gt;EOMONTH(DATE($B$3,3,1),0),NETWORKDAYS.INTL(DATE($B$3,3,24),DATE($B$3,3,24),1,'Non-working days'!$A$6:$A$45)=0),"",IF(COUNTIFS('Leave log'!$A$7:$A$306,Employees!$A$22,'Leave log'!$B$7:$B$306,"&lt;="&amp;DATE($B$3,3,24),'Leave log'!$C$7:$C$306,"&gt;="&amp;DATE($B$3,3,24),'Leave log'!$F$7:$F$306,"Pending")&gt;0,"P",""))))</f>
        <v/>
      </c>
      <c r="Z91" s="23" t="str">
        <f>IF(A91="","",IF(IF(OR(DATE($B$3,3,25)&gt;EOMONTH(DATE($B$3,3,1),0),NETWORKDAYS.INTL(DATE($B$3,3,25),DATE($B$3,3,25),1,'Non-working days'!$A$6:$A$45)=0),"",IF(COUNTIFS('Leave log'!$A$7:$A$306,Employees!$A$22,'Leave log'!$B$7:$B$306,"&lt;="&amp;DATE($B$3,3,25),'Leave log'!$C$7:$C$306,"&gt;="&amp;DATE($B$3,3,25),'Leave log'!$F$7:$F$306,"Approved")&gt;0,"A",""))="A","A",IF(OR(DATE($B$3,3,25)&gt;EOMONTH(DATE($B$3,3,1),0),NETWORKDAYS.INTL(DATE($B$3,3,25),DATE($B$3,3,25),1,'Non-working days'!$A$6:$A$45)=0),"",IF(COUNTIFS('Leave log'!$A$7:$A$306,Employees!$A$22,'Leave log'!$B$7:$B$306,"&lt;="&amp;DATE($B$3,3,25),'Leave log'!$C$7:$C$306,"&gt;="&amp;DATE($B$3,3,25),'Leave log'!$F$7:$F$306,"Pending")&gt;0,"P",""))))</f>
        <v/>
      </c>
      <c r="AA91" s="23" t="str">
        <f>IF(A91="","",IF(IF(OR(DATE($B$3,3,26)&gt;EOMONTH(DATE($B$3,3,1),0),NETWORKDAYS.INTL(DATE($B$3,3,26),DATE($B$3,3,26),1,'Non-working days'!$A$6:$A$45)=0),"",IF(COUNTIFS('Leave log'!$A$7:$A$306,Employees!$A$22,'Leave log'!$B$7:$B$306,"&lt;="&amp;DATE($B$3,3,26),'Leave log'!$C$7:$C$306,"&gt;="&amp;DATE($B$3,3,26),'Leave log'!$F$7:$F$306,"Approved")&gt;0,"A",""))="A","A",IF(OR(DATE($B$3,3,26)&gt;EOMONTH(DATE($B$3,3,1),0),NETWORKDAYS.INTL(DATE($B$3,3,26),DATE($B$3,3,26),1,'Non-working days'!$A$6:$A$45)=0),"",IF(COUNTIFS('Leave log'!$A$7:$A$306,Employees!$A$22,'Leave log'!$B$7:$B$306,"&lt;="&amp;DATE($B$3,3,26),'Leave log'!$C$7:$C$306,"&gt;="&amp;DATE($B$3,3,26),'Leave log'!$F$7:$F$306,"Pending")&gt;0,"P",""))))</f>
        <v/>
      </c>
      <c r="AB91" s="23" t="str">
        <f>IF(A91="","",IF(IF(OR(DATE($B$3,3,27)&gt;EOMONTH(DATE($B$3,3,1),0),NETWORKDAYS.INTL(DATE($B$3,3,27),DATE($B$3,3,27),1,'Non-working days'!$A$6:$A$45)=0),"",IF(COUNTIFS('Leave log'!$A$7:$A$306,Employees!$A$22,'Leave log'!$B$7:$B$306,"&lt;="&amp;DATE($B$3,3,27),'Leave log'!$C$7:$C$306,"&gt;="&amp;DATE($B$3,3,27),'Leave log'!$F$7:$F$306,"Approved")&gt;0,"A",""))="A","A",IF(OR(DATE($B$3,3,27)&gt;EOMONTH(DATE($B$3,3,1),0),NETWORKDAYS.INTL(DATE($B$3,3,27),DATE($B$3,3,27),1,'Non-working days'!$A$6:$A$45)=0),"",IF(COUNTIFS('Leave log'!$A$7:$A$306,Employees!$A$22,'Leave log'!$B$7:$B$306,"&lt;="&amp;DATE($B$3,3,27),'Leave log'!$C$7:$C$306,"&gt;="&amp;DATE($B$3,3,27),'Leave log'!$F$7:$F$306,"Pending")&gt;0,"P",""))))</f>
        <v/>
      </c>
      <c r="AC91" s="23" t="str">
        <f>IF(A91="","",IF(IF(OR(DATE($B$3,3,28)&gt;EOMONTH(DATE($B$3,3,1),0),NETWORKDAYS.INTL(DATE($B$3,3,28),DATE($B$3,3,28),1,'Non-working days'!$A$6:$A$45)=0),"",IF(COUNTIFS('Leave log'!$A$7:$A$306,Employees!$A$22,'Leave log'!$B$7:$B$306,"&lt;="&amp;DATE($B$3,3,28),'Leave log'!$C$7:$C$306,"&gt;="&amp;DATE($B$3,3,28),'Leave log'!$F$7:$F$306,"Approved")&gt;0,"A",""))="A","A",IF(OR(DATE($B$3,3,28)&gt;EOMONTH(DATE($B$3,3,1),0),NETWORKDAYS.INTL(DATE($B$3,3,28),DATE($B$3,3,28),1,'Non-working days'!$A$6:$A$45)=0),"",IF(COUNTIFS('Leave log'!$A$7:$A$306,Employees!$A$22,'Leave log'!$B$7:$B$306,"&lt;="&amp;DATE($B$3,3,28),'Leave log'!$C$7:$C$306,"&gt;="&amp;DATE($B$3,3,28),'Leave log'!$F$7:$F$306,"Pending")&gt;0,"P",""))))</f>
        <v/>
      </c>
      <c r="AD91" s="23" t="str">
        <f>IF(A91="","",IF(IF(OR(DATE($B$3,3,29)&gt;EOMONTH(DATE($B$3,3,1),0),NETWORKDAYS.INTL(DATE($B$3,3,29),DATE($B$3,3,29),1,'Non-working days'!$A$6:$A$45)=0),"",IF(COUNTIFS('Leave log'!$A$7:$A$306,Employees!$A$22,'Leave log'!$B$7:$B$306,"&lt;="&amp;DATE($B$3,3,29),'Leave log'!$C$7:$C$306,"&gt;="&amp;DATE($B$3,3,29),'Leave log'!$F$7:$F$306,"Approved")&gt;0,"A",""))="A","A",IF(OR(DATE($B$3,3,29)&gt;EOMONTH(DATE($B$3,3,1),0),NETWORKDAYS.INTL(DATE($B$3,3,29),DATE($B$3,3,29),1,'Non-working days'!$A$6:$A$45)=0),"",IF(COUNTIFS('Leave log'!$A$7:$A$306,Employees!$A$22,'Leave log'!$B$7:$B$306,"&lt;="&amp;DATE($B$3,3,29),'Leave log'!$C$7:$C$306,"&gt;="&amp;DATE($B$3,3,29),'Leave log'!$F$7:$F$306,"Pending")&gt;0,"P",""))))</f>
        <v/>
      </c>
      <c r="AE91" s="23" t="str">
        <f>IF(A91="","",IF(IF(OR(DATE($B$3,3,30)&gt;EOMONTH(DATE($B$3,3,1),0),NETWORKDAYS.INTL(DATE($B$3,3,30),DATE($B$3,3,30),1,'Non-working days'!$A$6:$A$45)=0),"",IF(COUNTIFS('Leave log'!$A$7:$A$306,Employees!$A$22,'Leave log'!$B$7:$B$306,"&lt;="&amp;DATE($B$3,3,30),'Leave log'!$C$7:$C$306,"&gt;="&amp;DATE($B$3,3,30),'Leave log'!$F$7:$F$306,"Approved")&gt;0,"A",""))="A","A",IF(OR(DATE($B$3,3,30)&gt;EOMONTH(DATE($B$3,3,1),0),NETWORKDAYS.INTL(DATE($B$3,3,30),DATE($B$3,3,30),1,'Non-working days'!$A$6:$A$45)=0),"",IF(COUNTIFS('Leave log'!$A$7:$A$306,Employees!$A$22,'Leave log'!$B$7:$B$306,"&lt;="&amp;DATE($B$3,3,30),'Leave log'!$C$7:$C$306,"&gt;="&amp;DATE($B$3,3,30),'Leave log'!$F$7:$F$306,"Pending")&gt;0,"P",""))))</f>
        <v/>
      </c>
      <c r="AF91" s="23" t="str">
        <f>IF(A91="","",IF(IF(OR(DATE($B$3,3,31)&gt;EOMONTH(DATE($B$3,3,1),0),NETWORKDAYS.INTL(DATE($B$3,3,31),DATE($B$3,3,31),1,'Non-working days'!$A$6:$A$45)=0),"",IF(COUNTIFS('Leave log'!$A$7:$A$306,Employees!$A$22,'Leave log'!$B$7:$B$306,"&lt;="&amp;DATE($B$3,3,31),'Leave log'!$C$7:$C$306,"&gt;="&amp;DATE($B$3,3,31),'Leave log'!$F$7:$F$306,"Approved")&gt;0,"A",""))="A","A",IF(OR(DATE($B$3,3,31)&gt;EOMONTH(DATE($B$3,3,1),0),NETWORKDAYS.INTL(DATE($B$3,3,31),DATE($B$3,3,31),1,'Non-working days'!$A$6:$A$45)=0),"",IF(COUNTIFS('Leave log'!$A$7:$A$306,Employees!$A$22,'Leave log'!$B$7:$B$306,"&lt;="&amp;DATE($B$3,3,31),'Leave log'!$C$7:$C$306,"&gt;="&amp;DATE($B$3,3,31),'Leave log'!$F$7:$F$306,"Pending")&gt;0,"P",""))))</f>
        <v/>
      </c>
    </row>
    <row r="92" spans="1:32" ht="18" customHeight="1" x14ac:dyDescent="0.3">
      <c r="A92" s="22" t="str">
        <f>IF(Employees!F23="Yes",Employees!B23,"")</f>
        <v/>
      </c>
      <c r="B92" s="23" t="str">
        <f>IF(A92="","",IF(IF(OR(DATE($B$3,3,1)&gt;EOMONTH(DATE($B$3,3,1),0),NETWORKDAYS.INTL(DATE($B$3,3,1),DATE($B$3,3,1),1,'Non-working days'!$A$6:$A$45)=0),"",IF(COUNTIFS('Leave log'!$A$7:$A$306,Employees!$A$23,'Leave log'!$B$7:$B$306,"&lt;="&amp;DATE($B$3,3,1),'Leave log'!$C$7:$C$306,"&gt;="&amp;DATE($B$3,3,1),'Leave log'!$F$7:$F$306,"Approved")&gt;0,"A",""))="A","A",IF(OR(DATE($B$3,3,1)&gt;EOMONTH(DATE($B$3,3,1),0),NETWORKDAYS.INTL(DATE($B$3,3,1),DATE($B$3,3,1),1,'Non-working days'!$A$6:$A$45)=0),"",IF(COUNTIFS('Leave log'!$A$7:$A$306,Employees!$A$23,'Leave log'!$B$7:$B$306,"&lt;="&amp;DATE($B$3,3,1),'Leave log'!$C$7:$C$306,"&gt;="&amp;DATE($B$3,3,1),'Leave log'!$F$7:$F$306,"Pending")&gt;0,"P",""))))</f>
        <v/>
      </c>
      <c r="C92" s="23" t="str">
        <f>IF(A92="","",IF(IF(OR(DATE($B$3,3,2)&gt;EOMONTH(DATE($B$3,3,1),0),NETWORKDAYS.INTL(DATE($B$3,3,2),DATE($B$3,3,2),1,'Non-working days'!$A$6:$A$45)=0),"",IF(COUNTIFS('Leave log'!$A$7:$A$306,Employees!$A$23,'Leave log'!$B$7:$B$306,"&lt;="&amp;DATE($B$3,3,2),'Leave log'!$C$7:$C$306,"&gt;="&amp;DATE($B$3,3,2),'Leave log'!$F$7:$F$306,"Approved")&gt;0,"A",""))="A","A",IF(OR(DATE($B$3,3,2)&gt;EOMONTH(DATE($B$3,3,1),0),NETWORKDAYS.INTL(DATE($B$3,3,2),DATE($B$3,3,2),1,'Non-working days'!$A$6:$A$45)=0),"",IF(COUNTIFS('Leave log'!$A$7:$A$306,Employees!$A$23,'Leave log'!$B$7:$B$306,"&lt;="&amp;DATE($B$3,3,2),'Leave log'!$C$7:$C$306,"&gt;="&amp;DATE($B$3,3,2),'Leave log'!$F$7:$F$306,"Pending")&gt;0,"P",""))))</f>
        <v/>
      </c>
      <c r="D92" s="23" t="str">
        <f>IF(A92="","",IF(IF(OR(DATE($B$3,3,3)&gt;EOMONTH(DATE($B$3,3,1),0),NETWORKDAYS.INTL(DATE($B$3,3,3),DATE($B$3,3,3),1,'Non-working days'!$A$6:$A$45)=0),"",IF(COUNTIFS('Leave log'!$A$7:$A$306,Employees!$A$23,'Leave log'!$B$7:$B$306,"&lt;="&amp;DATE($B$3,3,3),'Leave log'!$C$7:$C$306,"&gt;="&amp;DATE($B$3,3,3),'Leave log'!$F$7:$F$306,"Approved")&gt;0,"A",""))="A","A",IF(OR(DATE($B$3,3,3)&gt;EOMONTH(DATE($B$3,3,1),0),NETWORKDAYS.INTL(DATE($B$3,3,3),DATE($B$3,3,3),1,'Non-working days'!$A$6:$A$45)=0),"",IF(COUNTIFS('Leave log'!$A$7:$A$306,Employees!$A$23,'Leave log'!$B$7:$B$306,"&lt;="&amp;DATE($B$3,3,3),'Leave log'!$C$7:$C$306,"&gt;="&amp;DATE($B$3,3,3),'Leave log'!$F$7:$F$306,"Pending")&gt;0,"P",""))))</f>
        <v/>
      </c>
      <c r="E92" s="23" t="str">
        <f>IF(A92="","",IF(IF(OR(DATE($B$3,3,4)&gt;EOMONTH(DATE($B$3,3,1),0),NETWORKDAYS.INTL(DATE($B$3,3,4),DATE($B$3,3,4),1,'Non-working days'!$A$6:$A$45)=0),"",IF(COUNTIFS('Leave log'!$A$7:$A$306,Employees!$A$23,'Leave log'!$B$7:$B$306,"&lt;="&amp;DATE($B$3,3,4),'Leave log'!$C$7:$C$306,"&gt;="&amp;DATE($B$3,3,4),'Leave log'!$F$7:$F$306,"Approved")&gt;0,"A",""))="A","A",IF(OR(DATE($B$3,3,4)&gt;EOMONTH(DATE($B$3,3,1),0),NETWORKDAYS.INTL(DATE($B$3,3,4),DATE($B$3,3,4),1,'Non-working days'!$A$6:$A$45)=0),"",IF(COUNTIFS('Leave log'!$A$7:$A$306,Employees!$A$23,'Leave log'!$B$7:$B$306,"&lt;="&amp;DATE($B$3,3,4),'Leave log'!$C$7:$C$306,"&gt;="&amp;DATE($B$3,3,4),'Leave log'!$F$7:$F$306,"Pending")&gt;0,"P",""))))</f>
        <v/>
      </c>
      <c r="F92" s="23" t="str">
        <f>IF(A92="","",IF(IF(OR(DATE($B$3,3,5)&gt;EOMONTH(DATE($B$3,3,1),0),NETWORKDAYS.INTL(DATE($B$3,3,5),DATE($B$3,3,5),1,'Non-working days'!$A$6:$A$45)=0),"",IF(COUNTIFS('Leave log'!$A$7:$A$306,Employees!$A$23,'Leave log'!$B$7:$B$306,"&lt;="&amp;DATE($B$3,3,5),'Leave log'!$C$7:$C$306,"&gt;="&amp;DATE($B$3,3,5),'Leave log'!$F$7:$F$306,"Approved")&gt;0,"A",""))="A","A",IF(OR(DATE($B$3,3,5)&gt;EOMONTH(DATE($B$3,3,1),0),NETWORKDAYS.INTL(DATE($B$3,3,5),DATE($B$3,3,5),1,'Non-working days'!$A$6:$A$45)=0),"",IF(COUNTIFS('Leave log'!$A$7:$A$306,Employees!$A$23,'Leave log'!$B$7:$B$306,"&lt;="&amp;DATE($B$3,3,5),'Leave log'!$C$7:$C$306,"&gt;="&amp;DATE($B$3,3,5),'Leave log'!$F$7:$F$306,"Pending")&gt;0,"P",""))))</f>
        <v/>
      </c>
      <c r="G92" s="23" t="str">
        <f>IF(A92="","",IF(IF(OR(DATE($B$3,3,6)&gt;EOMONTH(DATE($B$3,3,1),0),NETWORKDAYS.INTL(DATE($B$3,3,6),DATE($B$3,3,6),1,'Non-working days'!$A$6:$A$45)=0),"",IF(COUNTIFS('Leave log'!$A$7:$A$306,Employees!$A$23,'Leave log'!$B$7:$B$306,"&lt;="&amp;DATE($B$3,3,6),'Leave log'!$C$7:$C$306,"&gt;="&amp;DATE($B$3,3,6),'Leave log'!$F$7:$F$306,"Approved")&gt;0,"A",""))="A","A",IF(OR(DATE($B$3,3,6)&gt;EOMONTH(DATE($B$3,3,1),0),NETWORKDAYS.INTL(DATE($B$3,3,6),DATE($B$3,3,6),1,'Non-working days'!$A$6:$A$45)=0),"",IF(COUNTIFS('Leave log'!$A$7:$A$306,Employees!$A$23,'Leave log'!$B$7:$B$306,"&lt;="&amp;DATE($B$3,3,6),'Leave log'!$C$7:$C$306,"&gt;="&amp;DATE($B$3,3,6),'Leave log'!$F$7:$F$306,"Pending")&gt;0,"P",""))))</f>
        <v/>
      </c>
      <c r="H92" s="23" t="str">
        <f>IF(A92="","",IF(IF(OR(DATE($B$3,3,7)&gt;EOMONTH(DATE($B$3,3,1),0),NETWORKDAYS.INTL(DATE($B$3,3,7),DATE($B$3,3,7),1,'Non-working days'!$A$6:$A$45)=0),"",IF(COUNTIFS('Leave log'!$A$7:$A$306,Employees!$A$23,'Leave log'!$B$7:$B$306,"&lt;="&amp;DATE($B$3,3,7),'Leave log'!$C$7:$C$306,"&gt;="&amp;DATE($B$3,3,7),'Leave log'!$F$7:$F$306,"Approved")&gt;0,"A",""))="A","A",IF(OR(DATE($B$3,3,7)&gt;EOMONTH(DATE($B$3,3,1),0),NETWORKDAYS.INTL(DATE($B$3,3,7),DATE($B$3,3,7),1,'Non-working days'!$A$6:$A$45)=0),"",IF(COUNTIFS('Leave log'!$A$7:$A$306,Employees!$A$23,'Leave log'!$B$7:$B$306,"&lt;="&amp;DATE($B$3,3,7),'Leave log'!$C$7:$C$306,"&gt;="&amp;DATE($B$3,3,7),'Leave log'!$F$7:$F$306,"Pending")&gt;0,"P",""))))</f>
        <v/>
      </c>
      <c r="I92" s="23" t="str">
        <f>IF(A92="","",IF(IF(OR(DATE($B$3,3,8)&gt;EOMONTH(DATE($B$3,3,1),0),NETWORKDAYS.INTL(DATE($B$3,3,8),DATE($B$3,3,8),1,'Non-working days'!$A$6:$A$45)=0),"",IF(COUNTIFS('Leave log'!$A$7:$A$306,Employees!$A$23,'Leave log'!$B$7:$B$306,"&lt;="&amp;DATE($B$3,3,8),'Leave log'!$C$7:$C$306,"&gt;="&amp;DATE($B$3,3,8),'Leave log'!$F$7:$F$306,"Approved")&gt;0,"A",""))="A","A",IF(OR(DATE($B$3,3,8)&gt;EOMONTH(DATE($B$3,3,1),0),NETWORKDAYS.INTL(DATE($B$3,3,8),DATE($B$3,3,8),1,'Non-working days'!$A$6:$A$45)=0),"",IF(COUNTIFS('Leave log'!$A$7:$A$306,Employees!$A$23,'Leave log'!$B$7:$B$306,"&lt;="&amp;DATE($B$3,3,8),'Leave log'!$C$7:$C$306,"&gt;="&amp;DATE($B$3,3,8),'Leave log'!$F$7:$F$306,"Pending")&gt;0,"P",""))))</f>
        <v/>
      </c>
      <c r="J92" s="23" t="str">
        <f>IF(A92="","",IF(IF(OR(DATE($B$3,3,9)&gt;EOMONTH(DATE($B$3,3,1),0),NETWORKDAYS.INTL(DATE($B$3,3,9),DATE($B$3,3,9),1,'Non-working days'!$A$6:$A$45)=0),"",IF(COUNTIFS('Leave log'!$A$7:$A$306,Employees!$A$23,'Leave log'!$B$7:$B$306,"&lt;="&amp;DATE($B$3,3,9),'Leave log'!$C$7:$C$306,"&gt;="&amp;DATE($B$3,3,9),'Leave log'!$F$7:$F$306,"Approved")&gt;0,"A",""))="A","A",IF(OR(DATE($B$3,3,9)&gt;EOMONTH(DATE($B$3,3,1),0),NETWORKDAYS.INTL(DATE($B$3,3,9),DATE($B$3,3,9),1,'Non-working days'!$A$6:$A$45)=0),"",IF(COUNTIFS('Leave log'!$A$7:$A$306,Employees!$A$23,'Leave log'!$B$7:$B$306,"&lt;="&amp;DATE($B$3,3,9),'Leave log'!$C$7:$C$306,"&gt;="&amp;DATE($B$3,3,9),'Leave log'!$F$7:$F$306,"Pending")&gt;0,"P",""))))</f>
        <v/>
      </c>
      <c r="K92" s="23" t="str">
        <f>IF(A92="","",IF(IF(OR(DATE($B$3,3,10)&gt;EOMONTH(DATE($B$3,3,1),0),NETWORKDAYS.INTL(DATE($B$3,3,10),DATE($B$3,3,10),1,'Non-working days'!$A$6:$A$45)=0),"",IF(COUNTIFS('Leave log'!$A$7:$A$306,Employees!$A$23,'Leave log'!$B$7:$B$306,"&lt;="&amp;DATE($B$3,3,10),'Leave log'!$C$7:$C$306,"&gt;="&amp;DATE($B$3,3,10),'Leave log'!$F$7:$F$306,"Approved")&gt;0,"A",""))="A","A",IF(OR(DATE($B$3,3,10)&gt;EOMONTH(DATE($B$3,3,1),0),NETWORKDAYS.INTL(DATE($B$3,3,10),DATE($B$3,3,10),1,'Non-working days'!$A$6:$A$45)=0),"",IF(COUNTIFS('Leave log'!$A$7:$A$306,Employees!$A$23,'Leave log'!$B$7:$B$306,"&lt;="&amp;DATE($B$3,3,10),'Leave log'!$C$7:$C$306,"&gt;="&amp;DATE($B$3,3,10),'Leave log'!$F$7:$F$306,"Pending")&gt;0,"P",""))))</f>
        <v/>
      </c>
      <c r="L92" s="23" t="str">
        <f>IF(A92="","",IF(IF(OR(DATE($B$3,3,11)&gt;EOMONTH(DATE($B$3,3,1),0),NETWORKDAYS.INTL(DATE($B$3,3,11),DATE($B$3,3,11),1,'Non-working days'!$A$6:$A$45)=0),"",IF(COUNTIFS('Leave log'!$A$7:$A$306,Employees!$A$23,'Leave log'!$B$7:$B$306,"&lt;="&amp;DATE($B$3,3,11),'Leave log'!$C$7:$C$306,"&gt;="&amp;DATE($B$3,3,11),'Leave log'!$F$7:$F$306,"Approved")&gt;0,"A",""))="A","A",IF(OR(DATE($B$3,3,11)&gt;EOMONTH(DATE($B$3,3,1),0),NETWORKDAYS.INTL(DATE($B$3,3,11),DATE($B$3,3,11),1,'Non-working days'!$A$6:$A$45)=0),"",IF(COUNTIFS('Leave log'!$A$7:$A$306,Employees!$A$23,'Leave log'!$B$7:$B$306,"&lt;="&amp;DATE($B$3,3,11),'Leave log'!$C$7:$C$306,"&gt;="&amp;DATE($B$3,3,11),'Leave log'!$F$7:$F$306,"Pending")&gt;0,"P",""))))</f>
        <v/>
      </c>
      <c r="M92" s="23" t="str">
        <f>IF(A92="","",IF(IF(OR(DATE($B$3,3,12)&gt;EOMONTH(DATE($B$3,3,1),0),NETWORKDAYS.INTL(DATE($B$3,3,12),DATE($B$3,3,12),1,'Non-working days'!$A$6:$A$45)=0),"",IF(COUNTIFS('Leave log'!$A$7:$A$306,Employees!$A$23,'Leave log'!$B$7:$B$306,"&lt;="&amp;DATE($B$3,3,12),'Leave log'!$C$7:$C$306,"&gt;="&amp;DATE($B$3,3,12),'Leave log'!$F$7:$F$306,"Approved")&gt;0,"A",""))="A","A",IF(OR(DATE($B$3,3,12)&gt;EOMONTH(DATE($B$3,3,1),0),NETWORKDAYS.INTL(DATE($B$3,3,12),DATE($B$3,3,12),1,'Non-working days'!$A$6:$A$45)=0),"",IF(COUNTIFS('Leave log'!$A$7:$A$306,Employees!$A$23,'Leave log'!$B$7:$B$306,"&lt;="&amp;DATE($B$3,3,12),'Leave log'!$C$7:$C$306,"&gt;="&amp;DATE($B$3,3,12),'Leave log'!$F$7:$F$306,"Pending")&gt;0,"P",""))))</f>
        <v/>
      </c>
      <c r="N92" s="23" t="str">
        <f>IF(A92="","",IF(IF(OR(DATE($B$3,3,13)&gt;EOMONTH(DATE($B$3,3,1),0),NETWORKDAYS.INTL(DATE($B$3,3,13),DATE($B$3,3,13),1,'Non-working days'!$A$6:$A$45)=0),"",IF(COUNTIFS('Leave log'!$A$7:$A$306,Employees!$A$23,'Leave log'!$B$7:$B$306,"&lt;="&amp;DATE($B$3,3,13),'Leave log'!$C$7:$C$306,"&gt;="&amp;DATE($B$3,3,13),'Leave log'!$F$7:$F$306,"Approved")&gt;0,"A",""))="A","A",IF(OR(DATE($B$3,3,13)&gt;EOMONTH(DATE($B$3,3,1),0),NETWORKDAYS.INTL(DATE($B$3,3,13),DATE($B$3,3,13),1,'Non-working days'!$A$6:$A$45)=0),"",IF(COUNTIFS('Leave log'!$A$7:$A$306,Employees!$A$23,'Leave log'!$B$7:$B$306,"&lt;="&amp;DATE($B$3,3,13),'Leave log'!$C$7:$C$306,"&gt;="&amp;DATE($B$3,3,13),'Leave log'!$F$7:$F$306,"Pending")&gt;0,"P",""))))</f>
        <v/>
      </c>
      <c r="O92" s="23" t="str">
        <f>IF(A92="","",IF(IF(OR(DATE($B$3,3,14)&gt;EOMONTH(DATE($B$3,3,1),0),NETWORKDAYS.INTL(DATE($B$3,3,14),DATE($B$3,3,14),1,'Non-working days'!$A$6:$A$45)=0),"",IF(COUNTIFS('Leave log'!$A$7:$A$306,Employees!$A$23,'Leave log'!$B$7:$B$306,"&lt;="&amp;DATE($B$3,3,14),'Leave log'!$C$7:$C$306,"&gt;="&amp;DATE($B$3,3,14),'Leave log'!$F$7:$F$306,"Approved")&gt;0,"A",""))="A","A",IF(OR(DATE($B$3,3,14)&gt;EOMONTH(DATE($B$3,3,1),0),NETWORKDAYS.INTL(DATE($B$3,3,14),DATE($B$3,3,14),1,'Non-working days'!$A$6:$A$45)=0),"",IF(COUNTIFS('Leave log'!$A$7:$A$306,Employees!$A$23,'Leave log'!$B$7:$B$306,"&lt;="&amp;DATE($B$3,3,14),'Leave log'!$C$7:$C$306,"&gt;="&amp;DATE($B$3,3,14),'Leave log'!$F$7:$F$306,"Pending")&gt;0,"P",""))))</f>
        <v/>
      </c>
      <c r="P92" s="23" t="str">
        <f>IF(A92="","",IF(IF(OR(DATE($B$3,3,15)&gt;EOMONTH(DATE($B$3,3,1),0),NETWORKDAYS.INTL(DATE($B$3,3,15),DATE($B$3,3,15),1,'Non-working days'!$A$6:$A$45)=0),"",IF(COUNTIFS('Leave log'!$A$7:$A$306,Employees!$A$23,'Leave log'!$B$7:$B$306,"&lt;="&amp;DATE($B$3,3,15),'Leave log'!$C$7:$C$306,"&gt;="&amp;DATE($B$3,3,15),'Leave log'!$F$7:$F$306,"Approved")&gt;0,"A",""))="A","A",IF(OR(DATE($B$3,3,15)&gt;EOMONTH(DATE($B$3,3,1),0),NETWORKDAYS.INTL(DATE($B$3,3,15),DATE($B$3,3,15),1,'Non-working days'!$A$6:$A$45)=0),"",IF(COUNTIFS('Leave log'!$A$7:$A$306,Employees!$A$23,'Leave log'!$B$7:$B$306,"&lt;="&amp;DATE($B$3,3,15),'Leave log'!$C$7:$C$306,"&gt;="&amp;DATE($B$3,3,15),'Leave log'!$F$7:$F$306,"Pending")&gt;0,"P",""))))</f>
        <v/>
      </c>
      <c r="Q92" s="23" t="str">
        <f>IF(A92="","",IF(IF(OR(DATE($B$3,3,16)&gt;EOMONTH(DATE($B$3,3,1),0),NETWORKDAYS.INTL(DATE($B$3,3,16),DATE($B$3,3,16),1,'Non-working days'!$A$6:$A$45)=0),"",IF(COUNTIFS('Leave log'!$A$7:$A$306,Employees!$A$23,'Leave log'!$B$7:$B$306,"&lt;="&amp;DATE($B$3,3,16),'Leave log'!$C$7:$C$306,"&gt;="&amp;DATE($B$3,3,16),'Leave log'!$F$7:$F$306,"Approved")&gt;0,"A",""))="A","A",IF(OR(DATE($B$3,3,16)&gt;EOMONTH(DATE($B$3,3,1),0),NETWORKDAYS.INTL(DATE($B$3,3,16),DATE($B$3,3,16),1,'Non-working days'!$A$6:$A$45)=0),"",IF(COUNTIFS('Leave log'!$A$7:$A$306,Employees!$A$23,'Leave log'!$B$7:$B$306,"&lt;="&amp;DATE($B$3,3,16),'Leave log'!$C$7:$C$306,"&gt;="&amp;DATE($B$3,3,16),'Leave log'!$F$7:$F$306,"Pending")&gt;0,"P",""))))</f>
        <v/>
      </c>
      <c r="R92" s="23" t="str">
        <f>IF(A92="","",IF(IF(OR(DATE($B$3,3,17)&gt;EOMONTH(DATE($B$3,3,1),0),NETWORKDAYS.INTL(DATE($B$3,3,17),DATE($B$3,3,17),1,'Non-working days'!$A$6:$A$45)=0),"",IF(COUNTIFS('Leave log'!$A$7:$A$306,Employees!$A$23,'Leave log'!$B$7:$B$306,"&lt;="&amp;DATE($B$3,3,17),'Leave log'!$C$7:$C$306,"&gt;="&amp;DATE($B$3,3,17),'Leave log'!$F$7:$F$306,"Approved")&gt;0,"A",""))="A","A",IF(OR(DATE($B$3,3,17)&gt;EOMONTH(DATE($B$3,3,1),0),NETWORKDAYS.INTL(DATE($B$3,3,17),DATE($B$3,3,17),1,'Non-working days'!$A$6:$A$45)=0),"",IF(COUNTIFS('Leave log'!$A$7:$A$306,Employees!$A$23,'Leave log'!$B$7:$B$306,"&lt;="&amp;DATE($B$3,3,17),'Leave log'!$C$7:$C$306,"&gt;="&amp;DATE($B$3,3,17),'Leave log'!$F$7:$F$306,"Pending")&gt;0,"P",""))))</f>
        <v/>
      </c>
      <c r="S92" s="23" t="str">
        <f>IF(A92="","",IF(IF(OR(DATE($B$3,3,18)&gt;EOMONTH(DATE($B$3,3,1),0),NETWORKDAYS.INTL(DATE($B$3,3,18),DATE($B$3,3,18),1,'Non-working days'!$A$6:$A$45)=0),"",IF(COUNTIFS('Leave log'!$A$7:$A$306,Employees!$A$23,'Leave log'!$B$7:$B$306,"&lt;="&amp;DATE($B$3,3,18),'Leave log'!$C$7:$C$306,"&gt;="&amp;DATE($B$3,3,18),'Leave log'!$F$7:$F$306,"Approved")&gt;0,"A",""))="A","A",IF(OR(DATE($B$3,3,18)&gt;EOMONTH(DATE($B$3,3,1),0),NETWORKDAYS.INTL(DATE($B$3,3,18),DATE($B$3,3,18),1,'Non-working days'!$A$6:$A$45)=0),"",IF(COUNTIFS('Leave log'!$A$7:$A$306,Employees!$A$23,'Leave log'!$B$7:$B$306,"&lt;="&amp;DATE($B$3,3,18),'Leave log'!$C$7:$C$306,"&gt;="&amp;DATE($B$3,3,18),'Leave log'!$F$7:$F$306,"Pending")&gt;0,"P",""))))</f>
        <v/>
      </c>
      <c r="T92" s="23" t="str">
        <f>IF(A92="","",IF(IF(OR(DATE($B$3,3,19)&gt;EOMONTH(DATE($B$3,3,1),0),NETWORKDAYS.INTL(DATE($B$3,3,19),DATE($B$3,3,19),1,'Non-working days'!$A$6:$A$45)=0),"",IF(COUNTIFS('Leave log'!$A$7:$A$306,Employees!$A$23,'Leave log'!$B$7:$B$306,"&lt;="&amp;DATE($B$3,3,19),'Leave log'!$C$7:$C$306,"&gt;="&amp;DATE($B$3,3,19),'Leave log'!$F$7:$F$306,"Approved")&gt;0,"A",""))="A","A",IF(OR(DATE($B$3,3,19)&gt;EOMONTH(DATE($B$3,3,1),0),NETWORKDAYS.INTL(DATE($B$3,3,19),DATE($B$3,3,19),1,'Non-working days'!$A$6:$A$45)=0),"",IF(COUNTIFS('Leave log'!$A$7:$A$306,Employees!$A$23,'Leave log'!$B$7:$B$306,"&lt;="&amp;DATE($B$3,3,19),'Leave log'!$C$7:$C$306,"&gt;="&amp;DATE($B$3,3,19),'Leave log'!$F$7:$F$306,"Pending")&gt;0,"P",""))))</f>
        <v/>
      </c>
      <c r="U92" s="23" t="str">
        <f>IF(A92="","",IF(IF(OR(DATE($B$3,3,20)&gt;EOMONTH(DATE($B$3,3,1),0),NETWORKDAYS.INTL(DATE($B$3,3,20),DATE($B$3,3,20),1,'Non-working days'!$A$6:$A$45)=0),"",IF(COUNTIFS('Leave log'!$A$7:$A$306,Employees!$A$23,'Leave log'!$B$7:$B$306,"&lt;="&amp;DATE($B$3,3,20),'Leave log'!$C$7:$C$306,"&gt;="&amp;DATE($B$3,3,20),'Leave log'!$F$7:$F$306,"Approved")&gt;0,"A",""))="A","A",IF(OR(DATE($B$3,3,20)&gt;EOMONTH(DATE($B$3,3,1),0),NETWORKDAYS.INTL(DATE($B$3,3,20),DATE($B$3,3,20),1,'Non-working days'!$A$6:$A$45)=0),"",IF(COUNTIFS('Leave log'!$A$7:$A$306,Employees!$A$23,'Leave log'!$B$7:$B$306,"&lt;="&amp;DATE($B$3,3,20),'Leave log'!$C$7:$C$306,"&gt;="&amp;DATE($B$3,3,20),'Leave log'!$F$7:$F$306,"Pending")&gt;0,"P",""))))</f>
        <v/>
      </c>
      <c r="V92" s="23" t="str">
        <f>IF(A92="","",IF(IF(OR(DATE($B$3,3,21)&gt;EOMONTH(DATE($B$3,3,1),0),NETWORKDAYS.INTL(DATE($B$3,3,21),DATE($B$3,3,21),1,'Non-working days'!$A$6:$A$45)=0),"",IF(COUNTIFS('Leave log'!$A$7:$A$306,Employees!$A$23,'Leave log'!$B$7:$B$306,"&lt;="&amp;DATE($B$3,3,21),'Leave log'!$C$7:$C$306,"&gt;="&amp;DATE($B$3,3,21),'Leave log'!$F$7:$F$306,"Approved")&gt;0,"A",""))="A","A",IF(OR(DATE($B$3,3,21)&gt;EOMONTH(DATE($B$3,3,1),0),NETWORKDAYS.INTL(DATE($B$3,3,21),DATE($B$3,3,21),1,'Non-working days'!$A$6:$A$45)=0),"",IF(COUNTIFS('Leave log'!$A$7:$A$306,Employees!$A$23,'Leave log'!$B$7:$B$306,"&lt;="&amp;DATE($B$3,3,21),'Leave log'!$C$7:$C$306,"&gt;="&amp;DATE($B$3,3,21),'Leave log'!$F$7:$F$306,"Pending")&gt;0,"P",""))))</f>
        <v/>
      </c>
      <c r="W92" s="23" t="str">
        <f>IF(A92="","",IF(IF(OR(DATE($B$3,3,22)&gt;EOMONTH(DATE($B$3,3,1),0),NETWORKDAYS.INTL(DATE($B$3,3,22),DATE($B$3,3,22),1,'Non-working days'!$A$6:$A$45)=0),"",IF(COUNTIFS('Leave log'!$A$7:$A$306,Employees!$A$23,'Leave log'!$B$7:$B$306,"&lt;="&amp;DATE($B$3,3,22),'Leave log'!$C$7:$C$306,"&gt;="&amp;DATE($B$3,3,22),'Leave log'!$F$7:$F$306,"Approved")&gt;0,"A",""))="A","A",IF(OR(DATE($B$3,3,22)&gt;EOMONTH(DATE($B$3,3,1),0),NETWORKDAYS.INTL(DATE($B$3,3,22),DATE($B$3,3,22),1,'Non-working days'!$A$6:$A$45)=0),"",IF(COUNTIFS('Leave log'!$A$7:$A$306,Employees!$A$23,'Leave log'!$B$7:$B$306,"&lt;="&amp;DATE($B$3,3,22),'Leave log'!$C$7:$C$306,"&gt;="&amp;DATE($B$3,3,22),'Leave log'!$F$7:$F$306,"Pending")&gt;0,"P",""))))</f>
        <v/>
      </c>
      <c r="X92" s="23" t="str">
        <f>IF(A92="","",IF(IF(OR(DATE($B$3,3,23)&gt;EOMONTH(DATE($B$3,3,1),0),NETWORKDAYS.INTL(DATE($B$3,3,23),DATE($B$3,3,23),1,'Non-working days'!$A$6:$A$45)=0),"",IF(COUNTIFS('Leave log'!$A$7:$A$306,Employees!$A$23,'Leave log'!$B$7:$B$306,"&lt;="&amp;DATE($B$3,3,23),'Leave log'!$C$7:$C$306,"&gt;="&amp;DATE($B$3,3,23),'Leave log'!$F$7:$F$306,"Approved")&gt;0,"A",""))="A","A",IF(OR(DATE($B$3,3,23)&gt;EOMONTH(DATE($B$3,3,1),0),NETWORKDAYS.INTL(DATE($B$3,3,23),DATE($B$3,3,23),1,'Non-working days'!$A$6:$A$45)=0),"",IF(COUNTIFS('Leave log'!$A$7:$A$306,Employees!$A$23,'Leave log'!$B$7:$B$306,"&lt;="&amp;DATE($B$3,3,23),'Leave log'!$C$7:$C$306,"&gt;="&amp;DATE($B$3,3,23),'Leave log'!$F$7:$F$306,"Pending")&gt;0,"P",""))))</f>
        <v/>
      </c>
      <c r="Y92" s="23" t="str">
        <f>IF(A92="","",IF(IF(OR(DATE($B$3,3,24)&gt;EOMONTH(DATE($B$3,3,1),0),NETWORKDAYS.INTL(DATE($B$3,3,24),DATE($B$3,3,24),1,'Non-working days'!$A$6:$A$45)=0),"",IF(COUNTIFS('Leave log'!$A$7:$A$306,Employees!$A$23,'Leave log'!$B$7:$B$306,"&lt;="&amp;DATE($B$3,3,24),'Leave log'!$C$7:$C$306,"&gt;="&amp;DATE($B$3,3,24),'Leave log'!$F$7:$F$306,"Approved")&gt;0,"A",""))="A","A",IF(OR(DATE($B$3,3,24)&gt;EOMONTH(DATE($B$3,3,1),0),NETWORKDAYS.INTL(DATE($B$3,3,24),DATE($B$3,3,24),1,'Non-working days'!$A$6:$A$45)=0),"",IF(COUNTIFS('Leave log'!$A$7:$A$306,Employees!$A$23,'Leave log'!$B$7:$B$306,"&lt;="&amp;DATE($B$3,3,24),'Leave log'!$C$7:$C$306,"&gt;="&amp;DATE($B$3,3,24),'Leave log'!$F$7:$F$306,"Pending")&gt;0,"P",""))))</f>
        <v/>
      </c>
      <c r="Z92" s="23" t="str">
        <f>IF(A92="","",IF(IF(OR(DATE($B$3,3,25)&gt;EOMONTH(DATE($B$3,3,1),0),NETWORKDAYS.INTL(DATE($B$3,3,25),DATE($B$3,3,25),1,'Non-working days'!$A$6:$A$45)=0),"",IF(COUNTIFS('Leave log'!$A$7:$A$306,Employees!$A$23,'Leave log'!$B$7:$B$306,"&lt;="&amp;DATE($B$3,3,25),'Leave log'!$C$7:$C$306,"&gt;="&amp;DATE($B$3,3,25),'Leave log'!$F$7:$F$306,"Approved")&gt;0,"A",""))="A","A",IF(OR(DATE($B$3,3,25)&gt;EOMONTH(DATE($B$3,3,1),0),NETWORKDAYS.INTL(DATE($B$3,3,25),DATE($B$3,3,25),1,'Non-working days'!$A$6:$A$45)=0),"",IF(COUNTIFS('Leave log'!$A$7:$A$306,Employees!$A$23,'Leave log'!$B$7:$B$306,"&lt;="&amp;DATE($B$3,3,25),'Leave log'!$C$7:$C$306,"&gt;="&amp;DATE($B$3,3,25),'Leave log'!$F$7:$F$306,"Pending")&gt;0,"P",""))))</f>
        <v/>
      </c>
      <c r="AA92" s="23" t="str">
        <f>IF(A92="","",IF(IF(OR(DATE($B$3,3,26)&gt;EOMONTH(DATE($B$3,3,1),0),NETWORKDAYS.INTL(DATE($B$3,3,26),DATE($B$3,3,26),1,'Non-working days'!$A$6:$A$45)=0),"",IF(COUNTIFS('Leave log'!$A$7:$A$306,Employees!$A$23,'Leave log'!$B$7:$B$306,"&lt;="&amp;DATE($B$3,3,26),'Leave log'!$C$7:$C$306,"&gt;="&amp;DATE($B$3,3,26),'Leave log'!$F$7:$F$306,"Approved")&gt;0,"A",""))="A","A",IF(OR(DATE($B$3,3,26)&gt;EOMONTH(DATE($B$3,3,1),0),NETWORKDAYS.INTL(DATE($B$3,3,26),DATE($B$3,3,26),1,'Non-working days'!$A$6:$A$45)=0),"",IF(COUNTIFS('Leave log'!$A$7:$A$306,Employees!$A$23,'Leave log'!$B$7:$B$306,"&lt;="&amp;DATE($B$3,3,26),'Leave log'!$C$7:$C$306,"&gt;="&amp;DATE($B$3,3,26),'Leave log'!$F$7:$F$306,"Pending")&gt;0,"P",""))))</f>
        <v/>
      </c>
      <c r="AB92" s="23" t="str">
        <f>IF(A92="","",IF(IF(OR(DATE($B$3,3,27)&gt;EOMONTH(DATE($B$3,3,1),0),NETWORKDAYS.INTL(DATE($B$3,3,27),DATE($B$3,3,27),1,'Non-working days'!$A$6:$A$45)=0),"",IF(COUNTIFS('Leave log'!$A$7:$A$306,Employees!$A$23,'Leave log'!$B$7:$B$306,"&lt;="&amp;DATE($B$3,3,27),'Leave log'!$C$7:$C$306,"&gt;="&amp;DATE($B$3,3,27),'Leave log'!$F$7:$F$306,"Approved")&gt;0,"A",""))="A","A",IF(OR(DATE($B$3,3,27)&gt;EOMONTH(DATE($B$3,3,1),0),NETWORKDAYS.INTL(DATE($B$3,3,27),DATE($B$3,3,27),1,'Non-working days'!$A$6:$A$45)=0),"",IF(COUNTIFS('Leave log'!$A$7:$A$306,Employees!$A$23,'Leave log'!$B$7:$B$306,"&lt;="&amp;DATE($B$3,3,27),'Leave log'!$C$7:$C$306,"&gt;="&amp;DATE($B$3,3,27),'Leave log'!$F$7:$F$306,"Pending")&gt;0,"P",""))))</f>
        <v/>
      </c>
      <c r="AC92" s="23" t="str">
        <f>IF(A92="","",IF(IF(OR(DATE($B$3,3,28)&gt;EOMONTH(DATE($B$3,3,1),0),NETWORKDAYS.INTL(DATE($B$3,3,28),DATE($B$3,3,28),1,'Non-working days'!$A$6:$A$45)=0),"",IF(COUNTIFS('Leave log'!$A$7:$A$306,Employees!$A$23,'Leave log'!$B$7:$B$306,"&lt;="&amp;DATE($B$3,3,28),'Leave log'!$C$7:$C$306,"&gt;="&amp;DATE($B$3,3,28),'Leave log'!$F$7:$F$306,"Approved")&gt;0,"A",""))="A","A",IF(OR(DATE($B$3,3,28)&gt;EOMONTH(DATE($B$3,3,1),0),NETWORKDAYS.INTL(DATE($B$3,3,28),DATE($B$3,3,28),1,'Non-working days'!$A$6:$A$45)=0),"",IF(COUNTIFS('Leave log'!$A$7:$A$306,Employees!$A$23,'Leave log'!$B$7:$B$306,"&lt;="&amp;DATE($B$3,3,28),'Leave log'!$C$7:$C$306,"&gt;="&amp;DATE($B$3,3,28),'Leave log'!$F$7:$F$306,"Pending")&gt;0,"P",""))))</f>
        <v/>
      </c>
      <c r="AD92" s="23" t="str">
        <f>IF(A92="","",IF(IF(OR(DATE($B$3,3,29)&gt;EOMONTH(DATE($B$3,3,1),0),NETWORKDAYS.INTL(DATE($B$3,3,29),DATE($B$3,3,29),1,'Non-working days'!$A$6:$A$45)=0),"",IF(COUNTIFS('Leave log'!$A$7:$A$306,Employees!$A$23,'Leave log'!$B$7:$B$306,"&lt;="&amp;DATE($B$3,3,29),'Leave log'!$C$7:$C$306,"&gt;="&amp;DATE($B$3,3,29),'Leave log'!$F$7:$F$306,"Approved")&gt;0,"A",""))="A","A",IF(OR(DATE($B$3,3,29)&gt;EOMONTH(DATE($B$3,3,1),0),NETWORKDAYS.INTL(DATE($B$3,3,29),DATE($B$3,3,29),1,'Non-working days'!$A$6:$A$45)=0),"",IF(COUNTIFS('Leave log'!$A$7:$A$306,Employees!$A$23,'Leave log'!$B$7:$B$306,"&lt;="&amp;DATE($B$3,3,29),'Leave log'!$C$7:$C$306,"&gt;="&amp;DATE($B$3,3,29),'Leave log'!$F$7:$F$306,"Pending")&gt;0,"P",""))))</f>
        <v/>
      </c>
      <c r="AE92" s="23" t="str">
        <f>IF(A92="","",IF(IF(OR(DATE($B$3,3,30)&gt;EOMONTH(DATE($B$3,3,1),0),NETWORKDAYS.INTL(DATE($B$3,3,30),DATE($B$3,3,30),1,'Non-working days'!$A$6:$A$45)=0),"",IF(COUNTIFS('Leave log'!$A$7:$A$306,Employees!$A$23,'Leave log'!$B$7:$B$306,"&lt;="&amp;DATE($B$3,3,30),'Leave log'!$C$7:$C$306,"&gt;="&amp;DATE($B$3,3,30),'Leave log'!$F$7:$F$306,"Approved")&gt;0,"A",""))="A","A",IF(OR(DATE($B$3,3,30)&gt;EOMONTH(DATE($B$3,3,1),0),NETWORKDAYS.INTL(DATE($B$3,3,30),DATE($B$3,3,30),1,'Non-working days'!$A$6:$A$45)=0),"",IF(COUNTIFS('Leave log'!$A$7:$A$306,Employees!$A$23,'Leave log'!$B$7:$B$306,"&lt;="&amp;DATE($B$3,3,30),'Leave log'!$C$7:$C$306,"&gt;="&amp;DATE($B$3,3,30),'Leave log'!$F$7:$F$306,"Pending")&gt;0,"P",""))))</f>
        <v/>
      </c>
      <c r="AF92" s="23" t="str">
        <f>IF(A92="","",IF(IF(OR(DATE($B$3,3,31)&gt;EOMONTH(DATE($B$3,3,1),0),NETWORKDAYS.INTL(DATE($B$3,3,31),DATE($B$3,3,31),1,'Non-working days'!$A$6:$A$45)=0),"",IF(COUNTIFS('Leave log'!$A$7:$A$306,Employees!$A$23,'Leave log'!$B$7:$B$306,"&lt;="&amp;DATE($B$3,3,31),'Leave log'!$C$7:$C$306,"&gt;="&amp;DATE($B$3,3,31),'Leave log'!$F$7:$F$306,"Approved")&gt;0,"A",""))="A","A",IF(OR(DATE($B$3,3,31)&gt;EOMONTH(DATE($B$3,3,1),0),NETWORKDAYS.INTL(DATE($B$3,3,31),DATE($B$3,3,31),1,'Non-working days'!$A$6:$A$45)=0),"",IF(COUNTIFS('Leave log'!$A$7:$A$306,Employees!$A$23,'Leave log'!$B$7:$B$306,"&lt;="&amp;DATE($B$3,3,31),'Leave log'!$C$7:$C$306,"&gt;="&amp;DATE($B$3,3,31),'Leave log'!$F$7:$F$306,"Pending")&gt;0,"P",""))))</f>
        <v/>
      </c>
    </row>
    <row r="93" spans="1:32" ht="18" customHeight="1" x14ac:dyDescent="0.3">
      <c r="A93" s="22" t="str">
        <f>IF(Employees!F24="Yes",Employees!B24,"")</f>
        <v/>
      </c>
      <c r="B93" s="23" t="str">
        <f>IF(A93="","",IF(IF(OR(DATE($B$3,3,1)&gt;EOMONTH(DATE($B$3,3,1),0),NETWORKDAYS.INTL(DATE($B$3,3,1),DATE($B$3,3,1),1,'Non-working days'!$A$6:$A$45)=0),"",IF(COUNTIFS('Leave log'!$A$7:$A$306,Employees!$A$24,'Leave log'!$B$7:$B$306,"&lt;="&amp;DATE($B$3,3,1),'Leave log'!$C$7:$C$306,"&gt;="&amp;DATE($B$3,3,1),'Leave log'!$F$7:$F$306,"Approved")&gt;0,"A",""))="A","A",IF(OR(DATE($B$3,3,1)&gt;EOMONTH(DATE($B$3,3,1),0),NETWORKDAYS.INTL(DATE($B$3,3,1),DATE($B$3,3,1),1,'Non-working days'!$A$6:$A$45)=0),"",IF(COUNTIFS('Leave log'!$A$7:$A$306,Employees!$A$24,'Leave log'!$B$7:$B$306,"&lt;="&amp;DATE($B$3,3,1),'Leave log'!$C$7:$C$306,"&gt;="&amp;DATE($B$3,3,1),'Leave log'!$F$7:$F$306,"Pending")&gt;0,"P",""))))</f>
        <v/>
      </c>
      <c r="C93" s="23" t="str">
        <f>IF(A93="","",IF(IF(OR(DATE($B$3,3,2)&gt;EOMONTH(DATE($B$3,3,1),0),NETWORKDAYS.INTL(DATE($B$3,3,2),DATE($B$3,3,2),1,'Non-working days'!$A$6:$A$45)=0),"",IF(COUNTIFS('Leave log'!$A$7:$A$306,Employees!$A$24,'Leave log'!$B$7:$B$306,"&lt;="&amp;DATE($B$3,3,2),'Leave log'!$C$7:$C$306,"&gt;="&amp;DATE($B$3,3,2),'Leave log'!$F$7:$F$306,"Approved")&gt;0,"A",""))="A","A",IF(OR(DATE($B$3,3,2)&gt;EOMONTH(DATE($B$3,3,1),0),NETWORKDAYS.INTL(DATE($B$3,3,2),DATE($B$3,3,2),1,'Non-working days'!$A$6:$A$45)=0),"",IF(COUNTIFS('Leave log'!$A$7:$A$306,Employees!$A$24,'Leave log'!$B$7:$B$306,"&lt;="&amp;DATE($B$3,3,2),'Leave log'!$C$7:$C$306,"&gt;="&amp;DATE($B$3,3,2),'Leave log'!$F$7:$F$306,"Pending")&gt;0,"P",""))))</f>
        <v/>
      </c>
      <c r="D93" s="23" t="str">
        <f>IF(A93="","",IF(IF(OR(DATE($B$3,3,3)&gt;EOMONTH(DATE($B$3,3,1),0),NETWORKDAYS.INTL(DATE($B$3,3,3),DATE($B$3,3,3),1,'Non-working days'!$A$6:$A$45)=0),"",IF(COUNTIFS('Leave log'!$A$7:$A$306,Employees!$A$24,'Leave log'!$B$7:$B$306,"&lt;="&amp;DATE($B$3,3,3),'Leave log'!$C$7:$C$306,"&gt;="&amp;DATE($B$3,3,3),'Leave log'!$F$7:$F$306,"Approved")&gt;0,"A",""))="A","A",IF(OR(DATE($B$3,3,3)&gt;EOMONTH(DATE($B$3,3,1),0),NETWORKDAYS.INTL(DATE($B$3,3,3),DATE($B$3,3,3),1,'Non-working days'!$A$6:$A$45)=0),"",IF(COUNTIFS('Leave log'!$A$7:$A$306,Employees!$A$24,'Leave log'!$B$7:$B$306,"&lt;="&amp;DATE($B$3,3,3),'Leave log'!$C$7:$C$306,"&gt;="&amp;DATE($B$3,3,3),'Leave log'!$F$7:$F$306,"Pending")&gt;0,"P",""))))</f>
        <v/>
      </c>
      <c r="E93" s="23" t="str">
        <f>IF(A93="","",IF(IF(OR(DATE($B$3,3,4)&gt;EOMONTH(DATE($B$3,3,1),0),NETWORKDAYS.INTL(DATE($B$3,3,4),DATE($B$3,3,4),1,'Non-working days'!$A$6:$A$45)=0),"",IF(COUNTIFS('Leave log'!$A$7:$A$306,Employees!$A$24,'Leave log'!$B$7:$B$306,"&lt;="&amp;DATE($B$3,3,4),'Leave log'!$C$7:$C$306,"&gt;="&amp;DATE($B$3,3,4),'Leave log'!$F$7:$F$306,"Approved")&gt;0,"A",""))="A","A",IF(OR(DATE($B$3,3,4)&gt;EOMONTH(DATE($B$3,3,1),0),NETWORKDAYS.INTL(DATE($B$3,3,4),DATE($B$3,3,4),1,'Non-working days'!$A$6:$A$45)=0),"",IF(COUNTIFS('Leave log'!$A$7:$A$306,Employees!$A$24,'Leave log'!$B$7:$B$306,"&lt;="&amp;DATE($B$3,3,4),'Leave log'!$C$7:$C$306,"&gt;="&amp;DATE($B$3,3,4),'Leave log'!$F$7:$F$306,"Pending")&gt;0,"P",""))))</f>
        <v/>
      </c>
      <c r="F93" s="23" t="str">
        <f>IF(A93="","",IF(IF(OR(DATE($B$3,3,5)&gt;EOMONTH(DATE($B$3,3,1),0),NETWORKDAYS.INTL(DATE($B$3,3,5),DATE($B$3,3,5),1,'Non-working days'!$A$6:$A$45)=0),"",IF(COUNTIFS('Leave log'!$A$7:$A$306,Employees!$A$24,'Leave log'!$B$7:$B$306,"&lt;="&amp;DATE($B$3,3,5),'Leave log'!$C$7:$C$306,"&gt;="&amp;DATE($B$3,3,5),'Leave log'!$F$7:$F$306,"Approved")&gt;0,"A",""))="A","A",IF(OR(DATE($B$3,3,5)&gt;EOMONTH(DATE($B$3,3,1),0),NETWORKDAYS.INTL(DATE($B$3,3,5),DATE($B$3,3,5),1,'Non-working days'!$A$6:$A$45)=0),"",IF(COUNTIFS('Leave log'!$A$7:$A$306,Employees!$A$24,'Leave log'!$B$7:$B$306,"&lt;="&amp;DATE($B$3,3,5),'Leave log'!$C$7:$C$306,"&gt;="&amp;DATE($B$3,3,5),'Leave log'!$F$7:$F$306,"Pending")&gt;0,"P",""))))</f>
        <v/>
      </c>
      <c r="G93" s="23" t="str">
        <f>IF(A93="","",IF(IF(OR(DATE($B$3,3,6)&gt;EOMONTH(DATE($B$3,3,1),0),NETWORKDAYS.INTL(DATE($B$3,3,6),DATE($B$3,3,6),1,'Non-working days'!$A$6:$A$45)=0),"",IF(COUNTIFS('Leave log'!$A$7:$A$306,Employees!$A$24,'Leave log'!$B$7:$B$306,"&lt;="&amp;DATE($B$3,3,6),'Leave log'!$C$7:$C$306,"&gt;="&amp;DATE($B$3,3,6),'Leave log'!$F$7:$F$306,"Approved")&gt;0,"A",""))="A","A",IF(OR(DATE($B$3,3,6)&gt;EOMONTH(DATE($B$3,3,1),0),NETWORKDAYS.INTL(DATE($B$3,3,6),DATE($B$3,3,6),1,'Non-working days'!$A$6:$A$45)=0),"",IF(COUNTIFS('Leave log'!$A$7:$A$306,Employees!$A$24,'Leave log'!$B$7:$B$306,"&lt;="&amp;DATE($B$3,3,6),'Leave log'!$C$7:$C$306,"&gt;="&amp;DATE($B$3,3,6),'Leave log'!$F$7:$F$306,"Pending")&gt;0,"P",""))))</f>
        <v/>
      </c>
      <c r="H93" s="23" t="str">
        <f>IF(A93="","",IF(IF(OR(DATE($B$3,3,7)&gt;EOMONTH(DATE($B$3,3,1),0),NETWORKDAYS.INTL(DATE($B$3,3,7),DATE($B$3,3,7),1,'Non-working days'!$A$6:$A$45)=0),"",IF(COUNTIFS('Leave log'!$A$7:$A$306,Employees!$A$24,'Leave log'!$B$7:$B$306,"&lt;="&amp;DATE($B$3,3,7),'Leave log'!$C$7:$C$306,"&gt;="&amp;DATE($B$3,3,7),'Leave log'!$F$7:$F$306,"Approved")&gt;0,"A",""))="A","A",IF(OR(DATE($B$3,3,7)&gt;EOMONTH(DATE($B$3,3,1),0),NETWORKDAYS.INTL(DATE($B$3,3,7),DATE($B$3,3,7),1,'Non-working days'!$A$6:$A$45)=0),"",IF(COUNTIFS('Leave log'!$A$7:$A$306,Employees!$A$24,'Leave log'!$B$7:$B$306,"&lt;="&amp;DATE($B$3,3,7),'Leave log'!$C$7:$C$306,"&gt;="&amp;DATE($B$3,3,7),'Leave log'!$F$7:$F$306,"Pending")&gt;0,"P",""))))</f>
        <v/>
      </c>
      <c r="I93" s="23" t="str">
        <f>IF(A93="","",IF(IF(OR(DATE($B$3,3,8)&gt;EOMONTH(DATE($B$3,3,1),0),NETWORKDAYS.INTL(DATE($B$3,3,8),DATE($B$3,3,8),1,'Non-working days'!$A$6:$A$45)=0),"",IF(COUNTIFS('Leave log'!$A$7:$A$306,Employees!$A$24,'Leave log'!$B$7:$B$306,"&lt;="&amp;DATE($B$3,3,8),'Leave log'!$C$7:$C$306,"&gt;="&amp;DATE($B$3,3,8),'Leave log'!$F$7:$F$306,"Approved")&gt;0,"A",""))="A","A",IF(OR(DATE($B$3,3,8)&gt;EOMONTH(DATE($B$3,3,1),0),NETWORKDAYS.INTL(DATE($B$3,3,8),DATE($B$3,3,8),1,'Non-working days'!$A$6:$A$45)=0),"",IF(COUNTIFS('Leave log'!$A$7:$A$306,Employees!$A$24,'Leave log'!$B$7:$B$306,"&lt;="&amp;DATE($B$3,3,8),'Leave log'!$C$7:$C$306,"&gt;="&amp;DATE($B$3,3,8),'Leave log'!$F$7:$F$306,"Pending")&gt;0,"P",""))))</f>
        <v/>
      </c>
      <c r="J93" s="23" t="str">
        <f>IF(A93="","",IF(IF(OR(DATE($B$3,3,9)&gt;EOMONTH(DATE($B$3,3,1),0),NETWORKDAYS.INTL(DATE($B$3,3,9),DATE($B$3,3,9),1,'Non-working days'!$A$6:$A$45)=0),"",IF(COUNTIFS('Leave log'!$A$7:$A$306,Employees!$A$24,'Leave log'!$B$7:$B$306,"&lt;="&amp;DATE($B$3,3,9),'Leave log'!$C$7:$C$306,"&gt;="&amp;DATE($B$3,3,9),'Leave log'!$F$7:$F$306,"Approved")&gt;0,"A",""))="A","A",IF(OR(DATE($B$3,3,9)&gt;EOMONTH(DATE($B$3,3,1),0),NETWORKDAYS.INTL(DATE($B$3,3,9),DATE($B$3,3,9),1,'Non-working days'!$A$6:$A$45)=0),"",IF(COUNTIFS('Leave log'!$A$7:$A$306,Employees!$A$24,'Leave log'!$B$7:$B$306,"&lt;="&amp;DATE($B$3,3,9),'Leave log'!$C$7:$C$306,"&gt;="&amp;DATE($B$3,3,9),'Leave log'!$F$7:$F$306,"Pending")&gt;0,"P",""))))</f>
        <v/>
      </c>
      <c r="K93" s="23" t="str">
        <f>IF(A93="","",IF(IF(OR(DATE($B$3,3,10)&gt;EOMONTH(DATE($B$3,3,1),0),NETWORKDAYS.INTL(DATE($B$3,3,10),DATE($B$3,3,10),1,'Non-working days'!$A$6:$A$45)=0),"",IF(COUNTIFS('Leave log'!$A$7:$A$306,Employees!$A$24,'Leave log'!$B$7:$B$306,"&lt;="&amp;DATE($B$3,3,10),'Leave log'!$C$7:$C$306,"&gt;="&amp;DATE($B$3,3,10),'Leave log'!$F$7:$F$306,"Approved")&gt;0,"A",""))="A","A",IF(OR(DATE($B$3,3,10)&gt;EOMONTH(DATE($B$3,3,1),0),NETWORKDAYS.INTL(DATE($B$3,3,10),DATE($B$3,3,10),1,'Non-working days'!$A$6:$A$45)=0),"",IF(COUNTIFS('Leave log'!$A$7:$A$306,Employees!$A$24,'Leave log'!$B$7:$B$306,"&lt;="&amp;DATE($B$3,3,10),'Leave log'!$C$7:$C$306,"&gt;="&amp;DATE($B$3,3,10),'Leave log'!$F$7:$F$306,"Pending")&gt;0,"P",""))))</f>
        <v/>
      </c>
      <c r="L93" s="23" t="str">
        <f>IF(A93="","",IF(IF(OR(DATE($B$3,3,11)&gt;EOMONTH(DATE($B$3,3,1),0),NETWORKDAYS.INTL(DATE($B$3,3,11),DATE($B$3,3,11),1,'Non-working days'!$A$6:$A$45)=0),"",IF(COUNTIFS('Leave log'!$A$7:$A$306,Employees!$A$24,'Leave log'!$B$7:$B$306,"&lt;="&amp;DATE($B$3,3,11),'Leave log'!$C$7:$C$306,"&gt;="&amp;DATE($B$3,3,11),'Leave log'!$F$7:$F$306,"Approved")&gt;0,"A",""))="A","A",IF(OR(DATE($B$3,3,11)&gt;EOMONTH(DATE($B$3,3,1),0),NETWORKDAYS.INTL(DATE($B$3,3,11),DATE($B$3,3,11),1,'Non-working days'!$A$6:$A$45)=0),"",IF(COUNTIFS('Leave log'!$A$7:$A$306,Employees!$A$24,'Leave log'!$B$7:$B$306,"&lt;="&amp;DATE($B$3,3,11),'Leave log'!$C$7:$C$306,"&gt;="&amp;DATE($B$3,3,11),'Leave log'!$F$7:$F$306,"Pending")&gt;0,"P",""))))</f>
        <v/>
      </c>
      <c r="M93" s="23" t="str">
        <f>IF(A93="","",IF(IF(OR(DATE($B$3,3,12)&gt;EOMONTH(DATE($B$3,3,1),0),NETWORKDAYS.INTL(DATE($B$3,3,12),DATE($B$3,3,12),1,'Non-working days'!$A$6:$A$45)=0),"",IF(COUNTIFS('Leave log'!$A$7:$A$306,Employees!$A$24,'Leave log'!$B$7:$B$306,"&lt;="&amp;DATE($B$3,3,12),'Leave log'!$C$7:$C$306,"&gt;="&amp;DATE($B$3,3,12),'Leave log'!$F$7:$F$306,"Approved")&gt;0,"A",""))="A","A",IF(OR(DATE($B$3,3,12)&gt;EOMONTH(DATE($B$3,3,1),0),NETWORKDAYS.INTL(DATE($B$3,3,12),DATE($B$3,3,12),1,'Non-working days'!$A$6:$A$45)=0),"",IF(COUNTIFS('Leave log'!$A$7:$A$306,Employees!$A$24,'Leave log'!$B$7:$B$306,"&lt;="&amp;DATE($B$3,3,12),'Leave log'!$C$7:$C$306,"&gt;="&amp;DATE($B$3,3,12),'Leave log'!$F$7:$F$306,"Pending")&gt;0,"P",""))))</f>
        <v/>
      </c>
      <c r="N93" s="23" t="str">
        <f>IF(A93="","",IF(IF(OR(DATE($B$3,3,13)&gt;EOMONTH(DATE($B$3,3,1),0),NETWORKDAYS.INTL(DATE($B$3,3,13),DATE($B$3,3,13),1,'Non-working days'!$A$6:$A$45)=0),"",IF(COUNTIFS('Leave log'!$A$7:$A$306,Employees!$A$24,'Leave log'!$B$7:$B$306,"&lt;="&amp;DATE($B$3,3,13),'Leave log'!$C$7:$C$306,"&gt;="&amp;DATE($B$3,3,13),'Leave log'!$F$7:$F$306,"Approved")&gt;0,"A",""))="A","A",IF(OR(DATE($B$3,3,13)&gt;EOMONTH(DATE($B$3,3,1),0),NETWORKDAYS.INTL(DATE($B$3,3,13),DATE($B$3,3,13),1,'Non-working days'!$A$6:$A$45)=0),"",IF(COUNTIFS('Leave log'!$A$7:$A$306,Employees!$A$24,'Leave log'!$B$7:$B$306,"&lt;="&amp;DATE($B$3,3,13),'Leave log'!$C$7:$C$306,"&gt;="&amp;DATE($B$3,3,13),'Leave log'!$F$7:$F$306,"Pending")&gt;0,"P",""))))</f>
        <v/>
      </c>
      <c r="O93" s="23" t="str">
        <f>IF(A93="","",IF(IF(OR(DATE($B$3,3,14)&gt;EOMONTH(DATE($B$3,3,1),0),NETWORKDAYS.INTL(DATE($B$3,3,14),DATE($B$3,3,14),1,'Non-working days'!$A$6:$A$45)=0),"",IF(COUNTIFS('Leave log'!$A$7:$A$306,Employees!$A$24,'Leave log'!$B$7:$B$306,"&lt;="&amp;DATE($B$3,3,14),'Leave log'!$C$7:$C$306,"&gt;="&amp;DATE($B$3,3,14),'Leave log'!$F$7:$F$306,"Approved")&gt;0,"A",""))="A","A",IF(OR(DATE($B$3,3,14)&gt;EOMONTH(DATE($B$3,3,1),0),NETWORKDAYS.INTL(DATE($B$3,3,14),DATE($B$3,3,14),1,'Non-working days'!$A$6:$A$45)=0),"",IF(COUNTIFS('Leave log'!$A$7:$A$306,Employees!$A$24,'Leave log'!$B$7:$B$306,"&lt;="&amp;DATE($B$3,3,14),'Leave log'!$C$7:$C$306,"&gt;="&amp;DATE($B$3,3,14),'Leave log'!$F$7:$F$306,"Pending")&gt;0,"P",""))))</f>
        <v/>
      </c>
      <c r="P93" s="23" t="str">
        <f>IF(A93="","",IF(IF(OR(DATE($B$3,3,15)&gt;EOMONTH(DATE($B$3,3,1),0),NETWORKDAYS.INTL(DATE($B$3,3,15),DATE($B$3,3,15),1,'Non-working days'!$A$6:$A$45)=0),"",IF(COUNTIFS('Leave log'!$A$7:$A$306,Employees!$A$24,'Leave log'!$B$7:$B$306,"&lt;="&amp;DATE($B$3,3,15),'Leave log'!$C$7:$C$306,"&gt;="&amp;DATE($B$3,3,15),'Leave log'!$F$7:$F$306,"Approved")&gt;0,"A",""))="A","A",IF(OR(DATE($B$3,3,15)&gt;EOMONTH(DATE($B$3,3,1),0),NETWORKDAYS.INTL(DATE($B$3,3,15),DATE($B$3,3,15),1,'Non-working days'!$A$6:$A$45)=0),"",IF(COUNTIFS('Leave log'!$A$7:$A$306,Employees!$A$24,'Leave log'!$B$7:$B$306,"&lt;="&amp;DATE($B$3,3,15),'Leave log'!$C$7:$C$306,"&gt;="&amp;DATE($B$3,3,15),'Leave log'!$F$7:$F$306,"Pending")&gt;0,"P",""))))</f>
        <v/>
      </c>
      <c r="Q93" s="23" t="str">
        <f>IF(A93="","",IF(IF(OR(DATE($B$3,3,16)&gt;EOMONTH(DATE($B$3,3,1),0),NETWORKDAYS.INTL(DATE($B$3,3,16),DATE($B$3,3,16),1,'Non-working days'!$A$6:$A$45)=0),"",IF(COUNTIFS('Leave log'!$A$7:$A$306,Employees!$A$24,'Leave log'!$B$7:$B$306,"&lt;="&amp;DATE($B$3,3,16),'Leave log'!$C$7:$C$306,"&gt;="&amp;DATE($B$3,3,16),'Leave log'!$F$7:$F$306,"Approved")&gt;0,"A",""))="A","A",IF(OR(DATE($B$3,3,16)&gt;EOMONTH(DATE($B$3,3,1),0),NETWORKDAYS.INTL(DATE($B$3,3,16),DATE($B$3,3,16),1,'Non-working days'!$A$6:$A$45)=0),"",IF(COUNTIFS('Leave log'!$A$7:$A$306,Employees!$A$24,'Leave log'!$B$7:$B$306,"&lt;="&amp;DATE($B$3,3,16),'Leave log'!$C$7:$C$306,"&gt;="&amp;DATE($B$3,3,16),'Leave log'!$F$7:$F$306,"Pending")&gt;0,"P",""))))</f>
        <v/>
      </c>
      <c r="R93" s="23" t="str">
        <f>IF(A93="","",IF(IF(OR(DATE($B$3,3,17)&gt;EOMONTH(DATE($B$3,3,1),0),NETWORKDAYS.INTL(DATE($B$3,3,17),DATE($B$3,3,17),1,'Non-working days'!$A$6:$A$45)=0),"",IF(COUNTIFS('Leave log'!$A$7:$A$306,Employees!$A$24,'Leave log'!$B$7:$B$306,"&lt;="&amp;DATE($B$3,3,17),'Leave log'!$C$7:$C$306,"&gt;="&amp;DATE($B$3,3,17),'Leave log'!$F$7:$F$306,"Approved")&gt;0,"A",""))="A","A",IF(OR(DATE($B$3,3,17)&gt;EOMONTH(DATE($B$3,3,1),0),NETWORKDAYS.INTL(DATE($B$3,3,17),DATE($B$3,3,17),1,'Non-working days'!$A$6:$A$45)=0),"",IF(COUNTIFS('Leave log'!$A$7:$A$306,Employees!$A$24,'Leave log'!$B$7:$B$306,"&lt;="&amp;DATE($B$3,3,17),'Leave log'!$C$7:$C$306,"&gt;="&amp;DATE($B$3,3,17),'Leave log'!$F$7:$F$306,"Pending")&gt;0,"P",""))))</f>
        <v/>
      </c>
      <c r="S93" s="23" t="str">
        <f>IF(A93="","",IF(IF(OR(DATE($B$3,3,18)&gt;EOMONTH(DATE($B$3,3,1),0),NETWORKDAYS.INTL(DATE($B$3,3,18),DATE($B$3,3,18),1,'Non-working days'!$A$6:$A$45)=0),"",IF(COUNTIFS('Leave log'!$A$7:$A$306,Employees!$A$24,'Leave log'!$B$7:$B$306,"&lt;="&amp;DATE($B$3,3,18),'Leave log'!$C$7:$C$306,"&gt;="&amp;DATE($B$3,3,18),'Leave log'!$F$7:$F$306,"Approved")&gt;0,"A",""))="A","A",IF(OR(DATE($B$3,3,18)&gt;EOMONTH(DATE($B$3,3,1),0),NETWORKDAYS.INTL(DATE($B$3,3,18),DATE($B$3,3,18),1,'Non-working days'!$A$6:$A$45)=0),"",IF(COUNTIFS('Leave log'!$A$7:$A$306,Employees!$A$24,'Leave log'!$B$7:$B$306,"&lt;="&amp;DATE($B$3,3,18),'Leave log'!$C$7:$C$306,"&gt;="&amp;DATE($B$3,3,18),'Leave log'!$F$7:$F$306,"Pending")&gt;0,"P",""))))</f>
        <v/>
      </c>
      <c r="T93" s="23" t="str">
        <f>IF(A93="","",IF(IF(OR(DATE($B$3,3,19)&gt;EOMONTH(DATE($B$3,3,1),0),NETWORKDAYS.INTL(DATE($B$3,3,19),DATE($B$3,3,19),1,'Non-working days'!$A$6:$A$45)=0),"",IF(COUNTIFS('Leave log'!$A$7:$A$306,Employees!$A$24,'Leave log'!$B$7:$B$306,"&lt;="&amp;DATE($B$3,3,19),'Leave log'!$C$7:$C$306,"&gt;="&amp;DATE($B$3,3,19),'Leave log'!$F$7:$F$306,"Approved")&gt;0,"A",""))="A","A",IF(OR(DATE($B$3,3,19)&gt;EOMONTH(DATE($B$3,3,1),0),NETWORKDAYS.INTL(DATE($B$3,3,19),DATE($B$3,3,19),1,'Non-working days'!$A$6:$A$45)=0),"",IF(COUNTIFS('Leave log'!$A$7:$A$306,Employees!$A$24,'Leave log'!$B$7:$B$306,"&lt;="&amp;DATE($B$3,3,19),'Leave log'!$C$7:$C$306,"&gt;="&amp;DATE($B$3,3,19),'Leave log'!$F$7:$F$306,"Pending")&gt;0,"P",""))))</f>
        <v/>
      </c>
      <c r="U93" s="23" t="str">
        <f>IF(A93="","",IF(IF(OR(DATE($B$3,3,20)&gt;EOMONTH(DATE($B$3,3,1),0),NETWORKDAYS.INTL(DATE($B$3,3,20),DATE($B$3,3,20),1,'Non-working days'!$A$6:$A$45)=0),"",IF(COUNTIFS('Leave log'!$A$7:$A$306,Employees!$A$24,'Leave log'!$B$7:$B$306,"&lt;="&amp;DATE($B$3,3,20),'Leave log'!$C$7:$C$306,"&gt;="&amp;DATE($B$3,3,20),'Leave log'!$F$7:$F$306,"Approved")&gt;0,"A",""))="A","A",IF(OR(DATE($B$3,3,20)&gt;EOMONTH(DATE($B$3,3,1),0),NETWORKDAYS.INTL(DATE($B$3,3,20),DATE($B$3,3,20),1,'Non-working days'!$A$6:$A$45)=0),"",IF(COUNTIFS('Leave log'!$A$7:$A$306,Employees!$A$24,'Leave log'!$B$7:$B$306,"&lt;="&amp;DATE($B$3,3,20),'Leave log'!$C$7:$C$306,"&gt;="&amp;DATE($B$3,3,20),'Leave log'!$F$7:$F$306,"Pending")&gt;0,"P",""))))</f>
        <v/>
      </c>
      <c r="V93" s="23" t="str">
        <f>IF(A93="","",IF(IF(OR(DATE($B$3,3,21)&gt;EOMONTH(DATE($B$3,3,1),0),NETWORKDAYS.INTL(DATE($B$3,3,21),DATE($B$3,3,21),1,'Non-working days'!$A$6:$A$45)=0),"",IF(COUNTIFS('Leave log'!$A$7:$A$306,Employees!$A$24,'Leave log'!$B$7:$B$306,"&lt;="&amp;DATE($B$3,3,21),'Leave log'!$C$7:$C$306,"&gt;="&amp;DATE($B$3,3,21),'Leave log'!$F$7:$F$306,"Approved")&gt;0,"A",""))="A","A",IF(OR(DATE($B$3,3,21)&gt;EOMONTH(DATE($B$3,3,1),0),NETWORKDAYS.INTL(DATE($B$3,3,21),DATE($B$3,3,21),1,'Non-working days'!$A$6:$A$45)=0),"",IF(COUNTIFS('Leave log'!$A$7:$A$306,Employees!$A$24,'Leave log'!$B$7:$B$306,"&lt;="&amp;DATE($B$3,3,21),'Leave log'!$C$7:$C$306,"&gt;="&amp;DATE($B$3,3,21),'Leave log'!$F$7:$F$306,"Pending")&gt;0,"P",""))))</f>
        <v/>
      </c>
      <c r="W93" s="23" t="str">
        <f>IF(A93="","",IF(IF(OR(DATE($B$3,3,22)&gt;EOMONTH(DATE($B$3,3,1),0),NETWORKDAYS.INTL(DATE($B$3,3,22),DATE($B$3,3,22),1,'Non-working days'!$A$6:$A$45)=0),"",IF(COUNTIFS('Leave log'!$A$7:$A$306,Employees!$A$24,'Leave log'!$B$7:$B$306,"&lt;="&amp;DATE($B$3,3,22),'Leave log'!$C$7:$C$306,"&gt;="&amp;DATE($B$3,3,22),'Leave log'!$F$7:$F$306,"Approved")&gt;0,"A",""))="A","A",IF(OR(DATE($B$3,3,22)&gt;EOMONTH(DATE($B$3,3,1),0),NETWORKDAYS.INTL(DATE($B$3,3,22),DATE($B$3,3,22),1,'Non-working days'!$A$6:$A$45)=0),"",IF(COUNTIFS('Leave log'!$A$7:$A$306,Employees!$A$24,'Leave log'!$B$7:$B$306,"&lt;="&amp;DATE($B$3,3,22),'Leave log'!$C$7:$C$306,"&gt;="&amp;DATE($B$3,3,22),'Leave log'!$F$7:$F$306,"Pending")&gt;0,"P",""))))</f>
        <v/>
      </c>
      <c r="X93" s="23" t="str">
        <f>IF(A93="","",IF(IF(OR(DATE($B$3,3,23)&gt;EOMONTH(DATE($B$3,3,1),0),NETWORKDAYS.INTL(DATE($B$3,3,23),DATE($B$3,3,23),1,'Non-working days'!$A$6:$A$45)=0),"",IF(COUNTIFS('Leave log'!$A$7:$A$306,Employees!$A$24,'Leave log'!$B$7:$B$306,"&lt;="&amp;DATE($B$3,3,23),'Leave log'!$C$7:$C$306,"&gt;="&amp;DATE($B$3,3,23),'Leave log'!$F$7:$F$306,"Approved")&gt;0,"A",""))="A","A",IF(OR(DATE($B$3,3,23)&gt;EOMONTH(DATE($B$3,3,1),0),NETWORKDAYS.INTL(DATE($B$3,3,23),DATE($B$3,3,23),1,'Non-working days'!$A$6:$A$45)=0),"",IF(COUNTIFS('Leave log'!$A$7:$A$306,Employees!$A$24,'Leave log'!$B$7:$B$306,"&lt;="&amp;DATE($B$3,3,23),'Leave log'!$C$7:$C$306,"&gt;="&amp;DATE($B$3,3,23),'Leave log'!$F$7:$F$306,"Pending")&gt;0,"P",""))))</f>
        <v/>
      </c>
      <c r="Y93" s="23" t="str">
        <f>IF(A93="","",IF(IF(OR(DATE($B$3,3,24)&gt;EOMONTH(DATE($B$3,3,1),0),NETWORKDAYS.INTL(DATE($B$3,3,24),DATE($B$3,3,24),1,'Non-working days'!$A$6:$A$45)=0),"",IF(COUNTIFS('Leave log'!$A$7:$A$306,Employees!$A$24,'Leave log'!$B$7:$B$306,"&lt;="&amp;DATE($B$3,3,24),'Leave log'!$C$7:$C$306,"&gt;="&amp;DATE($B$3,3,24),'Leave log'!$F$7:$F$306,"Approved")&gt;0,"A",""))="A","A",IF(OR(DATE($B$3,3,24)&gt;EOMONTH(DATE($B$3,3,1),0),NETWORKDAYS.INTL(DATE($B$3,3,24),DATE($B$3,3,24),1,'Non-working days'!$A$6:$A$45)=0),"",IF(COUNTIFS('Leave log'!$A$7:$A$306,Employees!$A$24,'Leave log'!$B$7:$B$306,"&lt;="&amp;DATE($B$3,3,24),'Leave log'!$C$7:$C$306,"&gt;="&amp;DATE($B$3,3,24),'Leave log'!$F$7:$F$306,"Pending")&gt;0,"P",""))))</f>
        <v/>
      </c>
      <c r="Z93" s="23" t="str">
        <f>IF(A93="","",IF(IF(OR(DATE($B$3,3,25)&gt;EOMONTH(DATE($B$3,3,1),0),NETWORKDAYS.INTL(DATE($B$3,3,25),DATE($B$3,3,25),1,'Non-working days'!$A$6:$A$45)=0),"",IF(COUNTIFS('Leave log'!$A$7:$A$306,Employees!$A$24,'Leave log'!$B$7:$B$306,"&lt;="&amp;DATE($B$3,3,25),'Leave log'!$C$7:$C$306,"&gt;="&amp;DATE($B$3,3,25),'Leave log'!$F$7:$F$306,"Approved")&gt;0,"A",""))="A","A",IF(OR(DATE($B$3,3,25)&gt;EOMONTH(DATE($B$3,3,1),0),NETWORKDAYS.INTL(DATE($B$3,3,25),DATE($B$3,3,25),1,'Non-working days'!$A$6:$A$45)=0),"",IF(COUNTIFS('Leave log'!$A$7:$A$306,Employees!$A$24,'Leave log'!$B$7:$B$306,"&lt;="&amp;DATE($B$3,3,25),'Leave log'!$C$7:$C$306,"&gt;="&amp;DATE($B$3,3,25),'Leave log'!$F$7:$F$306,"Pending")&gt;0,"P",""))))</f>
        <v/>
      </c>
      <c r="AA93" s="23" t="str">
        <f>IF(A93="","",IF(IF(OR(DATE($B$3,3,26)&gt;EOMONTH(DATE($B$3,3,1),0),NETWORKDAYS.INTL(DATE($B$3,3,26),DATE($B$3,3,26),1,'Non-working days'!$A$6:$A$45)=0),"",IF(COUNTIFS('Leave log'!$A$7:$A$306,Employees!$A$24,'Leave log'!$B$7:$B$306,"&lt;="&amp;DATE($B$3,3,26),'Leave log'!$C$7:$C$306,"&gt;="&amp;DATE($B$3,3,26),'Leave log'!$F$7:$F$306,"Approved")&gt;0,"A",""))="A","A",IF(OR(DATE($B$3,3,26)&gt;EOMONTH(DATE($B$3,3,1),0),NETWORKDAYS.INTL(DATE($B$3,3,26),DATE($B$3,3,26),1,'Non-working days'!$A$6:$A$45)=0),"",IF(COUNTIFS('Leave log'!$A$7:$A$306,Employees!$A$24,'Leave log'!$B$7:$B$306,"&lt;="&amp;DATE($B$3,3,26),'Leave log'!$C$7:$C$306,"&gt;="&amp;DATE($B$3,3,26),'Leave log'!$F$7:$F$306,"Pending")&gt;0,"P",""))))</f>
        <v/>
      </c>
      <c r="AB93" s="23" t="str">
        <f>IF(A93="","",IF(IF(OR(DATE($B$3,3,27)&gt;EOMONTH(DATE($B$3,3,1),0),NETWORKDAYS.INTL(DATE($B$3,3,27),DATE($B$3,3,27),1,'Non-working days'!$A$6:$A$45)=0),"",IF(COUNTIFS('Leave log'!$A$7:$A$306,Employees!$A$24,'Leave log'!$B$7:$B$306,"&lt;="&amp;DATE($B$3,3,27),'Leave log'!$C$7:$C$306,"&gt;="&amp;DATE($B$3,3,27),'Leave log'!$F$7:$F$306,"Approved")&gt;0,"A",""))="A","A",IF(OR(DATE($B$3,3,27)&gt;EOMONTH(DATE($B$3,3,1),0),NETWORKDAYS.INTL(DATE($B$3,3,27),DATE($B$3,3,27),1,'Non-working days'!$A$6:$A$45)=0),"",IF(COUNTIFS('Leave log'!$A$7:$A$306,Employees!$A$24,'Leave log'!$B$7:$B$306,"&lt;="&amp;DATE($B$3,3,27),'Leave log'!$C$7:$C$306,"&gt;="&amp;DATE($B$3,3,27),'Leave log'!$F$7:$F$306,"Pending")&gt;0,"P",""))))</f>
        <v/>
      </c>
      <c r="AC93" s="23" t="str">
        <f>IF(A93="","",IF(IF(OR(DATE($B$3,3,28)&gt;EOMONTH(DATE($B$3,3,1),0),NETWORKDAYS.INTL(DATE($B$3,3,28),DATE($B$3,3,28),1,'Non-working days'!$A$6:$A$45)=0),"",IF(COUNTIFS('Leave log'!$A$7:$A$306,Employees!$A$24,'Leave log'!$B$7:$B$306,"&lt;="&amp;DATE($B$3,3,28),'Leave log'!$C$7:$C$306,"&gt;="&amp;DATE($B$3,3,28),'Leave log'!$F$7:$F$306,"Approved")&gt;0,"A",""))="A","A",IF(OR(DATE($B$3,3,28)&gt;EOMONTH(DATE($B$3,3,1),0),NETWORKDAYS.INTL(DATE($B$3,3,28),DATE($B$3,3,28),1,'Non-working days'!$A$6:$A$45)=0),"",IF(COUNTIFS('Leave log'!$A$7:$A$306,Employees!$A$24,'Leave log'!$B$7:$B$306,"&lt;="&amp;DATE($B$3,3,28),'Leave log'!$C$7:$C$306,"&gt;="&amp;DATE($B$3,3,28),'Leave log'!$F$7:$F$306,"Pending")&gt;0,"P",""))))</f>
        <v/>
      </c>
      <c r="AD93" s="23" t="str">
        <f>IF(A93="","",IF(IF(OR(DATE($B$3,3,29)&gt;EOMONTH(DATE($B$3,3,1),0),NETWORKDAYS.INTL(DATE($B$3,3,29),DATE($B$3,3,29),1,'Non-working days'!$A$6:$A$45)=0),"",IF(COUNTIFS('Leave log'!$A$7:$A$306,Employees!$A$24,'Leave log'!$B$7:$B$306,"&lt;="&amp;DATE($B$3,3,29),'Leave log'!$C$7:$C$306,"&gt;="&amp;DATE($B$3,3,29),'Leave log'!$F$7:$F$306,"Approved")&gt;0,"A",""))="A","A",IF(OR(DATE($B$3,3,29)&gt;EOMONTH(DATE($B$3,3,1),0),NETWORKDAYS.INTL(DATE($B$3,3,29),DATE($B$3,3,29),1,'Non-working days'!$A$6:$A$45)=0),"",IF(COUNTIFS('Leave log'!$A$7:$A$306,Employees!$A$24,'Leave log'!$B$7:$B$306,"&lt;="&amp;DATE($B$3,3,29),'Leave log'!$C$7:$C$306,"&gt;="&amp;DATE($B$3,3,29),'Leave log'!$F$7:$F$306,"Pending")&gt;0,"P",""))))</f>
        <v/>
      </c>
      <c r="AE93" s="23" t="str">
        <f>IF(A93="","",IF(IF(OR(DATE($B$3,3,30)&gt;EOMONTH(DATE($B$3,3,1),0),NETWORKDAYS.INTL(DATE($B$3,3,30),DATE($B$3,3,30),1,'Non-working days'!$A$6:$A$45)=0),"",IF(COUNTIFS('Leave log'!$A$7:$A$306,Employees!$A$24,'Leave log'!$B$7:$B$306,"&lt;="&amp;DATE($B$3,3,30),'Leave log'!$C$7:$C$306,"&gt;="&amp;DATE($B$3,3,30),'Leave log'!$F$7:$F$306,"Approved")&gt;0,"A",""))="A","A",IF(OR(DATE($B$3,3,30)&gt;EOMONTH(DATE($B$3,3,1),0),NETWORKDAYS.INTL(DATE($B$3,3,30),DATE($B$3,3,30),1,'Non-working days'!$A$6:$A$45)=0),"",IF(COUNTIFS('Leave log'!$A$7:$A$306,Employees!$A$24,'Leave log'!$B$7:$B$306,"&lt;="&amp;DATE($B$3,3,30),'Leave log'!$C$7:$C$306,"&gt;="&amp;DATE($B$3,3,30),'Leave log'!$F$7:$F$306,"Pending")&gt;0,"P",""))))</f>
        <v/>
      </c>
      <c r="AF93" s="23" t="str">
        <f>IF(A93="","",IF(IF(OR(DATE($B$3,3,31)&gt;EOMONTH(DATE($B$3,3,1),0),NETWORKDAYS.INTL(DATE($B$3,3,31),DATE($B$3,3,31),1,'Non-working days'!$A$6:$A$45)=0),"",IF(COUNTIFS('Leave log'!$A$7:$A$306,Employees!$A$24,'Leave log'!$B$7:$B$306,"&lt;="&amp;DATE($B$3,3,31),'Leave log'!$C$7:$C$306,"&gt;="&amp;DATE($B$3,3,31),'Leave log'!$F$7:$F$306,"Approved")&gt;0,"A",""))="A","A",IF(OR(DATE($B$3,3,31)&gt;EOMONTH(DATE($B$3,3,1),0),NETWORKDAYS.INTL(DATE($B$3,3,31),DATE($B$3,3,31),1,'Non-working days'!$A$6:$A$45)=0),"",IF(COUNTIFS('Leave log'!$A$7:$A$306,Employees!$A$24,'Leave log'!$B$7:$B$306,"&lt;="&amp;DATE($B$3,3,31),'Leave log'!$C$7:$C$306,"&gt;="&amp;DATE($B$3,3,31),'Leave log'!$F$7:$F$306,"Pending")&gt;0,"P",""))))</f>
        <v/>
      </c>
    </row>
    <row r="94" spans="1:32" ht="18" customHeight="1" x14ac:dyDescent="0.3">
      <c r="A94" s="22" t="str">
        <f>IF(Employees!F25="Yes",Employees!B25,"")</f>
        <v/>
      </c>
      <c r="B94" s="23" t="str">
        <f>IF(A94="","",IF(IF(OR(DATE($B$3,3,1)&gt;EOMONTH(DATE($B$3,3,1),0),NETWORKDAYS.INTL(DATE($B$3,3,1),DATE($B$3,3,1),1,'Non-working days'!$A$6:$A$45)=0),"",IF(COUNTIFS('Leave log'!$A$7:$A$306,Employees!$A$25,'Leave log'!$B$7:$B$306,"&lt;="&amp;DATE($B$3,3,1),'Leave log'!$C$7:$C$306,"&gt;="&amp;DATE($B$3,3,1),'Leave log'!$F$7:$F$306,"Approved")&gt;0,"A",""))="A","A",IF(OR(DATE($B$3,3,1)&gt;EOMONTH(DATE($B$3,3,1),0),NETWORKDAYS.INTL(DATE($B$3,3,1),DATE($B$3,3,1),1,'Non-working days'!$A$6:$A$45)=0),"",IF(COUNTIFS('Leave log'!$A$7:$A$306,Employees!$A$25,'Leave log'!$B$7:$B$306,"&lt;="&amp;DATE($B$3,3,1),'Leave log'!$C$7:$C$306,"&gt;="&amp;DATE($B$3,3,1),'Leave log'!$F$7:$F$306,"Pending")&gt;0,"P",""))))</f>
        <v/>
      </c>
      <c r="C94" s="23" t="str">
        <f>IF(A94="","",IF(IF(OR(DATE($B$3,3,2)&gt;EOMONTH(DATE($B$3,3,1),0),NETWORKDAYS.INTL(DATE($B$3,3,2),DATE($B$3,3,2),1,'Non-working days'!$A$6:$A$45)=0),"",IF(COUNTIFS('Leave log'!$A$7:$A$306,Employees!$A$25,'Leave log'!$B$7:$B$306,"&lt;="&amp;DATE($B$3,3,2),'Leave log'!$C$7:$C$306,"&gt;="&amp;DATE($B$3,3,2),'Leave log'!$F$7:$F$306,"Approved")&gt;0,"A",""))="A","A",IF(OR(DATE($B$3,3,2)&gt;EOMONTH(DATE($B$3,3,1),0),NETWORKDAYS.INTL(DATE($B$3,3,2),DATE($B$3,3,2),1,'Non-working days'!$A$6:$A$45)=0),"",IF(COUNTIFS('Leave log'!$A$7:$A$306,Employees!$A$25,'Leave log'!$B$7:$B$306,"&lt;="&amp;DATE($B$3,3,2),'Leave log'!$C$7:$C$306,"&gt;="&amp;DATE($B$3,3,2),'Leave log'!$F$7:$F$306,"Pending")&gt;0,"P",""))))</f>
        <v/>
      </c>
      <c r="D94" s="23" t="str">
        <f>IF(A94="","",IF(IF(OR(DATE($B$3,3,3)&gt;EOMONTH(DATE($B$3,3,1),0),NETWORKDAYS.INTL(DATE($B$3,3,3),DATE($B$3,3,3),1,'Non-working days'!$A$6:$A$45)=0),"",IF(COUNTIFS('Leave log'!$A$7:$A$306,Employees!$A$25,'Leave log'!$B$7:$B$306,"&lt;="&amp;DATE($B$3,3,3),'Leave log'!$C$7:$C$306,"&gt;="&amp;DATE($B$3,3,3),'Leave log'!$F$7:$F$306,"Approved")&gt;0,"A",""))="A","A",IF(OR(DATE($B$3,3,3)&gt;EOMONTH(DATE($B$3,3,1),0),NETWORKDAYS.INTL(DATE($B$3,3,3),DATE($B$3,3,3),1,'Non-working days'!$A$6:$A$45)=0),"",IF(COUNTIFS('Leave log'!$A$7:$A$306,Employees!$A$25,'Leave log'!$B$7:$B$306,"&lt;="&amp;DATE($B$3,3,3),'Leave log'!$C$7:$C$306,"&gt;="&amp;DATE($B$3,3,3),'Leave log'!$F$7:$F$306,"Pending")&gt;0,"P",""))))</f>
        <v/>
      </c>
      <c r="E94" s="23" t="str">
        <f>IF(A94="","",IF(IF(OR(DATE($B$3,3,4)&gt;EOMONTH(DATE($B$3,3,1),0),NETWORKDAYS.INTL(DATE($B$3,3,4),DATE($B$3,3,4),1,'Non-working days'!$A$6:$A$45)=0),"",IF(COUNTIFS('Leave log'!$A$7:$A$306,Employees!$A$25,'Leave log'!$B$7:$B$306,"&lt;="&amp;DATE($B$3,3,4),'Leave log'!$C$7:$C$306,"&gt;="&amp;DATE($B$3,3,4),'Leave log'!$F$7:$F$306,"Approved")&gt;0,"A",""))="A","A",IF(OR(DATE($B$3,3,4)&gt;EOMONTH(DATE($B$3,3,1),0),NETWORKDAYS.INTL(DATE($B$3,3,4),DATE($B$3,3,4),1,'Non-working days'!$A$6:$A$45)=0),"",IF(COUNTIFS('Leave log'!$A$7:$A$306,Employees!$A$25,'Leave log'!$B$7:$B$306,"&lt;="&amp;DATE($B$3,3,4),'Leave log'!$C$7:$C$306,"&gt;="&amp;DATE($B$3,3,4),'Leave log'!$F$7:$F$306,"Pending")&gt;0,"P",""))))</f>
        <v/>
      </c>
      <c r="F94" s="23" t="str">
        <f>IF(A94="","",IF(IF(OR(DATE($B$3,3,5)&gt;EOMONTH(DATE($B$3,3,1),0),NETWORKDAYS.INTL(DATE($B$3,3,5),DATE($B$3,3,5),1,'Non-working days'!$A$6:$A$45)=0),"",IF(COUNTIFS('Leave log'!$A$7:$A$306,Employees!$A$25,'Leave log'!$B$7:$B$306,"&lt;="&amp;DATE($B$3,3,5),'Leave log'!$C$7:$C$306,"&gt;="&amp;DATE($B$3,3,5),'Leave log'!$F$7:$F$306,"Approved")&gt;0,"A",""))="A","A",IF(OR(DATE($B$3,3,5)&gt;EOMONTH(DATE($B$3,3,1),0),NETWORKDAYS.INTL(DATE($B$3,3,5),DATE($B$3,3,5),1,'Non-working days'!$A$6:$A$45)=0),"",IF(COUNTIFS('Leave log'!$A$7:$A$306,Employees!$A$25,'Leave log'!$B$7:$B$306,"&lt;="&amp;DATE($B$3,3,5),'Leave log'!$C$7:$C$306,"&gt;="&amp;DATE($B$3,3,5),'Leave log'!$F$7:$F$306,"Pending")&gt;0,"P",""))))</f>
        <v/>
      </c>
      <c r="G94" s="23" t="str">
        <f>IF(A94="","",IF(IF(OR(DATE($B$3,3,6)&gt;EOMONTH(DATE($B$3,3,1),0),NETWORKDAYS.INTL(DATE($B$3,3,6),DATE($B$3,3,6),1,'Non-working days'!$A$6:$A$45)=0),"",IF(COUNTIFS('Leave log'!$A$7:$A$306,Employees!$A$25,'Leave log'!$B$7:$B$306,"&lt;="&amp;DATE($B$3,3,6),'Leave log'!$C$7:$C$306,"&gt;="&amp;DATE($B$3,3,6),'Leave log'!$F$7:$F$306,"Approved")&gt;0,"A",""))="A","A",IF(OR(DATE($B$3,3,6)&gt;EOMONTH(DATE($B$3,3,1),0),NETWORKDAYS.INTL(DATE($B$3,3,6),DATE($B$3,3,6),1,'Non-working days'!$A$6:$A$45)=0),"",IF(COUNTIFS('Leave log'!$A$7:$A$306,Employees!$A$25,'Leave log'!$B$7:$B$306,"&lt;="&amp;DATE($B$3,3,6),'Leave log'!$C$7:$C$306,"&gt;="&amp;DATE($B$3,3,6),'Leave log'!$F$7:$F$306,"Pending")&gt;0,"P",""))))</f>
        <v/>
      </c>
      <c r="H94" s="23" t="str">
        <f>IF(A94="","",IF(IF(OR(DATE($B$3,3,7)&gt;EOMONTH(DATE($B$3,3,1),0),NETWORKDAYS.INTL(DATE($B$3,3,7),DATE($B$3,3,7),1,'Non-working days'!$A$6:$A$45)=0),"",IF(COUNTIFS('Leave log'!$A$7:$A$306,Employees!$A$25,'Leave log'!$B$7:$B$306,"&lt;="&amp;DATE($B$3,3,7),'Leave log'!$C$7:$C$306,"&gt;="&amp;DATE($B$3,3,7),'Leave log'!$F$7:$F$306,"Approved")&gt;0,"A",""))="A","A",IF(OR(DATE($B$3,3,7)&gt;EOMONTH(DATE($B$3,3,1),0),NETWORKDAYS.INTL(DATE($B$3,3,7),DATE($B$3,3,7),1,'Non-working days'!$A$6:$A$45)=0),"",IF(COUNTIFS('Leave log'!$A$7:$A$306,Employees!$A$25,'Leave log'!$B$7:$B$306,"&lt;="&amp;DATE($B$3,3,7),'Leave log'!$C$7:$C$306,"&gt;="&amp;DATE($B$3,3,7),'Leave log'!$F$7:$F$306,"Pending")&gt;0,"P",""))))</f>
        <v/>
      </c>
      <c r="I94" s="23" t="str">
        <f>IF(A94="","",IF(IF(OR(DATE($B$3,3,8)&gt;EOMONTH(DATE($B$3,3,1),0),NETWORKDAYS.INTL(DATE($B$3,3,8),DATE($B$3,3,8),1,'Non-working days'!$A$6:$A$45)=0),"",IF(COUNTIFS('Leave log'!$A$7:$A$306,Employees!$A$25,'Leave log'!$B$7:$B$306,"&lt;="&amp;DATE($B$3,3,8),'Leave log'!$C$7:$C$306,"&gt;="&amp;DATE($B$3,3,8),'Leave log'!$F$7:$F$306,"Approved")&gt;0,"A",""))="A","A",IF(OR(DATE($B$3,3,8)&gt;EOMONTH(DATE($B$3,3,1),0),NETWORKDAYS.INTL(DATE($B$3,3,8),DATE($B$3,3,8),1,'Non-working days'!$A$6:$A$45)=0),"",IF(COUNTIFS('Leave log'!$A$7:$A$306,Employees!$A$25,'Leave log'!$B$7:$B$306,"&lt;="&amp;DATE($B$3,3,8),'Leave log'!$C$7:$C$306,"&gt;="&amp;DATE($B$3,3,8),'Leave log'!$F$7:$F$306,"Pending")&gt;0,"P",""))))</f>
        <v/>
      </c>
      <c r="J94" s="23" t="str">
        <f>IF(A94="","",IF(IF(OR(DATE($B$3,3,9)&gt;EOMONTH(DATE($B$3,3,1),0),NETWORKDAYS.INTL(DATE($B$3,3,9),DATE($B$3,3,9),1,'Non-working days'!$A$6:$A$45)=0),"",IF(COUNTIFS('Leave log'!$A$7:$A$306,Employees!$A$25,'Leave log'!$B$7:$B$306,"&lt;="&amp;DATE($B$3,3,9),'Leave log'!$C$7:$C$306,"&gt;="&amp;DATE($B$3,3,9),'Leave log'!$F$7:$F$306,"Approved")&gt;0,"A",""))="A","A",IF(OR(DATE($B$3,3,9)&gt;EOMONTH(DATE($B$3,3,1),0),NETWORKDAYS.INTL(DATE($B$3,3,9),DATE($B$3,3,9),1,'Non-working days'!$A$6:$A$45)=0),"",IF(COUNTIFS('Leave log'!$A$7:$A$306,Employees!$A$25,'Leave log'!$B$7:$B$306,"&lt;="&amp;DATE($B$3,3,9),'Leave log'!$C$7:$C$306,"&gt;="&amp;DATE($B$3,3,9),'Leave log'!$F$7:$F$306,"Pending")&gt;0,"P",""))))</f>
        <v/>
      </c>
      <c r="K94" s="23" t="str">
        <f>IF(A94="","",IF(IF(OR(DATE($B$3,3,10)&gt;EOMONTH(DATE($B$3,3,1),0),NETWORKDAYS.INTL(DATE($B$3,3,10),DATE($B$3,3,10),1,'Non-working days'!$A$6:$A$45)=0),"",IF(COUNTIFS('Leave log'!$A$7:$A$306,Employees!$A$25,'Leave log'!$B$7:$B$306,"&lt;="&amp;DATE($B$3,3,10),'Leave log'!$C$7:$C$306,"&gt;="&amp;DATE($B$3,3,10),'Leave log'!$F$7:$F$306,"Approved")&gt;0,"A",""))="A","A",IF(OR(DATE($B$3,3,10)&gt;EOMONTH(DATE($B$3,3,1),0),NETWORKDAYS.INTL(DATE($B$3,3,10),DATE($B$3,3,10),1,'Non-working days'!$A$6:$A$45)=0),"",IF(COUNTIFS('Leave log'!$A$7:$A$306,Employees!$A$25,'Leave log'!$B$7:$B$306,"&lt;="&amp;DATE($B$3,3,10),'Leave log'!$C$7:$C$306,"&gt;="&amp;DATE($B$3,3,10),'Leave log'!$F$7:$F$306,"Pending")&gt;0,"P",""))))</f>
        <v/>
      </c>
      <c r="L94" s="23" t="str">
        <f>IF(A94="","",IF(IF(OR(DATE($B$3,3,11)&gt;EOMONTH(DATE($B$3,3,1),0),NETWORKDAYS.INTL(DATE($B$3,3,11),DATE($B$3,3,11),1,'Non-working days'!$A$6:$A$45)=0),"",IF(COUNTIFS('Leave log'!$A$7:$A$306,Employees!$A$25,'Leave log'!$B$7:$B$306,"&lt;="&amp;DATE($B$3,3,11),'Leave log'!$C$7:$C$306,"&gt;="&amp;DATE($B$3,3,11),'Leave log'!$F$7:$F$306,"Approved")&gt;0,"A",""))="A","A",IF(OR(DATE($B$3,3,11)&gt;EOMONTH(DATE($B$3,3,1),0),NETWORKDAYS.INTL(DATE($B$3,3,11),DATE($B$3,3,11),1,'Non-working days'!$A$6:$A$45)=0),"",IF(COUNTIFS('Leave log'!$A$7:$A$306,Employees!$A$25,'Leave log'!$B$7:$B$306,"&lt;="&amp;DATE($B$3,3,11),'Leave log'!$C$7:$C$306,"&gt;="&amp;DATE($B$3,3,11),'Leave log'!$F$7:$F$306,"Pending")&gt;0,"P",""))))</f>
        <v/>
      </c>
      <c r="M94" s="23" t="str">
        <f>IF(A94="","",IF(IF(OR(DATE($B$3,3,12)&gt;EOMONTH(DATE($B$3,3,1),0),NETWORKDAYS.INTL(DATE($B$3,3,12),DATE($B$3,3,12),1,'Non-working days'!$A$6:$A$45)=0),"",IF(COUNTIFS('Leave log'!$A$7:$A$306,Employees!$A$25,'Leave log'!$B$7:$B$306,"&lt;="&amp;DATE($B$3,3,12),'Leave log'!$C$7:$C$306,"&gt;="&amp;DATE($B$3,3,12),'Leave log'!$F$7:$F$306,"Approved")&gt;0,"A",""))="A","A",IF(OR(DATE($B$3,3,12)&gt;EOMONTH(DATE($B$3,3,1),0),NETWORKDAYS.INTL(DATE($B$3,3,12),DATE($B$3,3,12),1,'Non-working days'!$A$6:$A$45)=0),"",IF(COUNTIFS('Leave log'!$A$7:$A$306,Employees!$A$25,'Leave log'!$B$7:$B$306,"&lt;="&amp;DATE($B$3,3,12),'Leave log'!$C$7:$C$306,"&gt;="&amp;DATE($B$3,3,12),'Leave log'!$F$7:$F$306,"Pending")&gt;0,"P",""))))</f>
        <v/>
      </c>
      <c r="N94" s="23" t="str">
        <f>IF(A94="","",IF(IF(OR(DATE($B$3,3,13)&gt;EOMONTH(DATE($B$3,3,1),0),NETWORKDAYS.INTL(DATE($B$3,3,13),DATE($B$3,3,13),1,'Non-working days'!$A$6:$A$45)=0),"",IF(COUNTIFS('Leave log'!$A$7:$A$306,Employees!$A$25,'Leave log'!$B$7:$B$306,"&lt;="&amp;DATE($B$3,3,13),'Leave log'!$C$7:$C$306,"&gt;="&amp;DATE($B$3,3,13),'Leave log'!$F$7:$F$306,"Approved")&gt;0,"A",""))="A","A",IF(OR(DATE($B$3,3,13)&gt;EOMONTH(DATE($B$3,3,1),0),NETWORKDAYS.INTL(DATE($B$3,3,13),DATE($B$3,3,13),1,'Non-working days'!$A$6:$A$45)=0),"",IF(COUNTIFS('Leave log'!$A$7:$A$306,Employees!$A$25,'Leave log'!$B$7:$B$306,"&lt;="&amp;DATE($B$3,3,13),'Leave log'!$C$7:$C$306,"&gt;="&amp;DATE($B$3,3,13),'Leave log'!$F$7:$F$306,"Pending")&gt;0,"P",""))))</f>
        <v/>
      </c>
      <c r="O94" s="23" t="str">
        <f>IF(A94="","",IF(IF(OR(DATE($B$3,3,14)&gt;EOMONTH(DATE($B$3,3,1),0),NETWORKDAYS.INTL(DATE($B$3,3,14),DATE($B$3,3,14),1,'Non-working days'!$A$6:$A$45)=0),"",IF(COUNTIFS('Leave log'!$A$7:$A$306,Employees!$A$25,'Leave log'!$B$7:$B$306,"&lt;="&amp;DATE($B$3,3,14),'Leave log'!$C$7:$C$306,"&gt;="&amp;DATE($B$3,3,14),'Leave log'!$F$7:$F$306,"Approved")&gt;0,"A",""))="A","A",IF(OR(DATE($B$3,3,14)&gt;EOMONTH(DATE($B$3,3,1),0),NETWORKDAYS.INTL(DATE($B$3,3,14),DATE($B$3,3,14),1,'Non-working days'!$A$6:$A$45)=0),"",IF(COUNTIFS('Leave log'!$A$7:$A$306,Employees!$A$25,'Leave log'!$B$7:$B$306,"&lt;="&amp;DATE($B$3,3,14),'Leave log'!$C$7:$C$306,"&gt;="&amp;DATE($B$3,3,14),'Leave log'!$F$7:$F$306,"Pending")&gt;0,"P",""))))</f>
        <v/>
      </c>
      <c r="P94" s="23" t="str">
        <f>IF(A94="","",IF(IF(OR(DATE($B$3,3,15)&gt;EOMONTH(DATE($B$3,3,1),0),NETWORKDAYS.INTL(DATE($B$3,3,15),DATE($B$3,3,15),1,'Non-working days'!$A$6:$A$45)=0),"",IF(COUNTIFS('Leave log'!$A$7:$A$306,Employees!$A$25,'Leave log'!$B$7:$B$306,"&lt;="&amp;DATE($B$3,3,15),'Leave log'!$C$7:$C$306,"&gt;="&amp;DATE($B$3,3,15),'Leave log'!$F$7:$F$306,"Approved")&gt;0,"A",""))="A","A",IF(OR(DATE($B$3,3,15)&gt;EOMONTH(DATE($B$3,3,1),0),NETWORKDAYS.INTL(DATE($B$3,3,15),DATE($B$3,3,15),1,'Non-working days'!$A$6:$A$45)=0),"",IF(COUNTIFS('Leave log'!$A$7:$A$306,Employees!$A$25,'Leave log'!$B$7:$B$306,"&lt;="&amp;DATE($B$3,3,15),'Leave log'!$C$7:$C$306,"&gt;="&amp;DATE($B$3,3,15),'Leave log'!$F$7:$F$306,"Pending")&gt;0,"P",""))))</f>
        <v/>
      </c>
      <c r="Q94" s="23" t="str">
        <f>IF(A94="","",IF(IF(OR(DATE($B$3,3,16)&gt;EOMONTH(DATE($B$3,3,1),0),NETWORKDAYS.INTL(DATE($B$3,3,16),DATE($B$3,3,16),1,'Non-working days'!$A$6:$A$45)=0),"",IF(COUNTIFS('Leave log'!$A$7:$A$306,Employees!$A$25,'Leave log'!$B$7:$B$306,"&lt;="&amp;DATE($B$3,3,16),'Leave log'!$C$7:$C$306,"&gt;="&amp;DATE($B$3,3,16),'Leave log'!$F$7:$F$306,"Approved")&gt;0,"A",""))="A","A",IF(OR(DATE($B$3,3,16)&gt;EOMONTH(DATE($B$3,3,1),0),NETWORKDAYS.INTL(DATE($B$3,3,16),DATE($B$3,3,16),1,'Non-working days'!$A$6:$A$45)=0),"",IF(COUNTIFS('Leave log'!$A$7:$A$306,Employees!$A$25,'Leave log'!$B$7:$B$306,"&lt;="&amp;DATE($B$3,3,16),'Leave log'!$C$7:$C$306,"&gt;="&amp;DATE($B$3,3,16),'Leave log'!$F$7:$F$306,"Pending")&gt;0,"P",""))))</f>
        <v/>
      </c>
      <c r="R94" s="23" t="str">
        <f>IF(A94="","",IF(IF(OR(DATE($B$3,3,17)&gt;EOMONTH(DATE($B$3,3,1),0),NETWORKDAYS.INTL(DATE($B$3,3,17),DATE($B$3,3,17),1,'Non-working days'!$A$6:$A$45)=0),"",IF(COUNTIFS('Leave log'!$A$7:$A$306,Employees!$A$25,'Leave log'!$B$7:$B$306,"&lt;="&amp;DATE($B$3,3,17),'Leave log'!$C$7:$C$306,"&gt;="&amp;DATE($B$3,3,17),'Leave log'!$F$7:$F$306,"Approved")&gt;0,"A",""))="A","A",IF(OR(DATE($B$3,3,17)&gt;EOMONTH(DATE($B$3,3,1),0),NETWORKDAYS.INTL(DATE($B$3,3,17),DATE($B$3,3,17),1,'Non-working days'!$A$6:$A$45)=0),"",IF(COUNTIFS('Leave log'!$A$7:$A$306,Employees!$A$25,'Leave log'!$B$7:$B$306,"&lt;="&amp;DATE($B$3,3,17),'Leave log'!$C$7:$C$306,"&gt;="&amp;DATE($B$3,3,17),'Leave log'!$F$7:$F$306,"Pending")&gt;0,"P",""))))</f>
        <v/>
      </c>
      <c r="S94" s="23" t="str">
        <f>IF(A94="","",IF(IF(OR(DATE($B$3,3,18)&gt;EOMONTH(DATE($B$3,3,1),0),NETWORKDAYS.INTL(DATE($B$3,3,18),DATE($B$3,3,18),1,'Non-working days'!$A$6:$A$45)=0),"",IF(COUNTIFS('Leave log'!$A$7:$A$306,Employees!$A$25,'Leave log'!$B$7:$B$306,"&lt;="&amp;DATE($B$3,3,18),'Leave log'!$C$7:$C$306,"&gt;="&amp;DATE($B$3,3,18),'Leave log'!$F$7:$F$306,"Approved")&gt;0,"A",""))="A","A",IF(OR(DATE($B$3,3,18)&gt;EOMONTH(DATE($B$3,3,1),0),NETWORKDAYS.INTL(DATE($B$3,3,18),DATE($B$3,3,18),1,'Non-working days'!$A$6:$A$45)=0),"",IF(COUNTIFS('Leave log'!$A$7:$A$306,Employees!$A$25,'Leave log'!$B$7:$B$306,"&lt;="&amp;DATE($B$3,3,18),'Leave log'!$C$7:$C$306,"&gt;="&amp;DATE($B$3,3,18),'Leave log'!$F$7:$F$306,"Pending")&gt;0,"P",""))))</f>
        <v/>
      </c>
      <c r="T94" s="23" t="str">
        <f>IF(A94="","",IF(IF(OR(DATE($B$3,3,19)&gt;EOMONTH(DATE($B$3,3,1),0),NETWORKDAYS.INTL(DATE($B$3,3,19),DATE($B$3,3,19),1,'Non-working days'!$A$6:$A$45)=0),"",IF(COUNTIFS('Leave log'!$A$7:$A$306,Employees!$A$25,'Leave log'!$B$7:$B$306,"&lt;="&amp;DATE($B$3,3,19),'Leave log'!$C$7:$C$306,"&gt;="&amp;DATE($B$3,3,19),'Leave log'!$F$7:$F$306,"Approved")&gt;0,"A",""))="A","A",IF(OR(DATE($B$3,3,19)&gt;EOMONTH(DATE($B$3,3,1),0),NETWORKDAYS.INTL(DATE($B$3,3,19),DATE($B$3,3,19),1,'Non-working days'!$A$6:$A$45)=0),"",IF(COUNTIFS('Leave log'!$A$7:$A$306,Employees!$A$25,'Leave log'!$B$7:$B$306,"&lt;="&amp;DATE($B$3,3,19),'Leave log'!$C$7:$C$306,"&gt;="&amp;DATE($B$3,3,19),'Leave log'!$F$7:$F$306,"Pending")&gt;0,"P",""))))</f>
        <v/>
      </c>
      <c r="U94" s="23" t="str">
        <f>IF(A94="","",IF(IF(OR(DATE($B$3,3,20)&gt;EOMONTH(DATE($B$3,3,1),0),NETWORKDAYS.INTL(DATE($B$3,3,20),DATE($B$3,3,20),1,'Non-working days'!$A$6:$A$45)=0),"",IF(COUNTIFS('Leave log'!$A$7:$A$306,Employees!$A$25,'Leave log'!$B$7:$B$306,"&lt;="&amp;DATE($B$3,3,20),'Leave log'!$C$7:$C$306,"&gt;="&amp;DATE($B$3,3,20),'Leave log'!$F$7:$F$306,"Approved")&gt;0,"A",""))="A","A",IF(OR(DATE($B$3,3,20)&gt;EOMONTH(DATE($B$3,3,1),0),NETWORKDAYS.INTL(DATE($B$3,3,20),DATE($B$3,3,20),1,'Non-working days'!$A$6:$A$45)=0),"",IF(COUNTIFS('Leave log'!$A$7:$A$306,Employees!$A$25,'Leave log'!$B$7:$B$306,"&lt;="&amp;DATE($B$3,3,20),'Leave log'!$C$7:$C$306,"&gt;="&amp;DATE($B$3,3,20),'Leave log'!$F$7:$F$306,"Pending")&gt;0,"P",""))))</f>
        <v/>
      </c>
      <c r="V94" s="23" t="str">
        <f>IF(A94="","",IF(IF(OR(DATE($B$3,3,21)&gt;EOMONTH(DATE($B$3,3,1),0),NETWORKDAYS.INTL(DATE($B$3,3,21),DATE($B$3,3,21),1,'Non-working days'!$A$6:$A$45)=0),"",IF(COUNTIFS('Leave log'!$A$7:$A$306,Employees!$A$25,'Leave log'!$B$7:$B$306,"&lt;="&amp;DATE($B$3,3,21),'Leave log'!$C$7:$C$306,"&gt;="&amp;DATE($B$3,3,21),'Leave log'!$F$7:$F$306,"Approved")&gt;0,"A",""))="A","A",IF(OR(DATE($B$3,3,21)&gt;EOMONTH(DATE($B$3,3,1),0),NETWORKDAYS.INTL(DATE($B$3,3,21),DATE($B$3,3,21),1,'Non-working days'!$A$6:$A$45)=0),"",IF(COUNTIFS('Leave log'!$A$7:$A$306,Employees!$A$25,'Leave log'!$B$7:$B$306,"&lt;="&amp;DATE($B$3,3,21),'Leave log'!$C$7:$C$306,"&gt;="&amp;DATE($B$3,3,21),'Leave log'!$F$7:$F$306,"Pending")&gt;0,"P",""))))</f>
        <v/>
      </c>
      <c r="W94" s="23" t="str">
        <f>IF(A94="","",IF(IF(OR(DATE($B$3,3,22)&gt;EOMONTH(DATE($B$3,3,1),0),NETWORKDAYS.INTL(DATE($B$3,3,22),DATE($B$3,3,22),1,'Non-working days'!$A$6:$A$45)=0),"",IF(COUNTIFS('Leave log'!$A$7:$A$306,Employees!$A$25,'Leave log'!$B$7:$B$306,"&lt;="&amp;DATE($B$3,3,22),'Leave log'!$C$7:$C$306,"&gt;="&amp;DATE($B$3,3,22),'Leave log'!$F$7:$F$306,"Approved")&gt;0,"A",""))="A","A",IF(OR(DATE($B$3,3,22)&gt;EOMONTH(DATE($B$3,3,1),0),NETWORKDAYS.INTL(DATE($B$3,3,22),DATE($B$3,3,22),1,'Non-working days'!$A$6:$A$45)=0),"",IF(COUNTIFS('Leave log'!$A$7:$A$306,Employees!$A$25,'Leave log'!$B$7:$B$306,"&lt;="&amp;DATE($B$3,3,22),'Leave log'!$C$7:$C$306,"&gt;="&amp;DATE($B$3,3,22),'Leave log'!$F$7:$F$306,"Pending")&gt;0,"P",""))))</f>
        <v/>
      </c>
      <c r="X94" s="23" t="str">
        <f>IF(A94="","",IF(IF(OR(DATE($B$3,3,23)&gt;EOMONTH(DATE($B$3,3,1),0),NETWORKDAYS.INTL(DATE($B$3,3,23),DATE($B$3,3,23),1,'Non-working days'!$A$6:$A$45)=0),"",IF(COUNTIFS('Leave log'!$A$7:$A$306,Employees!$A$25,'Leave log'!$B$7:$B$306,"&lt;="&amp;DATE($B$3,3,23),'Leave log'!$C$7:$C$306,"&gt;="&amp;DATE($B$3,3,23),'Leave log'!$F$7:$F$306,"Approved")&gt;0,"A",""))="A","A",IF(OR(DATE($B$3,3,23)&gt;EOMONTH(DATE($B$3,3,1),0),NETWORKDAYS.INTL(DATE($B$3,3,23),DATE($B$3,3,23),1,'Non-working days'!$A$6:$A$45)=0),"",IF(COUNTIFS('Leave log'!$A$7:$A$306,Employees!$A$25,'Leave log'!$B$7:$B$306,"&lt;="&amp;DATE($B$3,3,23),'Leave log'!$C$7:$C$306,"&gt;="&amp;DATE($B$3,3,23),'Leave log'!$F$7:$F$306,"Pending")&gt;0,"P",""))))</f>
        <v/>
      </c>
      <c r="Y94" s="23" t="str">
        <f>IF(A94="","",IF(IF(OR(DATE($B$3,3,24)&gt;EOMONTH(DATE($B$3,3,1),0),NETWORKDAYS.INTL(DATE($B$3,3,24),DATE($B$3,3,24),1,'Non-working days'!$A$6:$A$45)=0),"",IF(COUNTIFS('Leave log'!$A$7:$A$306,Employees!$A$25,'Leave log'!$B$7:$B$306,"&lt;="&amp;DATE($B$3,3,24),'Leave log'!$C$7:$C$306,"&gt;="&amp;DATE($B$3,3,24),'Leave log'!$F$7:$F$306,"Approved")&gt;0,"A",""))="A","A",IF(OR(DATE($B$3,3,24)&gt;EOMONTH(DATE($B$3,3,1),0),NETWORKDAYS.INTL(DATE($B$3,3,24),DATE($B$3,3,24),1,'Non-working days'!$A$6:$A$45)=0),"",IF(COUNTIFS('Leave log'!$A$7:$A$306,Employees!$A$25,'Leave log'!$B$7:$B$306,"&lt;="&amp;DATE($B$3,3,24),'Leave log'!$C$7:$C$306,"&gt;="&amp;DATE($B$3,3,24),'Leave log'!$F$7:$F$306,"Pending")&gt;0,"P",""))))</f>
        <v/>
      </c>
      <c r="Z94" s="23" t="str">
        <f>IF(A94="","",IF(IF(OR(DATE($B$3,3,25)&gt;EOMONTH(DATE($B$3,3,1),0),NETWORKDAYS.INTL(DATE($B$3,3,25),DATE($B$3,3,25),1,'Non-working days'!$A$6:$A$45)=0),"",IF(COUNTIFS('Leave log'!$A$7:$A$306,Employees!$A$25,'Leave log'!$B$7:$B$306,"&lt;="&amp;DATE($B$3,3,25),'Leave log'!$C$7:$C$306,"&gt;="&amp;DATE($B$3,3,25),'Leave log'!$F$7:$F$306,"Approved")&gt;0,"A",""))="A","A",IF(OR(DATE($B$3,3,25)&gt;EOMONTH(DATE($B$3,3,1),0),NETWORKDAYS.INTL(DATE($B$3,3,25),DATE($B$3,3,25),1,'Non-working days'!$A$6:$A$45)=0),"",IF(COUNTIFS('Leave log'!$A$7:$A$306,Employees!$A$25,'Leave log'!$B$7:$B$306,"&lt;="&amp;DATE($B$3,3,25),'Leave log'!$C$7:$C$306,"&gt;="&amp;DATE($B$3,3,25),'Leave log'!$F$7:$F$306,"Pending")&gt;0,"P",""))))</f>
        <v/>
      </c>
      <c r="AA94" s="23" t="str">
        <f>IF(A94="","",IF(IF(OR(DATE($B$3,3,26)&gt;EOMONTH(DATE($B$3,3,1),0),NETWORKDAYS.INTL(DATE($B$3,3,26),DATE($B$3,3,26),1,'Non-working days'!$A$6:$A$45)=0),"",IF(COUNTIFS('Leave log'!$A$7:$A$306,Employees!$A$25,'Leave log'!$B$7:$B$306,"&lt;="&amp;DATE($B$3,3,26),'Leave log'!$C$7:$C$306,"&gt;="&amp;DATE($B$3,3,26),'Leave log'!$F$7:$F$306,"Approved")&gt;0,"A",""))="A","A",IF(OR(DATE($B$3,3,26)&gt;EOMONTH(DATE($B$3,3,1),0),NETWORKDAYS.INTL(DATE($B$3,3,26),DATE($B$3,3,26),1,'Non-working days'!$A$6:$A$45)=0),"",IF(COUNTIFS('Leave log'!$A$7:$A$306,Employees!$A$25,'Leave log'!$B$7:$B$306,"&lt;="&amp;DATE($B$3,3,26),'Leave log'!$C$7:$C$306,"&gt;="&amp;DATE($B$3,3,26),'Leave log'!$F$7:$F$306,"Pending")&gt;0,"P",""))))</f>
        <v/>
      </c>
      <c r="AB94" s="23" t="str">
        <f>IF(A94="","",IF(IF(OR(DATE($B$3,3,27)&gt;EOMONTH(DATE($B$3,3,1),0),NETWORKDAYS.INTL(DATE($B$3,3,27),DATE($B$3,3,27),1,'Non-working days'!$A$6:$A$45)=0),"",IF(COUNTIFS('Leave log'!$A$7:$A$306,Employees!$A$25,'Leave log'!$B$7:$B$306,"&lt;="&amp;DATE($B$3,3,27),'Leave log'!$C$7:$C$306,"&gt;="&amp;DATE($B$3,3,27),'Leave log'!$F$7:$F$306,"Approved")&gt;0,"A",""))="A","A",IF(OR(DATE($B$3,3,27)&gt;EOMONTH(DATE($B$3,3,1),0),NETWORKDAYS.INTL(DATE($B$3,3,27),DATE($B$3,3,27),1,'Non-working days'!$A$6:$A$45)=0),"",IF(COUNTIFS('Leave log'!$A$7:$A$306,Employees!$A$25,'Leave log'!$B$7:$B$306,"&lt;="&amp;DATE($B$3,3,27),'Leave log'!$C$7:$C$306,"&gt;="&amp;DATE($B$3,3,27),'Leave log'!$F$7:$F$306,"Pending")&gt;0,"P",""))))</f>
        <v/>
      </c>
      <c r="AC94" s="23" t="str">
        <f>IF(A94="","",IF(IF(OR(DATE($B$3,3,28)&gt;EOMONTH(DATE($B$3,3,1),0),NETWORKDAYS.INTL(DATE($B$3,3,28),DATE($B$3,3,28),1,'Non-working days'!$A$6:$A$45)=0),"",IF(COUNTIFS('Leave log'!$A$7:$A$306,Employees!$A$25,'Leave log'!$B$7:$B$306,"&lt;="&amp;DATE($B$3,3,28),'Leave log'!$C$7:$C$306,"&gt;="&amp;DATE($B$3,3,28),'Leave log'!$F$7:$F$306,"Approved")&gt;0,"A",""))="A","A",IF(OR(DATE($B$3,3,28)&gt;EOMONTH(DATE($B$3,3,1),0),NETWORKDAYS.INTL(DATE($B$3,3,28),DATE($B$3,3,28),1,'Non-working days'!$A$6:$A$45)=0),"",IF(COUNTIFS('Leave log'!$A$7:$A$306,Employees!$A$25,'Leave log'!$B$7:$B$306,"&lt;="&amp;DATE($B$3,3,28),'Leave log'!$C$7:$C$306,"&gt;="&amp;DATE($B$3,3,28),'Leave log'!$F$7:$F$306,"Pending")&gt;0,"P",""))))</f>
        <v/>
      </c>
      <c r="AD94" s="23" t="str">
        <f>IF(A94="","",IF(IF(OR(DATE($B$3,3,29)&gt;EOMONTH(DATE($B$3,3,1),0),NETWORKDAYS.INTL(DATE($B$3,3,29),DATE($B$3,3,29),1,'Non-working days'!$A$6:$A$45)=0),"",IF(COUNTIFS('Leave log'!$A$7:$A$306,Employees!$A$25,'Leave log'!$B$7:$B$306,"&lt;="&amp;DATE($B$3,3,29),'Leave log'!$C$7:$C$306,"&gt;="&amp;DATE($B$3,3,29),'Leave log'!$F$7:$F$306,"Approved")&gt;0,"A",""))="A","A",IF(OR(DATE($B$3,3,29)&gt;EOMONTH(DATE($B$3,3,1),0),NETWORKDAYS.INTL(DATE($B$3,3,29),DATE($B$3,3,29),1,'Non-working days'!$A$6:$A$45)=0),"",IF(COUNTIFS('Leave log'!$A$7:$A$306,Employees!$A$25,'Leave log'!$B$7:$B$306,"&lt;="&amp;DATE($B$3,3,29),'Leave log'!$C$7:$C$306,"&gt;="&amp;DATE($B$3,3,29),'Leave log'!$F$7:$F$306,"Pending")&gt;0,"P",""))))</f>
        <v/>
      </c>
      <c r="AE94" s="23" t="str">
        <f>IF(A94="","",IF(IF(OR(DATE($B$3,3,30)&gt;EOMONTH(DATE($B$3,3,1),0),NETWORKDAYS.INTL(DATE($B$3,3,30),DATE($B$3,3,30),1,'Non-working days'!$A$6:$A$45)=0),"",IF(COUNTIFS('Leave log'!$A$7:$A$306,Employees!$A$25,'Leave log'!$B$7:$B$306,"&lt;="&amp;DATE($B$3,3,30),'Leave log'!$C$7:$C$306,"&gt;="&amp;DATE($B$3,3,30),'Leave log'!$F$7:$F$306,"Approved")&gt;0,"A",""))="A","A",IF(OR(DATE($B$3,3,30)&gt;EOMONTH(DATE($B$3,3,1),0),NETWORKDAYS.INTL(DATE($B$3,3,30),DATE($B$3,3,30),1,'Non-working days'!$A$6:$A$45)=0),"",IF(COUNTIFS('Leave log'!$A$7:$A$306,Employees!$A$25,'Leave log'!$B$7:$B$306,"&lt;="&amp;DATE($B$3,3,30),'Leave log'!$C$7:$C$306,"&gt;="&amp;DATE($B$3,3,30),'Leave log'!$F$7:$F$306,"Pending")&gt;0,"P",""))))</f>
        <v/>
      </c>
      <c r="AF94" s="23" t="str">
        <f>IF(A94="","",IF(IF(OR(DATE($B$3,3,31)&gt;EOMONTH(DATE($B$3,3,1),0),NETWORKDAYS.INTL(DATE($B$3,3,31),DATE($B$3,3,31),1,'Non-working days'!$A$6:$A$45)=0),"",IF(COUNTIFS('Leave log'!$A$7:$A$306,Employees!$A$25,'Leave log'!$B$7:$B$306,"&lt;="&amp;DATE($B$3,3,31),'Leave log'!$C$7:$C$306,"&gt;="&amp;DATE($B$3,3,31),'Leave log'!$F$7:$F$306,"Approved")&gt;0,"A",""))="A","A",IF(OR(DATE($B$3,3,31)&gt;EOMONTH(DATE($B$3,3,1),0),NETWORKDAYS.INTL(DATE($B$3,3,31),DATE($B$3,3,31),1,'Non-working days'!$A$6:$A$45)=0),"",IF(COUNTIFS('Leave log'!$A$7:$A$306,Employees!$A$25,'Leave log'!$B$7:$B$306,"&lt;="&amp;DATE($B$3,3,31),'Leave log'!$C$7:$C$306,"&gt;="&amp;DATE($B$3,3,31),'Leave log'!$F$7:$F$306,"Pending")&gt;0,"P",""))))</f>
        <v/>
      </c>
    </row>
    <row r="95" spans="1:32" ht="18" customHeight="1" x14ac:dyDescent="0.3">
      <c r="A95" s="22" t="str">
        <f>IF(Employees!F26="Yes",Employees!B26,"")</f>
        <v/>
      </c>
      <c r="B95" s="23" t="str">
        <f>IF(A95="","",IF(IF(OR(DATE($B$3,3,1)&gt;EOMONTH(DATE($B$3,3,1),0),NETWORKDAYS.INTL(DATE($B$3,3,1),DATE($B$3,3,1),1,'Non-working days'!$A$6:$A$45)=0),"",IF(COUNTIFS('Leave log'!$A$7:$A$306,Employees!$A$26,'Leave log'!$B$7:$B$306,"&lt;="&amp;DATE($B$3,3,1),'Leave log'!$C$7:$C$306,"&gt;="&amp;DATE($B$3,3,1),'Leave log'!$F$7:$F$306,"Approved")&gt;0,"A",""))="A","A",IF(OR(DATE($B$3,3,1)&gt;EOMONTH(DATE($B$3,3,1),0),NETWORKDAYS.INTL(DATE($B$3,3,1),DATE($B$3,3,1),1,'Non-working days'!$A$6:$A$45)=0),"",IF(COUNTIFS('Leave log'!$A$7:$A$306,Employees!$A$26,'Leave log'!$B$7:$B$306,"&lt;="&amp;DATE($B$3,3,1),'Leave log'!$C$7:$C$306,"&gt;="&amp;DATE($B$3,3,1),'Leave log'!$F$7:$F$306,"Pending")&gt;0,"P",""))))</f>
        <v/>
      </c>
      <c r="C95" s="23" t="str">
        <f>IF(A95="","",IF(IF(OR(DATE($B$3,3,2)&gt;EOMONTH(DATE($B$3,3,1),0),NETWORKDAYS.INTL(DATE($B$3,3,2),DATE($B$3,3,2),1,'Non-working days'!$A$6:$A$45)=0),"",IF(COUNTIFS('Leave log'!$A$7:$A$306,Employees!$A$26,'Leave log'!$B$7:$B$306,"&lt;="&amp;DATE($B$3,3,2),'Leave log'!$C$7:$C$306,"&gt;="&amp;DATE($B$3,3,2),'Leave log'!$F$7:$F$306,"Approved")&gt;0,"A",""))="A","A",IF(OR(DATE($B$3,3,2)&gt;EOMONTH(DATE($B$3,3,1),0),NETWORKDAYS.INTL(DATE($B$3,3,2),DATE($B$3,3,2),1,'Non-working days'!$A$6:$A$45)=0),"",IF(COUNTIFS('Leave log'!$A$7:$A$306,Employees!$A$26,'Leave log'!$B$7:$B$306,"&lt;="&amp;DATE($B$3,3,2),'Leave log'!$C$7:$C$306,"&gt;="&amp;DATE($B$3,3,2),'Leave log'!$F$7:$F$306,"Pending")&gt;0,"P",""))))</f>
        <v/>
      </c>
      <c r="D95" s="23" t="str">
        <f>IF(A95="","",IF(IF(OR(DATE($B$3,3,3)&gt;EOMONTH(DATE($B$3,3,1),0),NETWORKDAYS.INTL(DATE($B$3,3,3),DATE($B$3,3,3),1,'Non-working days'!$A$6:$A$45)=0),"",IF(COUNTIFS('Leave log'!$A$7:$A$306,Employees!$A$26,'Leave log'!$B$7:$B$306,"&lt;="&amp;DATE($B$3,3,3),'Leave log'!$C$7:$C$306,"&gt;="&amp;DATE($B$3,3,3),'Leave log'!$F$7:$F$306,"Approved")&gt;0,"A",""))="A","A",IF(OR(DATE($B$3,3,3)&gt;EOMONTH(DATE($B$3,3,1),0),NETWORKDAYS.INTL(DATE($B$3,3,3),DATE($B$3,3,3),1,'Non-working days'!$A$6:$A$45)=0),"",IF(COUNTIFS('Leave log'!$A$7:$A$306,Employees!$A$26,'Leave log'!$B$7:$B$306,"&lt;="&amp;DATE($B$3,3,3),'Leave log'!$C$7:$C$306,"&gt;="&amp;DATE($B$3,3,3),'Leave log'!$F$7:$F$306,"Pending")&gt;0,"P",""))))</f>
        <v/>
      </c>
      <c r="E95" s="23" t="str">
        <f>IF(A95="","",IF(IF(OR(DATE($B$3,3,4)&gt;EOMONTH(DATE($B$3,3,1),0),NETWORKDAYS.INTL(DATE($B$3,3,4),DATE($B$3,3,4),1,'Non-working days'!$A$6:$A$45)=0),"",IF(COUNTIFS('Leave log'!$A$7:$A$306,Employees!$A$26,'Leave log'!$B$7:$B$306,"&lt;="&amp;DATE($B$3,3,4),'Leave log'!$C$7:$C$306,"&gt;="&amp;DATE($B$3,3,4),'Leave log'!$F$7:$F$306,"Approved")&gt;0,"A",""))="A","A",IF(OR(DATE($B$3,3,4)&gt;EOMONTH(DATE($B$3,3,1),0),NETWORKDAYS.INTL(DATE($B$3,3,4),DATE($B$3,3,4),1,'Non-working days'!$A$6:$A$45)=0),"",IF(COUNTIFS('Leave log'!$A$7:$A$306,Employees!$A$26,'Leave log'!$B$7:$B$306,"&lt;="&amp;DATE($B$3,3,4),'Leave log'!$C$7:$C$306,"&gt;="&amp;DATE($B$3,3,4),'Leave log'!$F$7:$F$306,"Pending")&gt;0,"P",""))))</f>
        <v/>
      </c>
      <c r="F95" s="23" t="str">
        <f>IF(A95="","",IF(IF(OR(DATE($B$3,3,5)&gt;EOMONTH(DATE($B$3,3,1),0),NETWORKDAYS.INTL(DATE($B$3,3,5),DATE($B$3,3,5),1,'Non-working days'!$A$6:$A$45)=0),"",IF(COUNTIFS('Leave log'!$A$7:$A$306,Employees!$A$26,'Leave log'!$B$7:$B$306,"&lt;="&amp;DATE($B$3,3,5),'Leave log'!$C$7:$C$306,"&gt;="&amp;DATE($B$3,3,5),'Leave log'!$F$7:$F$306,"Approved")&gt;0,"A",""))="A","A",IF(OR(DATE($B$3,3,5)&gt;EOMONTH(DATE($B$3,3,1),0),NETWORKDAYS.INTL(DATE($B$3,3,5),DATE($B$3,3,5),1,'Non-working days'!$A$6:$A$45)=0),"",IF(COUNTIFS('Leave log'!$A$7:$A$306,Employees!$A$26,'Leave log'!$B$7:$B$306,"&lt;="&amp;DATE($B$3,3,5),'Leave log'!$C$7:$C$306,"&gt;="&amp;DATE($B$3,3,5),'Leave log'!$F$7:$F$306,"Pending")&gt;0,"P",""))))</f>
        <v/>
      </c>
      <c r="G95" s="23" t="str">
        <f>IF(A95="","",IF(IF(OR(DATE($B$3,3,6)&gt;EOMONTH(DATE($B$3,3,1),0),NETWORKDAYS.INTL(DATE($B$3,3,6),DATE($B$3,3,6),1,'Non-working days'!$A$6:$A$45)=0),"",IF(COUNTIFS('Leave log'!$A$7:$A$306,Employees!$A$26,'Leave log'!$B$7:$B$306,"&lt;="&amp;DATE($B$3,3,6),'Leave log'!$C$7:$C$306,"&gt;="&amp;DATE($B$3,3,6),'Leave log'!$F$7:$F$306,"Approved")&gt;0,"A",""))="A","A",IF(OR(DATE($B$3,3,6)&gt;EOMONTH(DATE($B$3,3,1),0),NETWORKDAYS.INTL(DATE($B$3,3,6),DATE($B$3,3,6),1,'Non-working days'!$A$6:$A$45)=0),"",IF(COUNTIFS('Leave log'!$A$7:$A$306,Employees!$A$26,'Leave log'!$B$7:$B$306,"&lt;="&amp;DATE($B$3,3,6),'Leave log'!$C$7:$C$306,"&gt;="&amp;DATE($B$3,3,6),'Leave log'!$F$7:$F$306,"Pending")&gt;0,"P",""))))</f>
        <v/>
      </c>
      <c r="H95" s="23" t="str">
        <f>IF(A95="","",IF(IF(OR(DATE($B$3,3,7)&gt;EOMONTH(DATE($B$3,3,1),0),NETWORKDAYS.INTL(DATE($B$3,3,7),DATE($B$3,3,7),1,'Non-working days'!$A$6:$A$45)=0),"",IF(COUNTIFS('Leave log'!$A$7:$A$306,Employees!$A$26,'Leave log'!$B$7:$B$306,"&lt;="&amp;DATE($B$3,3,7),'Leave log'!$C$7:$C$306,"&gt;="&amp;DATE($B$3,3,7),'Leave log'!$F$7:$F$306,"Approved")&gt;0,"A",""))="A","A",IF(OR(DATE($B$3,3,7)&gt;EOMONTH(DATE($B$3,3,1),0),NETWORKDAYS.INTL(DATE($B$3,3,7),DATE($B$3,3,7),1,'Non-working days'!$A$6:$A$45)=0),"",IF(COUNTIFS('Leave log'!$A$7:$A$306,Employees!$A$26,'Leave log'!$B$7:$B$306,"&lt;="&amp;DATE($B$3,3,7),'Leave log'!$C$7:$C$306,"&gt;="&amp;DATE($B$3,3,7),'Leave log'!$F$7:$F$306,"Pending")&gt;0,"P",""))))</f>
        <v/>
      </c>
      <c r="I95" s="23" t="str">
        <f>IF(A95="","",IF(IF(OR(DATE($B$3,3,8)&gt;EOMONTH(DATE($B$3,3,1),0),NETWORKDAYS.INTL(DATE($B$3,3,8),DATE($B$3,3,8),1,'Non-working days'!$A$6:$A$45)=0),"",IF(COUNTIFS('Leave log'!$A$7:$A$306,Employees!$A$26,'Leave log'!$B$7:$B$306,"&lt;="&amp;DATE($B$3,3,8),'Leave log'!$C$7:$C$306,"&gt;="&amp;DATE($B$3,3,8),'Leave log'!$F$7:$F$306,"Approved")&gt;0,"A",""))="A","A",IF(OR(DATE($B$3,3,8)&gt;EOMONTH(DATE($B$3,3,1),0),NETWORKDAYS.INTL(DATE($B$3,3,8),DATE($B$3,3,8),1,'Non-working days'!$A$6:$A$45)=0),"",IF(COUNTIFS('Leave log'!$A$7:$A$306,Employees!$A$26,'Leave log'!$B$7:$B$306,"&lt;="&amp;DATE($B$3,3,8),'Leave log'!$C$7:$C$306,"&gt;="&amp;DATE($B$3,3,8),'Leave log'!$F$7:$F$306,"Pending")&gt;0,"P",""))))</f>
        <v/>
      </c>
      <c r="J95" s="23" t="str">
        <f>IF(A95="","",IF(IF(OR(DATE($B$3,3,9)&gt;EOMONTH(DATE($B$3,3,1),0),NETWORKDAYS.INTL(DATE($B$3,3,9),DATE($B$3,3,9),1,'Non-working days'!$A$6:$A$45)=0),"",IF(COUNTIFS('Leave log'!$A$7:$A$306,Employees!$A$26,'Leave log'!$B$7:$B$306,"&lt;="&amp;DATE($B$3,3,9),'Leave log'!$C$7:$C$306,"&gt;="&amp;DATE($B$3,3,9),'Leave log'!$F$7:$F$306,"Approved")&gt;0,"A",""))="A","A",IF(OR(DATE($B$3,3,9)&gt;EOMONTH(DATE($B$3,3,1),0),NETWORKDAYS.INTL(DATE($B$3,3,9),DATE($B$3,3,9),1,'Non-working days'!$A$6:$A$45)=0),"",IF(COUNTIFS('Leave log'!$A$7:$A$306,Employees!$A$26,'Leave log'!$B$7:$B$306,"&lt;="&amp;DATE($B$3,3,9),'Leave log'!$C$7:$C$306,"&gt;="&amp;DATE($B$3,3,9),'Leave log'!$F$7:$F$306,"Pending")&gt;0,"P",""))))</f>
        <v/>
      </c>
      <c r="K95" s="23" t="str">
        <f>IF(A95="","",IF(IF(OR(DATE($B$3,3,10)&gt;EOMONTH(DATE($B$3,3,1),0),NETWORKDAYS.INTL(DATE($B$3,3,10),DATE($B$3,3,10),1,'Non-working days'!$A$6:$A$45)=0),"",IF(COUNTIFS('Leave log'!$A$7:$A$306,Employees!$A$26,'Leave log'!$B$7:$B$306,"&lt;="&amp;DATE($B$3,3,10),'Leave log'!$C$7:$C$306,"&gt;="&amp;DATE($B$3,3,10),'Leave log'!$F$7:$F$306,"Approved")&gt;0,"A",""))="A","A",IF(OR(DATE($B$3,3,10)&gt;EOMONTH(DATE($B$3,3,1),0),NETWORKDAYS.INTL(DATE($B$3,3,10),DATE($B$3,3,10),1,'Non-working days'!$A$6:$A$45)=0),"",IF(COUNTIFS('Leave log'!$A$7:$A$306,Employees!$A$26,'Leave log'!$B$7:$B$306,"&lt;="&amp;DATE($B$3,3,10),'Leave log'!$C$7:$C$306,"&gt;="&amp;DATE($B$3,3,10),'Leave log'!$F$7:$F$306,"Pending")&gt;0,"P",""))))</f>
        <v/>
      </c>
      <c r="L95" s="23" t="str">
        <f>IF(A95="","",IF(IF(OR(DATE($B$3,3,11)&gt;EOMONTH(DATE($B$3,3,1),0),NETWORKDAYS.INTL(DATE($B$3,3,11),DATE($B$3,3,11),1,'Non-working days'!$A$6:$A$45)=0),"",IF(COUNTIFS('Leave log'!$A$7:$A$306,Employees!$A$26,'Leave log'!$B$7:$B$306,"&lt;="&amp;DATE($B$3,3,11),'Leave log'!$C$7:$C$306,"&gt;="&amp;DATE($B$3,3,11),'Leave log'!$F$7:$F$306,"Approved")&gt;0,"A",""))="A","A",IF(OR(DATE($B$3,3,11)&gt;EOMONTH(DATE($B$3,3,1),0),NETWORKDAYS.INTL(DATE($B$3,3,11),DATE($B$3,3,11),1,'Non-working days'!$A$6:$A$45)=0),"",IF(COUNTIFS('Leave log'!$A$7:$A$306,Employees!$A$26,'Leave log'!$B$7:$B$306,"&lt;="&amp;DATE($B$3,3,11),'Leave log'!$C$7:$C$306,"&gt;="&amp;DATE($B$3,3,11),'Leave log'!$F$7:$F$306,"Pending")&gt;0,"P",""))))</f>
        <v/>
      </c>
      <c r="M95" s="23" t="str">
        <f>IF(A95="","",IF(IF(OR(DATE($B$3,3,12)&gt;EOMONTH(DATE($B$3,3,1),0),NETWORKDAYS.INTL(DATE($B$3,3,12),DATE($B$3,3,12),1,'Non-working days'!$A$6:$A$45)=0),"",IF(COUNTIFS('Leave log'!$A$7:$A$306,Employees!$A$26,'Leave log'!$B$7:$B$306,"&lt;="&amp;DATE($B$3,3,12),'Leave log'!$C$7:$C$306,"&gt;="&amp;DATE($B$3,3,12),'Leave log'!$F$7:$F$306,"Approved")&gt;0,"A",""))="A","A",IF(OR(DATE($B$3,3,12)&gt;EOMONTH(DATE($B$3,3,1),0),NETWORKDAYS.INTL(DATE($B$3,3,12),DATE($B$3,3,12),1,'Non-working days'!$A$6:$A$45)=0),"",IF(COUNTIFS('Leave log'!$A$7:$A$306,Employees!$A$26,'Leave log'!$B$7:$B$306,"&lt;="&amp;DATE($B$3,3,12),'Leave log'!$C$7:$C$306,"&gt;="&amp;DATE($B$3,3,12),'Leave log'!$F$7:$F$306,"Pending")&gt;0,"P",""))))</f>
        <v/>
      </c>
      <c r="N95" s="23" t="str">
        <f>IF(A95="","",IF(IF(OR(DATE($B$3,3,13)&gt;EOMONTH(DATE($B$3,3,1),0),NETWORKDAYS.INTL(DATE($B$3,3,13),DATE($B$3,3,13),1,'Non-working days'!$A$6:$A$45)=0),"",IF(COUNTIFS('Leave log'!$A$7:$A$306,Employees!$A$26,'Leave log'!$B$7:$B$306,"&lt;="&amp;DATE($B$3,3,13),'Leave log'!$C$7:$C$306,"&gt;="&amp;DATE($B$3,3,13),'Leave log'!$F$7:$F$306,"Approved")&gt;0,"A",""))="A","A",IF(OR(DATE($B$3,3,13)&gt;EOMONTH(DATE($B$3,3,1),0),NETWORKDAYS.INTL(DATE($B$3,3,13),DATE($B$3,3,13),1,'Non-working days'!$A$6:$A$45)=0),"",IF(COUNTIFS('Leave log'!$A$7:$A$306,Employees!$A$26,'Leave log'!$B$7:$B$306,"&lt;="&amp;DATE($B$3,3,13),'Leave log'!$C$7:$C$306,"&gt;="&amp;DATE($B$3,3,13),'Leave log'!$F$7:$F$306,"Pending")&gt;0,"P",""))))</f>
        <v/>
      </c>
      <c r="O95" s="23" t="str">
        <f>IF(A95="","",IF(IF(OR(DATE($B$3,3,14)&gt;EOMONTH(DATE($B$3,3,1),0),NETWORKDAYS.INTL(DATE($B$3,3,14),DATE($B$3,3,14),1,'Non-working days'!$A$6:$A$45)=0),"",IF(COUNTIFS('Leave log'!$A$7:$A$306,Employees!$A$26,'Leave log'!$B$7:$B$306,"&lt;="&amp;DATE($B$3,3,14),'Leave log'!$C$7:$C$306,"&gt;="&amp;DATE($B$3,3,14),'Leave log'!$F$7:$F$306,"Approved")&gt;0,"A",""))="A","A",IF(OR(DATE($B$3,3,14)&gt;EOMONTH(DATE($B$3,3,1),0),NETWORKDAYS.INTL(DATE($B$3,3,14),DATE($B$3,3,14),1,'Non-working days'!$A$6:$A$45)=0),"",IF(COUNTIFS('Leave log'!$A$7:$A$306,Employees!$A$26,'Leave log'!$B$7:$B$306,"&lt;="&amp;DATE($B$3,3,14),'Leave log'!$C$7:$C$306,"&gt;="&amp;DATE($B$3,3,14),'Leave log'!$F$7:$F$306,"Pending")&gt;0,"P",""))))</f>
        <v/>
      </c>
      <c r="P95" s="23" t="str">
        <f>IF(A95="","",IF(IF(OR(DATE($B$3,3,15)&gt;EOMONTH(DATE($B$3,3,1),0),NETWORKDAYS.INTL(DATE($B$3,3,15),DATE($B$3,3,15),1,'Non-working days'!$A$6:$A$45)=0),"",IF(COUNTIFS('Leave log'!$A$7:$A$306,Employees!$A$26,'Leave log'!$B$7:$B$306,"&lt;="&amp;DATE($B$3,3,15),'Leave log'!$C$7:$C$306,"&gt;="&amp;DATE($B$3,3,15),'Leave log'!$F$7:$F$306,"Approved")&gt;0,"A",""))="A","A",IF(OR(DATE($B$3,3,15)&gt;EOMONTH(DATE($B$3,3,1),0),NETWORKDAYS.INTL(DATE($B$3,3,15),DATE($B$3,3,15),1,'Non-working days'!$A$6:$A$45)=0),"",IF(COUNTIFS('Leave log'!$A$7:$A$306,Employees!$A$26,'Leave log'!$B$7:$B$306,"&lt;="&amp;DATE($B$3,3,15),'Leave log'!$C$7:$C$306,"&gt;="&amp;DATE($B$3,3,15),'Leave log'!$F$7:$F$306,"Pending")&gt;0,"P",""))))</f>
        <v/>
      </c>
      <c r="Q95" s="23" t="str">
        <f>IF(A95="","",IF(IF(OR(DATE($B$3,3,16)&gt;EOMONTH(DATE($B$3,3,1),0),NETWORKDAYS.INTL(DATE($B$3,3,16),DATE($B$3,3,16),1,'Non-working days'!$A$6:$A$45)=0),"",IF(COUNTIFS('Leave log'!$A$7:$A$306,Employees!$A$26,'Leave log'!$B$7:$B$306,"&lt;="&amp;DATE($B$3,3,16),'Leave log'!$C$7:$C$306,"&gt;="&amp;DATE($B$3,3,16),'Leave log'!$F$7:$F$306,"Approved")&gt;0,"A",""))="A","A",IF(OR(DATE($B$3,3,16)&gt;EOMONTH(DATE($B$3,3,1),0),NETWORKDAYS.INTL(DATE($B$3,3,16),DATE($B$3,3,16),1,'Non-working days'!$A$6:$A$45)=0),"",IF(COUNTIFS('Leave log'!$A$7:$A$306,Employees!$A$26,'Leave log'!$B$7:$B$306,"&lt;="&amp;DATE($B$3,3,16),'Leave log'!$C$7:$C$306,"&gt;="&amp;DATE($B$3,3,16),'Leave log'!$F$7:$F$306,"Pending")&gt;0,"P",""))))</f>
        <v/>
      </c>
      <c r="R95" s="23" t="str">
        <f>IF(A95="","",IF(IF(OR(DATE($B$3,3,17)&gt;EOMONTH(DATE($B$3,3,1),0),NETWORKDAYS.INTL(DATE($B$3,3,17),DATE($B$3,3,17),1,'Non-working days'!$A$6:$A$45)=0),"",IF(COUNTIFS('Leave log'!$A$7:$A$306,Employees!$A$26,'Leave log'!$B$7:$B$306,"&lt;="&amp;DATE($B$3,3,17),'Leave log'!$C$7:$C$306,"&gt;="&amp;DATE($B$3,3,17),'Leave log'!$F$7:$F$306,"Approved")&gt;0,"A",""))="A","A",IF(OR(DATE($B$3,3,17)&gt;EOMONTH(DATE($B$3,3,1),0),NETWORKDAYS.INTL(DATE($B$3,3,17),DATE($B$3,3,17),1,'Non-working days'!$A$6:$A$45)=0),"",IF(COUNTIFS('Leave log'!$A$7:$A$306,Employees!$A$26,'Leave log'!$B$7:$B$306,"&lt;="&amp;DATE($B$3,3,17),'Leave log'!$C$7:$C$306,"&gt;="&amp;DATE($B$3,3,17),'Leave log'!$F$7:$F$306,"Pending")&gt;0,"P",""))))</f>
        <v/>
      </c>
      <c r="S95" s="23" t="str">
        <f>IF(A95="","",IF(IF(OR(DATE($B$3,3,18)&gt;EOMONTH(DATE($B$3,3,1),0),NETWORKDAYS.INTL(DATE($B$3,3,18),DATE($B$3,3,18),1,'Non-working days'!$A$6:$A$45)=0),"",IF(COUNTIFS('Leave log'!$A$7:$A$306,Employees!$A$26,'Leave log'!$B$7:$B$306,"&lt;="&amp;DATE($B$3,3,18),'Leave log'!$C$7:$C$306,"&gt;="&amp;DATE($B$3,3,18),'Leave log'!$F$7:$F$306,"Approved")&gt;0,"A",""))="A","A",IF(OR(DATE($B$3,3,18)&gt;EOMONTH(DATE($B$3,3,1),0),NETWORKDAYS.INTL(DATE($B$3,3,18),DATE($B$3,3,18),1,'Non-working days'!$A$6:$A$45)=0),"",IF(COUNTIFS('Leave log'!$A$7:$A$306,Employees!$A$26,'Leave log'!$B$7:$B$306,"&lt;="&amp;DATE($B$3,3,18),'Leave log'!$C$7:$C$306,"&gt;="&amp;DATE($B$3,3,18),'Leave log'!$F$7:$F$306,"Pending")&gt;0,"P",""))))</f>
        <v/>
      </c>
      <c r="T95" s="23" t="str">
        <f>IF(A95="","",IF(IF(OR(DATE($B$3,3,19)&gt;EOMONTH(DATE($B$3,3,1),0),NETWORKDAYS.INTL(DATE($B$3,3,19),DATE($B$3,3,19),1,'Non-working days'!$A$6:$A$45)=0),"",IF(COUNTIFS('Leave log'!$A$7:$A$306,Employees!$A$26,'Leave log'!$B$7:$B$306,"&lt;="&amp;DATE($B$3,3,19),'Leave log'!$C$7:$C$306,"&gt;="&amp;DATE($B$3,3,19),'Leave log'!$F$7:$F$306,"Approved")&gt;0,"A",""))="A","A",IF(OR(DATE($B$3,3,19)&gt;EOMONTH(DATE($B$3,3,1),0),NETWORKDAYS.INTL(DATE($B$3,3,19),DATE($B$3,3,19),1,'Non-working days'!$A$6:$A$45)=0),"",IF(COUNTIFS('Leave log'!$A$7:$A$306,Employees!$A$26,'Leave log'!$B$7:$B$306,"&lt;="&amp;DATE($B$3,3,19),'Leave log'!$C$7:$C$306,"&gt;="&amp;DATE($B$3,3,19),'Leave log'!$F$7:$F$306,"Pending")&gt;0,"P",""))))</f>
        <v/>
      </c>
      <c r="U95" s="23" t="str">
        <f>IF(A95="","",IF(IF(OR(DATE($B$3,3,20)&gt;EOMONTH(DATE($B$3,3,1),0),NETWORKDAYS.INTL(DATE($B$3,3,20),DATE($B$3,3,20),1,'Non-working days'!$A$6:$A$45)=0),"",IF(COUNTIFS('Leave log'!$A$7:$A$306,Employees!$A$26,'Leave log'!$B$7:$B$306,"&lt;="&amp;DATE($B$3,3,20),'Leave log'!$C$7:$C$306,"&gt;="&amp;DATE($B$3,3,20),'Leave log'!$F$7:$F$306,"Approved")&gt;0,"A",""))="A","A",IF(OR(DATE($B$3,3,20)&gt;EOMONTH(DATE($B$3,3,1),0),NETWORKDAYS.INTL(DATE($B$3,3,20),DATE($B$3,3,20),1,'Non-working days'!$A$6:$A$45)=0),"",IF(COUNTIFS('Leave log'!$A$7:$A$306,Employees!$A$26,'Leave log'!$B$7:$B$306,"&lt;="&amp;DATE($B$3,3,20),'Leave log'!$C$7:$C$306,"&gt;="&amp;DATE($B$3,3,20),'Leave log'!$F$7:$F$306,"Pending")&gt;0,"P",""))))</f>
        <v/>
      </c>
      <c r="V95" s="23" t="str">
        <f>IF(A95="","",IF(IF(OR(DATE($B$3,3,21)&gt;EOMONTH(DATE($B$3,3,1),0),NETWORKDAYS.INTL(DATE($B$3,3,21),DATE($B$3,3,21),1,'Non-working days'!$A$6:$A$45)=0),"",IF(COUNTIFS('Leave log'!$A$7:$A$306,Employees!$A$26,'Leave log'!$B$7:$B$306,"&lt;="&amp;DATE($B$3,3,21),'Leave log'!$C$7:$C$306,"&gt;="&amp;DATE($B$3,3,21),'Leave log'!$F$7:$F$306,"Approved")&gt;0,"A",""))="A","A",IF(OR(DATE($B$3,3,21)&gt;EOMONTH(DATE($B$3,3,1),0),NETWORKDAYS.INTL(DATE($B$3,3,21),DATE($B$3,3,21),1,'Non-working days'!$A$6:$A$45)=0),"",IF(COUNTIFS('Leave log'!$A$7:$A$306,Employees!$A$26,'Leave log'!$B$7:$B$306,"&lt;="&amp;DATE($B$3,3,21),'Leave log'!$C$7:$C$306,"&gt;="&amp;DATE($B$3,3,21),'Leave log'!$F$7:$F$306,"Pending")&gt;0,"P",""))))</f>
        <v/>
      </c>
      <c r="W95" s="23" t="str">
        <f>IF(A95="","",IF(IF(OR(DATE($B$3,3,22)&gt;EOMONTH(DATE($B$3,3,1),0),NETWORKDAYS.INTL(DATE($B$3,3,22),DATE($B$3,3,22),1,'Non-working days'!$A$6:$A$45)=0),"",IF(COUNTIFS('Leave log'!$A$7:$A$306,Employees!$A$26,'Leave log'!$B$7:$B$306,"&lt;="&amp;DATE($B$3,3,22),'Leave log'!$C$7:$C$306,"&gt;="&amp;DATE($B$3,3,22),'Leave log'!$F$7:$F$306,"Approved")&gt;0,"A",""))="A","A",IF(OR(DATE($B$3,3,22)&gt;EOMONTH(DATE($B$3,3,1),0),NETWORKDAYS.INTL(DATE($B$3,3,22),DATE($B$3,3,22),1,'Non-working days'!$A$6:$A$45)=0),"",IF(COUNTIFS('Leave log'!$A$7:$A$306,Employees!$A$26,'Leave log'!$B$7:$B$306,"&lt;="&amp;DATE($B$3,3,22),'Leave log'!$C$7:$C$306,"&gt;="&amp;DATE($B$3,3,22),'Leave log'!$F$7:$F$306,"Pending")&gt;0,"P",""))))</f>
        <v/>
      </c>
      <c r="X95" s="23" t="str">
        <f>IF(A95="","",IF(IF(OR(DATE($B$3,3,23)&gt;EOMONTH(DATE($B$3,3,1),0),NETWORKDAYS.INTL(DATE($B$3,3,23),DATE($B$3,3,23),1,'Non-working days'!$A$6:$A$45)=0),"",IF(COUNTIFS('Leave log'!$A$7:$A$306,Employees!$A$26,'Leave log'!$B$7:$B$306,"&lt;="&amp;DATE($B$3,3,23),'Leave log'!$C$7:$C$306,"&gt;="&amp;DATE($B$3,3,23),'Leave log'!$F$7:$F$306,"Approved")&gt;0,"A",""))="A","A",IF(OR(DATE($B$3,3,23)&gt;EOMONTH(DATE($B$3,3,1),0),NETWORKDAYS.INTL(DATE($B$3,3,23),DATE($B$3,3,23),1,'Non-working days'!$A$6:$A$45)=0),"",IF(COUNTIFS('Leave log'!$A$7:$A$306,Employees!$A$26,'Leave log'!$B$7:$B$306,"&lt;="&amp;DATE($B$3,3,23),'Leave log'!$C$7:$C$306,"&gt;="&amp;DATE($B$3,3,23),'Leave log'!$F$7:$F$306,"Pending")&gt;0,"P",""))))</f>
        <v/>
      </c>
      <c r="Y95" s="23" t="str">
        <f>IF(A95="","",IF(IF(OR(DATE($B$3,3,24)&gt;EOMONTH(DATE($B$3,3,1),0),NETWORKDAYS.INTL(DATE($B$3,3,24),DATE($B$3,3,24),1,'Non-working days'!$A$6:$A$45)=0),"",IF(COUNTIFS('Leave log'!$A$7:$A$306,Employees!$A$26,'Leave log'!$B$7:$B$306,"&lt;="&amp;DATE($B$3,3,24),'Leave log'!$C$7:$C$306,"&gt;="&amp;DATE($B$3,3,24),'Leave log'!$F$7:$F$306,"Approved")&gt;0,"A",""))="A","A",IF(OR(DATE($B$3,3,24)&gt;EOMONTH(DATE($B$3,3,1),0),NETWORKDAYS.INTL(DATE($B$3,3,24),DATE($B$3,3,24),1,'Non-working days'!$A$6:$A$45)=0),"",IF(COUNTIFS('Leave log'!$A$7:$A$306,Employees!$A$26,'Leave log'!$B$7:$B$306,"&lt;="&amp;DATE($B$3,3,24),'Leave log'!$C$7:$C$306,"&gt;="&amp;DATE($B$3,3,24),'Leave log'!$F$7:$F$306,"Pending")&gt;0,"P",""))))</f>
        <v/>
      </c>
      <c r="Z95" s="23" t="str">
        <f>IF(A95="","",IF(IF(OR(DATE($B$3,3,25)&gt;EOMONTH(DATE($B$3,3,1),0),NETWORKDAYS.INTL(DATE($B$3,3,25),DATE($B$3,3,25),1,'Non-working days'!$A$6:$A$45)=0),"",IF(COUNTIFS('Leave log'!$A$7:$A$306,Employees!$A$26,'Leave log'!$B$7:$B$306,"&lt;="&amp;DATE($B$3,3,25),'Leave log'!$C$7:$C$306,"&gt;="&amp;DATE($B$3,3,25),'Leave log'!$F$7:$F$306,"Approved")&gt;0,"A",""))="A","A",IF(OR(DATE($B$3,3,25)&gt;EOMONTH(DATE($B$3,3,1),0),NETWORKDAYS.INTL(DATE($B$3,3,25),DATE($B$3,3,25),1,'Non-working days'!$A$6:$A$45)=0),"",IF(COUNTIFS('Leave log'!$A$7:$A$306,Employees!$A$26,'Leave log'!$B$7:$B$306,"&lt;="&amp;DATE($B$3,3,25),'Leave log'!$C$7:$C$306,"&gt;="&amp;DATE($B$3,3,25),'Leave log'!$F$7:$F$306,"Pending")&gt;0,"P",""))))</f>
        <v/>
      </c>
      <c r="AA95" s="23" t="str">
        <f>IF(A95="","",IF(IF(OR(DATE($B$3,3,26)&gt;EOMONTH(DATE($B$3,3,1),0),NETWORKDAYS.INTL(DATE($B$3,3,26),DATE($B$3,3,26),1,'Non-working days'!$A$6:$A$45)=0),"",IF(COUNTIFS('Leave log'!$A$7:$A$306,Employees!$A$26,'Leave log'!$B$7:$B$306,"&lt;="&amp;DATE($B$3,3,26),'Leave log'!$C$7:$C$306,"&gt;="&amp;DATE($B$3,3,26),'Leave log'!$F$7:$F$306,"Approved")&gt;0,"A",""))="A","A",IF(OR(DATE($B$3,3,26)&gt;EOMONTH(DATE($B$3,3,1),0),NETWORKDAYS.INTL(DATE($B$3,3,26),DATE($B$3,3,26),1,'Non-working days'!$A$6:$A$45)=0),"",IF(COUNTIFS('Leave log'!$A$7:$A$306,Employees!$A$26,'Leave log'!$B$7:$B$306,"&lt;="&amp;DATE($B$3,3,26),'Leave log'!$C$7:$C$306,"&gt;="&amp;DATE($B$3,3,26),'Leave log'!$F$7:$F$306,"Pending")&gt;0,"P",""))))</f>
        <v/>
      </c>
      <c r="AB95" s="23" t="str">
        <f>IF(A95="","",IF(IF(OR(DATE($B$3,3,27)&gt;EOMONTH(DATE($B$3,3,1),0),NETWORKDAYS.INTL(DATE($B$3,3,27),DATE($B$3,3,27),1,'Non-working days'!$A$6:$A$45)=0),"",IF(COUNTIFS('Leave log'!$A$7:$A$306,Employees!$A$26,'Leave log'!$B$7:$B$306,"&lt;="&amp;DATE($B$3,3,27),'Leave log'!$C$7:$C$306,"&gt;="&amp;DATE($B$3,3,27),'Leave log'!$F$7:$F$306,"Approved")&gt;0,"A",""))="A","A",IF(OR(DATE($B$3,3,27)&gt;EOMONTH(DATE($B$3,3,1),0),NETWORKDAYS.INTL(DATE($B$3,3,27),DATE($B$3,3,27),1,'Non-working days'!$A$6:$A$45)=0),"",IF(COUNTIFS('Leave log'!$A$7:$A$306,Employees!$A$26,'Leave log'!$B$7:$B$306,"&lt;="&amp;DATE($B$3,3,27),'Leave log'!$C$7:$C$306,"&gt;="&amp;DATE($B$3,3,27),'Leave log'!$F$7:$F$306,"Pending")&gt;0,"P",""))))</f>
        <v/>
      </c>
      <c r="AC95" s="23" t="str">
        <f>IF(A95="","",IF(IF(OR(DATE($B$3,3,28)&gt;EOMONTH(DATE($B$3,3,1),0),NETWORKDAYS.INTL(DATE($B$3,3,28),DATE($B$3,3,28),1,'Non-working days'!$A$6:$A$45)=0),"",IF(COUNTIFS('Leave log'!$A$7:$A$306,Employees!$A$26,'Leave log'!$B$7:$B$306,"&lt;="&amp;DATE($B$3,3,28),'Leave log'!$C$7:$C$306,"&gt;="&amp;DATE($B$3,3,28),'Leave log'!$F$7:$F$306,"Approved")&gt;0,"A",""))="A","A",IF(OR(DATE($B$3,3,28)&gt;EOMONTH(DATE($B$3,3,1),0),NETWORKDAYS.INTL(DATE($B$3,3,28),DATE($B$3,3,28),1,'Non-working days'!$A$6:$A$45)=0),"",IF(COUNTIFS('Leave log'!$A$7:$A$306,Employees!$A$26,'Leave log'!$B$7:$B$306,"&lt;="&amp;DATE($B$3,3,28),'Leave log'!$C$7:$C$306,"&gt;="&amp;DATE($B$3,3,28),'Leave log'!$F$7:$F$306,"Pending")&gt;0,"P",""))))</f>
        <v/>
      </c>
      <c r="AD95" s="23" t="str">
        <f>IF(A95="","",IF(IF(OR(DATE($B$3,3,29)&gt;EOMONTH(DATE($B$3,3,1),0),NETWORKDAYS.INTL(DATE($B$3,3,29),DATE($B$3,3,29),1,'Non-working days'!$A$6:$A$45)=0),"",IF(COUNTIFS('Leave log'!$A$7:$A$306,Employees!$A$26,'Leave log'!$B$7:$B$306,"&lt;="&amp;DATE($B$3,3,29),'Leave log'!$C$7:$C$306,"&gt;="&amp;DATE($B$3,3,29),'Leave log'!$F$7:$F$306,"Approved")&gt;0,"A",""))="A","A",IF(OR(DATE($B$3,3,29)&gt;EOMONTH(DATE($B$3,3,1),0),NETWORKDAYS.INTL(DATE($B$3,3,29),DATE($B$3,3,29),1,'Non-working days'!$A$6:$A$45)=0),"",IF(COUNTIFS('Leave log'!$A$7:$A$306,Employees!$A$26,'Leave log'!$B$7:$B$306,"&lt;="&amp;DATE($B$3,3,29),'Leave log'!$C$7:$C$306,"&gt;="&amp;DATE($B$3,3,29),'Leave log'!$F$7:$F$306,"Pending")&gt;0,"P",""))))</f>
        <v/>
      </c>
      <c r="AE95" s="23" t="str">
        <f>IF(A95="","",IF(IF(OR(DATE($B$3,3,30)&gt;EOMONTH(DATE($B$3,3,1),0),NETWORKDAYS.INTL(DATE($B$3,3,30),DATE($B$3,3,30),1,'Non-working days'!$A$6:$A$45)=0),"",IF(COUNTIFS('Leave log'!$A$7:$A$306,Employees!$A$26,'Leave log'!$B$7:$B$306,"&lt;="&amp;DATE($B$3,3,30),'Leave log'!$C$7:$C$306,"&gt;="&amp;DATE($B$3,3,30),'Leave log'!$F$7:$F$306,"Approved")&gt;0,"A",""))="A","A",IF(OR(DATE($B$3,3,30)&gt;EOMONTH(DATE($B$3,3,1),0),NETWORKDAYS.INTL(DATE($B$3,3,30),DATE($B$3,3,30),1,'Non-working days'!$A$6:$A$45)=0),"",IF(COUNTIFS('Leave log'!$A$7:$A$306,Employees!$A$26,'Leave log'!$B$7:$B$306,"&lt;="&amp;DATE($B$3,3,30),'Leave log'!$C$7:$C$306,"&gt;="&amp;DATE($B$3,3,30),'Leave log'!$F$7:$F$306,"Pending")&gt;0,"P",""))))</f>
        <v/>
      </c>
      <c r="AF95" s="23" t="str">
        <f>IF(A95="","",IF(IF(OR(DATE($B$3,3,31)&gt;EOMONTH(DATE($B$3,3,1),0),NETWORKDAYS.INTL(DATE($B$3,3,31),DATE($B$3,3,31),1,'Non-working days'!$A$6:$A$45)=0),"",IF(COUNTIFS('Leave log'!$A$7:$A$306,Employees!$A$26,'Leave log'!$B$7:$B$306,"&lt;="&amp;DATE($B$3,3,31),'Leave log'!$C$7:$C$306,"&gt;="&amp;DATE($B$3,3,31),'Leave log'!$F$7:$F$306,"Approved")&gt;0,"A",""))="A","A",IF(OR(DATE($B$3,3,31)&gt;EOMONTH(DATE($B$3,3,1),0),NETWORKDAYS.INTL(DATE($B$3,3,31),DATE($B$3,3,31),1,'Non-working days'!$A$6:$A$45)=0),"",IF(COUNTIFS('Leave log'!$A$7:$A$306,Employees!$A$26,'Leave log'!$B$7:$B$306,"&lt;="&amp;DATE($B$3,3,31),'Leave log'!$C$7:$C$306,"&gt;="&amp;DATE($B$3,3,31),'Leave log'!$F$7:$F$306,"Pending")&gt;0,"P",""))))</f>
        <v/>
      </c>
    </row>
    <row r="96" spans="1:32" ht="18" customHeight="1" x14ac:dyDescent="0.3">
      <c r="A96" s="22" t="str">
        <f>IF(Employees!F27="Yes",Employees!B27,"")</f>
        <v/>
      </c>
      <c r="B96" s="23" t="str">
        <f>IF(A96="","",IF(IF(OR(DATE($B$3,3,1)&gt;EOMONTH(DATE($B$3,3,1),0),NETWORKDAYS.INTL(DATE($B$3,3,1),DATE($B$3,3,1),1,'Non-working days'!$A$6:$A$45)=0),"",IF(COUNTIFS('Leave log'!$A$7:$A$306,Employees!$A$27,'Leave log'!$B$7:$B$306,"&lt;="&amp;DATE($B$3,3,1),'Leave log'!$C$7:$C$306,"&gt;="&amp;DATE($B$3,3,1),'Leave log'!$F$7:$F$306,"Approved")&gt;0,"A",""))="A","A",IF(OR(DATE($B$3,3,1)&gt;EOMONTH(DATE($B$3,3,1),0),NETWORKDAYS.INTL(DATE($B$3,3,1),DATE($B$3,3,1),1,'Non-working days'!$A$6:$A$45)=0),"",IF(COUNTIFS('Leave log'!$A$7:$A$306,Employees!$A$27,'Leave log'!$B$7:$B$306,"&lt;="&amp;DATE($B$3,3,1),'Leave log'!$C$7:$C$306,"&gt;="&amp;DATE($B$3,3,1),'Leave log'!$F$7:$F$306,"Pending")&gt;0,"P",""))))</f>
        <v/>
      </c>
      <c r="C96" s="23" t="str">
        <f>IF(A96="","",IF(IF(OR(DATE($B$3,3,2)&gt;EOMONTH(DATE($B$3,3,1),0),NETWORKDAYS.INTL(DATE($B$3,3,2),DATE($B$3,3,2),1,'Non-working days'!$A$6:$A$45)=0),"",IF(COUNTIFS('Leave log'!$A$7:$A$306,Employees!$A$27,'Leave log'!$B$7:$B$306,"&lt;="&amp;DATE($B$3,3,2),'Leave log'!$C$7:$C$306,"&gt;="&amp;DATE($B$3,3,2),'Leave log'!$F$7:$F$306,"Approved")&gt;0,"A",""))="A","A",IF(OR(DATE($B$3,3,2)&gt;EOMONTH(DATE($B$3,3,1),0),NETWORKDAYS.INTL(DATE($B$3,3,2),DATE($B$3,3,2),1,'Non-working days'!$A$6:$A$45)=0),"",IF(COUNTIFS('Leave log'!$A$7:$A$306,Employees!$A$27,'Leave log'!$B$7:$B$306,"&lt;="&amp;DATE($B$3,3,2),'Leave log'!$C$7:$C$306,"&gt;="&amp;DATE($B$3,3,2),'Leave log'!$F$7:$F$306,"Pending")&gt;0,"P",""))))</f>
        <v/>
      </c>
      <c r="D96" s="23" t="str">
        <f>IF(A96="","",IF(IF(OR(DATE($B$3,3,3)&gt;EOMONTH(DATE($B$3,3,1),0),NETWORKDAYS.INTL(DATE($B$3,3,3),DATE($B$3,3,3),1,'Non-working days'!$A$6:$A$45)=0),"",IF(COUNTIFS('Leave log'!$A$7:$A$306,Employees!$A$27,'Leave log'!$B$7:$B$306,"&lt;="&amp;DATE($B$3,3,3),'Leave log'!$C$7:$C$306,"&gt;="&amp;DATE($B$3,3,3),'Leave log'!$F$7:$F$306,"Approved")&gt;0,"A",""))="A","A",IF(OR(DATE($B$3,3,3)&gt;EOMONTH(DATE($B$3,3,1),0),NETWORKDAYS.INTL(DATE($B$3,3,3),DATE($B$3,3,3),1,'Non-working days'!$A$6:$A$45)=0),"",IF(COUNTIFS('Leave log'!$A$7:$A$306,Employees!$A$27,'Leave log'!$B$7:$B$306,"&lt;="&amp;DATE($B$3,3,3),'Leave log'!$C$7:$C$306,"&gt;="&amp;DATE($B$3,3,3),'Leave log'!$F$7:$F$306,"Pending")&gt;0,"P",""))))</f>
        <v/>
      </c>
      <c r="E96" s="23" t="str">
        <f>IF(A96="","",IF(IF(OR(DATE($B$3,3,4)&gt;EOMONTH(DATE($B$3,3,1),0),NETWORKDAYS.INTL(DATE($B$3,3,4),DATE($B$3,3,4),1,'Non-working days'!$A$6:$A$45)=0),"",IF(COUNTIFS('Leave log'!$A$7:$A$306,Employees!$A$27,'Leave log'!$B$7:$B$306,"&lt;="&amp;DATE($B$3,3,4),'Leave log'!$C$7:$C$306,"&gt;="&amp;DATE($B$3,3,4),'Leave log'!$F$7:$F$306,"Approved")&gt;0,"A",""))="A","A",IF(OR(DATE($B$3,3,4)&gt;EOMONTH(DATE($B$3,3,1),0),NETWORKDAYS.INTL(DATE($B$3,3,4),DATE($B$3,3,4),1,'Non-working days'!$A$6:$A$45)=0),"",IF(COUNTIFS('Leave log'!$A$7:$A$306,Employees!$A$27,'Leave log'!$B$7:$B$306,"&lt;="&amp;DATE($B$3,3,4),'Leave log'!$C$7:$C$306,"&gt;="&amp;DATE($B$3,3,4),'Leave log'!$F$7:$F$306,"Pending")&gt;0,"P",""))))</f>
        <v/>
      </c>
      <c r="F96" s="23" t="str">
        <f>IF(A96="","",IF(IF(OR(DATE($B$3,3,5)&gt;EOMONTH(DATE($B$3,3,1),0),NETWORKDAYS.INTL(DATE($B$3,3,5),DATE($B$3,3,5),1,'Non-working days'!$A$6:$A$45)=0),"",IF(COUNTIFS('Leave log'!$A$7:$A$306,Employees!$A$27,'Leave log'!$B$7:$B$306,"&lt;="&amp;DATE($B$3,3,5),'Leave log'!$C$7:$C$306,"&gt;="&amp;DATE($B$3,3,5),'Leave log'!$F$7:$F$306,"Approved")&gt;0,"A",""))="A","A",IF(OR(DATE($B$3,3,5)&gt;EOMONTH(DATE($B$3,3,1),0),NETWORKDAYS.INTL(DATE($B$3,3,5),DATE($B$3,3,5),1,'Non-working days'!$A$6:$A$45)=0),"",IF(COUNTIFS('Leave log'!$A$7:$A$306,Employees!$A$27,'Leave log'!$B$7:$B$306,"&lt;="&amp;DATE($B$3,3,5),'Leave log'!$C$7:$C$306,"&gt;="&amp;DATE($B$3,3,5),'Leave log'!$F$7:$F$306,"Pending")&gt;0,"P",""))))</f>
        <v/>
      </c>
      <c r="G96" s="23" t="str">
        <f>IF(A96="","",IF(IF(OR(DATE($B$3,3,6)&gt;EOMONTH(DATE($B$3,3,1),0),NETWORKDAYS.INTL(DATE($B$3,3,6),DATE($B$3,3,6),1,'Non-working days'!$A$6:$A$45)=0),"",IF(COUNTIFS('Leave log'!$A$7:$A$306,Employees!$A$27,'Leave log'!$B$7:$B$306,"&lt;="&amp;DATE($B$3,3,6),'Leave log'!$C$7:$C$306,"&gt;="&amp;DATE($B$3,3,6),'Leave log'!$F$7:$F$306,"Approved")&gt;0,"A",""))="A","A",IF(OR(DATE($B$3,3,6)&gt;EOMONTH(DATE($B$3,3,1),0),NETWORKDAYS.INTL(DATE($B$3,3,6),DATE($B$3,3,6),1,'Non-working days'!$A$6:$A$45)=0),"",IF(COUNTIFS('Leave log'!$A$7:$A$306,Employees!$A$27,'Leave log'!$B$7:$B$306,"&lt;="&amp;DATE($B$3,3,6),'Leave log'!$C$7:$C$306,"&gt;="&amp;DATE($B$3,3,6),'Leave log'!$F$7:$F$306,"Pending")&gt;0,"P",""))))</f>
        <v/>
      </c>
      <c r="H96" s="23" t="str">
        <f>IF(A96="","",IF(IF(OR(DATE($B$3,3,7)&gt;EOMONTH(DATE($B$3,3,1),0),NETWORKDAYS.INTL(DATE($B$3,3,7),DATE($B$3,3,7),1,'Non-working days'!$A$6:$A$45)=0),"",IF(COUNTIFS('Leave log'!$A$7:$A$306,Employees!$A$27,'Leave log'!$B$7:$B$306,"&lt;="&amp;DATE($B$3,3,7),'Leave log'!$C$7:$C$306,"&gt;="&amp;DATE($B$3,3,7),'Leave log'!$F$7:$F$306,"Approved")&gt;0,"A",""))="A","A",IF(OR(DATE($B$3,3,7)&gt;EOMONTH(DATE($B$3,3,1),0),NETWORKDAYS.INTL(DATE($B$3,3,7),DATE($B$3,3,7),1,'Non-working days'!$A$6:$A$45)=0),"",IF(COUNTIFS('Leave log'!$A$7:$A$306,Employees!$A$27,'Leave log'!$B$7:$B$306,"&lt;="&amp;DATE($B$3,3,7),'Leave log'!$C$7:$C$306,"&gt;="&amp;DATE($B$3,3,7),'Leave log'!$F$7:$F$306,"Pending")&gt;0,"P",""))))</f>
        <v/>
      </c>
      <c r="I96" s="23" t="str">
        <f>IF(A96="","",IF(IF(OR(DATE($B$3,3,8)&gt;EOMONTH(DATE($B$3,3,1),0),NETWORKDAYS.INTL(DATE($B$3,3,8),DATE($B$3,3,8),1,'Non-working days'!$A$6:$A$45)=0),"",IF(COUNTIFS('Leave log'!$A$7:$A$306,Employees!$A$27,'Leave log'!$B$7:$B$306,"&lt;="&amp;DATE($B$3,3,8),'Leave log'!$C$7:$C$306,"&gt;="&amp;DATE($B$3,3,8),'Leave log'!$F$7:$F$306,"Approved")&gt;0,"A",""))="A","A",IF(OR(DATE($B$3,3,8)&gt;EOMONTH(DATE($B$3,3,1),0),NETWORKDAYS.INTL(DATE($B$3,3,8),DATE($B$3,3,8),1,'Non-working days'!$A$6:$A$45)=0),"",IF(COUNTIFS('Leave log'!$A$7:$A$306,Employees!$A$27,'Leave log'!$B$7:$B$306,"&lt;="&amp;DATE($B$3,3,8),'Leave log'!$C$7:$C$306,"&gt;="&amp;DATE($B$3,3,8),'Leave log'!$F$7:$F$306,"Pending")&gt;0,"P",""))))</f>
        <v/>
      </c>
      <c r="J96" s="23" t="str">
        <f>IF(A96="","",IF(IF(OR(DATE($B$3,3,9)&gt;EOMONTH(DATE($B$3,3,1),0),NETWORKDAYS.INTL(DATE($B$3,3,9),DATE($B$3,3,9),1,'Non-working days'!$A$6:$A$45)=0),"",IF(COUNTIFS('Leave log'!$A$7:$A$306,Employees!$A$27,'Leave log'!$B$7:$B$306,"&lt;="&amp;DATE($B$3,3,9),'Leave log'!$C$7:$C$306,"&gt;="&amp;DATE($B$3,3,9),'Leave log'!$F$7:$F$306,"Approved")&gt;0,"A",""))="A","A",IF(OR(DATE($B$3,3,9)&gt;EOMONTH(DATE($B$3,3,1),0),NETWORKDAYS.INTL(DATE($B$3,3,9),DATE($B$3,3,9),1,'Non-working days'!$A$6:$A$45)=0),"",IF(COUNTIFS('Leave log'!$A$7:$A$306,Employees!$A$27,'Leave log'!$B$7:$B$306,"&lt;="&amp;DATE($B$3,3,9),'Leave log'!$C$7:$C$306,"&gt;="&amp;DATE($B$3,3,9),'Leave log'!$F$7:$F$306,"Pending")&gt;0,"P",""))))</f>
        <v/>
      </c>
      <c r="K96" s="23" t="str">
        <f>IF(A96="","",IF(IF(OR(DATE($B$3,3,10)&gt;EOMONTH(DATE($B$3,3,1),0),NETWORKDAYS.INTL(DATE($B$3,3,10),DATE($B$3,3,10),1,'Non-working days'!$A$6:$A$45)=0),"",IF(COUNTIFS('Leave log'!$A$7:$A$306,Employees!$A$27,'Leave log'!$B$7:$B$306,"&lt;="&amp;DATE($B$3,3,10),'Leave log'!$C$7:$C$306,"&gt;="&amp;DATE($B$3,3,10),'Leave log'!$F$7:$F$306,"Approved")&gt;0,"A",""))="A","A",IF(OR(DATE($B$3,3,10)&gt;EOMONTH(DATE($B$3,3,1),0),NETWORKDAYS.INTL(DATE($B$3,3,10),DATE($B$3,3,10),1,'Non-working days'!$A$6:$A$45)=0),"",IF(COUNTIFS('Leave log'!$A$7:$A$306,Employees!$A$27,'Leave log'!$B$7:$B$306,"&lt;="&amp;DATE($B$3,3,10),'Leave log'!$C$7:$C$306,"&gt;="&amp;DATE($B$3,3,10),'Leave log'!$F$7:$F$306,"Pending")&gt;0,"P",""))))</f>
        <v/>
      </c>
      <c r="L96" s="23" t="str">
        <f>IF(A96="","",IF(IF(OR(DATE($B$3,3,11)&gt;EOMONTH(DATE($B$3,3,1),0),NETWORKDAYS.INTL(DATE($B$3,3,11),DATE($B$3,3,11),1,'Non-working days'!$A$6:$A$45)=0),"",IF(COUNTIFS('Leave log'!$A$7:$A$306,Employees!$A$27,'Leave log'!$B$7:$B$306,"&lt;="&amp;DATE($B$3,3,11),'Leave log'!$C$7:$C$306,"&gt;="&amp;DATE($B$3,3,11),'Leave log'!$F$7:$F$306,"Approved")&gt;0,"A",""))="A","A",IF(OR(DATE($B$3,3,11)&gt;EOMONTH(DATE($B$3,3,1),0),NETWORKDAYS.INTL(DATE($B$3,3,11),DATE($B$3,3,11),1,'Non-working days'!$A$6:$A$45)=0),"",IF(COUNTIFS('Leave log'!$A$7:$A$306,Employees!$A$27,'Leave log'!$B$7:$B$306,"&lt;="&amp;DATE($B$3,3,11),'Leave log'!$C$7:$C$306,"&gt;="&amp;DATE($B$3,3,11),'Leave log'!$F$7:$F$306,"Pending")&gt;0,"P",""))))</f>
        <v/>
      </c>
      <c r="M96" s="23" t="str">
        <f>IF(A96="","",IF(IF(OR(DATE($B$3,3,12)&gt;EOMONTH(DATE($B$3,3,1),0),NETWORKDAYS.INTL(DATE($B$3,3,12),DATE($B$3,3,12),1,'Non-working days'!$A$6:$A$45)=0),"",IF(COUNTIFS('Leave log'!$A$7:$A$306,Employees!$A$27,'Leave log'!$B$7:$B$306,"&lt;="&amp;DATE($B$3,3,12),'Leave log'!$C$7:$C$306,"&gt;="&amp;DATE($B$3,3,12),'Leave log'!$F$7:$F$306,"Approved")&gt;0,"A",""))="A","A",IF(OR(DATE($B$3,3,12)&gt;EOMONTH(DATE($B$3,3,1),0),NETWORKDAYS.INTL(DATE($B$3,3,12),DATE($B$3,3,12),1,'Non-working days'!$A$6:$A$45)=0),"",IF(COUNTIFS('Leave log'!$A$7:$A$306,Employees!$A$27,'Leave log'!$B$7:$B$306,"&lt;="&amp;DATE($B$3,3,12),'Leave log'!$C$7:$C$306,"&gt;="&amp;DATE($B$3,3,12),'Leave log'!$F$7:$F$306,"Pending")&gt;0,"P",""))))</f>
        <v/>
      </c>
      <c r="N96" s="23" t="str">
        <f>IF(A96="","",IF(IF(OR(DATE($B$3,3,13)&gt;EOMONTH(DATE($B$3,3,1),0),NETWORKDAYS.INTL(DATE($B$3,3,13),DATE($B$3,3,13),1,'Non-working days'!$A$6:$A$45)=0),"",IF(COUNTIFS('Leave log'!$A$7:$A$306,Employees!$A$27,'Leave log'!$B$7:$B$306,"&lt;="&amp;DATE($B$3,3,13),'Leave log'!$C$7:$C$306,"&gt;="&amp;DATE($B$3,3,13),'Leave log'!$F$7:$F$306,"Approved")&gt;0,"A",""))="A","A",IF(OR(DATE($B$3,3,13)&gt;EOMONTH(DATE($B$3,3,1),0),NETWORKDAYS.INTL(DATE($B$3,3,13),DATE($B$3,3,13),1,'Non-working days'!$A$6:$A$45)=0),"",IF(COUNTIFS('Leave log'!$A$7:$A$306,Employees!$A$27,'Leave log'!$B$7:$B$306,"&lt;="&amp;DATE($B$3,3,13),'Leave log'!$C$7:$C$306,"&gt;="&amp;DATE($B$3,3,13),'Leave log'!$F$7:$F$306,"Pending")&gt;0,"P",""))))</f>
        <v/>
      </c>
      <c r="O96" s="23" t="str">
        <f>IF(A96="","",IF(IF(OR(DATE($B$3,3,14)&gt;EOMONTH(DATE($B$3,3,1),0),NETWORKDAYS.INTL(DATE($B$3,3,14),DATE($B$3,3,14),1,'Non-working days'!$A$6:$A$45)=0),"",IF(COUNTIFS('Leave log'!$A$7:$A$306,Employees!$A$27,'Leave log'!$B$7:$B$306,"&lt;="&amp;DATE($B$3,3,14),'Leave log'!$C$7:$C$306,"&gt;="&amp;DATE($B$3,3,14),'Leave log'!$F$7:$F$306,"Approved")&gt;0,"A",""))="A","A",IF(OR(DATE($B$3,3,14)&gt;EOMONTH(DATE($B$3,3,1),0),NETWORKDAYS.INTL(DATE($B$3,3,14),DATE($B$3,3,14),1,'Non-working days'!$A$6:$A$45)=0),"",IF(COUNTIFS('Leave log'!$A$7:$A$306,Employees!$A$27,'Leave log'!$B$7:$B$306,"&lt;="&amp;DATE($B$3,3,14),'Leave log'!$C$7:$C$306,"&gt;="&amp;DATE($B$3,3,14),'Leave log'!$F$7:$F$306,"Pending")&gt;0,"P",""))))</f>
        <v/>
      </c>
      <c r="P96" s="23" t="str">
        <f>IF(A96="","",IF(IF(OR(DATE($B$3,3,15)&gt;EOMONTH(DATE($B$3,3,1),0),NETWORKDAYS.INTL(DATE($B$3,3,15),DATE($B$3,3,15),1,'Non-working days'!$A$6:$A$45)=0),"",IF(COUNTIFS('Leave log'!$A$7:$A$306,Employees!$A$27,'Leave log'!$B$7:$B$306,"&lt;="&amp;DATE($B$3,3,15),'Leave log'!$C$7:$C$306,"&gt;="&amp;DATE($B$3,3,15),'Leave log'!$F$7:$F$306,"Approved")&gt;0,"A",""))="A","A",IF(OR(DATE($B$3,3,15)&gt;EOMONTH(DATE($B$3,3,1),0),NETWORKDAYS.INTL(DATE($B$3,3,15),DATE($B$3,3,15),1,'Non-working days'!$A$6:$A$45)=0),"",IF(COUNTIFS('Leave log'!$A$7:$A$306,Employees!$A$27,'Leave log'!$B$7:$B$306,"&lt;="&amp;DATE($B$3,3,15),'Leave log'!$C$7:$C$306,"&gt;="&amp;DATE($B$3,3,15),'Leave log'!$F$7:$F$306,"Pending")&gt;0,"P",""))))</f>
        <v/>
      </c>
      <c r="Q96" s="23" t="str">
        <f>IF(A96="","",IF(IF(OR(DATE($B$3,3,16)&gt;EOMONTH(DATE($B$3,3,1),0),NETWORKDAYS.INTL(DATE($B$3,3,16),DATE($B$3,3,16),1,'Non-working days'!$A$6:$A$45)=0),"",IF(COUNTIFS('Leave log'!$A$7:$A$306,Employees!$A$27,'Leave log'!$B$7:$B$306,"&lt;="&amp;DATE($B$3,3,16),'Leave log'!$C$7:$C$306,"&gt;="&amp;DATE($B$3,3,16),'Leave log'!$F$7:$F$306,"Approved")&gt;0,"A",""))="A","A",IF(OR(DATE($B$3,3,16)&gt;EOMONTH(DATE($B$3,3,1),0),NETWORKDAYS.INTL(DATE($B$3,3,16),DATE($B$3,3,16),1,'Non-working days'!$A$6:$A$45)=0),"",IF(COUNTIFS('Leave log'!$A$7:$A$306,Employees!$A$27,'Leave log'!$B$7:$B$306,"&lt;="&amp;DATE($B$3,3,16),'Leave log'!$C$7:$C$306,"&gt;="&amp;DATE($B$3,3,16),'Leave log'!$F$7:$F$306,"Pending")&gt;0,"P",""))))</f>
        <v/>
      </c>
      <c r="R96" s="23" t="str">
        <f>IF(A96="","",IF(IF(OR(DATE($B$3,3,17)&gt;EOMONTH(DATE($B$3,3,1),0),NETWORKDAYS.INTL(DATE($B$3,3,17),DATE($B$3,3,17),1,'Non-working days'!$A$6:$A$45)=0),"",IF(COUNTIFS('Leave log'!$A$7:$A$306,Employees!$A$27,'Leave log'!$B$7:$B$306,"&lt;="&amp;DATE($B$3,3,17),'Leave log'!$C$7:$C$306,"&gt;="&amp;DATE($B$3,3,17),'Leave log'!$F$7:$F$306,"Approved")&gt;0,"A",""))="A","A",IF(OR(DATE($B$3,3,17)&gt;EOMONTH(DATE($B$3,3,1),0),NETWORKDAYS.INTL(DATE($B$3,3,17),DATE($B$3,3,17),1,'Non-working days'!$A$6:$A$45)=0),"",IF(COUNTIFS('Leave log'!$A$7:$A$306,Employees!$A$27,'Leave log'!$B$7:$B$306,"&lt;="&amp;DATE($B$3,3,17),'Leave log'!$C$7:$C$306,"&gt;="&amp;DATE($B$3,3,17),'Leave log'!$F$7:$F$306,"Pending")&gt;0,"P",""))))</f>
        <v/>
      </c>
      <c r="S96" s="23" t="str">
        <f>IF(A96="","",IF(IF(OR(DATE($B$3,3,18)&gt;EOMONTH(DATE($B$3,3,1),0),NETWORKDAYS.INTL(DATE($B$3,3,18),DATE($B$3,3,18),1,'Non-working days'!$A$6:$A$45)=0),"",IF(COUNTIFS('Leave log'!$A$7:$A$306,Employees!$A$27,'Leave log'!$B$7:$B$306,"&lt;="&amp;DATE($B$3,3,18),'Leave log'!$C$7:$C$306,"&gt;="&amp;DATE($B$3,3,18),'Leave log'!$F$7:$F$306,"Approved")&gt;0,"A",""))="A","A",IF(OR(DATE($B$3,3,18)&gt;EOMONTH(DATE($B$3,3,1),0),NETWORKDAYS.INTL(DATE($B$3,3,18),DATE($B$3,3,18),1,'Non-working days'!$A$6:$A$45)=0),"",IF(COUNTIFS('Leave log'!$A$7:$A$306,Employees!$A$27,'Leave log'!$B$7:$B$306,"&lt;="&amp;DATE($B$3,3,18),'Leave log'!$C$7:$C$306,"&gt;="&amp;DATE($B$3,3,18),'Leave log'!$F$7:$F$306,"Pending")&gt;0,"P",""))))</f>
        <v/>
      </c>
      <c r="T96" s="23" t="str">
        <f>IF(A96="","",IF(IF(OR(DATE($B$3,3,19)&gt;EOMONTH(DATE($B$3,3,1),0),NETWORKDAYS.INTL(DATE($B$3,3,19),DATE($B$3,3,19),1,'Non-working days'!$A$6:$A$45)=0),"",IF(COUNTIFS('Leave log'!$A$7:$A$306,Employees!$A$27,'Leave log'!$B$7:$B$306,"&lt;="&amp;DATE($B$3,3,19),'Leave log'!$C$7:$C$306,"&gt;="&amp;DATE($B$3,3,19),'Leave log'!$F$7:$F$306,"Approved")&gt;0,"A",""))="A","A",IF(OR(DATE($B$3,3,19)&gt;EOMONTH(DATE($B$3,3,1),0),NETWORKDAYS.INTL(DATE($B$3,3,19),DATE($B$3,3,19),1,'Non-working days'!$A$6:$A$45)=0),"",IF(COUNTIFS('Leave log'!$A$7:$A$306,Employees!$A$27,'Leave log'!$B$7:$B$306,"&lt;="&amp;DATE($B$3,3,19),'Leave log'!$C$7:$C$306,"&gt;="&amp;DATE($B$3,3,19),'Leave log'!$F$7:$F$306,"Pending")&gt;0,"P",""))))</f>
        <v/>
      </c>
      <c r="U96" s="23" t="str">
        <f>IF(A96="","",IF(IF(OR(DATE($B$3,3,20)&gt;EOMONTH(DATE($B$3,3,1),0),NETWORKDAYS.INTL(DATE($B$3,3,20),DATE($B$3,3,20),1,'Non-working days'!$A$6:$A$45)=0),"",IF(COUNTIFS('Leave log'!$A$7:$A$306,Employees!$A$27,'Leave log'!$B$7:$B$306,"&lt;="&amp;DATE($B$3,3,20),'Leave log'!$C$7:$C$306,"&gt;="&amp;DATE($B$3,3,20),'Leave log'!$F$7:$F$306,"Approved")&gt;0,"A",""))="A","A",IF(OR(DATE($B$3,3,20)&gt;EOMONTH(DATE($B$3,3,1),0),NETWORKDAYS.INTL(DATE($B$3,3,20),DATE($B$3,3,20),1,'Non-working days'!$A$6:$A$45)=0),"",IF(COUNTIFS('Leave log'!$A$7:$A$306,Employees!$A$27,'Leave log'!$B$7:$B$306,"&lt;="&amp;DATE($B$3,3,20),'Leave log'!$C$7:$C$306,"&gt;="&amp;DATE($B$3,3,20),'Leave log'!$F$7:$F$306,"Pending")&gt;0,"P",""))))</f>
        <v/>
      </c>
      <c r="V96" s="23" t="str">
        <f>IF(A96="","",IF(IF(OR(DATE($B$3,3,21)&gt;EOMONTH(DATE($B$3,3,1),0),NETWORKDAYS.INTL(DATE($B$3,3,21),DATE($B$3,3,21),1,'Non-working days'!$A$6:$A$45)=0),"",IF(COUNTIFS('Leave log'!$A$7:$A$306,Employees!$A$27,'Leave log'!$B$7:$B$306,"&lt;="&amp;DATE($B$3,3,21),'Leave log'!$C$7:$C$306,"&gt;="&amp;DATE($B$3,3,21),'Leave log'!$F$7:$F$306,"Approved")&gt;0,"A",""))="A","A",IF(OR(DATE($B$3,3,21)&gt;EOMONTH(DATE($B$3,3,1),0),NETWORKDAYS.INTL(DATE($B$3,3,21),DATE($B$3,3,21),1,'Non-working days'!$A$6:$A$45)=0),"",IF(COUNTIFS('Leave log'!$A$7:$A$306,Employees!$A$27,'Leave log'!$B$7:$B$306,"&lt;="&amp;DATE($B$3,3,21),'Leave log'!$C$7:$C$306,"&gt;="&amp;DATE($B$3,3,21),'Leave log'!$F$7:$F$306,"Pending")&gt;0,"P",""))))</f>
        <v/>
      </c>
      <c r="W96" s="23" t="str">
        <f>IF(A96="","",IF(IF(OR(DATE($B$3,3,22)&gt;EOMONTH(DATE($B$3,3,1),0),NETWORKDAYS.INTL(DATE($B$3,3,22),DATE($B$3,3,22),1,'Non-working days'!$A$6:$A$45)=0),"",IF(COUNTIFS('Leave log'!$A$7:$A$306,Employees!$A$27,'Leave log'!$B$7:$B$306,"&lt;="&amp;DATE($B$3,3,22),'Leave log'!$C$7:$C$306,"&gt;="&amp;DATE($B$3,3,22),'Leave log'!$F$7:$F$306,"Approved")&gt;0,"A",""))="A","A",IF(OR(DATE($B$3,3,22)&gt;EOMONTH(DATE($B$3,3,1),0),NETWORKDAYS.INTL(DATE($B$3,3,22),DATE($B$3,3,22),1,'Non-working days'!$A$6:$A$45)=0),"",IF(COUNTIFS('Leave log'!$A$7:$A$306,Employees!$A$27,'Leave log'!$B$7:$B$306,"&lt;="&amp;DATE($B$3,3,22),'Leave log'!$C$7:$C$306,"&gt;="&amp;DATE($B$3,3,22),'Leave log'!$F$7:$F$306,"Pending")&gt;0,"P",""))))</f>
        <v/>
      </c>
      <c r="X96" s="23" t="str">
        <f>IF(A96="","",IF(IF(OR(DATE($B$3,3,23)&gt;EOMONTH(DATE($B$3,3,1),0),NETWORKDAYS.INTL(DATE($B$3,3,23),DATE($B$3,3,23),1,'Non-working days'!$A$6:$A$45)=0),"",IF(COUNTIFS('Leave log'!$A$7:$A$306,Employees!$A$27,'Leave log'!$B$7:$B$306,"&lt;="&amp;DATE($B$3,3,23),'Leave log'!$C$7:$C$306,"&gt;="&amp;DATE($B$3,3,23),'Leave log'!$F$7:$F$306,"Approved")&gt;0,"A",""))="A","A",IF(OR(DATE($B$3,3,23)&gt;EOMONTH(DATE($B$3,3,1),0),NETWORKDAYS.INTL(DATE($B$3,3,23),DATE($B$3,3,23),1,'Non-working days'!$A$6:$A$45)=0),"",IF(COUNTIFS('Leave log'!$A$7:$A$306,Employees!$A$27,'Leave log'!$B$7:$B$306,"&lt;="&amp;DATE($B$3,3,23),'Leave log'!$C$7:$C$306,"&gt;="&amp;DATE($B$3,3,23),'Leave log'!$F$7:$F$306,"Pending")&gt;0,"P",""))))</f>
        <v/>
      </c>
      <c r="Y96" s="23" t="str">
        <f>IF(A96="","",IF(IF(OR(DATE($B$3,3,24)&gt;EOMONTH(DATE($B$3,3,1),0),NETWORKDAYS.INTL(DATE($B$3,3,24),DATE($B$3,3,24),1,'Non-working days'!$A$6:$A$45)=0),"",IF(COUNTIFS('Leave log'!$A$7:$A$306,Employees!$A$27,'Leave log'!$B$7:$B$306,"&lt;="&amp;DATE($B$3,3,24),'Leave log'!$C$7:$C$306,"&gt;="&amp;DATE($B$3,3,24),'Leave log'!$F$7:$F$306,"Approved")&gt;0,"A",""))="A","A",IF(OR(DATE($B$3,3,24)&gt;EOMONTH(DATE($B$3,3,1),0),NETWORKDAYS.INTL(DATE($B$3,3,24),DATE($B$3,3,24),1,'Non-working days'!$A$6:$A$45)=0),"",IF(COUNTIFS('Leave log'!$A$7:$A$306,Employees!$A$27,'Leave log'!$B$7:$B$306,"&lt;="&amp;DATE($B$3,3,24),'Leave log'!$C$7:$C$306,"&gt;="&amp;DATE($B$3,3,24),'Leave log'!$F$7:$F$306,"Pending")&gt;0,"P",""))))</f>
        <v/>
      </c>
      <c r="Z96" s="23" t="str">
        <f>IF(A96="","",IF(IF(OR(DATE($B$3,3,25)&gt;EOMONTH(DATE($B$3,3,1),0),NETWORKDAYS.INTL(DATE($B$3,3,25),DATE($B$3,3,25),1,'Non-working days'!$A$6:$A$45)=0),"",IF(COUNTIFS('Leave log'!$A$7:$A$306,Employees!$A$27,'Leave log'!$B$7:$B$306,"&lt;="&amp;DATE($B$3,3,25),'Leave log'!$C$7:$C$306,"&gt;="&amp;DATE($B$3,3,25),'Leave log'!$F$7:$F$306,"Approved")&gt;0,"A",""))="A","A",IF(OR(DATE($B$3,3,25)&gt;EOMONTH(DATE($B$3,3,1),0),NETWORKDAYS.INTL(DATE($B$3,3,25),DATE($B$3,3,25),1,'Non-working days'!$A$6:$A$45)=0),"",IF(COUNTIFS('Leave log'!$A$7:$A$306,Employees!$A$27,'Leave log'!$B$7:$B$306,"&lt;="&amp;DATE($B$3,3,25),'Leave log'!$C$7:$C$306,"&gt;="&amp;DATE($B$3,3,25),'Leave log'!$F$7:$F$306,"Pending")&gt;0,"P",""))))</f>
        <v/>
      </c>
      <c r="AA96" s="23" t="str">
        <f>IF(A96="","",IF(IF(OR(DATE($B$3,3,26)&gt;EOMONTH(DATE($B$3,3,1),0),NETWORKDAYS.INTL(DATE($B$3,3,26),DATE($B$3,3,26),1,'Non-working days'!$A$6:$A$45)=0),"",IF(COUNTIFS('Leave log'!$A$7:$A$306,Employees!$A$27,'Leave log'!$B$7:$B$306,"&lt;="&amp;DATE($B$3,3,26),'Leave log'!$C$7:$C$306,"&gt;="&amp;DATE($B$3,3,26),'Leave log'!$F$7:$F$306,"Approved")&gt;0,"A",""))="A","A",IF(OR(DATE($B$3,3,26)&gt;EOMONTH(DATE($B$3,3,1),0),NETWORKDAYS.INTL(DATE($B$3,3,26),DATE($B$3,3,26),1,'Non-working days'!$A$6:$A$45)=0),"",IF(COUNTIFS('Leave log'!$A$7:$A$306,Employees!$A$27,'Leave log'!$B$7:$B$306,"&lt;="&amp;DATE($B$3,3,26),'Leave log'!$C$7:$C$306,"&gt;="&amp;DATE($B$3,3,26),'Leave log'!$F$7:$F$306,"Pending")&gt;0,"P",""))))</f>
        <v/>
      </c>
      <c r="AB96" s="23" t="str">
        <f>IF(A96="","",IF(IF(OR(DATE($B$3,3,27)&gt;EOMONTH(DATE($B$3,3,1),0),NETWORKDAYS.INTL(DATE($B$3,3,27),DATE($B$3,3,27),1,'Non-working days'!$A$6:$A$45)=0),"",IF(COUNTIFS('Leave log'!$A$7:$A$306,Employees!$A$27,'Leave log'!$B$7:$B$306,"&lt;="&amp;DATE($B$3,3,27),'Leave log'!$C$7:$C$306,"&gt;="&amp;DATE($B$3,3,27),'Leave log'!$F$7:$F$306,"Approved")&gt;0,"A",""))="A","A",IF(OR(DATE($B$3,3,27)&gt;EOMONTH(DATE($B$3,3,1),0),NETWORKDAYS.INTL(DATE($B$3,3,27),DATE($B$3,3,27),1,'Non-working days'!$A$6:$A$45)=0),"",IF(COUNTIFS('Leave log'!$A$7:$A$306,Employees!$A$27,'Leave log'!$B$7:$B$306,"&lt;="&amp;DATE($B$3,3,27),'Leave log'!$C$7:$C$306,"&gt;="&amp;DATE($B$3,3,27),'Leave log'!$F$7:$F$306,"Pending")&gt;0,"P",""))))</f>
        <v/>
      </c>
      <c r="AC96" s="23" t="str">
        <f>IF(A96="","",IF(IF(OR(DATE($B$3,3,28)&gt;EOMONTH(DATE($B$3,3,1),0),NETWORKDAYS.INTL(DATE($B$3,3,28),DATE($B$3,3,28),1,'Non-working days'!$A$6:$A$45)=0),"",IF(COUNTIFS('Leave log'!$A$7:$A$306,Employees!$A$27,'Leave log'!$B$7:$B$306,"&lt;="&amp;DATE($B$3,3,28),'Leave log'!$C$7:$C$306,"&gt;="&amp;DATE($B$3,3,28),'Leave log'!$F$7:$F$306,"Approved")&gt;0,"A",""))="A","A",IF(OR(DATE($B$3,3,28)&gt;EOMONTH(DATE($B$3,3,1),0),NETWORKDAYS.INTL(DATE($B$3,3,28),DATE($B$3,3,28),1,'Non-working days'!$A$6:$A$45)=0),"",IF(COUNTIFS('Leave log'!$A$7:$A$306,Employees!$A$27,'Leave log'!$B$7:$B$306,"&lt;="&amp;DATE($B$3,3,28),'Leave log'!$C$7:$C$306,"&gt;="&amp;DATE($B$3,3,28),'Leave log'!$F$7:$F$306,"Pending")&gt;0,"P",""))))</f>
        <v/>
      </c>
      <c r="AD96" s="23" t="str">
        <f>IF(A96="","",IF(IF(OR(DATE($B$3,3,29)&gt;EOMONTH(DATE($B$3,3,1),0),NETWORKDAYS.INTL(DATE($B$3,3,29),DATE($B$3,3,29),1,'Non-working days'!$A$6:$A$45)=0),"",IF(COUNTIFS('Leave log'!$A$7:$A$306,Employees!$A$27,'Leave log'!$B$7:$B$306,"&lt;="&amp;DATE($B$3,3,29),'Leave log'!$C$7:$C$306,"&gt;="&amp;DATE($B$3,3,29),'Leave log'!$F$7:$F$306,"Approved")&gt;0,"A",""))="A","A",IF(OR(DATE($B$3,3,29)&gt;EOMONTH(DATE($B$3,3,1),0),NETWORKDAYS.INTL(DATE($B$3,3,29),DATE($B$3,3,29),1,'Non-working days'!$A$6:$A$45)=0),"",IF(COUNTIFS('Leave log'!$A$7:$A$306,Employees!$A$27,'Leave log'!$B$7:$B$306,"&lt;="&amp;DATE($B$3,3,29),'Leave log'!$C$7:$C$306,"&gt;="&amp;DATE($B$3,3,29),'Leave log'!$F$7:$F$306,"Pending")&gt;0,"P",""))))</f>
        <v/>
      </c>
      <c r="AE96" s="23" t="str">
        <f>IF(A96="","",IF(IF(OR(DATE($B$3,3,30)&gt;EOMONTH(DATE($B$3,3,1),0),NETWORKDAYS.INTL(DATE($B$3,3,30),DATE($B$3,3,30),1,'Non-working days'!$A$6:$A$45)=0),"",IF(COUNTIFS('Leave log'!$A$7:$A$306,Employees!$A$27,'Leave log'!$B$7:$B$306,"&lt;="&amp;DATE($B$3,3,30),'Leave log'!$C$7:$C$306,"&gt;="&amp;DATE($B$3,3,30),'Leave log'!$F$7:$F$306,"Approved")&gt;0,"A",""))="A","A",IF(OR(DATE($B$3,3,30)&gt;EOMONTH(DATE($B$3,3,1),0),NETWORKDAYS.INTL(DATE($B$3,3,30),DATE($B$3,3,30),1,'Non-working days'!$A$6:$A$45)=0),"",IF(COUNTIFS('Leave log'!$A$7:$A$306,Employees!$A$27,'Leave log'!$B$7:$B$306,"&lt;="&amp;DATE($B$3,3,30),'Leave log'!$C$7:$C$306,"&gt;="&amp;DATE($B$3,3,30),'Leave log'!$F$7:$F$306,"Pending")&gt;0,"P",""))))</f>
        <v/>
      </c>
      <c r="AF96" s="23" t="str">
        <f>IF(A96="","",IF(IF(OR(DATE($B$3,3,31)&gt;EOMONTH(DATE($B$3,3,1),0),NETWORKDAYS.INTL(DATE($B$3,3,31),DATE($B$3,3,31),1,'Non-working days'!$A$6:$A$45)=0),"",IF(COUNTIFS('Leave log'!$A$7:$A$306,Employees!$A$27,'Leave log'!$B$7:$B$306,"&lt;="&amp;DATE($B$3,3,31),'Leave log'!$C$7:$C$306,"&gt;="&amp;DATE($B$3,3,31),'Leave log'!$F$7:$F$306,"Approved")&gt;0,"A",""))="A","A",IF(OR(DATE($B$3,3,31)&gt;EOMONTH(DATE($B$3,3,1),0),NETWORKDAYS.INTL(DATE($B$3,3,31),DATE($B$3,3,31),1,'Non-working days'!$A$6:$A$45)=0),"",IF(COUNTIFS('Leave log'!$A$7:$A$306,Employees!$A$27,'Leave log'!$B$7:$B$306,"&lt;="&amp;DATE($B$3,3,31),'Leave log'!$C$7:$C$306,"&gt;="&amp;DATE($B$3,3,31),'Leave log'!$F$7:$F$306,"Pending")&gt;0,"P",""))))</f>
        <v/>
      </c>
    </row>
    <row r="97" spans="1:32" ht="18" customHeight="1" x14ac:dyDescent="0.3">
      <c r="A97" s="22" t="str">
        <f>IF(Employees!F28="Yes",Employees!B28,"")</f>
        <v/>
      </c>
      <c r="B97" s="23" t="str">
        <f>IF(A97="","",IF(IF(OR(DATE($B$3,3,1)&gt;EOMONTH(DATE($B$3,3,1),0),NETWORKDAYS.INTL(DATE($B$3,3,1),DATE($B$3,3,1),1,'Non-working days'!$A$6:$A$45)=0),"",IF(COUNTIFS('Leave log'!$A$7:$A$306,Employees!$A$28,'Leave log'!$B$7:$B$306,"&lt;="&amp;DATE($B$3,3,1),'Leave log'!$C$7:$C$306,"&gt;="&amp;DATE($B$3,3,1),'Leave log'!$F$7:$F$306,"Approved")&gt;0,"A",""))="A","A",IF(OR(DATE($B$3,3,1)&gt;EOMONTH(DATE($B$3,3,1),0),NETWORKDAYS.INTL(DATE($B$3,3,1),DATE($B$3,3,1),1,'Non-working days'!$A$6:$A$45)=0),"",IF(COUNTIFS('Leave log'!$A$7:$A$306,Employees!$A$28,'Leave log'!$B$7:$B$306,"&lt;="&amp;DATE($B$3,3,1),'Leave log'!$C$7:$C$306,"&gt;="&amp;DATE($B$3,3,1),'Leave log'!$F$7:$F$306,"Pending")&gt;0,"P",""))))</f>
        <v/>
      </c>
      <c r="C97" s="23" t="str">
        <f>IF(A97="","",IF(IF(OR(DATE($B$3,3,2)&gt;EOMONTH(DATE($B$3,3,1),0),NETWORKDAYS.INTL(DATE($B$3,3,2),DATE($B$3,3,2),1,'Non-working days'!$A$6:$A$45)=0),"",IF(COUNTIFS('Leave log'!$A$7:$A$306,Employees!$A$28,'Leave log'!$B$7:$B$306,"&lt;="&amp;DATE($B$3,3,2),'Leave log'!$C$7:$C$306,"&gt;="&amp;DATE($B$3,3,2),'Leave log'!$F$7:$F$306,"Approved")&gt;0,"A",""))="A","A",IF(OR(DATE($B$3,3,2)&gt;EOMONTH(DATE($B$3,3,1),0),NETWORKDAYS.INTL(DATE($B$3,3,2),DATE($B$3,3,2),1,'Non-working days'!$A$6:$A$45)=0),"",IF(COUNTIFS('Leave log'!$A$7:$A$306,Employees!$A$28,'Leave log'!$B$7:$B$306,"&lt;="&amp;DATE($B$3,3,2),'Leave log'!$C$7:$C$306,"&gt;="&amp;DATE($B$3,3,2),'Leave log'!$F$7:$F$306,"Pending")&gt;0,"P",""))))</f>
        <v/>
      </c>
      <c r="D97" s="23" t="str">
        <f>IF(A97="","",IF(IF(OR(DATE($B$3,3,3)&gt;EOMONTH(DATE($B$3,3,1),0),NETWORKDAYS.INTL(DATE($B$3,3,3),DATE($B$3,3,3),1,'Non-working days'!$A$6:$A$45)=0),"",IF(COUNTIFS('Leave log'!$A$7:$A$306,Employees!$A$28,'Leave log'!$B$7:$B$306,"&lt;="&amp;DATE($B$3,3,3),'Leave log'!$C$7:$C$306,"&gt;="&amp;DATE($B$3,3,3),'Leave log'!$F$7:$F$306,"Approved")&gt;0,"A",""))="A","A",IF(OR(DATE($B$3,3,3)&gt;EOMONTH(DATE($B$3,3,1),0),NETWORKDAYS.INTL(DATE($B$3,3,3),DATE($B$3,3,3),1,'Non-working days'!$A$6:$A$45)=0),"",IF(COUNTIFS('Leave log'!$A$7:$A$306,Employees!$A$28,'Leave log'!$B$7:$B$306,"&lt;="&amp;DATE($B$3,3,3),'Leave log'!$C$7:$C$306,"&gt;="&amp;DATE($B$3,3,3),'Leave log'!$F$7:$F$306,"Pending")&gt;0,"P",""))))</f>
        <v/>
      </c>
      <c r="E97" s="23" t="str">
        <f>IF(A97="","",IF(IF(OR(DATE($B$3,3,4)&gt;EOMONTH(DATE($B$3,3,1),0),NETWORKDAYS.INTL(DATE($B$3,3,4),DATE($B$3,3,4),1,'Non-working days'!$A$6:$A$45)=0),"",IF(COUNTIFS('Leave log'!$A$7:$A$306,Employees!$A$28,'Leave log'!$B$7:$B$306,"&lt;="&amp;DATE($B$3,3,4),'Leave log'!$C$7:$C$306,"&gt;="&amp;DATE($B$3,3,4),'Leave log'!$F$7:$F$306,"Approved")&gt;0,"A",""))="A","A",IF(OR(DATE($B$3,3,4)&gt;EOMONTH(DATE($B$3,3,1),0),NETWORKDAYS.INTL(DATE($B$3,3,4),DATE($B$3,3,4),1,'Non-working days'!$A$6:$A$45)=0),"",IF(COUNTIFS('Leave log'!$A$7:$A$306,Employees!$A$28,'Leave log'!$B$7:$B$306,"&lt;="&amp;DATE($B$3,3,4),'Leave log'!$C$7:$C$306,"&gt;="&amp;DATE($B$3,3,4),'Leave log'!$F$7:$F$306,"Pending")&gt;0,"P",""))))</f>
        <v/>
      </c>
      <c r="F97" s="23" t="str">
        <f>IF(A97="","",IF(IF(OR(DATE($B$3,3,5)&gt;EOMONTH(DATE($B$3,3,1),0),NETWORKDAYS.INTL(DATE($B$3,3,5),DATE($B$3,3,5),1,'Non-working days'!$A$6:$A$45)=0),"",IF(COUNTIFS('Leave log'!$A$7:$A$306,Employees!$A$28,'Leave log'!$B$7:$B$306,"&lt;="&amp;DATE($B$3,3,5),'Leave log'!$C$7:$C$306,"&gt;="&amp;DATE($B$3,3,5),'Leave log'!$F$7:$F$306,"Approved")&gt;0,"A",""))="A","A",IF(OR(DATE($B$3,3,5)&gt;EOMONTH(DATE($B$3,3,1),0),NETWORKDAYS.INTL(DATE($B$3,3,5),DATE($B$3,3,5),1,'Non-working days'!$A$6:$A$45)=0),"",IF(COUNTIFS('Leave log'!$A$7:$A$306,Employees!$A$28,'Leave log'!$B$7:$B$306,"&lt;="&amp;DATE($B$3,3,5),'Leave log'!$C$7:$C$306,"&gt;="&amp;DATE($B$3,3,5),'Leave log'!$F$7:$F$306,"Pending")&gt;0,"P",""))))</f>
        <v/>
      </c>
      <c r="G97" s="23" t="str">
        <f>IF(A97="","",IF(IF(OR(DATE($B$3,3,6)&gt;EOMONTH(DATE($B$3,3,1),0),NETWORKDAYS.INTL(DATE($B$3,3,6),DATE($B$3,3,6),1,'Non-working days'!$A$6:$A$45)=0),"",IF(COUNTIFS('Leave log'!$A$7:$A$306,Employees!$A$28,'Leave log'!$B$7:$B$306,"&lt;="&amp;DATE($B$3,3,6),'Leave log'!$C$7:$C$306,"&gt;="&amp;DATE($B$3,3,6),'Leave log'!$F$7:$F$306,"Approved")&gt;0,"A",""))="A","A",IF(OR(DATE($B$3,3,6)&gt;EOMONTH(DATE($B$3,3,1),0),NETWORKDAYS.INTL(DATE($B$3,3,6),DATE($B$3,3,6),1,'Non-working days'!$A$6:$A$45)=0),"",IF(COUNTIFS('Leave log'!$A$7:$A$306,Employees!$A$28,'Leave log'!$B$7:$B$306,"&lt;="&amp;DATE($B$3,3,6),'Leave log'!$C$7:$C$306,"&gt;="&amp;DATE($B$3,3,6),'Leave log'!$F$7:$F$306,"Pending")&gt;0,"P",""))))</f>
        <v/>
      </c>
      <c r="H97" s="23" t="str">
        <f>IF(A97="","",IF(IF(OR(DATE($B$3,3,7)&gt;EOMONTH(DATE($B$3,3,1),0),NETWORKDAYS.INTL(DATE($B$3,3,7),DATE($B$3,3,7),1,'Non-working days'!$A$6:$A$45)=0),"",IF(COUNTIFS('Leave log'!$A$7:$A$306,Employees!$A$28,'Leave log'!$B$7:$B$306,"&lt;="&amp;DATE($B$3,3,7),'Leave log'!$C$7:$C$306,"&gt;="&amp;DATE($B$3,3,7),'Leave log'!$F$7:$F$306,"Approved")&gt;0,"A",""))="A","A",IF(OR(DATE($B$3,3,7)&gt;EOMONTH(DATE($B$3,3,1),0),NETWORKDAYS.INTL(DATE($B$3,3,7),DATE($B$3,3,7),1,'Non-working days'!$A$6:$A$45)=0),"",IF(COUNTIFS('Leave log'!$A$7:$A$306,Employees!$A$28,'Leave log'!$B$7:$B$306,"&lt;="&amp;DATE($B$3,3,7),'Leave log'!$C$7:$C$306,"&gt;="&amp;DATE($B$3,3,7),'Leave log'!$F$7:$F$306,"Pending")&gt;0,"P",""))))</f>
        <v/>
      </c>
      <c r="I97" s="23" t="str">
        <f>IF(A97="","",IF(IF(OR(DATE($B$3,3,8)&gt;EOMONTH(DATE($B$3,3,1),0),NETWORKDAYS.INTL(DATE($B$3,3,8),DATE($B$3,3,8),1,'Non-working days'!$A$6:$A$45)=0),"",IF(COUNTIFS('Leave log'!$A$7:$A$306,Employees!$A$28,'Leave log'!$B$7:$B$306,"&lt;="&amp;DATE($B$3,3,8),'Leave log'!$C$7:$C$306,"&gt;="&amp;DATE($B$3,3,8),'Leave log'!$F$7:$F$306,"Approved")&gt;0,"A",""))="A","A",IF(OR(DATE($B$3,3,8)&gt;EOMONTH(DATE($B$3,3,1),0),NETWORKDAYS.INTL(DATE($B$3,3,8),DATE($B$3,3,8),1,'Non-working days'!$A$6:$A$45)=0),"",IF(COUNTIFS('Leave log'!$A$7:$A$306,Employees!$A$28,'Leave log'!$B$7:$B$306,"&lt;="&amp;DATE($B$3,3,8),'Leave log'!$C$7:$C$306,"&gt;="&amp;DATE($B$3,3,8),'Leave log'!$F$7:$F$306,"Pending")&gt;0,"P",""))))</f>
        <v/>
      </c>
      <c r="J97" s="23" t="str">
        <f>IF(A97="","",IF(IF(OR(DATE($B$3,3,9)&gt;EOMONTH(DATE($B$3,3,1),0),NETWORKDAYS.INTL(DATE($B$3,3,9),DATE($B$3,3,9),1,'Non-working days'!$A$6:$A$45)=0),"",IF(COUNTIFS('Leave log'!$A$7:$A$306,Employees!$A$28,'Leave log'!$B$7:$B$306,"&lt;="&amp;DATE($B$3,3,9),'Leave log'!$C$7:$C$306,"&gt;="&amp;DATE($B$3,3,9),'Leave log'!$F$7:$F$306,"Approved")&gt;0,"A",""))="A","A",IF(OR(DATE($B$3,3,9)&gt;EOMONTH(DATE($B$3,3,1),0),NETWORKDAYS.INTL(DATE($B$3,3,9),DATE($B$3,3,9),1,'Non-working days'!$A$6:$A$45)=0),"",IF(COUNTIFS('Leave log'!$A$7:$A$306,Employees!$A$28,'Leave log'!$B$7:$B$306,"&lt;="&amp;DATE($B$3,3,9),'Leave log'!$C$7:$C$306,"&gt;="&amp;DATE($B$3,3,9),'Leave log'!$F$7:$F$306,"Pending")&gt;0,"P",""))))</f>
        <v/>
      </c>
      <c r="K97" s="23" t="str">
        <f>IF(A97="","",IF(IF(OR(DATE($B$3,3,10)&gt;EOMONTH(DATE($B$3,3,1),0),NETWORKDAYS.INTL(DATE($B$3,3,10),DATE($B$3,3,10),1,'Non-working days'!$A$6:$A$45)=0),"",IF(COUNTIFS('Leave log'!$A$7:$A$306,Employees!$A$28,'Leave log'!$B$7:$B$306,"&lt;="&amp;DATE($B$3,3,10),'Leave log'!$C$7:$C$306,"&gt;="&amp;DATE($B$3,3,10),'Leave log'!$F$7:$F$306,"Approved")&gt;0,"A",""))="A","A",IF(OR(DATE($B$3,3,10)&gt;EOMONTH(DATE($B$3,3,1),0),NETWORKDAYS.INTL(DATE($B$3,3,10),DATE($B$3,3,10),1,'Non-working days'!$A$6:$A$45)=0),"",IF(COUNTIFS('Leave log'!$A$7:$A$306,Employees!$A$28,'Leave log'!$B$7:$B$306,"&lt;="&amp;DATE($B$3,3,10),'Leave log'!$C$7:$C$306,"&gt;="&amp;DATE($B$3,3,10),'Leave log'!$F$7:$F$306,"Pending")&gt;0,"P",""))))</f>
        <v/>
      </c>
      <c r="L97" s="23" t="str">
        <f>IF(A97="","",IF(IF(OR(DATE($B$3,3,11)&gt;EOMONTH(DATE($B$3,3,1),0),NETWORKDAYS.INTL(DATE($B$3,3,11),DATE($B$3,3,11),1,'Non-working days'!$A$6:$A$45)=0),"",IF(COUNTIFS('Leave log'!$A$7:$A$306,Employees!$A$28,'Leave log'!$B$7:$B$306,"&lt;="&amp;DATE($B$3,3,11),'Leave log'!$C$7:$C$306,"&gt;="&amp;DATE($B$3,3,11),'Leave log'!$F$7:$F$306,"Approved")&gt;0,"A",""))="A","A",IF(OR(DATE($B$3,3,11)&gt;EOMONTH(DATE($B$3,3,1),0),NETWORKDAYS.INTL(DATE($B$3,3,11),DATE($B$3,3,11),1,'Non-working days'!$A$6:$A$45)=0),"",IF(COUNTIFS('Leave log'!$A$7:$A$306,Employees!$A$28,'Leave log'!$B$7:$B$306,"&lt;="&amp;DATE($B$3,3,11),'Leave log'!$C$7:$C$306,"&gt;="&amp;DATE($B$3,3,11),'Leave log'!$F$7:$F$306,"Pending")&gt;0,"P",""))))</f>
        <v/>
      </c>
      <c r="M97" s="23" t="str">
        <f>IF(A97="","",IF(IF(OR(DATE($B$3,3,12)&gt;EOMONTH(DATE($B$3,3,1),0),NETWORKDAYS.INTL(DATE($B$3,3,12),DATE($B$3,3,12),1,'Non-working days'!$A$6:$A$45)=0),"",IF(COUNTIFS('Leave log'!$A$7:$A$306,Employees!$A$28,'Leave log'!$B$7:$B$306,"&lt;="&amp;DATE($B$3,3,12),'Leave log'!$C$7:$C$306,"&gt;="&amp;DATE($B$3,3,12),'Leave log'!$F$7:$F$306,"Approved")&gt;0,"A",""))="A","A",IF(OR(DATE($B$3,3,12)&gt;EOMONTH(DATE($B$3,3,1),0),NETWORKDAYS.INTL(DATE($B$3,3,12),DATE($B$3,3,12),1,'Non-working days'!$A$6:$A$45)=0),"",IF(COUNTIFS('Leave log'!$A$7:$A$306,Employees!$A$28,'Leave log'!$B$7:$B$306,"&lt;="&amp;DATE($B$3,3,12),'Leave log'!$C$7:$C$306,"&gt;="&amp;DATE($B$3,3,12),'Leave log'!$F$7:$F$306,"Pending")&gt;0,"P",""))))</f>
        <v/>
      </c>
      <c r="N97" s="23" t="str">
        <f>IF(A97="","",IF(IF(OR(DATE($B$3,3,13)&gt;EOMONTH(DATE($B$3,3,1),0),NETWORKDAYS.INTL(DATE($B$3,3,13),DATE($B$3,3,13),1,'Non-working days'!$A$6:$A$45)=0),"",IF(COUNTIFS('Leave log'!$A$7:$A$306,Employees!$A$28,'Leave log'!$B$7:$B$306,"&lt;="&amp;DATE($B$3,3,13),'Leave log'!$C$7:$C$306,"&gt;="&amp;DATE($B$3,3,13),'Leave log'!$F$7:$F$306,"Approved")&gt;0,"A",""))="A","A",IF(OR(DATE($B$3,3,13)&gt;EOMONTH(DATE($B$3,3,1),0),NETWORKDAYS.INTL(DATE($B$3,3,13),DATE($B$3,3,13),1,'Non-working days'!$A$6:$A$45)=0),"",IF(COUNTIFS('Leave log'!$A$7:$A$306,Employees!$A$28,'Leave log'!$B$7:$B$306,"&lt;="&amp;DATE($B$3,3,13),'Leave log'!$C$7:$C$306,"&gt;="&amp;DATE($B$3,3,13),'Leave log'!$F$7:$F$306,"Pending")&gt;0,"P",""))))</f>
        <v/>
      </c>
      <c r="O97" s="23" t="str">
        <f>IF(A97="","",IF(IF(OR(DATE($B$3,3,14)&gt;EOMONTH(DATE($B$3,3,1),0),NETWORKDAYS.INTL(DATE($B$3,3,14),DATE($B$3,3,14),1,'Non-working days'!$A$6:$A$45)=0),"",IF(COUNTIFS('Leave log'!$A$7:$A$306,Employees!$A$28,'Leave log'!$B$7:$B$306,"&lt;="&amp;DATE($B$3,3,14),'Leave log'!$C$7:$C$306,"&gt;="&amp;DATE($B$3,3,14),'Leave log'!$F$7:$F$306,"Approved")&gt;0,"A",""))="A","A",IF(OR(DATE($B$3,3,14)&gt;EOMONTH(DATE($B$3,3,1),0),NETWORKDAYS.INTL(DATE($B$3,3,14),DATE($B$3,3,14),1,'Non-working days'!$A$6:$A$45)=0),"",IF(COUNTIFS('Leave log'!$A$7:$A$306,Employees!$A$28,'Leave log'!$B$7:$B$306,"&lt;="&amp;DATE($B$3,3,14),'Leave log'!$C$7:$C$306,"&gt;="&amp;DATE($B$3,3,14),'Leave log'!$F$7:$F$306,"Pending")&gt;0,"P",""))))</f>
        <v/>
      </c>
      <c r="P97" s="23" t="str">
        <f>IF(A97="","",IF(IF(OR(DATE($B$3,3,15)&gt;EOMONTH(DATE($B$3,3,1),0),NETWORKDAYS.INTL(DATE($B$3,3,15),DATE($B$3,3,15),1,'Non-working days'!$A$6:$A$45)=0),"",IF(COUNTIFS('Leave log'!$A$7:$A$306,Employees!$A$28,'Leave log'!$B$7:$B$306,"&lt;="&amp;DATE($B$3,3,15),'Leave log'!$C$7:$C$306,"&gt;="&amp;DATE($B$3,3,15),'Leave log'!$F$7:$F$306,"Approved")&gt;0,"A",""))="A","A",IF(OR(DATE($B$3,3,15)&gt;EOMONTH(DATE($B$3,3,1),0),NETWORKDAYS.INTL(DATE($B$3,3,15),DATE($B$3,3,15),1,'Non-working days'!$A$6:$A$45)=0),"",IF(COUNTIFS('Leave log'!$A$7:$A$306,Employees!$A$28,'Leave log'!$B$7:$B$306,"&lt;="&amp;DATE($B$3,3,15),'Leave log'!$C$7:$C$306,"&gt;="&amp;DATE($B$3,3,15),'Leave log'!$F$7:$F$306,"Pending")&gt;0,"P",""))))</f>
        <v/>
      </c>
      <c r="Q97" s="23" t="str">
        <f>IF(A97="","",IF(IF(OR(DATE($B$3,3,16)&gt;EOMONTH(DATE($B$3,3,1),0),NETWORKDAYS.INTL(DATE($B$3,3,16),DATE($B$3,3,16),1,'Non-working days'!$A$6:$A$45)=0),"",IF(COUNTIFS('Leave log'!$A$7:$A$306,Employees!$A$28,'Leave log'!$B$7:$B$306,"&lt;="&amp;DATE($B$3,3,16),'Leave log'!$C$7:$C$306,"&gt;="&amp;DATE($B$3,3,16),'Leave log'!$F$7:$F$306,"Approved")&gt;0,"A",""))="A","A",IF(OR(DATE($B$3,3,16)&gt;EOMONTH(DATE($B$3,3,1),0),NETWORKDAYS.INTL(DATE($B$3,3,16),DATE($B$3,3,16),1,'Non-working days'!$A$6:$A$45)=0),"",IF(COUNTIFS('Leave log'!$A$7:$A$306,Employees!$A$28,'Leave log'!$B$7:$B$306,"&lt;="&amp;DATE($B$3,3,16),'Leave log'!$C$7:$C$306,"&gt;="&amp;DATE($B$3,3,16),'Leave log'!$F$7:$F$306,"Pending")&gt;0,"P",""))))</f>
        <v/>
      </c>
      <c r="R97" s="23" t="str">
        <f>IF(A97="","",IF(IF(OR(DATE($B$3,3,17)&gt;EOMONTH(DATE($B$3,3,1),0),NETWORKDAYS.INTL(DATE($B$3,3,17),DATE($B$3,3,17),1,'Non-working days'!$A$6:$A$45)=0),"",IF(COUNTIFS('Leave log'!$A$7:$A$306,Employees!$A$28,'Leave log'!$B$7:$B$306,"&lt;="&amp;DATE($B$3,3,17),'Leave log'!$C$7:$C$306,"&gt;="&amp;DATE($B$3,3,17),'Leave log'!$F$7:$F$306,"Approved")&gt;0,"A",""))="A","A",IF(OR(DATE($B$3,3,17)&gt;EOMONTH(DATE($B$3,3,1),0),NETWORKDAYS.INTL(DATE($B$3,3,17),DATE($B$3,3,17),1,'Non-working days'!$A$6:$A$45)=0),"",IF(COUNTIFS('Leave log'!$A$7:$A$306,Employees!$A$28,'Leave log'!$B$7:$B$306,"&lt;="&amp;DATE($B$3,3,17),'Leave log'!$C$7:$C$306,"&gt;="&amp;DATE($B$3,3,17),'Leave log'!$F$7:$F$306,"Pending")&gt;0,"P",""))))</f>
        <v/>
      </c>
      <c r="S97" s="23" t="str">
        <f>IF(A97="","",IF(IF(OR(DATE($B$3,3,18)&gt;EOMONTH(DATE($B$3,3,1),0),NETWORKDAYS.INTL(DATE($B$3,3,18),DATE($B$3,3,18),1,'Non-working days'!$A$6:$A$45)=0),"",IF(COUNTIFS('Leave log'!$A$7:$A$306,Employees!$A$28,'Leave log'!$B$7:$B$306,"&lt;="&amp;DATE($B$3,3,18),'Leave log'!$C$7:$C$306,"&gt;="&amp;DATE($B$3,3,18),'Leave log'!$F$7:$F$306,"Approved")&gt;0,"A",""))="A","A",IF(OR(DATE($B$3,3,18)&gt;EOMONTH(DATE($B$3,3,1),0),NETWORKDAYS.INTL(DATE($B$3,3,18),DATE($B$3,3,18),1,'Non-working days'!$A$6:$A$45)=0),"",IF(COUNTIFS('Leave log'!$A$7:$A$306,Employees!$A$28,'Leave log'!$B$7:$B$306,"&lt;="&amp;DATE($B$3,3,18),'Leave log'!$C$7:$C$306,"&gt;="&amp;DATE($B$3,3,18),'Leave log'!$F$7:$F$306,"Pending")&gt;0,"P",""))))</f>
        <v/>
      </c>
      <c r="T97" s="23" t="str">
        <f>IF(A97="","",IF(IF(OR(DATE($B$3,3,19)&gt;EOMONTH(DATE($B$3,3,1),0),NETWORKDAYS.INTL(DATE($B$3,3,19),DATE($B$3,3,19),1,'Non-working days'!$A$6:$A$45)=0),"",IF(COUNTIFS('Leave log'!$A$7:$A$306,Employees!$A$28,'Leave log'!$B$7:$B$306,"&lt;="&amp;DATE($B$3,3,19),'Leave log'!$C$7:$C$306,"&gt;="&amp;DATE($B$3,3,19),'Leave log'!$F$7:$F$306,"Approved")&gt;0,"A",""))="A","A",IF(OR(DATE($B$3,3,19)&gt;EOMONTH(DATE($B$3,3,1),0),NETWORKDAYS.INTL(DATE($B$3,3,19),DATE($B$3,3,19),1,'Non-working days'!$A$6:$A$45)=0),"",IF(COUNTIFS('Leave log'!$A$7:$A$306,Employees!$A$28,'Leave log'!$B$7:$B$306,"&lt;="&amp;DATE($B$3,3,19),'Leave log'!$C$7:$C$306,"&gt;="&amp;DATE($B$3,3,19),'Leave log'!$F$7:$F$306,"Pending")&gt;0,"P",""))))</f>
        <v/>
      </c>
      <c r="U97" s="23" t="str">
        <f>IF(A97="","",IF(IF(OR(DATE($B$3,3,20)&gt;EOMONTH(DATE($B$3,3,1),0),NETWORKDAYS.INTL(DATE($B$3,3,20),DATE($B$3,3,20),1,'Non-working days'!$A$6:$A$45)=0),"",IF(COUNTIFS('Leave log'!$A$7:$A$306,Employees!$A$28,'Leave log'!$B$7:$B$306,"&lt;="&amp;DATE($B$3,3,20),'Leave log'!$C$7:$C$306,"&gt;="&amp;DATE($B$3,3,20),'Leave log'!$F$7:$F$306,"Approved")&gt;0,"A",""))="A","A",IF(OR(DATE($B$3,3,20)&gt;EOMONTH(DATE($B$3,3,1),0),NETWORKDAYS.INTL(DATE($B$3,3,20),DATE($B$3,3,20),1,'Non-working days'!$A$6:$A$45)=0),"",IF(COUNTIFS('Leave log'!$A$7:$A$306,Employees!$A$28,'Leave log'!$B$7:$B$306,"&lt;="&amp;DATE($B$3,3,20),'Leave log'!$C$7:$C$306,"&gt;="&amp;DATE($B$3,3,20),'Leave log'!$F$7:$F$306,"Pending")&gt;0,"P",""))))</f>
        <v/>
      </c>
      <c r="V97" s="23" t="str">
        <f>IF(A97="","",IF(IF(OR(DATE($B$3,3,21)&gt;EOMONTH(DATE($B$3,3,1),0),NETWORKDAYS.INTL(DATE($B$3,3,21),DATE($B$3,3,21),1,'Non-working days'!$A$6:$A$45)=0),"",IF(COUNTIFS('Leave log'!$A$7:$A$306,Employees!$A$28,'Leave log'!$B$7:$B$306,"&lt;="&amp;DATE($B$3,3,21),'Leave log'!$C$7:$C$306,"&gt;="&amp;DATE($B$3,3,21),'Leave log'!$F$7:$F$306,"Approved")&gt;0,"A",""))="A","A",IF(OR(DATE($B$3,3,21)&gt;EOMONTH(DATE($B$3,3,1),0),NETWORKDAYS.INTL(DATE($B$3,3,21),DATE($B$3,3,21),1,'Non-working days'!$A$6:$A$45)=0),"",IF(COUNTIFS('Leave log'!$A$7:$A$306,Employees!$A$28,'Leave log'!$B$7:$B$306,"&lt;="&amp;DATE($B$3,3,21),'Leave log'!$C$7:$C$306,"&gt;="&amp;DATE($B$3,3,21),'Leave log'!$F$7:$F$306,"Pending")&gt;0,"P",""))))</f>
        <v/>
      </c>
      <c r="W97" s="23" t="str">
        <f>IF(A97="","",IF(IF(OR(DATE($B$3,3,22)&gt;EOMONTH(DATE($B$3,3,1),0),NETWORKDAYS.INTL(DATE($B$3,3,22),DATE($B$3,3,22),1,'Non-working days'!$A$6:$A$45)=0),"",IF(COUNTIFS('Leave log'!$A$7:$A$306,Employees!$A$28,'Leave log'!$B$7:$B$306,"&lt;="&amp;DATE($B$3,3,22),'Leave log'!$C$7:$C$306,"&gt;="&amp;DATE($B$3,3,22),'Leave log'!$F$7:$F$306,"Approved")&gt;0,"A",""))="A","A",IF(OR(DATE($B$3,3,22)&gt;EOMONTH(DATE($B$3,3,1),0),NETWORKDAYS.INTL(DATE($B$3,3,22),DATE($B$3,3,22),1,'Non-working days'!$A$6:$A$45)=0),"",IF(COUNTIFS('Leave log'!$A$7:$A$306,Employees!$A$28,'Leave log'!$B$7:$B$306,"&lt;="&amp;DATE($B$3,3,22),'Leave log'!$C$7:$C$306,"&gt;="&amp;DATE($B$3,3,22),'Leave log'!$F$7:$F$306,"Pending")&gt;0,"P",""))))</f>
        <v/>
      </c>
      <c r="X97" s="23" t="str">
        <f>IF(A97="","",IF(IF(OR(DATE($B$3,3,23)&gt;EOMONTH(DATE($B$3,3,1),0),NETWORKDAYS.INTL(DATE($B$3,3,23),DATE($B$3,3,23),1,'Non-working days'!$A$6:$A$45)=0),"",IF(COUNTIFS('Leave log'!$A$7:$A$306,Employees!$A$28,'Leave log'!$B$7:$B$306,"&lt;="&amp;DATE($B$3,3,23),'Leave log'!$C$7:$C$306,"&gt;="&amp;DATE($B$3,3,23),'Leave log'!$F$7:$F$306,"Approved")&gt;0,"A",""))="A","A",IF(OR(DATE($B$3,3,23)&gt;EOMONTH(DATE($B$3,3,1),0),NETWORKDAYS.INTL(DATE($B$3,3,23),DATE($B$3,3,23),1,'Non-working days'!$A$6:$A$45)=0),"",IF(COUNTIFS('Leave log'!$A$7:$A$306,Employees!$A$28,'Leave log'!$B$7:$B$306,"&lt;="&amp;DATE($B$3,3,23),'Leave log'!$C$7:$C$306,"&gt;="&amp;DATE($B$3,3,23),'Leave log'!$F$7:$F$306,"Pending")&gt;0,"P",""))))</f>
        <v/>
      </c>
      <c r="Y97" s="23" t="str">
        <f>IF(A97="","",IF(IF(OR(DATE($B$3,3,24)&gt;EOMONTH(DATE($B$3,3,1),0),NETWORKDAYS.INTL(DATE($B$3,3,24),DATE($B$3,3,24),1,'Non-working days'!$A$6:$A$45)=0),"",IF(COUNTIFS('Leave log'!$A$7:$A$306,Employees!$A$28,'Leave log'!$B$7:$B$306,"&lt;="&amp;DATE($B$3,3,24),'Leave log'!$C$7:$C$306,"&gt;="&amp;DATE($B$3,3,24),'Leave log'!$F$7:$F$306,"Approved")&gt;0,"A",""))="A","A",IF(OR(DATE($B$3,3,24)&gt;EOMONTH(DATE($B$3,3,1),0),NETWORKDAYS.INTL(DATE($B$3,3,24),DATE($B$3,3,24),1,'Non-working days'!$A$6:$A$45)=0),"",IF(COUNTIFS('Leave log'!$A$7:$A$306,Employees!$A$28,'Leave log'!$B$7:$B$306,"&lt;="&amp;DATE($B$3,3,24),'Leave log'!$C$7:$C$306,"&gt;="&amp;DATE($B$3,3,24),'Leave log'!$F$7:$F$306,"Pending")&gt;0,"P",""))))</f>
        <v/>
      </c>
      <c r="Z97" s="23" t="str">
        <f>IF(A97="","",IF(IF(OR(DATE($B$3,3,25)&gt;EOMONTH(DATE($B$3,3,1),0),NETWORKDAYS.INTL(DATE($B$3,3,25),DATE($B$3,3,25),1,'Non-working days'!$A$6:$A$45)=0),"",IF(COUNTIFS('Leave log'!$A$7:$A$306,Employees!$A$28,'Leave log'!$B$7:$B$306,"&lt;="&amp;DATE($B$3,3,25),'Leave log'!$C$7:$C$306,"&gt;="&amp;DATE($B$3,3,25),'Leave log'!$F$7:$F$306,"Approved")&gt;0,"A",""))="A","A",IF(OR(DATE($B$3,3,25)&gt;EOMONTH(DATE($B$3,3,1),0),NETWORKDAYS.INTL(DATE($B$3,3,25),DATE($B$3,3,25),1,'Non-working days'!$A$6:$A$45)=0),"",IF(COUNTIFS('Leave log'!$A$7:$A$306,Employees!$A$28,'Leave log'!$B$7:$B$306,"&lt;="&amp;DATE($B$3,3,25),'Leave log'!$C$7:$C$306,"&gt;="&amp;DATE($B$3,3,25),'Leave log'!$F$7:$F$306,"Pending")&gt;0,"P",""))))</f>
        <v/>
      </c>
      <c r="AA97" s="23" t="str">
        <f>IF(A97="","",IF(IF(OR(DATE($B$3,3,26)&gt;EOMONTH(DATE($B$3,3,1),0),NETWORKDAYS.INTL(DATE($B$3,3,26),DATE($B$3,3,26),1,'Non-working days'!$A$6:$A$45)=0),"",IF(COUNTIFS('Leave log'!$A$7:$A$306,Employees!$A$28,'Leave log'!$B$7:$B$306,"&lt;="&amp;DATE($B$3,3,26),'Leave log'!$C$7:$C$306,"&gt;="&amp;DATE($B$3,3,26),'Leave log'!$F$7:$F$306,"Approved")&gt;0,"A",""))="A","A",IF(OR(DATE($B$3,3,26)&gt;EOMONTH(DATE($B$3,3,1),0),NETWORKDAYS.INTL(DATE($B$3,3,26),DATE($B$3,3,26),1,'Non-working days'!$A$6:$A$45)=0),"",IF(COUNTIFS('Leave log'!$A$7:$A$306,Employees!$A$28,'Leave log'!$B$7:$B$306,"&lt;="&amp;DATE($B$3,3,26),'Leave log'!$C$7:$C$306,"&gt;="&amp;DATE($B$3,3,26),'Leave log'!$F$7:$F$306,"Pending")&gt;0,"P",""))))</f>
        <v/>
      </c>
      <c r="AB97" s="23" t="str">
        <f>IF(A97="","",IF(IF(OR(DATE($B$3,3,27)&gt;EOMONTH(DATE($B$3,3,1),0),NETWORKDAYS.INTL(DATE($B$3,3,27),DATE($B$3,3,27),1,'Non-working days'!$A$6:$A$45)=0),"",IF(COUNTIFS('Leave log'!$A$7:$A$306,Employees!$A$28,'Leave log'!$B$7:$B$306,"&lt;="&amp;DATE($B$3,3,27),'Leave log'!$C$7:$C$306,"&gt;="&amp;DATE($B$3,3,27),'Leave log'!$F$7:$F$306,"Approved")&gt;0,"A",""))="A","A",IF(OR(DATE($B$3,3,27)&gt;EOMONTH(DATE($B$3,3,1),0),NETWORKDAYS.INTL(DATE($B$3,3,27),DATE($B$3,3,27),1,'Non-working days'!$A$6:$A$45)=0),"",IF(COUNTIFS('Leave log'!$A$7:$A$306,Employees!$A$28,'Leave log'!$B$7:$B$306,"&lt;="&amp;DATE($B$3,3,27),'Leave log'!$C$7:$C$306,"&gt;="&amp;DATE($B$3,3,27),'Leave log'!$F$7:$F$306,"Pending")&gt;0,"P",""))))</f>
        <v/>
      </c>
      <c r="AC97" s="23" t="str">
        <f>IF(A97="","",IF(IF(OR(DATE($B$3,3,28)&gt;EOMONTH(DATE($B$3,3,1),0),NETWORKDAYS.INTL(DATE($B$3,3,28),DATE($B$3,3,28),1,'Non-working days'!$A$6:$A$45)=0),"",IF(COUNTIFS('Leave log'!$A$7:$A$306,Employees!$A$28,'Leave log'!$B$7:$B$306,"&lt;="&amp;DATE($B$3,3,28),'Leave log'!$C$7:$C$306,"&gt;="&amp;DATE($B$3,3,28),'Leave log'!$F$7:$F$306,"Approved")&gt;0,"A",""))="A","A",IF(OR(DATE($B$3,3,28)&gt;EOMONTH(DATE($B$3,3,1),0),NETWORKDAYS.INTL(DATE($B$3,3,28),DATE($B$3,3,28),1,'Non-working days'!$A$6:$A$45)=0),"",IF(COUNTIFS('Leave log'!$A$7:$A$306,Employees!$A$28,'Leave log'!$B$7:$B$306,"&lt;="&amp;DATE($B$3,3,28),'Leave log'!$C$7:$C$306,"&gt;="&amp;DATE($B$3,3,28),'Leave log'!$F$7:$F$306,"Pending")&gt;0,"P",""))))</f>
        <v/>
      </c>
      <c r="AD97" s="23" t="str">
        <f>IF(A97="","",IF(IF(OR(DATE($B$3,3,29)&gt;EOMONTH(DATE($B$3,3,1),0),NETWORKDAYS.INTL(DATE($B$3,3,29),DATE($B$3,3,29),1,'Non-working days'!$A$6:$A$45)=0),"",IF(COUNTIFS('Leave log'!$A$7:$A$306,Employees!$A$28,'Leave log'!$B$7:$B$306,"&lt;="&amp;DATE($B$3,3,29),'Leave log'!$C$7:$C$306,"&gt;="&amp;DATE($B$3,3,29),'Leave log'!$F$7:$F$306,"Approved")&gt;0,"A",""))="A","A",IF(OR(DATE($B$3,3,29)&gt;EOMONTH(DATE($B$3,3,1),0),NETWORKDAYS.INTL(DATE($B$3,3,29),DATE($B$3,3,29),1,'Non-working days'!$A$6:$A$45)=0),"",IF(COUNTIFS('Leave log'!$A$7:$A$306,Employees!$A$28,'Leave log'!$B$7:$B$306,"&lt;="&amp;DATE($B$3,3,29),'Leave log'!$C$7:$C$306,"&gt;="&amp;DATE($B$3,3,29),'Leave log'!$F$7:$F$306,"Pending")&gt;0,"P",""))))</f>
        <v/>
      </c>
      <c r="AE97" s="23" t="str">
        <f>IF(A97="","",IF(IF(OR(DATE($B$3,3,30)&gt;EOMONTH(DATE($B$3,3,1),0),NETWORKDAYS.INTL(DATE($B$3,3,30),DATE($B$3,3,30),1,'Non-working days'!$A$6:$A$45)=0),"",IF(COUNTIFS('Leave log'!$A$7:$A$306,Employees!$A$28,'Leave log'!$B$7:$B$306,"&lt;="&amp;DATE($B$3,3,30),'Leave log'!$C$7:$C$306,"&gt;="&amp;DATE($B$3,3,30),'Leave log'!$F$7:$F$306,"Approved")&gt;0,"A",""))="A","A",IF(OR(DATE($B$3,3,30)&gt;EOMONTH(DATE($B$3,3,1),0),NETWORKDAYS.INTL(DATE($B$3,3,30),DATE($B$3,3,30),1,'Non-working days'!$A$6:$A$45)=0),"",IF(COUNTIFS('Leave log'!$A$7:$A$306,Employees!$A$28,'Leave log'!$B$7:$B$306,"&lt;="&amp;DATE($B$3,3,30),'Leave log'!$C$7:$C$306,"&gt;="&amp;DATE($B$3,3,30),'Leave log'!$F$7:$F$306,"Pending")&gt;0,"P",""))))</f>
        <v/>
      </c>
      <c r="AF97" s="23" t="str">
        <f>IF(A97="","",IF(IF(OR(DATE($B$3,3,31)&gt;EOMONTH(DATE($B$3,3,1),0),NETWORKDAYS.INTL(DATE($B$3,3,31),DATE($B$3,3,31),1,'Non-working days'!$A$6:$A$45)=0),"",IF(COUNTIFS('Leave log'!$A$7:$A$306,Employees!$A$28,'Leave log'!$B$7:$B$306,"&lt;="&amp;DATE($B$3,3,31),'Leave log'!$C$7:$C$306,"&gt;="&amp;DATE($B$3,3,31),'Leave log'!$F$7:$F$306,"Approved")&gt;0,"A",""))="A","A",IF(OR(DATE($B$3,3,31)&gt;EOMONTH(DATE($B$3,3,1),0),NETWORKDAYS.INTL(DATE($B$3,3,31),DATE($B$3,3,31),1,'Non-working days'!$A$6:$A$45)=0),"",IF(COUNTIFS('Leave log'!$A$7:$A$306,Employees!$A$28,'Leave log'!$B$7:$B$306,"&lt;="&amp;DATE($B$3,3,31),'Leave log'!$C$7:$C$306,"&gt;="&amp;DATE($B$3,3,31),'Leave log'!$F$7:$F$306,"Pending")&gt;0,"P",""))))</f>
        <v/>
      </c>
    </row>
    <row r="98" spans="1:32" ht="18" customHeight="1" x14ac:dyDescent="0.3">
      <c r="A98" s="22" t="str">
        <f>IF(Employees!F29="Yes",Employees!B29,"")</f>
        <v/>
      </c>
      <c r="B98" s="23" t="str">
        <f>IF(A98="","",IF(IF(OR(DATE($B$3,3,1)&gt;EOMONTH(DATE($B$3,3,1),0),NETWORKDAYS.INTL(DATE($B$3,3,1),DATE($B$3,3,1),1,'Non-working days'!$A$6:$A$45)=0),"",IF(COUNTIFS('Leave log'!$A$7:$A$306,Employees!$A$29,'Leave log'!$B$7:$B$306,"&lt;="&amp;DATE($B$3,3,1),'Leave log'!$C$7:$C$306,"&gt;="&amp;DATE($B$3,3,1),'Leave log'!$F$7:$F$306,"Approved")&gt;0,"A",""))="A","A",IF(OR(DATE($B$3,3,1)&gt;EOMONTH(DATE($B$3,3,1),0),NETWORKDAYS.INTL(DATE($B$3,3,1),DATE($B$3,3,1),1,'Non-working days'!$A$6:$A$45)=0),"",IF(COUNTIFS('Leave log'!$A$7:$A$306,Employees!$A$29,'Leave log'!$B$7:$B$306,"&lt;="&amp;DATE($B$3,3,1),'Leave log'!$C$7:$C$306,"&gt;="&amp;DATE($B$3,3,1),'Leave log'!$F$7:$F$306,"Pending")&gt;0,"P",""))))</f>
        <v/>
      </c>
      <c r="C98" s="23" t="str">
        <f>IF(A98="","",IF(IF(OR(DATE($B$3,3,2)&gt;EOMONTH(DATE($B$3,3,1),0),NETWORKDAYS.INTL(DATE($B$3,3,2),DATE($B$3,3,2),1,'Non-working days'!$A$6:$A$45)=0),"",IF(COUNTIFS('Leave log'!$A$7:$A$306,Employees!$A$29,'Leave log'!$B$7:$B$306,"&lt;="&amp;DATE($B$3,3,2),'Leave log'!$C$7:$C$306,"&gt;="&amp;DATE($B$3,3,2),'Leave log'!$F$7:$F$306,"Approved")&gt;0,"A",""))="A","A",IF(OR(DATE($B$3,3,2)&gt;EOMONTH(DATE($B$3,3,1),0),NETWORKDAYS.INTL(DATE($B$3,3,2),DATE($B$3,3,2),1,'Non-working days'!$A$6:$A$45)=0),"",IF(COUNTIFS('Leave log'!$A$7:$A$306,Employees!$A$29,'Leave log'!$B$7:$B$306,"&lt;="&amp;DATE($B$3,3,2),'Leave log'!$C$7:$C$306,"&gt;="&amp;DATE($B$3,3,2),'Leave log'!$F$7:$F$306,"Pending")&gt;0,"P",""))))</f>
        <v/>
      </c>
      <c r="D98" s="23" t="str">
        <f>IF(A98="","",IF(IF(OR(DATE($B$3,3,3)&gt;EOMONTH(DATE($B$3,3,1),0),NETWORKDAYS.INTL(DATE($B$3,3,3),DATE($B$3,3,3),1,'Non-working days'!$A$6:$A$45)=0),"",IF(COUNTIFS('Leave log'!$A$7:$A$306,Employees!$A$29,'Leave log'!$B$7:$B$306,"&lt;="&amp;DATE($B$3,3,3),'Leave log'!$C$7:$C$306,"&gt;="&amp;DATE($B$3,3,3),'Leave log'!$F$7:$F$306,"Approved")&gt;0,"A",""))="A","A",IF(OR(DATE($B$3,3,3)&gt;EOMONTH(DATE($B$3,3,1),0),NETWORKDAYS.INTL(DATE($B$3,3,3),DATE($B$3,3,3),1,'Non-working days'!$A$6:$A$45)=0),"",IF(COUNTIFS('Leave log'!$A$7:$A$306,Employees!$A$29,'Leave log'!$B$7:$B$306,"&lt;="&amp;DATE($B$3,3,3),'Leave log'!$C$7:$C$306,"&gt;="&amp;DATE($B$3,3,3),'Leave log'!$F$7:$F$306,"Pending")&gt;0,"P",""))))</f>
        <v/>
      </c>
      <c r="E98" s="23" t="str">
        <f>IF(A98="","",IF(IF(OR(DATE($B$3,3,4)&gt;EOMONTH(DATE($B$3,3,1),0),NETWORKDAYS.INTL(DATE($B$3,3,4),DATE($B$3,3,4),1,'Non-working days'!$A$6:$A$45)=0),"",IF(COUNTIFS('Leave log'!$A$7:$A$306,Employees!$A$29,'Leave log'!$B$7:$B$306,"&lt;="&amp;DATE($B$3,3,4),'Leave log'!$C$7:$C$306,"&gt;="&amp;DATE($B$3,3,4),'Leave log'!$F$7:$F$306,"Approved")&gt;0,"A",""))="A","A",IF(OR(DATE($B$3,3,4)&gt;EOMONTH(DATE($B$3,3,1),0),NETWORKDAYS.INTL(DATE($B$3,3,4),DATE($B$3,3,4),1,'Non-working days'!$A$6:$A$45)=0),"",IF(COUNTIFS('Leave log'!$A$7:$A$306,Employees!$A$29,'Leave log'!$B$7:$B$306,"&lt;="&amp;DATE($B$3,3,4),'Leave log'!$C$7:$C$306,"&gt;="&amp;DATE($B$3,3,4),'Leave log'!$F$7:$F$306,"Pending")&gt;0,"P",""))))</f>
        <v/>
      </c>
      <c r="F98" s="23" t="str">
        <f>IF(A98="","",IF(IF(OR(DATE($B$3,3,5)&gt;EOMONTH(DATE($B$3,3,1),0),NETWORKDAYS.INTL(DATE($B$3,3,5),DATE($B$3,3,5),1,'Non-working days'!$A$6:$A$45)=0),"",IF(COUNTIFS('Leave log'!$A$7:$A$306,Employees!$A$29,'Leave log'!$B$7:$B$306,"&lt;="&amp;DATE($B$3,3,5),'Leave log'!$C$7:$C$306,"&gt;="&amp;DATE($B$3,3,5),'Leave log'!$F$7:$F$306,"Approved")&gt;0,"A",""))="A","A",IF(OR(DATE($B$3,3,5)&gt;EOMONTH(DATE($B$3,3,1),0),NETWORKDAYS.INTL(DATE($B$3,3,5),DATE($B$3,3,5),1,'Non-working days'!$A$6:$A$45)=0),"",IF(COUNTIFS('Leave log'!$A$7:$A$306,Employees!$A$29,'Leave log'!$B$7:$B$306,"&lt;="&amp;DATE($B$3,3,5),'Leave log'!$C$7:$C$306,"&gt;="&amp;DATE($B$3,3,5),'Leave log'!$F$7:$F$306,"Pending")&gt;0,"P",""))))</f>
        <v/>
      </c>
      <c r="G98" s="23" t="str">
        <f>IF(A98="","",IF(IF(OR(DATE($B$3,3,6)&gt;EOMONTH(DATE($B$3,3,1),0),NETWORKDAYS.INTL(DATE($B$3,3,6),DATE($B$3,3,6),1,'Non-working days'!$A$6:$A$45)=0),"",IF(COUNTIFS('Leave log'!$A$7:$A$306,Employees!$A$29,'Leave log'!$B$7:$B$306,"&lt;="&amp;DATE($B$3,3,6),'Leave log'!$C$7:$C$306,"&gt;="&amp;DATE($B$3,3,6),'Leave log'!$F$7:$F$306,"Approved")&gt;0,"A",""))="A","A",IF(OR(DATE($B$3,3,6)&gt;EOMONTH(DATE($B$3,3,1),0),NETWORKDAYS.INTL(DATE($B$3,3,6),DATE($B$3,3,6),1,'Non-working days'!$A$6:$A$45)=0),"",IF(COUNTIFS('Leave log'!$A$7:$A$306,Employees!$A$29,'Leave log'!$B$7:$B$306,"&lt;="&amp;DATE($B$3,3,6),'Leave log'!$C$7:$C$306,"&gt;="&amp;DATE($B$3,3,6),'Leave log'!$F$7:$F$306,"Pending")&gt;0,"P",""))))</f>
        <v/>
      </c>
      <c r="H98" s="23" t="str">
        <f>IF(A98="","",IF(IF(OR(DATE($B$3,3,7)&gt;EOMONTH(DATE($B$3,3,1),0),NETWORKDAYS.INTL(DATE($B$3,3,7),DATE($B$3,3,7),1,'Non-working days'!$A$6:$A$45)=0),"",IF(COUNTIFS('Leave log'!$A$7:$A$306,Employees!$A$29,'Leave log'!$B$7:$B$306,"&lt;="&amp;DATE($B$3,3,7),'Leave log'!$C$7:$C$306,"&gt;="&amp;DATE($B$3,3,7),'Leave log'!$F$7:$F$306,"Approved")&gt;0,"A",""))="A","A",IF(OR(DATE($B$3,3,7)&gt;EOMONTH(DATE($B$3,3,1),0),NETWORKDAYS.INTL(DATE($B$3,3,7),DATE($B$3,3,7),1,'Non-working days'!$A$6:$A$45)=0),"",IF(COUNTIFS('Leave log'!$A$7:$A$306,Employees!$A$29,'Leave log'!$B$7:$B$306,"&lt;="&amp;DATE($B$3,3,7),'Leave log'!$C$7:$C$306,"&gt;="&amp;DATE($B$3,3,7),'Leave log'!$F$7:$F$306,"Pending")&gt;0,"P",""))))</f>
        <v/>
      </c>
      <c r="I98" s="23" t="str">
        <f>IF(A98="","",IF(IF(OR(DATE($B$3,3,8)&gt;EOMONTH(DATE($B$3,3,1),0),NETWORKDAYS.INTL(DATE($B$3,3,8),DATE($B$3,3,8),1,'Non-working days'!$A$6:$A$45)=0),"",IF(COUNTIFS('Leave log'!$A$7:$A$306,Employees!$A$29,'Leave log'!$B$7:$B$306,"&lt;="&amp;DATE($B$3,3,8),'Leave log'!$C$7:$C$306,"&gt;="&amp;DATE($B$3,3,8),'Leave log'!$F$7:$F$306,"Approved")&gt;0,"A",""))="A","A",IF(OR(DATE($B$3,3,8)&gt;EOMONTH(DATE($B$3,3,1),0),NETWORKDAYS.INTL(DATE($B$3,3,8),DATE($B$3,3,8),1,'Non-working days'!$A$6:$A$45)=0),"",IF(COUNTIFS('Leave log'!$A$7:$A$306,Employees!$A$29,'Leave log'!$B$7:$B$306,"&lt;="&amp;DATE($B$3,3,8),'Leave log'!$C$7:$C$306,"&gt;="&amp;DATE($B$3,3,8),'Leave log'!$F$7:$F$306,"Pending")&gt;0,"P",""))))</f>
        <v/>
      </c>
      <c r="J98" s="23" t="str">
        <f>IF(A98="","",IF(IF(OR(DATE($B$3,3,9)&gt;EOMONTH(DATE($B$3,3,1),0),NETWORKDAYS.INTL(DATE($B$3,3,9),DATE($B$3,3,9),1,'Non-working days'!$A$6:$A$45)=0),"",IF(COUNTIFS('Leave log'!$A$7:$A$306,Employees!$A$29,'Leave log'!$B$7:$B$306,"&lt;="&amp;DATE($B$3,3,9),'Leave log'!$C$7:$C$306,"&gt;="&amp;DATE($B$3,3,9),'Leave log'!$F$7:$F$306,"Approved")&gt;0,"A",""))="A","A",IF(OR(DATE($B$3,3,9)&gt;EOMONTH(DATE($B$3,3,1),0),NETWORKDAYS.INTL(DATE($B$3,3,9),DATE($B$3,3,9),1,'Non-working days'!$A$6:$A$45)=0),"",IF(COUNTIFS('Leave log'!$A$7:$A$306,Employees!$A$29,'Leave log'!$B$7:$B$306,"&lt;="&amp;DATE($B$3,3,9),'Leave log'!$C$7:$C$306,"&gt;="&amp;DATE($B$3,3,9),'Leave log'!$F$7:$F$306,"Pending")&gt;0,"P",""))))</f>
        <v/>
      </c>
      <c r="K98" s="23" t="str">
        <f>IF(A98="","",IF(IF(OR(DATE($B$3,3,10)&gt;EOMONTH(DATE($B$3,3,1),0),NETWORKDAYS.INTL(DATE($B$3,3,10),DATE($B$3,3,10),1,'Non-working days'!$A$6:$A$45)=0),"",IF(COUNTIFS('Leave log'!$A$7:$A$306,Employees!$A$29,'Leave log'!$B$7:$B$306,"&lt;="&amp;DATE($B$3,3,10),'Leave log'!$C$7:$C$306,"&gt;="&amp;DATE($B$3,3,10),'Leave log'!$F$7:$F$306,"Approved")&gt;0,"A",""))="A","A",IF(OR(DATE($B$3,3,10)&gt;EOMONTH(DATE($B$3,3,1),0),NETWORKDAYS.INTL(DATE($B$3,3,10),DATE($B$3,3,10),1,'Non-working days'!$A$6:$A$45)=0),"",IF(COUNTIFS('Leave log'!$A$7:$A$306,Employees!$A$29,'Leave log'!$B$7:$B$306,"&lt;="&amp;DATE($B$3,3,10),'Leave log'!$C$7:$C$306,"&gt;="&amp;DATE($B$3,3,10),'Leave log'!$F$7:$F$306,"Pending")&gt;0,"P",""))))</f>
        <v/>
      </c>
      <c r="L98" s="23" t="str">
        <f>IF(A98="","",IF(IF(OR(DATE($B$3,3,11)&gt;EOMONTH(DATE($B$3,3,1),0),NETWORKDAYS.INTL(DATE($B$3,3,11),DATE($B$3,3,11),1,'Non-working days'!$A$6:$A$45)=0),"",IF(COUNTIFS('Leave log'!$A$7:$A$306,Employees!$A$29,'Leave log'!$B$7:$B$306,"&lt;="&amp;DATE($B$3,3,11),'Leave log'!$C$7:$C$306,"&gt;="&amp;DATE($B$3,3,11),'Leave log'!$F$7:$F$306,"Approved")&gt;0,"A",""))="A","A",IF(OR(DATE($B$3,3,11)&gt;EOMONTH(DATE($B$3,3,1),0),NETWORKDAYS.INTL(DATE($B$3,3,11),DATE($B$3,3,11),1,'Non-working days'!$A$6:$A$45)=0),"",IF(COUNTIFS('Leave log'!$A$7:$A$306,Employees!$A$29,'Leave log'!$B$7:$B$306,"&lt;="&amp;DATE($B$3,3,11),'Leave log'!$C$7:$C$306,"&gt;="&amp;DATE($B$3,3,11),'Leave log'!$F$7:$F$306,"Pending")&gt;0,"P",""))))</f>
        <v/>
      </c>
      <c r="M98" s="23" t="str">
        <f>IF(A98="","",IF(IF(OR(DATE($B$3,3,12)&gt;EOMONTH(DATE($B$3,3,1),0),NETWORKDAYS.INTL(DATE($B$3,3,12),DATE($B$3,3,12),1,'Non-working days'!$A$6:$A$45)=0),"",IF(COUNTIFS('Leave log'!$A$7:$A$306,Employees!$A$29,'Leave log'!$B$7:$B$306,"&lt;="&amp;DATE($B$3,3,12),'Leave log'!$C$7:$C$306,"&gt;="&amp;DATE($B$3,3,12),'Leave log'!$F$7:$F$306,"Approved")&gt;0,"A",""))="A","A",IF(OR(DATE($B$3,3,12)&gt;EOMONTH(DATE($B$3,3,1),0),NETWORKDAYS.INTL(DATE($B$3,3,12),DATE($B$3,3,12),1,'Non-working days'!$A$6:$A$45)=0),"",IF(COUNTIFS('Leave log'!$A$7:$A$306,Employees!$A$29,'Leave log'!$B$7:$B$306,"&lt;="&amp;DATE($B$3,3,12),'Leave log'!$C$7:$C$306,"&gt;="&amp;DATE($B$3,3,12),'Leave log'!$F$7:$F$306,"Pending")&gt;0,"P",""))))</f>
        <v/>
      </c>
      <c r="N98" s="23" t="str">
        <f>IF(A98="","",IF(IF(OR(DATE($B$3,3,13)&gt;EOMONTH(DATE($B$3,3,1),0),NETWORKDAYS.INTL(DATE($B$3,3,13),DATE($B$3,3,13),1,'Non-working days'!$A$6:$A$45)=0),"",IF(COUNTIFS('Leave log'!$A$7:$A$306,Employees!$A$29,'Leave log'!$B$7:$B$306,"&lt;="&amp;DATE($B$3,3,13),'Leave log'!$C$7:$C$306,"&gt;="&amp;DATE($B$3,3,13),'Leave log'!$F$7:$F$306,"Approved")&gt;0,"A",""))="A","A",IF(OR(DATE($B$3,3,13)&gt;EOMONTH(DATE($B$3,3,1),0),NETWORKDAYS.INTL(DATE($B$3,3,13),DATE($B$3,3,13),1,'Non-working days'!$A$6:$A$45)=0),"",IF(COUNTIFS('Leave log'!$A$7:$A$306,Employees!$A$29,'Leave log'!$B$7:$B$306,"&lt;="&amp;DATE($B$3,3,13),'Leave log'!$C$7:$C$306,"&gt;="&amp;DATE($B$3,3,13),'Leave log'!$F$7:$F$306,"Pending")&gt;0,"P",""))))</f>
        <v/>
      </c>
      <c r="O98" s="23" t="str">
        <f>IF(A98="","",IF(IF(OR(DATE($B$3,3,14)&gt;EOMONTH(DATE($B$3,3,1),0),NETWORKDAYS.INTL(DATE($B$3,3,14),DATE($B$3,3,14),1,'Non-working days'!$A$6:$A$45)=0),"",IF(COUNTIFS('Leave log'!$A$7:$A$306,Employees!$A$29,'Leave log'!$B$7:$B$306,"&lt;="&amp;DATE($B$3,3,14),'Leave log'!$C$7:$C$306,"&gt;="&amp;DATE($B$3,3,14),'Leave log'!$F$7:$F$306,"Approved")&gt;0,"A",""))="A","A",IF(OR(DATE($B$3,3,14)&gt;EOMONTH(DATE($B$3,3,1),0),NETWORKDAYS.INTL(DATE($B$3,3,14),DATE($B$3,3,14),1,'Non-working days'!$A$6:$A$45)=0),"",IF(COUNTIFS('Leave log'!$A$7:$A$306,Employees!$A$29,'Leave log'!$B$7:$B$306,"&lt;="&amp;DATE($B$3,3,14),'Leave log'!$C$7:$C$306,"&gt;="&amp;DATE($B$3,3,14),'Leave log'!$F$7:$F$306,"Pending")&gt;0,"P",""))))</f>
        <v/>
      </c>
      <c r="P98" s="23" t="str">
        <f>IF(A98="","",IF(IF(OR(DATE($B$3,3,15)&gt;EOMONTH(DATE($B$3,3,1),0),NETWORKDAYS.INTL(DATE($B$3,3,15),DATE($B$3,3,15),1,'Non-working days'!$A$6:$A$45)=0),"",IF(COUNTIFS('Leave log'!$A$7:$A$306,Employees!$A$29,'Leave log'!$B$7:$B$306,"&lt;="&amp;DATE($B$3,3,15),'Leave log'!$C$7:$C$306,"&gt;="&amp;DATE($B$3,3,15),'Leave log'!$F$7:$F$306,"Approved")&gt;0,"A",""))="A","A",IF(OR(DATE($B$3,3,15)&gt;EOMONTH(DATE($B$3,3,1),0),NETWORKDAYS.INTL(DATE($B$3,3,15),DATE($B$3,3,15),1,'Non-working days'!$A$6:$A$45)=0),"",IF(COUNTIFS('Leave log'!$A$7:$A$306,Employees!$A$29,'Leave log'!$B$7:$B$306,"&lt;="&amp;DATE($B$3,3,15),'Leave log'!$C$7:$C$306,"&gt;="&amp;DATE($B$3,3,15),'Leave log'!$F$7:$F$306,"Pending")&gt;0,"P",""))))</f>
        <v/>
      </c>
      <c r="Q98" s="23" t="str">
        <f>IF(A98="","",IF(IF(OR(DATE($B$3,3,16)&gt;EOMONTH(DATE($B$3,3,1),0),NETWORKDAYS.INTL(DATE($B$3,3,16),DATE($B$3,3,16),1,'Non-working days'!$A$6:$A$45)=0),"",IF(COUNTIFS('Leave log'!$A$7:$A$306,Employees!$A$29,'Leave log'!$B$7:$B$306,"&lt;="&amp;DATE($B$3,3,16),'Leave log'!$C$7:$C$306,"&gt;="&amp;DATE($B$3,3,16),'Leave log'!$F$7:$F$306,"Approved")&gt;0,"A",""))="A","A",IF(OR(DATE($B$3,3,16)&gt;EOMONTH(DATE($B$3,3,1),0),NETWORKDAYS.INTL(DATE($B$3,3,16),DATE($B$3,3,16),1,'Non-working days'!$A$6:$A$45)=0),"",IF(COUNTIFS('Leave log'!$A$7:$A$306,Employees!$A$29,'Leave log'!$B$7:$B$306,"&lt;="&amp;DATE($B$3,3,16),'Leave log'!$C$7:$C$306,"&gt;="&amp;DATE($B$3,3,16),'Leave log'!$F$7:$F$306,"Pending")&gt;0,"P",""))))</f>
        <v/>
      </c>
      <c r="R98" s="23" t="str">
        <f>IF(A98="","",IF(IF(OR(DATE($B$3,3,17)&gt;EOMONTH(DATE($B$3,3,1),0),NETWORKDAYS.INTL(DATE($B$3,3,17),DATE($B$3,3,17),1,'Non-working days'!$A$6:$A$45)=0),"",IF(COUNTIFS('Leave log'!$A$7:$A$306,Employees!$A$29,'Leave log'!$B$7:$B$306,"&lt;="&amp;DATE($B$3,3,17),'Leave log'!$C$7:$C$306,"&gt;="&amp;DATE($B$3,3,17),'Leave log'!$F$7:$F$306,"Approved")&gt;0,"A",""))="A","A",IF(OR(DATE($B$3,3,17)&gt;EOMONTH(DATE($B$3,3,1),0),NETWORKDAYS.INTL(DATE($B$3,3,17),DATE($B$3,3,17),1,'Non-working days'!$A$6:$A$45)=0),"",IF(COUNTIFS('Leave log'!$A$7:$A$306,Employees!$A$29,'Leave log'!$B$7:$B$306,"&lt;="&amp;DATE($B$3,3,17),'Leave log'!$C$7:$C$306,"&gt;="&amp;DATE($B$3,3,17),'Leave log'!$F$7:$F$306,"Pending")&gt;0,"P",""))))</f>
        <v/>
      </c>
      <c r="S98" s="23" t="str">
        <f>IF(A98="","",IF(IF(OR(DATE($B$3,3,18)&gt;EOMONTH(DATE($B$3,3,1),0),NETWORKDAYS.INTL(DATE($B$3,3,18),DATE($B$3,3,18),1,'Non-working days'!$A$6:$A$45)=0),"",IF(COUNTIFS('Leave log'!$A$7:$A$306,Employees!$A$29,'Leave log'!$B$7:$B$306,"&lt;="&amp;DATE($B$3,3,18),'Leave log'!$C$7:$C$306,"&gt;="&amp;DATE($B$3,3,18),'Leave log'!$F$7:$F$306,"Approved")&gt;0,"A",""))="A","A",IF(OR(DATE($B$3,3,18)&gt;EOMONTH(DATE($B$3,3,1),0),NETWORKDAYS.INTL(DATE($B$3,3,18),DATE($B$3,3,18),1,'Non-working days'!$A$6:$A$45)=0),"",IF(COUNTIFS('Leave log'!$A$7:$A$306,Employees!$A$29,'Leave log'!$B$7:$B$306,"&lt;="&amp;DATE($B$3,3,18),'Leave log'!$C$7:$C$306,"&gt;="&amp;DATE($B$3,3,18),'Leave log'!$F$7:$F$306,"Pending")&gt;0,"P",""))))</f>
        <v/>
      </c>
      <c r="T98" s="23" t="str">
        <f>IF(A98="","",IF(IF(OR(DATE($B$3,3,19)&gt;EOMONTH(DATE($B$3,3,1),0),NETWORKDAYS.INTL(DATE($B$3,3,19),DATE($B$3,3,19),1,'Non-working days'!$A$6:$A$45)=0),"",IF(COUNTIFS('Leave log'!$A$7:$A$306,Employees!$A$29,'Leave log'!$B$7:$B$306,"&lt;="&amp;DATE($B$3,3,19),'Leave log'!$C$7:$C$306,"&gt;="&amp;DATE($B$3,3,19),'Leave log'!$F$7:$F$306,"Approved")&gt;0,"A",""))="A","A",IF(OR(DATE($B$3,3,19)&gt;EOMONTH(DATE($B$3,3,1),0),NETWORKDAYS.INTL(DATE($B$3,3,19),DATE($B$3,3,19),1,'Non-working days'!$A$6:$A$45)=0),"",IF(COUNTIFS('Leave log'!$A$7:$A$306,Employees!$A$29,'Leave log'!$B$7:$B$306,"&lt;="&amp;DATE($B$3,3,19),'Leave log'!$C$7:$C$306,"&gt;="&amp;DATE($B$3,3,19),'Leave log'!$F$7:$F$306,"Pending")&gt;0,"P",""))))</f>
        <v/>
      </c>
      <c r="U98" s="23" t="str">
        <f>IF(A98="","",IF(IF(OR(DATE($B$3,3,20)&gt;EOMONTH(DATE($B$3,3,1),0),NETWORKDAYS.INTL(DATE($B$3,3,20),DATE($B$3,3,20),1,'Non-working days'!$A$6:$A$45)=0),"",IF(COUNTIFS('Leave log'!$A$7:$A$306,Employees!$A$29,'Leave log'!$B$7:$B$306,"&lt;="&amp;DATE($B$3,3,20),'Leave log'!$C$7:$C$306,"&gt;="&amp;DATE($B$3,3,20),'Leave log'!$F$7:$F$306,"Approved")&gt;0,"A",""))="A","A",IF(OR(DATE($B$3,3,20)&gt;EOMONTH(DATE($B$3,3,1),0),NETWORKDAYS.INTL(DATE($B$3,3,20),DATE($B$3,3,20),1,'Non-working days'!$A$6:$A$45)=0),"",IF(COUNTIFS('Leave log'!$A$7:$A$306,Employees!$A$29,'Leave log'!$B$7:$B$306,"&lt;="&amp;DATE($B$3,3,20),'Leave log'!$C$7:$C$306,"&gt;="&amp;DATE($B$3,3,20),'Leave log'!$F$7:$F$306,"Pending")&gt;0,"P",""))))</f>
        <v/>
      </c>
      <c r="V98" s="23" t="str">
        <f>IF(A98="","",IF(IF(OR(DATE($B$3,3,21)&gt;EOMONTH(DATE($B$3,3,1),0),NETWORKDAYS.INTL(DATE($B$3,3,21),DATE($B$3,3,21),1,'Non-working days'!$A$6:$A$45)=0),"",IF(COUNTIFS('Leave log'!$A$7:$A$306,Employees!$A$29,'Leave log'!$B$7:$B$306,"&lt;="&amp;DATE($B$3,3,21),'Leave log'!$C$7:$C$306,"&gt;="&amp;DATE($B$3,3,21),'Leave log'!$F$7:$F$306,"Approved")&gt;0,"A",""))="A","A",IF(OR(DATE($B$3,3,21)&gt;EOMONTH(DATE($B$3,3,1),0),NETWORKDAYS.INTL(DATE($B$3,3,21),DATE($B$3,3,21),1,'Non-working days'!$A$6:$A$45)=0),"",IF(COUNTIFS('Leave log'!$A$7:$A$306,Employees!$A$29,'Leave log'!$B$7:$B$306,"&lt;="&amp;DATE($B$3,3,21),'Leave log'!$C$7:$C$306,"&gt;="&amp;DATE($B$3,3,21),'Leave log'!$F$7:$F$306,"Pending")&gt;0,"P",""))))</f>
        <v/>
      </c>
      <c r="W98" s="23" t="str">
        <f>IF(A98="","",IF(IF(OR(DATE($B$3,3,22)&gt;EOMONTH(DATE($B$3,3,1),0),NETWORKDAYS.INTL(DATE($B$3,3,22),DATE($B$3,3,22),1,'Non-working days'!$A$6:$A$45)=0),"",IF(COUNTIFS('Leave log'!$A$7:$A$306,Employees!$A$29,'Leave log'!$B$7:$B$306,"&lt;="&amp;DATE($B$3,3,22),'Leave log'!$C$7:$C$306,"&gt;="&amp;DATE($B$3,3,22),'Leave log'!$F$7:$F$306,"Approved")&gt;0,"A",""))="A","A",IF(OR(DATE($B$3,3,22)&gt;EOMONTH(DATE($B$3,3,1),0),NETWORKDAYS.INTL(DATE($B$3,3,22),DATE($B$3,3,22),1,'Non-working days'!$A$6:$A$45)=0),"",IF(COUNTIFS('Leave log'!$A$7:$A$306,Employees!$A$29,'Leave log'!$B$7:$B$306,"&lt;="&amp;DATE($B$3,3,22),'Leave log'!$C$7:$C$306,"&gt;="&amp;DATE($B$3,3,22),'Leave log'!$F$7:$F$306,"Pending")&gt;0,"P",""))))</f>
        <v/>
      </c>
      <c r="X98" s="23" t="str">
        <f>IF(A98="","",IF(IF(OR(DATE($B$3,3,23)&gt;EOMONTH(DATE($B$3,3,1),0),NETWORKDAYS.INTL(DATE($B$3,3,23),DATE($B$3,3,23),1,'Non-working days'!$A$6:$A$45)=0),"",IF(COUNTIFS('Leave log'!$A$7:$A$306,Employees!$A$29,'Leave log'!$B$7:$B$306,"&lt;="&amp;DATE($B$3,3,23),'Leave log'!$C$7:$C$306,"&gt;="&amp;DATE($B$3,3,23),'Leave log'!$F$7:$F$306,"Approved")&gt;0,"A",""))="A","A",IF(OR(DATE($B$3,3,23)&gt;EOMONTH(DATE($B$3,3,1),0),NETWORKDAYS.INTL(DATE($B$3,3,23),DATE($B$3,3,23),1,'Non-working days'!$A$6:$A$45)=0),"",IF(COUNTIFS('Leave log'!$A$7:$A$306,Employees!$A$29,'Leave log'!$B$7:$B$306,"&lt;="&amp;DATE($B$3,3,23),'Leave log'!$C$7:$C$306,"&gt;="&amp;DATE($B$3,3,23),'Leave log'!$F$7:$F$306,"Pending")&gt;0,"P",""))))</f>
        <v/>
      </c>
      <c r="Y98" s="23" t="str">
        <f>IF(A98="","",IF(IF(OR(DATE($B$3,3,24)&gt;EOMONTH(DATE($B$3,3,1),0),NETWORKDAYS.INTL(DATE($B$3,3,24),DATE($B$3,3,24),1,'Non-working days'!$A$6:$A$45)=0),"",IF(COUNTIFS('Leave log'!$A$7:$A$306,Employees!$A$29,'Leave log'!$B$7:$B$306,"&lt;="&amp;DATE($B$3,3,24),'Leave log'!$C$7:$C$306,"&gt;="&amp;DATE($B$3,3,24),'Leave log'!$F$7:$F$306,"Approved")&gt;0,"A",""))="A","A",IF(OR(DATE($B$3,3,24)&gt;EOMONTH(DATE($B$3,3,1),0),NETWORKDAYS.INTL(DATE($B$3,3,24),DATE($B$3,3,24),1,'Non-working days'!$A$6:$A$45)=0),"",IF(COUNTIFS('Leave log'!$A$7:$A$306,Employees!$A$29,'Leave log'!$B$7:$B$306,"&lt;="&amp;DATE($B$3,3,24),'Leave log'!$C$7:$C$306,"&gt;="&amp;DATE($B$3,3,24),'Leave log'!$F$7:$F$306,"Pending")&gt;0,"P",""))))</f>
        <v/>
      </c>
      <c r="Z98" s="23" t="str">
        <f>IF(A98="","",IF(IF(OR(DATE($B$3,3,25)&gt;EOMONTH(DATE($B$3,3,1),0),NETWORKDAYS.INTL(DATE($B$3,3,25),DATE($B$3,3,25),1,'Non-working days'!$A$6:$A$45)=0),"",IF(COUNTIFS('Leave log'!$A$7:$A$306,Employees!$A$29,'Leave log'!$B$7:$B$306,"&lt;="&amp;DATE($B$3,3,25),'Leave log'!$C$7:$C$306,"&gt;="&amp;DATE($B$3,3,25),'Leave log'!$F$7:$F$306,"Approved")&gt;0,"A",""))="A","A",IF(OR(DATE($B$3,3,25)&gt;EOMONTH(DATE($B$3,3,1),0),NETWORKDAYS.INTL(DATE($B$3,3,25),DATE($B$3,3,25),1,'Non-working days'!$A$6:$A$45)=0),"",IF(COUNTIFS('Leave log'!$A$7:$A$306,Employees!$A$29,'Leave log'!$B$7:$B$306,"&lt;="&amp;DATE($B$3,3,25),'Leave log'!$C$7:$C$306,"&gt;="&amp;DATE($B$3,3,25),'Leave log'!$F$7:$F$306,"Pending")&gt;0,"P",""))))</f>
        <v/>
      </c>
      <c r="AA98" s="23" t="str">
        <f>IF(A98="","",IF(IF(OR(DATE($B$3,3,26)&gt;EOMONTH(DATE($B$3,3,1),0),NETWORKDAYS.INTL(DATE($B$3,3,26),DATE($B$3,3,26),1,'Non-working days'!$A$6:$A$45)=0),"",IF(COUNTIFS('Leave log'!$A$7:$A$306,Employees!$A$29,'Leave log'!$B$7:$B$306,"&lt;="&amp;DATE($B$3,3,26),'Leave log'!$C$7:$C$306,"&gt;="&amp;DATE($B$3,3,26),'Leave log'!$F$7:$F$306,"Approved")&gt;0,"A",""))="A","A",IF(OR(DATE($B$3,3,26)&gt;EOMONTH(DATE($B$3,3,1),0),NETWORKDAYS.INTL(DATE($B$3,3,26),DATE($B$3,3,26),1,'Non-working days'!$A$6:$A$45)=0),"",IF(COUNTIFS('Leave log'!$A$7:$A$306,Employees!$A$29,'Leave log'!$B$7:$B$306,"&lt;="&amp;DATE($B$3,3,26),'Leave log'!$C$7:$C$306,"&gt;="&amp;DATE($B$3,3,26),'Leave log'!$F$7:$F$306,"Pending")&gt;0,"P",""))))</f>
        <v/>
      </c>
      <c r="AB98" s="23" t="str">
        <f>IF(A98="","",IF(IF(OR(DATE($B$3,3,27)&gt;EOMONTH(DATE($B$3,3,1),0),NETWORKDAYS.INTL(DATE($B$3,3,27),DATE($B$3,3,27),1,'Non-working days'!$A$6:$A$45)=0),"",IF(COUNTIFS('Leave log'!$A$7:$A$306,Employees!$A$29,'Leave log'!$B$7:$B$306,"&lt;="&amp;DATE($B$3,3,27),'Leave log'!$C$7:$C$306,"&gt;="&amp;DATE($B$3,3,27),'Leave log'!$F$7:$F$306,"Approved")&gt;0,"A",""))="A","A",IF(OR(DATE($B$3,3,27)&gt;EOMONTH(DATE($B$3,3,1),0),NETWORKDAYS.INTL(DATE($B$3,3,27),DATE($B$3,3,27),1,'Non-working days'!$A$6:$A$45)=0),"",IF(COUNTIFS('Leave log'!$A$7:$A$306,Employees!$A$29,'Leave log'!$B$7:$B$306,"&lt;="&amp;DATE($B$3,3,27),'Leave log'!$C$7:$C$306,"&gt;="&amp;DATE($B$3,3,27),'Leave log'!$F$7:$F$306,"Pending")&gt;0,"P",""))))</f>
        <v/>
      </c>
      <c r="AC98" s="23" t="str">
        <f>IF(A98="","",IF(IF(OR(DATE($B$3,3,28)&gt;EOMONTH(DATE($B$3,3,1),0),NETWORKDAYS.INTL(DATE($B$3,3,28),DATE($B$3,3,28),1,'Non-working days'!$A$6:$A$45)=0),"",IF(COUNTIFS('Leave log'!$A$7:$A$306,Employees!$A$29,'Leave log'!$B$7:$B$306,"&lt;="&amp;DATE($B$3,3,28),'Leave log'!$C$7:$C$306,"&gt;="&amp;DATE($B$3,3,28),'Leave log'!$F$7:$F$306,"Approved")&gt;0,"A",""))="A","A",IF(OR(DATE($B$3,3,28)&gt;EOMONTH(DATE($B$3,3,1),0),NETWORKDAYS.INTL(DATE($B$3,3,28),DATE($B$3,3,28),1,'Non-working days'!$A$6:$A$45)=0),"",IF(COUNTIFS('Leave log'!$A$7:$A$306,Employees!$A$29,'Leave log'!$B$7:$B$306,"&lt;="&amp;DATE($B$3,3,28),'Leave log'!$C$7:$C$306,"&gt;="&amp;DATE($B$3,3,28),'Leave log'!$F$7:$F$306,"Pending")&gt;0,"P",""))))</f>
        <v/>
      </c>
      <c r="AD98" s="23" t="str">
        <f>IF(A98="","",IF(IF(OR(DATE($B$3,3,29)&gt;EOMONTH(DATE($B$3,3,1),0),NETWORKDAYS.INTL(DATE($B$3,3,29),DATE($B$3,3,29),1,'Non-working days'!$A$6:$A$45)=0),"",IF(COUNTIFS('Leave log'!$A$7:$A$306,Employees!$A$29,'Leave log'!$B$7:$B$306,"&lt;="&amp;DATE($B$3,3,29),'Leave log'!$C$7:$C$306,"&gt;="&amp;DATE($B$3,3,29),'Leave log'!$F$7:$F$306,"Approved")&gt;0,"A",""))="A","A",IF(OR(DATE($B$3,3,29)&gt;EOMONTH(DATE($B$3,3,1),0),NETWORKDAYS.INTL(DATE($B$3,3,29),DATE($B$3,3,29),1,'Non-working days'!$A$6:$A$45)=0),"",IF(COUNTIFS('Leave log'!$A$7:$A$306,Employees!$A$29,'Leave log'!$B$7:$B$306,"&lt;="&amp;DATE($B$3,3,29),'Leave log'!$C$7:$C$306,"&gt;="&amp;DATE($B$3,3,29),'Leave log'!$F$7:$F$306,"Pending")&gt;0,"P",""))))</f>
        <v/>
      </c>
      <c r="AE98" s="23" t="str">
        <f>IF(A98="","",IF(IF(OR(DATE($B$3,3,30)&gt;EOMONTH(DATE($B$3,3,1),0),NETWORKDAYS.INTL(DATE($B$3,3,30),DATE($B$3,3,30),1,'Non-working days'!$A$6:$A$45)=0),"",IF(COUNTIFS('Leave log'!$A$7:$A$306,Employees!$A$29,'Leave log'!$B$7:$B$306,"&lt;="&amp;DATE($B$3,3,30),'Leave log'!$C$7:$C$306,"&gt;="&amp;DATE($B$3,3,30),'Leave log'!$F$7:$F$306,"Approved")&gt;0,"A",""))="A","A",IF(OR(DATE($B$3,3,30)&gt;EOMONTH(DATE($B$3,3,1),0),NETWORKDAYS.INTL(DATE($B$3,3,30),DATE($B$3,3,30),1,'Non-working days'!$A$6:$A$45)=0),"",IF(COUNTIFS('Leave log'!$A$7:$A$306,Employees!$A$29,'Leave log'!$B$7:$B$306,"&lt;="&amp;DATE($B$3,3,30),'Leave log'!$C$7:$C$306,"&gt;="&amp;DATE($B$3,3,30),'Leave log'!$F$7:$F$306,"Pending")&gt;0,"P",""))))</f>
        <v/>
      </c>
      <c r="AF98" s="23" t="str">
        <f>IF(A98="","",IF(IF(OR(DATE($B$3,3,31)&gt;EOMONTH(DATE($B$3,3,1),0),NETWORKDAYS.INTL(DATE($B$3,3,31),DATE($B$3,3,31),1,'Non-working days'!$A$6:$A$45)=0),"",IF(COUNTIFS('Leave log'!$A$7:$A$306,Employees!$A$29,'Leave log'!$B$7:$B$306,"&lt;="&amp;DATE($B$3,3,31),'Leave log'!$C$7:$C$306,"&gt;="&amp;DATE($B$3,3,31),'Leave log'!$F$7:$F$306,"Approved")&gt;0,"A",""))="A","A",IF(OR(DATE($B$3,3,31)&gt;EOMONTH(DATE($B$3,3,1),0),NETWORKDAYS.INTL(DATE($B$3,3,31),DATE($B$3,3,31),1,'Non-working days'!$A$6:$A$45)=0),"",IF(COUNTIFS('Leave log'!$A$7:$A$306,Employees!$A$29,'Leave log'!$B$7:$B$306,"&lt;="&amp;DATE($B$3,3,31),'Leave log'!$C$7:$C$306,"&gt;="&amp;DATE($B$3,3,31),'Leave log'!$F$7:$F$306,"Pending")&gt;0,"P",""))))</f>
        <v/>
      </c>
    </row>
    <row r="99" spans="1:32" ht="18" customHeight="1" x14ac:dyDescent="0.3">
      <c r="A99" s="22" t="str">
        <f>IF(Employees!F30="Yes",Employees!B30,"")</f>
        <v/>
      </c>
      <c r="B99" s="23" t="str">
        <f>IF(A99="","",IF(IF(OR(DATE($B$3,3,1)&gt;EOMONTH(DATE($B$3,3,1),0),NETWORKDAYS.INTL(DATE($B$3,3,1),DATE($B$3,3,1),1,'Non-working days'!$A$6:$A$45)=0),"",IF(COUNTIFS('Leave log'!$A$7:$A$306,Employees!$A$30,'Leave log'!$B$7:$B$306,"&lt;="&amp;DATE($B$3,3,1),'Leave log'!$C$7:$C$306,"&gt;="&amp;DATE($B$3,3,1),'Leave log'!$F$7:$F$306,"Approved")&gt;0,"A",""))="A","A",IF(OR(DATE($B$3,3,1)&gt;EOMONTH(DATE($B$3,3,1),0),NETWORKDAYS.INTL(DATE($B$3,3,1),DATE($B$3,3,1),1,'Non-working days'!$A$6:$A$45)=0),"",IF(COUNTIFS('Leave log'!$A$7:$A$306,Employees!$A$30,'Leave log'!$B$7:$B$306,"&lt;="&amp;DATE($B$3,3,1),'Leave log'!$C$7:$C$306,"&gt;="&amp;DATE($B$3,3,1),'Leave log'!$F$7:$F$306,"Pending")&gt;0,"P",""))))</f>
        <v/>
      </c>
      <c r="C99" s="23" t="str">
        <f>IF(A99="","",IF(IF(OR(DATE($B$3,3,2)&gt;EOMONTH(DATE($B$3,3,1),0),NETWORKDAYS.INTL(DATE($B$3,3,2),DATE($B$3,3,2),1,'Non-working days'!$A$6:$A$45)=0),"",IF(COUNTIFS('Leave log'!$A$7:$A$306,Employees!$A$30,'Leave log'!$B$7:$B$306,"&lt;="&amp;DATE($B$3,3,2),'Leave log'!$C$7:$C$306,"&gt;="&amp;DATE($B$3,3,2),'Leave log'!$F$7:$F$306,"Approved")&gt;0,"A",""))="A","A",IF(OR(DATE($B$3,3,2)&gt;EOMONTH(DATE($B$3,3,1),0),NETWORKDAYS.INTL(DATE($B$3,3,2),DATE($B$3,3,2),1,'Non-working days'!$A$6:$A$45)=0),"",IF(COUNTIFS('Leave log'!$A$7:$A$306,Employees!$A$30,'Leave log'!$B$7:$B$306,"&lt;="&amp;DATE($B$3,3,2),'Leave log'!$C$7:$C$306,"&gt;="&amp;DATE($B$3,3,2),'Leave log'!$F$7:$F$306,"Pending")&gt;0,"P",""))))</f>
        <v/>
      </c>
      <c r="D99" s="23" t="str">
        <f>IF(A99="","",IF(IF(OR(DATE($B$3,3,3)&gt;EOMONTH(DATE($B$3,3,1),0),NETWORKDAYS.INTL(DATE($B$3,3,3),DATE($B$3,3,3),1,'Non-working days'!$A$6:$A$45)=0),"",IF(COUNTIFS('Leave log'!$A$7:$A$306,Employees!$A$30,'Leave log'!$B$7:$B$306,"&lt;="&amp;DATE($B$3,3,3),'Leave log'!$C$7:$C$306,"&gt;="&amp;DATE($B$3,3,3),'Leave log'!$F$7:$F$306,"Approved")&gt;0,"A",""))="A","A",IF(OR(DATE($B$3,3,3)&gt;EOMONTH(DATE($B$3,3,1),0),NETWORKDAYS.INTL(DATE($B$3,3,3),DATE($B$3,3,3),1,'Non-working days'!$A$6:$A$45)=0),"",IF(COUNTIFS('Leave log'!$A$7:$A$306,Employees!$A$30,'Leave log'!$B$7:$B$306,"&lt;="&amp;DATE($B$3,3,3),'Leave log'!$C$7:$C$306,"&gt;="&amp;DATE($B$3,3,3),'Leave log'!$F$7:$F$306,"Pending")&gt;0,"P",""))))</f>
        <v/>
      </c>
      <c r="E99" s="23" t="str">
        <f>IF(A99="","",IF(IF(OR(DATE($B$3,3,4)&gt;EOMONTH(DATE($B$3,3,1),0),NETWORKDAYS.INTL(DATE($B$3,3,4),DATE($B$3,3,4),1,'Non-working days'!$A$6:$A$45)=0),"",IF(COUNTIFS('Leave log'!$A$7:$A$306,Employees!$A$30,'Leave log'!$B$7:$B$306,"&lt;="&amp;DATE($B$3,3,4),'Leave log'!$C$7:$C$306,"&gt;="&amp;DATE($B$3,3,4),'Leave log'!$F$7:$F$306,"Approved")&gt;0,"A",""))="A","A",IF(OR(DATE($B$3,3,4)&gt;EOMONTH(DATE($B$3,3,1),0),NETWORKDAYS.INTL(DATE($B$3,3,4),DATE($B$3,3,4),1,'Non-working days'!$A$6:$A$45)=0),"",IF(COUNTIFS('Leave log'!$A$7:$A$306,Employees!$A$30,'Leave log'!$B$7:$B$306,"&lt;="&amp;DATE($B$3,3,4),'Leave log'!$C$7:$C$306,"&gt;="&amp;DATE($B$3,3,4),'Leave log'!$F$7:$F$306,"Pending")&gt;0,"P",""))))</f>
        <v/>
      </c>
      <c r="F99" s="23" t="str">
        <f>IF(A99="","",IF(IF(OR(DATE($B$3,3,5)&gt;EOMONTH(DATE($B$3,3,1),0),NETWORKDAYS.INTL(DATE($B$3,3,5),DATE($B$3,3,5),1,'Non-working days'!$A$6:$A$45)=0),"",IF(COUNTIFS('Leave log'!$A$7:$A$306,Employees!$A$30,'Leave log'!$B$7:$B$306,"&lt;="&amp;DATE($B$3,3,5),'Leave log'!$C$7:$C$306,"&gt;="&amp;DATE($B$3,3,5),'Leave log'!$F$7:$F$306,"Approved")&gt;0,"A",""))="A","A",IF(OR(DATE($B$3,3,5)&gt;EOMONTH(DATE($B$3,3,1),0),NETWORKDAYS.INTL(DATE($B$3,3,5),DATE($B$3,3,5),1,'Non-working days'!$A$6:$A$45)=0),"",IF(COUNTIFS('Leave log'!$A$7:$A$306,Employees!$A$30,'Leave log'!$B$7:$B$306,"&lt;="&amp;DATE($B$3,3,5),'Leave log'!$C$7:$C$306,"&gt;="&amp;DATE($B$3,3,5),'Leave log'!$F$7:$F$306,"Pending")&gt;0,"P",""))))</f>
        <v/>
      </c>
      <c r="G99" s="23" t="str">
        <f>IF(A99="","",IF(IF(OR(DATE($B$3,3,6)&gt;EOMONTH(DATE($B$3,3,1),0),NETWORKDAYS.INTL(DATE($B$3,3,6),DATE($B$3,3,6),1,'Non-working days'!$A$6:$A$45)=0),"",IF(COUNTIFS('Leave log'!$A$7:$A$306,Employees!$A$30,'Leave log'!$B$7:$B$306,"&lt;="&amp;DATE($B$3,3,6),'Leave log'!$C$7:$C$306,"&gt;="&amp;DATE($B$3,3,6),'Leave log'!$F$7:$F$306,"Approved")&gt;0,"A",""))="A","A",IF(OR(DATE($B$3,3,6)&gt;EOMONTH(DATE($B$3,3,1),0),NETWORKDAYS.INTL(DATE($B$3,3,6),DATE($B$3,3,6),1,'Non-working days'!$A$6:$A$45)=0),"",IF(COUNTIFS('Leave log'!$A$7:$A$306,Employees!$A$30,'Leave log'!$B$7:$B$306,"&lt;="&amp;DATE($B$3,3,6),'Leave log'!$C$7:$C$306,"&gt;="&amp;DATE($B$3,3,6),'Leave log'!$F$7:$F$306,"Pending")&gt;0,"P",""))))</f>
        <v/>
      </c>
      <c r="H99" s="23" t="str">
        <f>IF(A99="","",IF(IF(OR(DATE($B$3,3,7)&gt;EOMONTH(DATE($B$3,3,1),0),NETWORKDAYS.INTL(DATE($B$3,3,7),DATE($B$3,3,7),1,'Non-working days'!$A$6:$A$45)=0),"",IF(COUNTIFS('Leave log'!$A$7:$A$306,Employees!$A$30,'Leave log'!$B$7:$B$306,"&lt;="&amp;DATE($B$3,3,7),'Leave log'!$C$7:$C$306,"&gt;="&amp;DATE($B$3,3,7),'Leave log'!$F$7:$F$306,"Approved")&gt;0,"A",""))="A","A",IF(OR(DATE($B$3,3,7)&gt;EOMONTH(DATE($B$3,3,1),0),NETWORKDAYS.INTL(DATE($B$3,3,7),DATE($B$3,3,7),1,'Non-working days'!$A$6:$A$45)=0),"",IF(COUNTIFS('Leave log'!$A$7:$A$306,Employees!$A$30,'Leave log'!$B$7:$B$306,"&lt;="&amp;DATE($B$3,3,7),'Leave log'!$C$7:$C$306,"&gt;="&amp;DATE($B$3,3,7),'Leave log'!$F$7:$F$306,"Pending")&gt;0,"P",""))))</f>
        <v/>
      </c>
      <c r="I99" s="23" t="str">
        <f>IF(A99="","",IF(IF(OR(DATE($B$3,3,8)&gt;EOMONTH(DATE($B$3,3,1),0),NETWORKDAYS.INTL(DATE($B$3,3,8),DATE($B$3,3,8),1,'Non-working days'!$A$6:$A$45)=0),"",IF(COUNTIFS('Leave log'!$A$7:$A$306,Employees!$A$30,'Leave log'!$B$7:$B$306,"&lt;="&amp;DATE($B$3,3,8),'Leave log'!$C$7:$C$306,"&gt;="&amp;DATE($B$3,3,8),'Leave log'!$F$7:$F$306,"Approved")&gt;0,"A",""))="A","A",IF(OR(DATE($B$3,3,8)&gt;EOMONTH(DATE($B$3,3,1),0),NETWORKDAYS.INTL(DATE($B$3,3,8),DATE($B$3,3,8),1,'Non-working days'!$A$6:$A$45)=0),"",IF(COUNTIFS('Leave log'!$A$7:$A$306,Employees!$A$30,'Leave log'!$B$7:$B$306,"&lt;="&amp;DATE($B$3,3,8),'Leave log'!$C$7:$C$306,"&gt;="&amp;DATE($B$3,3,8),'Leave log'!$F$7:$F$306,"Pending")&gt;0,"P",""))))</f>
        <v/>
      </c>
      <c r="J99" s="23" t="str">
        <f>IF(A99="","",IF(IF(OR(DATE($B$3,3,9)&gt;EOMONTH(DATE($B$3,3,1),0),NETWORKDAYS.INTL(DATE($B$3,3,9),DATE($B$3,3,9),1,'Non-working days'!$A$6:$A$45)=0),"",IF(COUNTIFS('Leave log'!$A$7:$A$306,Employees!$A$30,'Leave log'!$B$7:$B$306,"&lt;="&amp;DATE($B$3,3,9),'Leave log'!$C$7:$C$306,"&gt;="&amp;DATE($B$3,3,9),'Leave log'!$F$7:$F$306,"Approved")&gt;0,"A",""))="A","A",IF(OR(DATE($B$3,3,9)&gt;EOMONTH(DATE($B$3,3,1),0),NETWORKDAYS.INTL(DATE($B$3,3,9),DATE($B$3,3,9),1,'Non-working days'!$A$6:$A$45)=0),"",IF(COUNTIFS('Leave log'!$A$7:$A$306,Employees!$A$30,'Leave log'!$B$7:$B$306,"&lt;="&amp;DATE($B$3,3,9),'Leave log'!$C$7:$C$306,"&gt;="&amp;DATE($B$3,3,9),'Leave log'!$F$7:$F$306,"Pending")&gt;0,"P",""))))</f>
        <v/>
      </c>
      <c r="K99" s="23" t="str">
        <f>IF(A99="","",IF(IF(OR(DATE($B$3,3,10)&gt;EOMONTH(DATE($B$3,3,1),0),NETWORKDAYS.INTL(DATE($B$3,3,10),DATE($B$3,3,10),1,'Non-working days'!$A$6:$A$45)=0),"",IF(COUNTIFS('Leave log'!$A$7:$A$306,Employees!$A$30,'Leave log'!$B$7:$B$306,"&lt;="&amp;DATE($B$3,3,10),'Leave log'!$C$7:$C$306,"&gt;="&amp;DATE($B$3,3,10),'Leave log'!$F$7:$F$306,"Approved")&gt;0,"A",""))="A","A",IF(OR(DATE($B$3,3,10)&gt;EOMONTH(DATE($B$3,3,1),0),NETWORKDAYS.INTL(DATE($B$3,3,10),DATE($B$3,3,10),1,'Non-working days'!$A$6:$A$45)=0),"",IF(COUNTIFS('Leave log'!$A$7:$A$306,Employees!$A$30,'Leave log'!$B$7:$B$306,"&lt;="&amp;DATE($B$3,3,10),'Leave log'!$C$7:$C$306,"&gt;="&amp;DATE($B$3,3,10),'Leave log'!$F$7:$F$306,"Pending")&gt;0,"P",""))))</f>
        <v/>
      </c>
      <c r="L99" s="23" t="str">
        <f>IF(A99="","",IF(IF(OR(DATE($B$3,3,11)&gt;EOMONTH(DATE($B$3,3,1),0),NETWORKDAYS.INTL(DATE($B$3,3,11),DATE($B$3,3,11),1,'Non-working days'!$A$6:$A$45)=0),"",IF(COUNTIFS('Leave log'!$A$7:$A$306,Employees!$A$30,'Leave log'!$B$7:$B$306,"&lt;="&amp;DATE($B$3,3,11),'Leave log'!$C$7:$C$306,"&gt;="&amp;DATE($B$3,3,11),'Leave log'!$F$7:$F$306,"Approved")&gt;0,"A",""))="A","A",IF(OR(DATE($B$3,3,11)&gt;EOMONTH(DATE($B$3,3,1),0),NETWORKDAYS.INTL(DATE($B$3,3,11),DATE($B$3,3,11),1,'Non-working days'!$A$6:$A$45)=0),"",IF(COUNTIFS('Leave log'!$A$7:$A$306,Employees!$A$30,'Leave log'!$B$7:$B$306,"&lt;="&amp;DATE($B$3,3,11),'Leave log'!$C$7:$C$306,"&gt;="&amp;DATE($B$3,3,11),'Leave log'!$F$7:$F$306,"Pending")&gt;0,"P",""))))</f>
        <v/>
      </c>
      <c r="M99" s="23" t="str">
        <f>IF(A99="","",IF(IF(OR(DATE($B$3,3,12)&gt;EOMONTH(DATE($B$3,3,1),0),NETWORKDAYS.INTL(DATE($B$3,3,12),DATE($B$3,3,12),1,'Non-working days'!$A$6:$A$45)=0),"",IF(COUNTIFS('Leave log'!$A$7:$A$306,Employees!$A$30,'Leave log'!$B$7:$B$306,"&lt;="&amp;DATE($B$3,3,12),'Leave log'!$C$7:$C$306,"&gt;="&amp;DATE($B$3,3,12),'Leave log'!$F$7:$F$306,"Approved")&gt;0,"A",""))="A","A",IF(OR(DATE($B$3,3,12)&gt;EOMONTH(DATE($B$3,3,1),0),NETWORKDAYS.INTL(DATE($B$3,3,12),DATE($B$3,3,12),1,'Non-working days'!$A$6:$A$45)=0),"",IF(COUNTIFS('Leave log'!$A$7:$A$306,Employees!$A$30,'Leave log'!$B$7:$B$306,"&lt;="&amp;DATE($B$3,3,12),'Leave log'!$C$7:$C$306,"&gt;="&amp;DATE($B$3,3,12),'Leave log'!$F$7:$F$306,"Pending")&gt;0,"P",""))))</f>
        <v/>
      </c>
      <c r="N99" s="23" t="str">
        <f>IF(A99="","",IF(IF(OR(DATE($B$3,3,13)&gt;EOMONTH(DATE($B$3,3,1),0),NETWORKDAYS.INTL(DATE($B$3,3,13),DATE($B$3,3,13),1,'Non-working days'!$A$6:$A$45)=0),"",IF(COUNTIFS('Leave log'!$A$7:$A$306,Employees!$A$30,'Leave log'!$B$7:$B$306,"&lt;="&amp;DATE($B$3,3,13),'Leave log'!$C$7:$C$306,"&gt;="&amp;DATE($B$3,3,13),'Leave log'!$F$7:$F$306,"Approved")&gt;0,"A",""))="A","A",IF(OR(DATE($B$3,3,13)&gt;EOMONTH(DATE($B$3,3,1),0),NETWORKDAYS.INTL(DATE($B$3,3,13),DATE($B$3,3,13),1,'Non-working days'!$A$6:$A$45)=0),"",IF(COUNTIFS('Leave log'!$A$7:$A$306,Employees!$A$30,'Leave log'!$B$7:$B$306,"&lt;="&amp;DATE($B$3,3,13),'Leave log'!$C$7:$C$306,"&gt;="&amp;DATE($B$3,3,13),'Leave log'!$F$7:$F$306,"Pending")&gt;0,"P",""))))</f>
        <v/>
      </c>
      <c r="O99" s="23" t="str">
        <f>IF(A99="","",IF(IF(OR(DATE($B$3,3,14)&gt;EOMONTH(DATE($B$3,3,1),0),NETWORKDAYS.INTL(DATE($B$3,3,14),DATE($B$3,3,14),1,'Non-working days'!$A$6:$A$45)=0),"",IF(COUNTIFS('Leave log'!$A$7:$A$306,Employees!$A$30,'Leave log'!$B$7:$B$306,"&lt;="&amp;DATE($B$3,3,14),'Leave log'!$C$7:$C$306,"&gt;="&amp;DATE($B$3,3,14),'Leave log'!$F$7:$F$306,"Approved")&gt;0,"A",""))="A","A",IF(OR(DATE($B$3,3,14)&gt;EOMONTH(DATE($B$3,3,1),0),NETWORKDAYS.INTL(DATE($B$3,3,14),DATE($B$3,3,14),1,'Non-working days'!$A$6:$A$45)=0),"",IF(COUNTIFS('Leave log'!$A$7:$A$306,Employees!$A$30,'Leave log'!$B$7:$B$306,"&lt;="&amp;DATE($B$3,3,14),'Leave log'!$C$7:$C$306,"&gt;="&amp;DATE($B$3,3,14),'Leave log'!$F$7:$F$306,"Pending")&gt;0,"P",""))))</f>
        <v/>
      </c>
      <c r="P99" s="23" t="str">
        <f>IF(A99="","",IF(IF(OR(DATE($B$3,3,15)&gt;EOMONTH(DATE($B$3,3,1),0),NETWORKDAYS.INTL(DATE($B$3,3,15),DATE($B$3,3,15),1,'Non-working days'!$A$6:$A$45)=0),"",IF(COUNTIFS('Leave log'!$A$7:$A$306,Employees!$A$30,'Leave log'!$B$7:$B$306,"&lt;="&amp;DATE($B$3,3,15),'Leave log'!$C$7:$C$306,"&gt;="&amp;DATE($B$3,3,15),'Leave log'!$F$7:$F$306,"Approved")&gt;0,"A",""))="A","A",IF(OR(DATE($B$3,3,15)&gt;EOMONTH(DATE($B$3,3,1),0),NETWORKDAYS.INTL(DATE($B$3,3,15),DATE($B$3,3,15),1,'Non-working days'!$A$6:$A$45)=0),"",IF(COUNTIFS('Leave log'!$A$7:$A$306,Employees!$A$30,'Leave log'!$B$7:$B$306,"&lt;="&amp;DATE($B$3,3,15),'Leave log'!$C$7:$C$306,"&gt;="&amp;DATE($B$3,3,15),'Leave log'!$F$7:$F$306,"Pending")&gt;0,"P",""))))</f>
        <v/>
      </c>
      <c r="Q99" s="23" t="str">
        <f>IF(A99="","",IF(IF(OR(DATE($B$3,3,16)&gt;EOMONTH(DATE($B$3,3,1),0),NETWORKDAYS.INTL(DATE($B$3,3,16),DATE($B$3,3,16),1,'Non-working days'!$A$6:$A$45)=0),"",IF(COUNTIFS('Leave log'!$A$7:$A$306,Employees!$A$30,'Leave log'!$B$7:$B$306,"&lt;="&amp;DATE($B$3,3,16),'Leave log'!$C$7:$C$306,"&gt;="&amp;DATE($B$3,3,16),'Leave log'!$F$7:$F$306,"Approved")&gt;0,"A",""))="A","A",IF(OR(DATE($B$3,3,16)&gt;EOMONTH(DATE($B$3,3,1),0),NETWORKDAYS.INTL(DATE($B$3,3,16),DATE($B$3,3,16),1,'Non-working days'!$A$6:$A$45)=0),"",IF(COUNTIFS('Leave log'!$A$7:$A$306,Employees!$A$30,'Leave log'!$B$7:$B$306,"&lt;="&amp;DATE($B$3,3,16),'Leave log'!$C$7:$C$306,"&gt;="&amp;DATE($B$3,3,16),'Leave log'!$F$7:$F$306,"Pending")&gt;0,"P",""))))</f>
        <v/>
      </c>
      <c r="R99" s="23" t="str">
        <f>IF(A99="","",IF(IF(OR(DATE($B$3,3,17)&gt;EOMONTH(DATE($B$3,3,1),0),NETWORKDAYS.INTL(DATE($B$3,3,17),DATE($B$3,3,17),1,'Non-working days'!$A$6:$A$45)=0),"",IF(COUNTIFS('Leave log'!$A$7:$A$306,Employees!$A$30,'Leave log'!$B$7:$B$306,"&lt;="&amp;DATE($B$3,3,17),'Leave log'!$C$7:$C$306,"&gt;="&amp;DATE($B$3,3,17),'Leave log'!$F$7:$F$306,"Approved")&gt;0,"A",""))="A","A",IF(OR(DATE($B$3,3,17)&gt;EOMONTH(DATE($B$3,3,1),0),NETWORKDAYS.INTL(DATE($B$3,3,17),DATE($B$3,3,17),1,'Non-working days'!$A$6:$A$45)=0),"",IF(COUNTIFS('Leave log'!$A$7:$A$306,Employees!$A$30,'Leave log'!$B$7:$B$306,"&lt;="&amp;DATE($B$3,3,17),'Leave log'!$C$7:$C$306,"&gt;="&amp;DATE($B$3,3,17),'Leave log'!$F$7:$F$306,"Pending")&gt;0,"P",""))))</f>
        <v/>
      </c>
      <c r="S99" s="23" t="str">
        <f>IF(A99="","",IF(IF(OR(DATE($B$3,3,18)&gt;EOMONTH(DATE($B$3,3,1),0),NETWORKDAYS.INTL(DATE($B$3,3,18),DATE($B$3,3,18),1,'Non-working days'!$A$6:$A$45)=0),"",IF(COUNTIFS('Leave log'!$A$7:$A$306,Employees!$A$30,'Leave log'!$B$7:$B$306,"&lt;="&amp;DATE($B$3,3,18),'Leave log'!$C$7:$C$306,"&gt;="&amp;DATE($B$3,3,18),'Leave log'!$F$7:$F$306,"Approved")&gt;0,"A",""))="A","A",IF(OR(DATE($B$3,3,18)&gt;EOMONTH(DATE($B$3,3,1),0),NETWORKDAYS.INTL(DATE($B$3,3,18),DATE($B$3,3,18),1,'Non-working days'!$A$6:$A$45)=0),"",IF(COUNTIFS('Leave log'!$A$7:$A$306,Employees!$A$30,'Leave log'!$B$7:$B$306,"&lt;="&amp;DATE($B$3,3,18),'Leave log'!$C$7:$C$306,"&gt;="&amp;DATE($B$3,3,18),'Leave log'!$F$7:$F$306,"Pending")&gt;0,"P",""))))</f>
        <v/>
      </c>
      <c r="T99" s="23" t="str">
        <f>IF(A99="","",IF(IF(OR(DATE($B$3,3,19)&gt;EOMONTH(DATE($B$3,3,1),0),NETWORKDAYS.INTL(DATE($B$3,3,19),DATE($B$3,3,19),1,'Non-working days'!$A$6:$A$45)=0),"",IF(COUNTIFS('Leave log'!$A$7:$A$306,Employees!$A$30,'Leave log'!$B$7:$B$306,"&lt;="&amp;DATE($B$3,3,19),'Leave log'!$C$7:$C$306,"&gt;="&amp;DATE($B$3,3,19),'Leave log'!$F$7:$F$306,"Approved")&gt;0,"A",""))="A","A",IF(OR(DATE($B$3,3,19)&gt;EOMONTH(DATE($B$3,3,1),0),NETWORKDAYS.INTL(DATE($B$3,3,19),DATE($B$3,3,19),1,'Non-working days'!$A$6:$A$45)=0),"",IF(COUNTIFS('Leave log'!$A$7:$A$306,Employees!$A$30,'Leave log'!$B$7:$B$306,"&lt;="&amp;DATE($B$3,3,19),'Leave log'!$C$7:$C$306,"&gt;="&amp;DATE($B$3,3,19),'Leave log'!$F$7:$F$306,"Pending")&gt;0,"P",""))))</f>
        <v/>
      </c>
      <c r="U99" s="23" t="str">
        <f>IF(A99="","",IF(IF(OR(DATE($B$3,3,20)&gt;EOMONTH(DATE($B$3,3,1),0),NETWORKDAYS.INTL(DATE($B$3,3,20),DATE($B$3,3,20),1,'Non-working days'!$A$6:$A$45)=0),"",IF(COUNTIFS('Leave log'!$A$7:$A$306,Employees!$A$30,'Leave log'!$B$7:$B$306,"&lt;="&amp;DATE($B$3,3,20),'Leave log'!$C$7:$C$306,"&gt;="&amp;DATE($B$3,3,20),'Leave log'!$F$7:$F$306,"Approved")&gt;0,"A",""))="A","A",IF(OR(DATE($B$3,3,20)&gt;EOMONTH(DATE($B$3,3,1),0),NETWORKDAYS.INTL(DATE($B$3,3,20),DATE($B$3,3,20),1,'Non-working days'!$A$6:$A$45)=0),"",IF(COUNTIFS('Leave log'!$A$7:$A$306,Employees!$A$30,'Leave log'!$B$7:$B$306,"&lt;="&amp;DATE($B$3,3,20),'Leave log'!$C$7:$C$306,"&gt;="&amp;DATE($B$3,3,20),'Leave log'!$F$7:$F$306,"Pending")&gt;0,"P",""))))</f>
        <v/>
      </c>
      <c r="V99" s="23" t="str">
        <f>IF(A99="","",IF(IF(OR(DATE($B$3,3,21)&gt;EOMONTH(DATE($B$3,3,1),0),NETWORKDAYS.INTL(DATE($B$3,3,21),DATE($B$3,3,21),1,'Non-working days'!$A$6:$A$45)=0),"",IF(COUNTIFS('Leave log'!$A$7:$A$306,Employees!$A$30,'Leave log'!$B$7:$B$306,"&lt;="&amp;DATE($B$3,3,21),'Leave log'!$C$7:$C$306,"&gt;="&amp;DATE($B$3,3,21),'Leave log'!$F$7:$F$306,"Approved")&gt;0,"A",""))="A","A",IF(OR(DATE($B$3,3,21)&gt;EOMONTH(DATE($B$3,3,1),0),NETWORKDAYS.INTL(DATE($B$3,3,21),DATE($B$3,3,21),1,'Non-working days'!$A$6:$A$45)=0),"",IF(COUNTIFS('Leave log'!$A$7:$A$306,Employees!$A$30,'Leave log'!$B$7:$B$306,"&lt;="&amp;DATE($B$3,3,21),'Leave log'!$C$7:$C$306,"&gt;="&amp;DATE($B$3,3,21),'Leave log'!$F$7:$F$306,"Pending")&gt;0,"P",""))))</f>
        <v/>
      </c>
      <c r="W99" s="23" t="str">
        <f>IF(A99="","",IF(IF(OR(DATE($B$3,3,22)&gt;EOMONTH(DATE($B$3,3,1),0),NETWORKDAYS.INTL(DATE($B$3,3,22),DATE($B$3,3,22),1,'Non-working days'!$A$6:$A$45)=0),"",IF(COUNTIFS('Leave log'!$A$7:$A$306,Employees!$A$30,'Leave log'!$B$7:$B$306,"&lt;="&amp;DATE($B$3,3,22),'Leave log'!$C$7:$C$306,"&gt;="&amp;DATE($B$3,3,22),'Leave log'!$F$7:$F$306,"Approved")&gt;0,"A",""))="A","A",IF(OR(DATE($B$3,3,22)&gt;EOMONTH(DATE($B$3,3,1),0),NETWORKDAYS.INTL(DATE($B$3,3,22),DATE($B$3,3,22),1,'Non-working days'!$A$6:$A$45)=0),"",IF(COUNTIFS('Leave log'!$A$7:$A$306,Employees!$A$30,'Leave log'!$B$7:$B$306,"&lt;="&amp;DATE($B$3,3,22),'Leave log'!$C$7:$C$306,"&gt;="&amp;DATE($B$3,3,22),'Leave log'!$F$7:$F$306,"Pending")&gt;0,"P",""))))</f>
        <v/>
      </c>
      <c r="X99" s="23" t="str">
        <f>IF(A99="","",IF(IF(OR(DATE($B$3,3,23)&gt;EOMONTH(DATE($B$3,3,1),0),NETWORKDAYS.INTL(DATE($B$3,3,23),DATE($B$3,3,23),1,'Non-working days'!$A$6:$A$45)=0),"",IF(COUNTIFS('Leave log'!$A$7:$A$306,Employees!$A$30,'Leave log'!$B$7:$B$306,"&lt;="&amp;DATE($B$3,3,23),'Leave log'!$C$7:$C$306,"&gt;="&amp;DATE($B$3,3,23),'Leave log'!$F$7:$F$306,"Approved")&gt;0,"A",""))="A","A",IF(OR(DATE($B$3,3,23)&gt;EOMONTH(DATE($B$3,3,1),0),NETWORKDAYS.INTL(DATE($B$3,3,23),DATE($B$3,3,23),1,'Non-working days'!$A$6:$A$45)=0),"",IF(COUNTIFS('Leave log'!$A$7:$A$306,Employees!$A$30,'Leave log'!$B$7:$B$306,"&lt;="&amp;DATE($B$3,3,23),'Leave log'!$C$7:$C$306,"&gt;="&amp;DATE($B$3,3,23),'Leave log'!$F$7:$F$306,"Pending")&gt;0,"P",""))))</f>
        <v/>
      </c>
      <c r="Y99" s="23" t="str">
        <f>IF(A99="","",IF(IF(OR(DATE($B$3,3,24)&gt;EOMONTH(DATE($B$3,3,1),0),NETWORKDAYS.INTL(DATE($B$3,3,24),DATE($B$3,3,24),1,'Non-working days'!$A$6:$A$45)=0),"",IF(COUNTIFS('Leave log'!$A$7:$A$306,Employees!$A$30,'Leave log'!$B$7:$B$306,"&lt;="&amp;DATE($B$3,3,24),'Leave log'!$C$7:$C$306,"&gt;="&amp;DATE($B$3,3,24),'Leave log'!$F$7:$F$306,"Approved")&gt;0,"A",""))="A","A",IF(OR(DATE($B$3,3,24)&gt;EOMONTH(DATE($B$3,3,1),0),NETWORKDAYS.INTL(DATE($B$3,3,24),DATE($B$3,3,24),1,'Non-working days'!$A$6:$A$45)=0),"",IF(COUNTIFS('Leave log'!$A$7:$A$306,Employees!$A$30,'Leave log'!$B$7:$B$306,"&lt;="&amp;DATE($B$3,3,24),'Leave log'!$C$7:$C$306,"&gt;="&amp;DATE($B$3,3,24),'Leave log'!$F$7:$F$306,"Pending")&gt;0,"P",""))))</f>
        <v/>
      </c>
      <c r="Z99" s="23" t="str">
        <f>IF(A99="","",IF(IF(OR(DATE($B$3,3,25)&gt;EOMONTH(DATE($B$3,3,1),0),NETWORKDAYS.INTL(DATE($B$3,3,25),DATE($B$3,3,25),1,'Non-working days'!$A$6:$A$45)=0),"",IF(COUNTIFS('Leave log'!$A$7:$A$306,Employees!$A$30,'Leave log'!$B$7:$B$306,"&lt;="&amp;DATE($B$3,3,25),'Leave log'!$C$7:$C$306,"&gt;="&amp;DATE($B$3,3,25),'Leave log'!$F$7:$F$306,"Approved")&gt;0,"A",""))="A","A",IF(OR(DATE($B$3,3,25)&gt;EOMONTH(DATE($B$3,3,1),0),NETWORKDAYS.INTL(DATE($B$3,3,25),DATE($B$3,3,25),1,'Non-working days'!$A$6:$A$45)=0),"",IF(COUNTIFS('Leave log'!$A$7:$A$306,Employees!$A$30,'Leave log'!$B$7:$B$306,"&lt;="&amp;DATE($B$3,3,25),'Leave log'!$C$7:$C$306,"&gt;="&amp;DATE($B$3,3,25),'Leave log'!$F$7:$F$306,"Pending")&gt;0,"P",""))))</f>
        <v/>
      </c>
      <c r="AA99" s="23" t="str">
        <f>IF(A99="","",IF(IF(OR(DATE($B$3,3,26)&gt;EOMONTH(DATE($B$3,3,1),0),NETWORKDAYS.INTL(DATE($B$3,3,26),DATE($B$3,3,26),1,'Non-working days'!$A$6:$A$45)=0),"",IF(COUNTIFS('Leave log'!$A$7:$A$306,Employees!$A$30,'Leave log'!$B$7:$B$306,"&lt;="&amp;DATE($B$3,3,26),'Leave log'!$C$7:$C$306,"&gt;="&amp;DATE($B$3,3,26),'Leave log'!$F$7:$F$306,"Approved")&gt;0,"A",""))="A","A",IF(OR(DATE($B$3,3,26)&gt;EOMONTH(DATE($B$3,3,1),0),NETWORKDAYS.INTL(DATE($B$3,3,26),DATE($B$3,3,26),1,'Non-working days'!$A$6:$A$45)=0),"",IF(COUNTIFS('Leave log'!$A$7:$A$306,Employees!$A$30,'Leave log'!$B$7:$B$306,"&lt;="&amp;DATE($B$3,3,26),'Leave log'!$C$7:$C$306,"&gt;="&amp;DATE($B$3,3,26),'Leave log'!$F$7:$F$306,"Pending")&gt;0,"P",""))))</f>
        <v/>
      </c>
      <c r="AB99" s="23" t="str">
        <f>IF(A99="","",IF(IF(OR(DATE($B$3,3,27)&gt;EOMONTH(DATE($B$3,3,1),0),NETWORKDAYS.INTL(DATE($B$3,3,27),DATE($B$3,3,27),1,'Non-working days'!$A$6:$A$45)=0),"",IF(COUNTIFS('Leave log'!$A$7:$A$306,Employees!$A$30,'Leave log'!$B$7:$B$306,"&lt;="&amp;DATE($B$3,3,27),'Leave log'!$C$7:$C$306,"&gt;="&amp;DATE($B$3,3,27),'Leave log'!$F$7:$F$306,"Approved")&gt;0,"A",""))="A","A",IF(OR(DATE($B$3,3,27)&gt;EOMONTH(DATE($B$3,3,1),0),NETWORKDAYS.INTL(DATE($B$3,3,27),DATE($B$3,3,27),1,'Non-working days'!$A$6:$A$45)=0),"",IF(COUNTIFS('Leave log'!$A$7:$A$306,Employees!$A$30,'Leave log'!$B$7:$B$306,"&lt;="&amp;DATE($B$3,3,27),'Leave log'!$C$7:$C$306,"&gt;="&amp;DATE($B$3,3,27),'Leave log'!$F$7:$F$306,"Pending")&gt;0,"P",""))))</f>
        <v/>
      </c>
      <c r="AC99" s="23" t="str">
        <f>IF(A99="","",IF(IF(OR(DATE($B$3,3,28)&gt;EOMONTH(DATE($B$3,3,1),0),NETWORKDAYS.INTL(DATE($B$3,3,28),DATE($B$3,3,28),1,'Non-working days'!$A$6:$A$45)=0),"",IF(COUNTIFS('Leave log'!$A$7:$A$306,Employees!$A$30,'Leave log'!$B$7:$B$306,"&lt;="&amp;DATE($B$3,3,28),'Leave log'!$C$7:$C$306,"&gt;="&amp;DATE($B$3,3,28),'Leave log'!$F$7:$F$306,"Approved")&gt;0,"A",""))="A","A",IF(OR(DATE($B$3,3,28)&gt;EOMONTH(DATE($B$3,3,1),0),NETWORKDAYS.INTL(DATE($B$3,3,28),DATE($B$3,3,28),1,'Non-working days'!$A$6:$A$45)=0),"",IF(COUNTIFS('Leave log'!$A$7:$A$306,Employees!$A$30,'Leave log'!$B$7:$B$306,"&lt;="&amp;DATE($B$3,3,28),'Leave log'!$C$7:$C$306,"&gt;="&amp;DATE($B$3,3,28),'Leave log'!$F$7:$F$306,"Pending")&gt;0,"P",""))))</f>
        <v/>
      </c>
      <c r="AD99" s="23" t="str">
        <f>IF(A99="","",IF(IF(OR(DATE($B$3,3,29)&gt;EOMONTH(DATE($B$3,3,1),0),NETWORKDAYS.INTL(DATE($B$3,3,29),DATE($B$3,3,29),1,'Non-working days'!$A$6:$A$45)=0),"",IF(COUNTIFS('Leave log'!$A$7:$A$306,Employees!$A$30,'Leave log'!$B$7:$B$306,"&lt;="&amp;DATE($B$3,3,29),'Leave log'!$C$7:$C$306,"&gt;="&amp;DATE($B$3,3,29),'Leave log'!$F$7:$F$306,"Approved")&gt;0,"A",""))="A","A",IF(OR(DATE($B$3,3,29)&gt;EOMONTH(DATE($B$3,3,1),0),NETWORKDAYS.INTL(DATE($B$3,3,29),DATE($B$3,3,29),1,'Non-working days'!$A$6:$A$45)=0),"",IF(COUNTIFS('Leave log'!$A$7:$A$306,Employees!$A$30,'Leave log'!$B$7:$B$306,"&lt;="&amp;DATE($B$3,3,29),'Leave log'!$C$7:$C$306,"&gt;="&amp;DATE($B$3,3,29),'Leave log'!$F$7:$F$306,"Pending")&gt;0,"P",""))))</f>
        <v/>
      </c>
      <c r="AE99" s="23" t="str">
        <f>IF(A99="","",IF(IF(OR(DATE($B$3,3,30)&gt;EOMONTH(DATE($B$3,3,1),0),NETWORKDAYS.INTL(DATE($B$3,3,30),DATE($B$3,3,30),1,'Non-working days'!$A$6:$A$45)=0),"",IF(COUNTIFS('Leave log'!$A$7:$A$306,Employees!$A$30,'Leave log'!$B$7:$B$306,"&lt;="&amp;DATE($B$3,3,30),'Leave log'!$C$7:$C$306,"&gt;="&amp;DATE($B$3,3,30),'Leave log'!$F$7:$F$306,"Approved")&gt;0,"A",""))="A","A",IF(OR(DATE($B$3,3,30)&gt;EOMONTH(DATE($B$3,3,1),0),NETWORKDAYS.INTL(DATE($B$3,3,30),DATE($B$3,3,30),1,'Non-working days'!$A$6:$A$45)=0),"",IF(COUNTIFS('Leave log'!$A$7:$A$306,Employees!$A$30,'Leave log'!$B$7:$B$306,"&lt;="&amp;DATE($B$3,3,30),'Leave log'!$C$7:$C$306,"&gt;="&amp;DATE($B$3,3,30),'Leave log'!$F$7:$F$306,"Pending")&gt;0,"P",""))))</f>
        <v/>
      </c>
      <c r="AF99" s="23" t="str">
        <f>IF(A99="","",IF(IF(OR(DATE($B$3,3,31)&gt;EOMONTH(DATE($B$3,3,1),0),NETWORKDAYS.INTL(DATE($B$3,3,31),DATE($B$3,3,31),1,'Non-working days'!$A$6:$A$45)=0),"",IF(COUNTIFS('Leave log'!$A$7:$A$306,Employees!$A$30,'Leave log'!$B$7:$B$306,"&lt;="&amp;DATE($B$3,3,31),'Leave log'!$C$7:$C$306,"&gt;="&amp;DATE($B$3,3,31),'Leave log'!$F$7:$F$306,"Approved")&gt;0,"A",""))="A","A",IF(OR(DATE($B$3,3,31)&gt;EOMONTH(DATE($B$3,3,1),0),NETWORKDAYS.INTL(DATE($B$3,3,31),DATE($B$3,3,31),1,'Non-working days'!$A$6:$A$45)=0),"",IF(COUNTIFS('Leave log'!$A$7:$A$306,Employees!$A$30,'Leave log'!$B$7:$B$306,"&lt;="&amp;DATE($B$3,3,31),'Leave log'!$C$7:$C$306,"&gt;="&amp;DATE($B$3,3,31),'Leave log'!$F$7:$F$306,"Pending")&gt;0,"P",""))))</f>
        <v/>
      </c>
    </row>
    <row r="100" spans="1:32" ht="18" customHeight="1" x14ac:dyDescent="0.3">
      <c r="A100" s="22" t="str">
        <f>IF(Employees!F31="Yes",Employees!B31,"")</f>
        <v/>
      </c>
      <c r="B100" s="23" t="str">
        <f>IF(A100="","",IF(IF(OR(DATE($B$3,3,1)&gt;EOMONTH(DATE($B$3,3,1),0),NETWORKDAYS.INTL(DATE($B$3,3,1),DATE($B$3,3,1),1,'Non-working days'!$A$6:$A$45)=0),"",IF(COUNTIFS('Leave log'!$A$7:$A$306,Employees!$A$31,'Leave log'!$B$7:$B$306,"&lt;="&amp;DATE($B$3,3,1),'Leave log'!$C$7:$C$306,"&gt;="&amp;DATE($B$3,3,1),'Leave log'!$F$7:$F$306,"Approved")&gt;0,"A",""))="A","A",IF(OR(DATE($B$3,3,1)&gt;EOMONTH(DATE($B$3,3,1),0),NETWORKDAYS.INTL(DATE($B$3,3,1),DATE($B$3,3,1),1,'Non-working days'!$A$6:$A$45)=0),"",IF(COUNTIFS('Leave log'!$A$7:$A$306,Employees!$A$31,'Leave log'!$B$7:$B$306,"&lt;="&amp;DATE($B$3,3,1),'Leave log'!$C$7:$C$306,"&gt;="&amp;DATE($B$3,3,1),'Leave log'!$F$7:$F$306,"Pending")&gt;0,"P",""))))</f>
        <v/>
      </c>
      <c r="C100" s="23" t="str">
        <f>IF(A100="","",IF(IF(OR(DATE($B$3,3,2)&gt;EOMONTH(DATE($B$3,3,1),0),NETWORKDAYS.INTL(DATE($B$3,3,2),DATE($B$3,3,2),1,'Non-working days'!$A$6:$A$45)=0),"",IF(COUNTIFS('Leave log'!$A$7:$A$306,Employees!$A$31,'Leave log'!$B$7:$B$306,"&lt;="&amp;DATE($B$3,3,2),'Leave log'!$C$7:$C$306,"&gt;="&amp;DATE($B$3,3,2),'Leave log'!$F$7:$F$306,"Approved")&gt;0,"A",""))="A","A",IF(OR(DATE($B$3,3,2)&gt;EOMONTH(DATE($B$3,3,1),0),NETWORKDAYS.INTL(DATE($B$3,3,2),DATE($B$3,3,2),1,'Non-working days'!$A$6:$A$45)=0),"",IF(COUNTIFS('Leave log'!$A$7:$A$306,Employees!$A$31,'Leave log'!$B$7:$B$306,"&lt;="&amp;DATE($B$3,3,2),'Leave log'!$C$7:$C$306,"&gt;="&amp;DATE($B$3,3,2),'Leave log'!$F$7:$F$306,"Pending")&gt;0,"P",""))))</f>
        <v/>
      </c>
      <c r="D100" s="23" t="str">
        <f>IF(A100="","",IF(IF(OR(DATE($B$3,3,3)&gt;EOMONTH(DATE($B$3,3,1),0),NETWORKDAYS.INTL(DATE($B$3,3,3),DATE($B$3,3,3),1,'Non-working days'!$A$6:$A$45)=0),"",IF(COUNTIFS('Leave log'!$A$7:$A$306,Employees!$A$31,'Leave log'!$B$7:$B$306,"&lt;="&amp;DATE($B$3,3,3),'Leave log'!$C$7:$C$306,"&gt;="&amp;DATE($B$3,3,3),'Leave log'!$F$7:$F$306,"Approved")&gt;0,"A",""))="A","A",IF(OR(DATE($B$3,3,3)&gt;EOMONTH(DATE($B$3,3,1),0),NETWORKDAYS.INTL(DATE($B$3,3,3),DATE($B$3,3,3),1,'Non-working days'!$A$6:$A$45)=0),"",IF(COUNTIFS('Leave log'!$A$7:$A$306,Employees!$A$31,'Leave log'!$B$7:$B$306,"&lt;="&amp;DATE($B$3,3,3),'Leave log'!$C$7:$C$306,"&gt;="&amp;DATE($B$3,3,3),'Leave log'!$F$7:$F$306,"Pending")&gt;0,"P",""))))</f>
        <v/>
      </c>
      <c r="E100" s="23" t="str">
        <f>IF(A100="","",IF(IF(OR(DATE($B$3,3,4)&gt;EOMONTH(DATE($B$3,3,1),0),NETWORKDAYS.INTL(DATE($B$3,3,4),DATE($B$3,3,4),1,'Non-working days'!$A$6:$A$45)=0),"",IF(COUNTIFS('Leave log'!$A$7:$A$306,Employees!$A$31,'Leave log'!$B$7:$B$306,"&lt;="&amp;DATE($B$3,3,4),'Leave log'!$C$7:$C$306,"&gt;="&amp;DATE($B$3,3,4),'Leave log'!$F$7:$F$306,"Approved")&gt;0,"A",""))="A","A",IF(OR(DATE($B$3,3,4)&gt;EOMONTH(DATE($B$3,3,1),0),NETWORKDAYS.INTL(DATE($B$3,3,4),DATE($B$3,3,4),1,'Non-working days'!$A$6:$A$45)=0),"",IF(COUNTIFS('Leave log'!$A$7:$A$306,Employees!$A$31,'Leave log'!$B$7:$B$306,"&lt;="&amp;DATE($B$3,3,4),'Leave log'!$C$7:$C$306,"&gt;="&amp;DATE($B$3,3,4),'Leave log'!$F$7:$F$306,"Pending")&gt;0,"P",""))))</f>
        <v/>
      </c>
      <c r="F100" s="23" t="str">
        <f>IF(A100="","",IF(IF(OR(DATE($B$3,3,5)&gt;EOMONTH(DATE($B$3,3,1),0),NETWORKDAYS.INTL(DATE($B$3,3,5),DATE($B$3,3,5),1,'Non-working days'!$A$6:$A$45)=0),"",IF(COUNTIFS('Leave log'!$A$7:$A$306,Employees!$A$31,'Leave log'!$B$7:$B$306,"&lt;="&amp;DATE($B$3,3,5),'Leave log'!$C$7:$C$306,"&gt;="&amp;DATE($B$3,3,5),'Leave log'!$F$7:$F$306,"Approved")&gt;0,"A",""))="A","A",IF(OR(DATE($B$3,3,5)&gt;EOMONTH(DATE($B$3,3,1),0),NETWORKDAYS.INTL(DATE($B$3,3,5),DATE($B$3,3,5),1,'Non-working days'!$A$6:$A$45)=0),"",IF(COUNTIFS('Leave log'!$A$7:$A$306,Employees!$A$31,'Leave log'!$B$7:$B$306,"&lt;="&amp;DATE($B$3,3,5),'Leave log'!$C$7:$C$306,"&gt;="&amp;DATE($B$3,3,5),'Leave log'!$F$7:$F$306,"Pending")&gt;0,"P",""))))</f>
        <v/>
      </c>
      <c r="G100" s="23" t="str">
        <f>IF(A100="","",IF(IF(OR(DATE($B$3,3,6)&gt;EOMONTH(DATE($B$3,3,1),0),NETWORKDAYS.INTL(DATE($B$3,3,6),DATE($B$3,3,6),1,'Non-working days'!$A$6:$A$45)=0),"",IF(COUNTIFS('Leave log'!$A$7:$A$306,Employees!$A$31,'Leave log'!$B$7:$B$306,"&lt;="&amp;DATE($B$3,3,6),'Leave log'!$C$7:$C$306,"&gt;="&amp;DATE($B$3,3,6),'Leave log'!$F$7:$F$306,"Approved")&gt;0,"A",""))="A","A",IF(OR(DATE($B$3,3,6)&gt;EOMONTH(DATE($B$3,3,1),0),NETWORKDAYS.INTL(DATE($B$3,3,6),DATE($B$3,3,6),1,'Non-working days'!$A$6:$A$45)=0),"",IF(COUNTIFS('Leave log'!$A$7:$A$306,Employees!$A$31,'Leave log'!$B$7:$B$306,"&lt;="&amp;DATE($B$3,3,6),'Leave log'!$C$7:$C$306,"&gt;="&amp;DATE($B$3,3,6),'Leave log'!$F$7:$F$306,"Pending")&gt;0,"P",""))))</f>
        <v/>
      </c>
      <c r="H100" s="23" t="str">
        <f>IF(A100="","",IF(IF(OR(DATE($B$3,3,7)&gt;EOMONTH(DATE($B$3,3,1),0),NETWORKDAYS.INTL(DATE($B$3,3,7),DATE($B$3,3,7),1,'Non-working days'!$A$6:$A$45)=0),"",IF(COUNTIFS('Leave log'!$A$7:$A$306,Employees!$A$31,'Leave log'!$B$7:$B$306,"&lt;="&amp;DATE($B$3,3,7),'Leave log'!$C$7:$C$306,"&gt;="&amp;DATE($B$3,3,7),'Leave log'!$F$7:$F$306,"Approved")&gt;0,"A",""))="A","A",IF(OR(DATE($B$3,3,7)&gt;EOMONTH(DATE($B$3,3,1),0),NETWORKDAYS.INTL(DATE($B$3,3,7),DATE($B$3,3,7),1,'Non-working days'!$A$6:$A$45)=0),"",IF(COUNTIFS('Leave log'!$A$7:$A$306,Employees!$A$31,'Leave log'!$B$7:$B$306,"&lt;="&amp;DATE($B$3,3,7),'Leave log'!$C$7:$C$306,"&gt;="&amp;DATE($B$3,3,7),'Leave log'!$F$7:$F$306,"Pending")&gt;0,"P",""))))</f>
        <v/>
      </c>
      <c r="I100" s="23" t="str">
        <f>IF(A100="","",IF(IF(OR(DATE($B$3,3,8)&gt;EOMONTH(DATE($B$3,3,1),0),NETWORKDAYS.INTL(DATE($B$3,3,8),DATE($B$3,3,8),1,'Non-working days'!$A$6:$A$45)=0),"",IF(COUNTIFS('Leave log'!$A$7:$A$306,Employees!$A$31,'Leave log'!$B$7:$B$306,"&lt;="&amp;DATE($B$3,3,8),'Leave log'!$C$7:$C$306,"&gt;="&amp;DATE($B$3,3,8),'Leave log'!$F$7:$F$306,"Approved")&gt;0,"A",""))="A","A",IF(OR(DATE($B$3,3,8)&gt;EOMONTH(DATE($B$3,3,1),0),NETWORKDAYS.INTL(DATE($B$3,3,8),DATE($B$3,3,8),1,'Non-working days'!$A$6:$A$45)=0),"",IF(COUNTIFS('Leave log'!$A$7:$A$306,Employees!$A$31,'Leave log'!$B$7:$B$306,"&lt;="&amp;DATE($B$3,3,8),'Leave log'!$C$7:$C$306,"&gt;="&amp;DATE($B$3,3,8),'Leave log'!$F$7:$F$306,"Pending")&gt;0,"P",""))))</f>
        <v/>
      </c>
      <c r="J100" s="23" t="str">
        <f>IF(A100="","",IF(IF(OR(DATE($B$3,3,9)&gt;EOMONTH(DATE($B$3,3,1),0),NETWORKDAYS.INTL(DATE($B$3,3,9),DATE($B$3,3,9),1,'Non-working days'!$A$6:$A$45)=0),"",IF(COUNTIFS('Leave log'!$A$7:$A$306,Employees!$A$31,'Leave log'!$B$7:$B$306,"&lt;="&amp;DATE($B$3,3,9),'Leave log'!$C$7:$C$306,"&gt;="&amp;DATE($B$3,3,9),'Leave log'!$F$7:$F$306,"Approved")&gt;0,"A",""))="A","A",IF(OR(DATE($B$3,3,9)&gt;EOMONTH(DATE($B$3,3,1),0),NETWORKDAYS.INTL(DATE($B$3,3,9),DATE($B$3,3,9),1,'Non-working days'!$A$6:$A$45)=0),"",IF(COUNTIFS('Leave log'!$A$7:$A$306,Employees!$A$31,'Leave log'!$B$7:$B$306,"&lt;="&amp;DATE($B$3,3,9),'Leave log'!$C$7:$C$306,"&gt;="&amp;DATE($B$3,3,9),'Leave log'!$F$7:$F$306,"Pending")&gt;0,"P",""))))</f>
        <v/>
      </c>
      <c r="K100" s="23" t="str">
        <f>IF(A100="","",IF(IF(OR(DATE($B$3,3,10)&gt;EOMONTH(DATE($B$3,3,1),0),NETWORKDAYS.INTL(DATE($B$3,3,10),DATE($B$3,3,10),1,'Non-working days'!$A$6:$A$45)=0),"",IF(COUNTIFS('Leave log'!$A$7:$A$306,Employees!$A$31,'Leave log'!$B$7:$B$306,"&lt;="&amp;DATE($B$3,3,10),'Leave log'!$C$7:$C$306,"&gt;="&amp;DATE($B$3,3,10),'Leave log'!$F$7:$F$306,"Approved")&gt;0,"A",""))="A","A",IF(OR(DATE($B$3,3,10)&gt;EOMONTH(DATE($B$3,3,1),0),NETWORKDAYS.INTL(DATE($B$3,3,10),DATE($B$3,3,10),1,'Non-working days'!$A$6:$A$45)=0),"",IF(COUNTIFS('Leave log'!$A$7:$A$306,Employees!$A$31,'Leave log'!$B$7:$B$306,"&lt;="&amp;DATE($B$3,3,10),'Leave log'!$C$7:$C$306,"&gt;="&amp;DATE($B$3,3,10),'Leave log'!$F$7:$F$306,"Pending")&gt;0,"P",""))))</f>
        <v/>
      </c>
      <c r="L100" s="23" t="str">
        <f>IF(A100="","",IF(IF(OR(DATE($B$3,3,11)&gt;EOMONTH(DATE($B$3,3,1),0),NETWORKDAYS.INTL(DATE($B$3,3,11),DATE($B$3,3,11),1,'Non-working days'!$A$6:$A$45)=0),"",IF(COUNTIFS('Leave log'!$A$7:$A$306,Employees!$A$31,'Leave log'!$B$7:$B$306,"&lt;="&amp;DATE($B$3,3,11),'Leave log'!$C$7:$C$306,"&gt;="&amp;DATE($B$3,3,11),'Leave log'!$F$7:$F$306,"Approved")&gt;0,"A",""))="A","A",IF(OR(DATE($B$3,3,11)&gt;EOMONTH(DATE($B$3,3,1),0),NETWORKDAYS.INTL(DATE($B$3,3,11),DATE($B$3,3,11),1,'Non-working days'!$A$6:$A$45)=0),"",IF(COUNTIFS('Leave log'!$A$7:$A$306,Employees!$A$31,'Leave log'!$B$7:$B$306,"&lt;="&amp;DATE($B$3,3,11),'Leave log'!$C$7:$C$306,"&gt;="&amp;DATE($B$3,3,11),'Leave log'!$F$7:$F$306,"Pending")&gt;0,"P",""))))</f>
        <v/>
      </c>
      <c r="M100" s="23" t="str">
        <f>IF(A100="","",IF(IF(OR(DATE($B$3,3,12)&gt;EOMONTH(DATE($B$3,3,1),0),NETWORKDAYS.INTL(DATE($B$3,3,12),DATE($B$3,3,12),1,'Non-working days'!$A$6:$A$45)=0),"",IF(COUNTIFS('Leave log'!$A$7:$A$306,Employees!$A$31,'Leave log'!$B$7:$B$306,"&lt;="&amp;DATE($B$3,3,12),'Leave log'!$C$7:$C$306,"&gt;="&amp;DATE($B$3,3,12),'Leave log'!$F$7:$F$306,"Approved")&gt;0,"A",""))="A","A",IF(OR(DATE($B$3,3,12)&gt;EOMONTH(DATE($B$3,3,1),0),NETWORKDAYS.INTL(DATE($B$3,3,12),DATE($B$3,3,12),1,'Non-working days'!$A$6:$A$45)=0),"",IF(COUNTIFS('Leave log'!$A$7:$A$306,Employees!$A$31,'Leave log'!$B$7:$B$306,"&lt;="&amp;DATE($B$3,3,12),'Leave log'!$C$7:$C$306,"&gt;="&amp;DATE($B$3,3,12),'Leave log'!$F$7:$F$306,"Pending")&gt;0,"P",""))))</f>
        <v/>
      </c>
      <c r="N100" s="23" t="str">
        <f>IF(A100="","",IF(IF(OR(DATE($B$3,3,13)&gt;EOMONTH(DATE($B$3,3,1),0),NETWORKDAYS.INTL(DATE($B$3,3,13),DATE($B$3,3,13),1,'Non-working days'!$A$6:$A$45)=0),"",IF(COUNTIFS('Leave log'!$A$7:$A$306,Employees!$A$31,'Leave log'!$B$7:$B$306,"&lt;="&amp;DATE($B$3,3,13),'Leave log'!$C$7:$C$306,"&gt;="&amp;DATE($B$3,3,13),'Leave log'!$F$7:$F$306,"Approved")&gt;0,"A",""))="A","A",IF(OR(DATE($B$3,3,13)&gt;EOMONTH(DATE($B$3,3,1),0),NETWORKDAYS.INTL(DATE($B$3,3,13),DATE($B$3,3,13),1,'Non-working days'!$A$6:$A$45)=0),"",IF(COUNTIFS('Leave log'!$A$7:$A$306,Employees!$A$31,'Leave log'!$B$7:$B$306,"&lt;="&amp;DATE($B$3,3,13),'Leave log'!$C$7:$C$306,"&gt;="&amp;DATE($B$3,3,13),'Leave log'!$F$7:$F$306,"Pending")&gt;0,"P",""))))</f>
        <v/>
      </c>
      <c r="O100" s="23" t="str">
        <f>IF(A100="","",IF(IF(OR(DATE($B$3,3,14)&gt;EOMONTH(DATE($B$3,3,1),0),NETWORKDAYS.INTL(DATE($B$3,3,14),DATE($B$3,3,14),1,'Non-working days'!$A$6:$A$45)=0),"",IF(COUNTIFS('Leave log'!$A$7:$A$306,Employees!$A$31,'Leave log'!$B$7:$B$306,"&lt;="&amp;DATE($B$3,3,14),'Leave log'!$C$7:$C$306,"&gt;="&amp;DATE($B$3,3,14),'Leave log'!$F$7:$F$306,"Approved")&gt;0,"A",""))="A","A",IF(OR(DATE($B$3,3,14)&gt;EOMONTH(DATE($B$3,3,1),0),NETWORKDAYS.INTL(DATE($B$3,3,14),DATE($B$3,3,14),1,'Non-working days'!$A$6:$A$45)=0),"",IF(COUNTIFS('Leave log'!$A$7:$A$306,Employees!$A$31,'Leave log'!$B$7:$B$306,"&lt;="&amp;DATE($B$3,3,14),'Leave log'!$C$7:$C$306,"&gt;="&amp;DATE($B$3,3,14),'Leave log'!$F$7:$F$306,"Pending")&gt;0,"P",""))))</f>
        <v/>
      </c>
      <c r="P100" s="23" t="str">
        <f>IF(A100="","",IF(IF(OR(DATE($B$3,3,15)&gt;EOMONTH(DATE($B$3,3,1),0),NETWORKDAYS.INTL(DATE($B$3,3,15),DATE($B$3,3,15),1,'Non-working days'!$A$6:$A$45)=0),"",IF(COUNTIFS('Leave log'!$A$7:$A$306,Employees!$A$31,'Leave log'!$B$7:$B$306,"&lt;="&amp;DATE($B$3,3,15),'Leave log'!$C$7:$C$306,"&gt;="&amp;DATE($B$3,3,15),'Leave log'!$F$7:$F$306,"Approved")&gt;0,"A",""))="A","A",IF(OR(DATE($B$3,3,15)&gt;EOMONTH(DATE($B$3,3,1),0),NETWORKDAYS.INTL(DATE($B$3,3,15),DATE($B$3,3,15),1,'Non-working days'!$A$6:$A$45)=0),"",IF(COUNTIFS('Leave log'!$A$7:$A$306,Employees!$A$31,'Leave log'!$B$7:$B$306,"&lt;="&amp;DATE($B$3,3,15),'Leave log'!$C$7:$C$306,"&gt;="&amp;DATE($B$3,3,15),'Leave log'!$F$7:$F$306,"Pending")&gt;0,"P",""))))</f>
        <v/>
      </c>
      <c r="Q100" s="23" t="str">
        <f>IF(A100="","",IF(IF(OR(DATE($B$3,3,16)&gt;EOMONTH(DATE($B$3,3,1),0),NETWORKDAYS.INTL(DATE($B$3,3,16),DATE($B$3,3,16),1,'Non-working days'!$A$6:$A$45)=0),"",IF(COUNTIFS('Leave log'!$A$7:$A$306,Employees!$A$31,'Leave log'!$B$7:$B$306,"&lt;="&amp;DATE($B$3,3,16),'Leave log'!$C$7:$C$306,"&gt;="&amp;DATE($B$3,3,16),'Leave log'!$F$7:$F$306,"Approved")&gt;0,"A",""))="A","A",IF(OR(DATE($B$3,3,16)&gt;EOMONTH(DATE($B$3,3,1),0),NETWORKDAYS.INTL(DATE($B$3,3,16),DATE($B$3,3,16),1,'Non-working days'!$A$6:$A$45)=0),"",IF(COUNTIFS('Leave log'!$A$7:$A$306,Employees!$A$31,'Leave log'!$B$7:$B$306,"&lt;="&amp;DATE($B$3,3,16),'Leave log'!$C$7:$C$306,"&gt;="&amp;DATE($B$3,3,16),'Leave log'!$F$7:$F$306,"Pending")&gt;0,"P",""))))</f>
        <v/>
      </c>
      <c r="R100" s="23" t="str">
        <f>IF(A100="","",IF(IF(OR(DATE($B$3,3,17)&gt;EOMONTH(DATE($B$3,3,1),0),NETWORKDAYS.INTL(DATE($B$3,3,17),DATE($B$3,3,17),1,'Non-working days'!$A$6:$A$45)=0),"",IF(COUNTIFS('Leave log'!$A$7:$A$306,Employees!$A$31,'Leave log'!$B$7:$B$306,"&lt;="&amp;DATE($B$3,3,17),'Leave log'!$C$7:$C$306,"&gt;="&amp;DATE($B$3,3,17),'Leave log'!$F$7:$F$306,"Approved")&gt;0,"A",""))="A","A",IF(OR(DATE($B$3,3,17)&gt;EOMONTH(DATE($B$3,3,1),0),NETWORKDAYS.INTL(DATE($B$3,3,17),DATE($B$3,3,17),1,'Non-working days'!$A$6:$A$45)=0),"",IF(COUNTIFS('Leave log'!$A$7:$A$306,Employees!$A$31,'Leave log'!$B$7:$B$306,"&lt;="&amp;DATE($B$3,3,17),'Leave log'!$C$7:$C$306,"&gt;="&amp;DATE($B$3,3,17),'Leave log'!$F$7:$F$306,"Pending")&gt;0,"P",""))))</f>
        <v/>
      </c>
      <c r="S100" s="23" t="str">
        <f>IF(A100="","",IF(IF(OR(DATE($B$3,3,18)&gt;EOMONTH(DATE($B$3,3,1),0),NETWORKDAYS.INTL(DATE($B$3,3,18),DATE($B$3,3,18),1,'Non-working days'!$A$6:$A$45)=0),"",IF(COUNTIFS('Leave log'!$A$7:$A$306,Employees!$A$31,'Leave log'!$B$7:$B$306,"&lt;="&amp;DATE($B$3,3,18),'Leave log'!$C$7:$C$306,"&gt;="&amp;DATE($B$3,3,18),'Leave log'!$F$7:$F$306,"Approved")&gt;0,"A",""))="A","A",IF(OR(DATE($B$3,3,18)&gt;EOMONTH(DATE($B$3,3,1),0),NETWORKDAYS.INTL(DATE($B$3,3,18),DATE($B$3,3,18),1,'Non-working days'!$A$6:$A$45)=0),"",IF(COUNTIFS('Leave log'!$A$7:$A$306,Employees!$A$31,'Leave log'!$B$7:$B$306,"&lt;="&amp;DATE($B$3,3,18),'Leave log'!$C$7:$C$306,"&gt;="&amp;DATE($B$3,3,18),'Leave log'!$F$7:$F$306,"Pending")&gt;0,"P",""))))</f>
        <v/>
      </c>
      <c r="T100" s="23" t="str">
        <f>IF(A100="","",IF(IF(OR(DATE($B$3,3,19)&gt;EOMONTH(DATE($B$3,3,1),0),NETWORKDAYS.INTL(DATE($B$3,3,19),DATE($B$3,3,19),1,'Non-working days'!$A$6:$A$45)=0),"",IF(COUNTIFS('Leave log'!$A$7:$A$306,Employees!$A$31,'Leave log'!$B$7:$B$306,"&lt;="&amp;DATE($B$3,3,19),'Leave log'!$C$7:$C$306,"&gt;="&amp;DATE($B$3,3,19),'Leave log'!$F$7:$F$306,"Approved")&gt;0,"A",""))="A","A",IF(OR(DATE($B$3,3,19)&gt;EOMONTH(DATE($B$3,3,1),0),NETWORKDAYS.INTL(DATE($B$3,3,19),DATE($B$3,3,19),1,'Non-working days'!$A$6:$A$45)=0),"",IF(COUNTIFS('Leave log'!$A$7:$A$306,Employees!$A$31,'Leave log'!$B$7:$B$306,"&lt;="&amp;DATE($B$3,3,19),'Leave log'!$C$7:$C$306,"&gt;="&amp;DATE($B$3,3,19),'Leave log'!$F$7:$F$306,"Pending")&gt;0,"P",""))))</f>
        <v/>
      </c>
      <c r="U100" s="23" t="str">
        <f>IF(A100="","",IF(IF(OR(DATE($B$3,3,20)&gt;EOMONTH(DATE($B$3,3,1),0),NETWORKDAYS.INTL(DATE($B$3,3,20),DATE($B$3,3,20),1,'Non-working days'!$A$6:$A$45)=0),"",IF(COUNTIFS('Leave log'!$A$7:$A$306,Employees!$A$31,'Leave log'!$B$7:$B$306,"&lt;="&amp;DATE($B$3,3,20),'Leave log'!$C$7:$C$306,"&gt;="&amp;DATE($B$3,3,20),'Leave log'!$F$7:$F$306,"Approved")&gt;0,"A",""))="A","A",IF(OR(DATE($B$3,3,20)&gt;EOMONTH(DATE($B$3,3,1),0),NETWORKDAYS.INTL(DATE($B$3,3,20),DATE($B$3,3,20),1,'Non-working days'!$A$6:$A$45)=0),"",IF(COUNTIFS('Leave log'!$A$7:$A$306,Employees!$A$31,'Leave log'!$B$7:$B$306,"&lt;="&amp;DATE($B$3,3,20),'Leave log'!$C$7:$C$306,"&gt;="&amp;DATE($B$3,3,20),'Leave log'!$F$7:$F$306,"Pending")&gt;0,"P",""))))</f>
        <v/>
      </c>
      <c r="V100" s="23" t="str">
        <f>IF(A100="","",IF(IF(OR(DATE($B$3,3,21)&gt;EOMONTH(DATE($B$3,3,1),0),NETWORKDAYS.INTL(DATE($B$3,3,21),DATE($B$3,3,21),1,'Non-working days'!$A$6:$A$45)=0),"",IF(COUNTIFS('Leave log'!$A$7:$A$306,Employees!$A$31,'Leave log'!$B$7:$B$306,"&lt;="&amp;DATE($B$3,3,21),'Leave log'!$C$7:$C$306,"&gt;="&amp;DATE($B$3,3,21),'Leave log'!$F$7:$F$306,"Approved")&gt;0,"A",""))="A","A",IF(OR(DATE($B$3,3,21)&gt;EOMONTH(DATE($B$3,3,1),0),NETWORKDAYS.INTL(DATE($B$3,3,21),DATE($B$3,3,21),1,'Non-working days'!$A$6:$A$45)=0),"",IF(COUNTIFS('Leave log'!$A$7:$A$306,Employees!$A$31,'Leave log'!$B$7:$B$306,"&lt;="&amp;DATE($B$3,3,21),'Leave log'!$C$7:$C$306,"&gt;="&amp;DATE($B$3,3,21),'Leave log'!$F$7:$F$306,"Pending")&gt;0,"P",""))))</f>
        <v/>
      </c>
      <c r="W100" s="23" t="str">
        <f>IF(A100="","",IF(IF(OR(DATE($B$3,3,22)&gt;EOMONTH(DATE($B$3,3,1),0),NETWORKDAYS.INTL(DATE($B$3,3,22),DATE($B$3,3,22),1,'Non-working days'!$A$6:$A$45)=0),"",IF(COUNTIFS('Leave log'!$A$7:$A$306,Employees!$A$31,'Leave log'!$B$7:$B$306,"&lt;="&amp;DATE($B$3,3,22),'Leave log'!$C$7:$C$306,"&gt;="&amp;DATE($B$3,3,22),'Leave log'!$F$7:$F$306,"Approved")&gt;0,"A",""))="A","A",IF(OR(DATE($B$3,3,22)&gt;EOMONTH(DATE($B$3,3,1),0),NETWORKDAYS.INTL(DATE($B$3,3,22),DATE($B$3,3,22),1,'Non-working days'!$A$6:$A$45)=0),"",IF(COUNTIFS('Leave log'!$A$7:$A$306,Employees!$A$31,'Leave log'!$B$7:$B$306,"&lt;="&amp;DATE($B$3,3,22),'Leave log'!$C$7:$C$306,"&gt;="&amp;DATE($B$3,3,22),'Leave log'!$F$7:$F$306,"Pending")&gt;0,"P",""))))</f>
        <v/>
      </c>
      <c r="X100" s="23" t="str">
        <f>IF(A100="","",IF(IF(OR(DATE($B$3,3,23)&gt;EOMONTH(DATE($B$3,3,1),0),NETWORKDAYS.INTL(DATE($B$3,3,23),DATE($B$3,3,23),1,'Non-working days'!$A$6:$A$45)=0),"",IF(COUNTIFS('Leave log'!$A$7:$A$306,Employees!$A$31,'Leave log'!$B$7:$B$306,"&lt;="&amp;DATE($B$3,3,23),'Leave log'!$C$7:$C$306,"&gt;="&amp;DATE($B$3,3,23),'Leave log'!$F$7:$F$306,"Approved")&gt;0,"A",""))="A","A",IF(OR(DATE($B$3,3,23)&gt;EOMONTH(DATE($B$3,3,1),0),NETWORKDAYS.INTL(DATE($B$3,3,23),DATE($B$3,3,23),1,'Non-working days'!$A$6:$A$45)=0),"",IF(COUNTIFS('Leave log'!$A$7:$A$306,Employees!$A$31,'Leave log'!$B$7:$B$306,"&lt;="&amp;DATE($B$3,3,23),'Leave log'!$C$7:$C$306,"&gt;="&amp;DATE($B$3,3,23),'Leave log'!$F$7:$F$306,"Pending")&gt;0,"P",""))))</f>
        <v/>
      </c>
      <c r="Y100" s="23" t="str">
        <f>IF(A100="","",IF(IF(OR(DATE($B$3,3,24)&gt;EOMONTH(DATE($B$3,3,1),0),NETWORKDAYS.INTL(DATE($B$3,3,24),DATE($B$3,3,24),1,'Non-working days'!$A$6:$A$45)=0),"",IF(COUNTIFS('Leave log'!$A$7:$A$306,Employees!$A$31,'Leave log'!$B$7:$B$306,"&lt;="&amp;DATE($B$3,3,24),'Leave log'!$C$7:$C$306,"&gt;="&amp;DATE($B$3,3,24),'Leave log'!$F$7:$F$306,"Approved")&gt;0,"A",""))="A","A",IF(OR(DATE($B$3,3,24)&gt;EOMONTH(DATE($B$3,3,1),0),NETWORKDAYS.INTL(DATE($B$3,3,24),DATE($B$3,3,24),1,'Non-working days'!$A$6:$A$45)=0),"",IF(COUNTIFS('Leave log'!$A$7:$A$306,Employees!$A$31,'Leave log'!$B$7:$B$306,"&lt;="&amp;DATE($B$3,3,24),'Leave log'!$C$7:$C$306,"&gt;="&amp;DATE($B$3,3,24),'Leave log'!$F$7:$F$306,"Pending")&gt;0,"P",""))))</f>
        <v/>
      </c>
      <c r="Z100" s="23" t="str">
        <f>IF(A100="","",IF(IF(OR(DATE($B$3,3,25)&gt;EOMONTH(DATE($B$3,3,1),0),NETWORKDAYS.INTL(DATE($B$3,3,25),DATE($B$3,3,25),1,'Non-working days'!$A$6:$A$45)=0),"",IF(COUNTIFS('Leave log'!$A$7:$A$306,Employees!$A$31,'Leave log'!$B$7:$B$306,"&lt;="&amp;DATE($B$3,3,25),'Leave log'!$C$7:$C$306,"&gt;="&amp;DATE($B$3,3,25),'Leave log'!$F$7:$F$306,"Approved")&gt;0,"A",""))="A","A",IF(OR(DATE($B$3,3,25)&gt;EOMONTH(DATE($B$3,3,1),0),NETWORKDAYS.INTL(DATE($B$3,3,25),DATE($B$3,3,25),1,'Non-working days'!$A$6:$A$45)=0),"",IF(COUNTIFS('Leave log'!$A$7:$A$306,Employees!$A$31,'Leave log'!$B$7:$B$306,"&lt;="&amp;DATE($B$3,3,25),'Leave log'!$C$7:$C$306,"&gt;="&amp;DATE($B$3,3,25),'Leave log'!$F$7:$F$306,"Pending")&gt;0,"P",""))))</f>
        <v/>
      </c>
      <c r="AA100" s="23" t="str">
        <f>IF(A100="","",IF(IF(OR(DATE($B$3,3,26)&gt;EOMONTH(DATE($B$3,3,1),0),NETWORKDAYS.INTL(DATE($B$3,3,26),DATE($B$3,3,26),1,'Non-working days'!$A$6:$A$45)=0),"",IF(COUNTIFS('Leave log'!$A$7:$A$306,Employees!$A$31,'Leave log'!$B$7:$B$306,"&lt;="&amp;DATE($B$3,3,26),'Leave log'!$C$7:$C$306,"&gt;="&amp;DATE($B$3,3,26),'Leave log'!$F$7:$F$306,"Approved")&gt;0,"A",""))="A","A",IF(OR(DATE($B$3,3,26)&gt;EOMONTH(DATE($B$3,3,1),0),NETWORKDAYS.INTL(DATE($B$3,3,26),DATE($B$3,3,26),1,'Non-working days'!$A$6:$A$45)=0),"",IF(COUNTIFS('Leave log'!$A$7:$A$306,Employees!$A$31,'Leave log'!$B$7:$B$306,"&lt;="&amp;DATE($B$3,3,26),'Leave log'!$C$7:$C$306,"&gt;="&amp;DATE($B$3,3,26),'Leave log'!$F$7:$F$306,"Pending")&gt;0,"P",""))))</f>
        <v/>
      </c>
      <c r="AB100" s="23" t="str">
        <f>IF(A100="","",IF(IF(OR(DATE($B$3,3,27)&gt;EOMONTH(DATE($B$3,3,1),0),NETWORKDAYS.INTL(DATE($B$3,3,27),DATE($B$3,3,27),1,'Non-working days'!$A$6:$A$45)=0),"",IF(COUNTIFS('Leave log'!$A$7:$A$306,Employees!$A$31,'Leave log'!$B$7:$B$306,"&lt;="&amp;DATE($B$3,3,27),'Leave log'!$C$7:$C$306,"&gt;="&amp;DATE($B$3,3,27),'Leave log'!$F$7:$F$306,"Approved")&gt;0,"A",""))="A","A",IF(OR(DATE($B$3,3,27)&gt;EOMONTH(DATE($B$3,3,1),0),NETWORKDAYS.INTL(DATE($B$3,3,27),DATE($B$3,3,27),1,'Non-working days'!$A$6:$A$45)=0),"",IF(COUNTIFS('Leave log'!$A$7:$A$306,Employees!$A$31,'Leave log'!$B$7:$B$306,"&lt;="&amp;DATE($B$3,3,27),'Leave log'!$C$7:$C$306,"&gt;="&amp;DATE($B$3,3,27),'Leave log'!$F$7:$F$306,"Pending")&gt;0,"P",""))))</f>
        <v/>
      </c>
      <c r="AC100" s="23" t="str">
        <f>IF(A100="","",IF(IF(OR(DATE($B$3,3,28)&gt;EOMONTH(DATE($B$3,3,1),0),NETWORKDAYS.INTL(DATE($B$3,3,28),DATE($B$3,3,28),1,'Non-working days'!$A$6:$A$45)=0),"",IF(COUNTIFS('Leave log'!$A$7:$A$306,Employees!$A$31,'Leave log'!$B$7:$B$306,"&lt;="&amp;DATE($B$3,3,28),'Leave log'!$C$7:$C$306,"&gt;="&amp;DATE($B$3,3,28),'Leave log'!$F$7:$F$306,"Approved")&gt;0,"A",""))="A","A",IF(OR(DATE($B$3,3,28)&gt;EOMONTH(DATE($B$3,3,1),0),NETWORKDAYS.INTL(DATE($B$3,3,28),DATE($B$3,3,28),1,'Non-working days'!$A$6:$A$45)=0),"",IF(COUNTIFS('Leave log'!$A$7:$A$306,Employees!$A$31,'Leave log'!$B$7:$B$306,"&lt;="&amp;DATE($B$3,3,28),'Leave log'!$C$7:$C$306,"&gt;="&amp;DATE($B$3,3,28),'Leave log'!$F$7:$F$306,"Pending")&gt;0,"P",""))))</f>
        <v/>
      </c>
      <c r="AD100" s="23" t="str">
        <f>IF(A100="","",IF(IF(OR(DATE($B$3,3,29)&gt;EOMONTH(DATE($B$3,3,1),0),NETWORKDAYS.INTL(DATE($B$3,3,29),DATE($B$3,3,29),1,'Non-working days'!$A$6:$A$45)=0),"",IF(COUNTIFS('Leave log'!$A$7:$A$306,Employees!$A$31,'Leave log'!$B$7:$B$306,"&lt;="&amp;DATE($B$3,3,29),'Leave log'!$C$7:$C$306,"&gt;="&amp;DATE($B$3,3,29),'Leave log'!$F$7:$F$306,"Approved")&gt;0,"A",""))="A","A",IF(OR(DATE($B$3,3,29)&gt;EOMONTH(DATE($B$3,3,1),0),NETWORKDAYS.INTL(DATE($B$3,3,29),DATE($B$3,3,29),1,'Non-working days'!$A$6:$A$45)=0),"",IF(COUNTIFS('Leave log'!$A$7:$A$306,Employees!$A$31,'Leave log'!$B$7:$B$306,"&lt;="&amp;DATE($B$3,3,29),'Leave log'!$C$7:$C$306,"&gt;="&amp;DATE($B$3,3,29),'Leave log'!$F$7:$F$306,"Pending")&gt;0,"P",""))))</f>
        <v/>
      </c>
      <c r="AE100" s="23" t="str">
        <f>IF(A100="","",IF(IF(OR(DATE($B$3,3,30)&gt;EOMONTH(DATE($B$3,3,1),0),NETWORKDAYS.INTL(DATE($B$3,3,30),DATE($B$3,3,30),1,'Non-working days'!$A$6:$A$45)=0),"",IF(COUNTIFS('Leave log'!$A$7:$A$306,Employees!$A$31,'Leave log'!$B$7:$B$306,"&lt;="&amp;DATE($B$3,3,30),'Leave log'!$C$7:$C$306,"&gt;="&amp;DATE($B$3,3,30),'Leave log'!$F$7:$F$306,"Approved")&gt;0,"A",""))="A","A",IF(OR(DATE($B$3,3,30)&gt;EOMONTH(DATE($B$3,3,1),0),NETWORKDAYS.INTL(DATE($B$3,3,30),DATE($B$3,3,30),1,'Non-working days'!$A$6:$A$45)=0),"",IF(COUNTIFS('Leave log'!$A$7:$A$306,Employees!$A$31,'Leave log'!$B$7:$B$306,"&lt;="&amp;DATE($B$3,3,30),'Leave log'!$C$7:$C$306,"&gt;="&amp;DATE($B$3,3,30),'Leave log'!$F$7:$F$306,"Pending")&gt;0,"P",""))))</f>
        <v/>
      </c>
      <c r="AF100" s="23" t="str">
        <f>IF(A100="","",IF(IF(OR(DATE($B$3,3,31)&gt;EOMONTH(DATE($B$3,3,1),0),NETWORKDAYS.INTL(DATE($B$3,3,31),DATE($B$3,3,31),1,'Non-working days'!$A$6:$A$45)=0),"",IF(COUNTIFS('Leave log'!$A$7:$A$306,Employees!$A$31,'Leave log'!$B$7:$B$306,"&lt;="&amp;DATE($B$3,3,31),'Leave log'!$C$7:$C$306,"&gt;="&amp;DATE($B$3,3,31),'Leave log'!$F$7:$F$306,"Approved")&gt;0,"A",""))="A","A",IF(OR(DATE($B$3,3,31)&gt;EOMONTH(DATE($B$3,3,1),0),NETWORKDAYS.INTL(DATE($B$3,3,31),DATE($B$3,3,31),1,'Non-working days'!$A$6:$A$45)=0),"",IF(COUNTIFS('Leave log'!$A$7:$A$306,Employees!$A$31,'Leave log'!$B$7:$B$306,"&lt;="&amp;DATE($B$3,3,31),'Leave log'!$C$7:$C$306,"&gt;="&amp;DATE($B$3,3,31),'Leave log'!$F$7:$F$306,"Pending")&gt;0,"P",""))))</f>
        <v/>
      </c>
    </row>
    <row r="101" spans="1:32" ht="18" customHeight="1" x14ac:dyDescent="0.3">
      <c r="A101" s="22" t="str">
        <f>IF(Employees!F32="Yes",Employees!B32,"")</f>
        <v/>
      </c>
      <c r="B101" s="23" t="str">
        <f>IF(A101="","",IF(IF(OR(DATE($B$3,3,1)&gt;EOMONTH(DATE($B$3,3,1),0),NETWORKDAYS.INTL(DATE($B$3,3,1),DATE($B$3,3,1),1,'Non-working days'!$A$6:$A$45)=0),"",IF(COUNTIFS('Leave log'!$A$7:$A$306,Employees!$A$32,'Leave log'!$B$7:$B$306,"&lt;="&amp;DATE($B$3,3,1),'Leave log'!$C$7:$C$306,"&gt;="&amp;DATE($B$3,3,1),'Leave log'!$F$7:$F$306,"Approved")&gt;0,"A",""))="A","A",IF(OR(DATE($B$3,3,1)&gt;EOMONTH(DATE($B$3,3,1),0),NETWORKDAYS.INTL(DATE($B$3,3,1),DATE($B$3,3,1),1,'Non-working days'!$A$6:$A$45)=0),"",IF(COUNTIFS('Leave log'!$A$7:$A$306,Employees!$A$32,'Leave log'!$B$7:$B$306,"&lt;="&amp;DATE($B$3,3,1),'Leave log'!$C$7:$C$306,"&gt;="&amp;DATE($B$3,3,1),'Leave log'!$F$7:$F$306,"Pending")&gt;0,"P",""))))</f>
        <v/>
      </c>
      <c r="C101" s="23" t="str">
        <f>IF(A101="","",IF(IF(OR(DATE($B$3,3,2)&gt;EOMONTH(DATE($B$3,3,1),0),NETWORKDAYS.INTL(DATE($B$3,3,2),DATE($B$3,3,2),1,'Non-working days'!$A$6:$A$45)=0),"",IF(COUNTIFS('Leave log'!$A$7:$A$306,Employees!$A$32,'Leave log'!$B$7:$B$306,"&lt;="&amp;DATE($B$3,3,2),'Leave log'!$C$7:$C$306,"&gt;="&amp;DATE($B$3,3,2),'Leave log'!$F$7:$F$306,"Approved")&gt;0,"A",""))="A","A",IF(OR(DATE($B$3,3,2)&gt;EOMONTH(DATE($B$3,3,1),0),NETWORKDAYS.INTL(DATE($B$3,3,2),DATE($B$3,3,2),1,'Non-working days'!$A$6:$A$45)=0),"",IF(COUNTIFS('Leave log'!$A$7:$A$306,Employees!$A$32,'Leave log'!$B$7:$B$306,"&lt;="&amp;DATE($B$3,3,2),'Leave log'!$C$7:$C$306,"&gt;="&amp;DATE($B$3,3,2),'Leave log'!$F$7:$F$306,"Pending")&gt;0,"P",""))))</f>
        <v/>
      </c>
      <c r="D101" s="23" t="str">
        <f>IF(A101="","",IF(IF(OR(DATE($B$3,3,3)&gt;EOMONTH(DATE($B$3,3,1),0),NETWORKDAYS.INTL(DATE($B$3,3,3),DATE($B$3,3,3),1,'Non-working days'!$A$6:$A$45)=0),"",IF(COUNTIFS('Leave log'!$A$7:$A$306,Employees!$A$32,'Leave log'!$B$7:$B$306,"&lt;="&amp;DATE($B$3,3,3),'Leave log'!$C$7:$C$306,"&gt;="&amp;DATE($B$3,3,3),'Leave log'!$F$7:$F$306,"Approved")&gt;0,"A",""))="A","A",IF(OR(DATE($B$3,3,3)&gt;EOMONTH(DATE($B$3,3,1),0),NETWORKDAYS.INTL(DATE($B$3,3,3),DATE($B$3,3,3),1,'Non-working days'!$A$6:$A$45)=0),"",IF(COUNTIFS('Leave log'!$A$7:$A$306,Employees!$A$32,'Leave log'!$B$7:$B$306,"&lt;="&amp;DATE($B$3,3,3),'Leave log'!$C$7:$C$306,"&gt;="&amp;DATE($B$3,3,3),'Leave log'!$F$7:$F$306,"Pending")&gt;0,"P",""))))</f>
        <v/>
      </c>
      <c r="E101" s="23" t="str">
        <f>IF(A101="","",IF(IF(OR(DATE($B$3,3,4)&gt;EOMONTH(DATE($B$3,3,1),0),NETWORKDAYS.INTL(DATE($B$3,3,4),DATE($B$3,3,4),1,'Non-working days'!$A$6:$A$45)=0),"",IF(COUNTIFS('Leave log'!$A$7:$A$306,Employees!$A$32,'Leave log'!$B$7:$B$306,"&lt;="&amp;DATE($B$3,3,4),'Leave log'!$C$7:$C$306,"&gt;="&amp;DATE($B$3,3,4),'Leave log'!$F$7:$F$306,"Approved")&gt;0,"A",""))="A","A",IF(OR(DATE($B$3,3,4)&gt;EOMONTH(DATE($B$3,3,1),0),NETWORKDAYS.INTL(DATE($B$3,3,4),DATE($B$3,3,4),1,'Non-working days'!$A$6:$A$45)=0),"",IF(COUNTIFS('Leave log'!$A$7:$A$306,Employees!$A$32,'Leave log'!$B$7:$B$306,"&lt;="&amp;DATE($B$3,3,4),'Leave log'!$C$7:$C$306,"&gt;="&amp;DATE($B$3,3,4),'Leave log'!$F$7:$F$306,"Pending")&gt;0,"P",""))))</f>
        <v/>
      </c>
      <c r="F101" s="23" t="str">
        <f>IF(A101="","",IF(IF(OR(DATE($B$3,3,5)&gt;EOMONTH(DATE($B$3,3,1),0),NETWORKDAYS.INTL(DATE($B$3,3,5),DATE($B$3,3,5),1,'Non-working days'!$A$6:$A$45)=0),"",IF(COUNTIFS('Leave log'!$A$7:$A$306,Employees!$A$32,'Leave log'!$B$7:$B$306,"&lt;="&amp;DATE($B$3,3,5),'Leave log'!$C$7:$C$306,"&gt;="&amp;DATE($B$3,3,5),'Leave log'!$F$7:$F$306,"Approved")&gt;0,"A",""))="A","A",IF(OR(DATE($B$3,3,5)&gt;EOMONTH(DATE($B$3,3,1),0),NETWORKDAYS.INTL(DATE($B$3,3,5),DATE($B$3,3,5),1,'Non-working days'!$A$6:$A$45)=0),"",IF(COUNTIFS('Leave log'!$A$7:$A$306,Employees!$A$32,'Leave log'!$B$7:$B$306,"&lt;="&amp;DATE($B$3,3,5),'Leave log'!$C$7:$C$306,"&gt;="&amp;DATE($B$3,3,5),'Leave log'!$F$7:$F$306,"Pending")&gt;0,"P",""))))</f>
        <v/>
      </c>
      <c r="G101" s="23" t="str">
        <f>IF(A101="","",IF(IF(OR(DATE($B$3,3,6)&gt;EOMONTH(DATE($B$3,3,1),0),NETWORKDAYS.INTL(DATE($B$3,3,6),DATE($B$3,3,6),1,'Non-working days'!$A$6:$A$45)=0),"",IF(COUNTIFS('Leave log'!$A$7:$A$306,Employees!$A$32,'Leave log'!$B$7:$B$306,"&lt;="&amp;DATE($B$3,3,6),'Leave log'!$C$7:$C$306,"&gt;="&amp;DATE($B$3,3,6),'Leave log'!$F$7:$F$306,"Approved")&gt;0,"A",""))="A","A",IF(OR(DATE($B$3,3,6)&gt;EOMONTH(DATE($B$3,3,1),0),NETWORKDAYS.INTL(DATE($B$3,3,6),DATE($B$3,3,6),1,'Non-working days'!$A$6:$A$45)=0),"",IF(COUNTIFS('Leave log'!$A$7:$A$306,Employees!$A$32,'Leave log'!$B$7:$B$306,"&lt;="&amp;DATE($B$3,3,6),'Leave log'!$C$7:$C$306,"&gt;="&amp;DATE($B$3,3,6),'Leave log'!$F$7:$F$306,"Pending")&gt;0,"P",""))))</f>
        <v/>
      </c>
      <c r="H101" s="23" t="str">
        <f>IF(A101="","",IF(IF(OR(DATE($B$3,3,7)&gt;EOMONTH(DATE($B$3,3,1),0),NETWORKDAYS.INTL(DATE($B$3,3,7),DATE($B$3,3,7),1,'Non-working days'!$A$6:$A$45)=0),"",IF(COUNTIFS('Leave log'!$A$7:$A$306,Employees!$A$32,'Leave log'!$B$7:$B$306,"&lt;="&amp;DATE($B$3,3,7),'Leave log'!$C$7:$C$306,"&gt;="&amp;DATE($B$3,3,7),'Leave log'!$F$7:$F$306,"Approved")&gt;0,"A",""))="A","A",IF(OR(DATE($B$3,3,7)&gt;EOMONTH(DATE($B$3,3,1),0),NETWORKDAYS.INTL(DATE($B$3,3,7),DATE($B$3,3,7),1,'Non-working days'!$A$6:$A$45)=0),"",IF(COUNTIFS('Leave log'!$A$7:$A$306,Employees!$A$32,'Leave log'!$B$7:$B$306,"&lt;="&amp;DATE($B$3,3,7),'Leave log'!$C$7:$C$306,"&gt;="&amp;DATE($B$3,3,7),'Leave log'!$F$7:$F$306,"Pending")&gt;0,"P",""))))</f>
        <v/>
      </c>
      <c r="I101" s="23" t="str">
        <f>IF(A101="","",IF(IF(OR(DATE($B$3,3,8)&gt;EOMONTH(DATE($B$3,3,1),0),NETWORKDAYS.INTL(DATE($B$3,3,8),DATE($B$3,3,8),1,'Non-working days'!$A$6:$A$45)=0),"",IF(COUNTIFS('Leave log'!$A$7:$A$306,Employees!$A$32,'Leave log'!$B$7:$B$306,"&lt;="&amp;DATE($B$3,3,8),'Leave log'!$C$7:$C$306,"&gt;="&amp;DATE($B$3,3,8),'Leave log'!$F$7:$F$306,"Approved")&gt;0,"A",""))="A","A",IF(OR(DATE($B$3,3,8)&gt;EOMONTH(DATE($B$3,3,1),0),NETWORKDAYS.INTL(DATE($B$3,3,8),DATE($B$3,3,8),1,'Non-working days'!$A$6:$A$45)=0),"",IF(COUNTIFS('Leave log'!$A$7:$A$306,Employees!$A$32,'Leave log'!$B$7:$B$306,"&lt;="&amp;DATE($B$3,3,8),'Leave log'!$C$7:$C$306,"&gt;="&amp;DATE($B$3,3,8),'Leave log'!$F$7:$F$306,"Pending")&gt;0,"P",""))))</f>
        <v/>
      </c>
      <c r="J101" s="23" t="str">
        <f>IF(A101="","",IF(IF(OR(DATE($B$3,3,9)&gt;EOMONTH(DATE($B$3,3,1),0),NETWORKDAYS.INTL(DATE($B$3,3,9),DATE($B$3,3,9),1,'Non-working days'!$A$6:$A$45)=0),"",IF(COUNTIFS('Leave log'!$A$7:$A$306,Employees!$A$32,'Leave log'!$B$7:$B$306,"&lt;="&amp;DATE($B$3,3,9),'Leave log'!$C$7:$C$306,"&gt;="&amp;DATE($B$3,3,9),'Leave log'!$F$7:$F$306,"Approved")&gt;0,"A",""))="A","A",IF(OR(DATE($B$3,3,9)&gt;EOMONTH(DATE($B$3,3,1),0),NETWORKDAYS.INTL(DATE($B$3,3,9),DATE($B$3,3,9),1,'Non-working days'!$A$6:$A$45)=0),"",IF(COUNTIFS('Leave log'!$A$7:$A$306,Employees!$A$32,'Leave log'!$B$7:$B$306,"&lt;="&amp;DATE($B$3,3,9),'Leave log'!$C$7:$C$306,"&gt;="&amp;DATE($B$3,3,9),'Leave log'!$F$7:$F$306,"Pending")&gt;0,"P",""))))</f>
        <v/>
      </c>
      <c r="K101" s="23" t="str">
        <f>IF(A101="","",IF(IF(OR(DATE($B$3,3,10)&gt;EOMONTH(DATE($B$3,3,1),0),NETWORKDAYS.INTL(DATE($B$3,3,10),DATE($B$3,3,10),1,'Non-working days'!$A$6:$A$45)=0),"",IF(COUNTIFS('Leave log'!$A$7:$A$306,Employees!$A$32,'Leave log'!$B$7:$B$306,"&lt;="&amp;DATE($B$3,3,10),'Leave log'!$C$7:$C$306,"&gt;="&amp;DATE($B$3,3,10),'Leave log'!$F$7:$F$306,"Approved")&gt;0,"A",""))="A","A",IF(OR(DATE($B$3,3,10)&gt;EOMONTH(DATE($B$3,3,1),0),NETWORKDAYS.INTL(DATE($B$3,3,10),DATE($B$3,3,10),1,'Non-working days'!$A$6:$A$45)=0),"",IF(COUNTIFS('Leave log'!$A$7:$A$306,Employees!$A$32,'Leave log'!$B$7:$B$306,"&lt;="&amp;DATE($B$3,3,10),'Leave log'!$C$7:$C$306,"&gt;="&amp;DATE($B$3,3,10),'Leave log'!$F$7:$F$306,"Pending")&gt;0,"P",""))))</f>
        <v/>
      </c>
      <c r="L101" s="23" t="str">
        <f>IF(A101="","",IF(IF(OR(DATE($B$3,3,11)&gt;EOMONTH(DATE($B$3,3,1),0),NETWORKDAYS.INTL(DATE($B$3,3,11),DATE($B$3,3,11),1,'Non-working days'!$A$6:$A$45)=0),"",IF(COUNTIFS('Leave log'!$A$7:$A$306,Employees!$A$32,'Leave log'!$B$7:$B$306,"&lt;="&amp;DATE($B$3,3,11),'Leave log'!$C$7:$C$306,"&gt;="&amp;DATE($B$3,3,11),'Leave log'!$F$7:$F$306,"Approved")&gt;0,"A",""))="A","A",IF(OR(DATE($B$3,3,11)&gt;EOMONTH(DATE($B$3,3,1),0),NETWORKDAYS.INTL(DATE($B$3,3,11),DATE($B$3,3,11),1,'Non-working days'!$A$6:$A$45)=0),"",IF(COUNTIFS('Leave log'!$A$7:$A$306,Employees!$A$32,'Leave log'!$B$7:$B$306,"&lt;="&amp;DATE($B$3,3,11),'Leave log'!$C$7:$C$306,"&gt;="&amp;DATE($B$3,3,11),'Leave log'!$F$7:$F$306,"Pending")&gt;0,"P",""))))</f>
        <v/>
      </c>
      <c r="M101" s="23" t="str">
        <f>IF(A101="","",IF(IF(OR(DATE($B$3,3,12)&gt;EOMONTH(DATE($B$3,3,1),0),NETWORKDAYS.INTL(DATE($B$3,3,12),DATE($B$3,3,12),1,'Non-working days'!$A$6:$A$45)=0),"",IF(COUNTIFS('Leave log'!$A$7:$A$306,Employees!$A$32,'Leave log'!$B$7:$B$306,"&lt;="&amp;DATE($B$3,3,12),'Leave log'!$C$7:$C$306,"&gt;="&amp;DATE($B$3,3,12),'Leave log'!$F$7:$F$306,"Approved")&gt;0,"A",""))="A","A",IF(OR(DATE($B$3,3,12)&gt;EOMONTH(DATE($B$3,3,1),0),NETWORKDAYS.INTL(DATE($B$3,3,12),DATE($B$3,3,12),1,'Non-working days'!$A$6:$A$45)=0),"",IF(COUNTIFS('Leave log'!$A$7:$A$306,Employees!$A$32,'Leave log'!$B$7:$B$306,"&lt;="&amp;DATE($B$3,3,12),'Leave log'!$C$7:$C$306,"&gt;="&amp;DATE($B$3,3,12),'Leave log'!$F$7:$F$306,"Pending")&gt;0,"P",""))))</f>
        <v/>
      </c>
      <c r="N101" s="23" t="str">
        <f>IF(A101="","",IF(IF(OR(DATE($B$3,3,13)&gt;EOMONTH(DATE($B$3,3,1),0),NETWORKDAYS.INTL(DATE($B$3,3,13),DATE($B$3,3,13),1,'Non-working days'!$A$6:$A$45)=0),"",IF(COUNTIFS('Leave log'!$A$7:$A$306,Employees!$A$32,'Leave log'!$B$7:$B$306,"&lt;="&amp;DATE($B$3,3,13),'Leave log'!$C$7:$C$306,"&gt;="&amp;DATE($B$3,3,13),'Leave log'!$F$7:$F$306,"Approved")&gt;0,"A",""))="A","A",IF(OR(DATE($B$3,3,13)&gt;EOMONTH(DATE($B$3,3,1),0),NETWORKDAYS.INTL(DATE($B$3,3,13),DATE($B$3,3,13),1,'Non-working days'!$A$6:$A$45)=0),"",IF(COUNTIFS('Leave log'!$A$7:$A$306,Employees!$A$32,'Leave log'!$B$7:$B$306,"&lt;="&amp;DATE($B$3,3,13),'Leave log'!$C$7:$C$306,"&gt;="&amp;DATE($B$3,3,13),'Leave log'!$F$7:$F$306,"Pending")&gt;0,"P",""))))</f>
        <v/>
      </c>
      <c r="O101" s="23" t="str">
        <f>IF(A101="","",IF(IF(OR(DATE($B$3,3,14)&gt;EOMONTH(DATE($B$3,3,1),0),NETWORKDAYS.INTL(DATE($B$3,3,14),DATE($B$3,3,14),1,'Non-working days'!$A$6:$A$45)=0),"",IF(COUNTIFS('Leave log'!$A$7:$A$306,Employees!$A$32,'Leave log'!$B$7:$B$306,"&lt;="&amp;DATE($B$3,3,14),'Leave log'!$C$7:$C$306,"&gt;="&amp;DATE($B$3,3,14),'Leave log'!$F$7:$F$306,"Approved")&gt;0,"A",""))="A","A",IF(OR(DATE($B$3,3,14)&gt;EOMONTH(DATE($B$3,3,1),0),NETWORKDAYS.INTL(DATE($B$3,3,14),DATE($B$3,3,14),1,'Non-working days'!$A$6:$A$45)=0),"",IF(COUNTIFS('Leave log'!$A$7:$A$306,Employees!$A$32,'Leave log'!$B$7:$B$306,"&lt;="&amp;DATE($B$3,3,14),'Leave log'!$C$7:$C$306,"&gt;="&amp;DATE($B$3,3,14),'Leave log'!$F$7:$F$306,"Pending")&gt;0,"P",""))))</f>
        <v/>
      </c>
      <c r="P101" s="23" t="str">
        <f>IF(A101="","",IF(IF(OR(DATE($B$3,3,15)&gt;EOMONTH(DATE($B$3,3,1),0),NETWORKDAYS.INTL(DATE($B$3,3,15),DATE($B$3,3,15),1,'Non-working days'!$A$6:$A$45)=0),"",IF(COUNTIFS('Leave log'!$A$7:$A$306,Employees!$A$32,'Leave log'!$B$7:$B$306,"&lt;="&amp;DATE($B$3,3,15),'Leave log'!$C$7:$C$306,"&gt;="&amp;DATE($B$3,3,15),'Leave log'!$F$7:$F$306,"Approved")&gt;0,"A",""))="A","A",IF(OR(DATE($B$3,3,15)&gt;EOMONTH(DATE($B$3,3,1),0),NETWORKDAYS.INTL(DATE($B$3,3,15),DATE($B$3,3,15),1,'Non-working days'!$A$6:$A$45)=0),"",IF(COUNTIFS('Leave log'!$A$7:$A$306,Employees!$A$32,'Leave log'!$B$7:$B$306,"&lt;="&amp;DATE($B$3,3,15),'Leave log'!$C$7:$C$306,"&gt;="&amp;DATE($B$3,3,15),'Leave log'!$F$7:$F$306,"Pending")&gt;0,"P",""))))</f>
        <v/>
      </c>
      <c r="Q101" s="23" t="str">
        <f>IF(A101="","",IF(IF(OR(DATE($B$3,3,16)&gt;EOMONTH(DATE($B$3,3,1),0),NETWORKDAYS.INTL(DATE($B$3,3,16),DATE($B$3,3,16),1,'Non-working days'!$A$6:$A$45)=0),"",IF(COUNTIFS('Leave log'!$A$7:$A$306,Employees!$A$32,'Leave log'!$B$7:$B$306,"&lt;="&amp;DATE($B$3,3,16),'Leave log'!$C$7:$C$306,"&gt;="&amp;DATE($B$3,3,16),'Leave log'!$F$7:$F$306,"Approved")&gt;0,"A",""))="A","A",IF(OR(DATE($B$3,3,16)&gt;EOMONTH(DATE($B$3,3,1),0),NETWORKDAYS.INTL(DATE($B$3,3,16),DATE($B$3,3,16),1,'Non-working days'!$A$6:$A$45)=0),"",IF(COUNTIFS('Leave log'!$A$7:$A$306,Employees!$A$32,'Leave log'!$B$7:$B$306,"&lt;="&amp;DATE($B$3,3,16),'Leave log'!$C$7:$C$306,"&gt;="&amp;DATE($B$3,3,16),'Leave log'!$F$7:$F$306,"Pending")&gt;0,"P",""))))</f>
        <v/>
      </c>
      <c r="R101" s="23" t="str">
        <f>IF(A101="","",IF(IF(OR(DATE($B$3,3,17)&gt;EOMONTH(DATE($B$3,3,1),0),NETWORKDAYS.INTL(DATE($B$3,3,17),DATE($B$3,3,17),1,'Non-working days'!$A$6:$A$45)=0),"",IF(COUNTIFS('Leave log'!$A$7:$A$306,Employees!$A$32,'Leave log'!$B$7:$B$306,"&lt;="&amp;DATE($B$3,3,17),'Leave log'!$C$7:$C$306,"&gt;="&amp;DATE($B$3,3,17),'Leave log'!$F$7:$F$306,"Approved")&gt;0,"A",""))="A","A",IF(OR(DATE($B$3,3,17)&gt;EOMONTH(DATE($B$3,3,1),0),NETWORKDAYS.INTL(DATE($B$3,3,17),DATE($B$3,3,17),1,'Non-working days'!$A$6:$A$45)=0),"",IF(COUNTIFS('Leave log'!$A$7:$A$306,Employees!$A$32,'Leave log'!$B$7:$B$306,"&lt;="&amp;DATE($B$3,3,17),'Leave log'!$C$7:$C$306,"&gt;="&amp;DATE($B$3,3,17),'Leave log'!$F$7:$F$306,"Pending")&gt;0,"P",""))))</f>
        <v/>
      </c>
      <c r="S101" s="23" t="str">
        <f>IF(A101="","",IF(IF(OR(DATE($B$3,3,18)&gt;EOMONTH(DATE($B$3,3,1),0),NETWORKDAYS.INTL(DATE($B$3,3,18),DATE($B$3,3,18),1,'Non-working days'!$A$6:$A$45)=0),"",IF(COUNTIFS('Leave log'!$A$7:$A$306,Employees!$A$32,'Leave log'!$B$7:$B$306,"&lt;="&amp;DATE($B$3,3,18),'Leave log'!$C$7:$C$306,"&gt;="&amp;DATE($B$3,3,18),'Leave log'!$F$7:$F$306,"Approved")&gt;0,"A",""))="A","A",IF(OR(DATE($B$3,3,18)&gt;EOMONTH(DATE($B$3,3,1),0),NETWORKDAYS.INTL(DATE($B$3,3,18),DATE($B$3,3,18),1,'Non-working days'!$A$6:$A$45)=0),"",IF(COUNTIFS('Leave log'!$A$7:$A$306,Employees!$A$32,'Leave log'!$B$7:$B$306,"&lt;="&amp;DATE($B$3,3,18),'Leave log'!$C$7:$C$306,"&gt;="&amp;DATE($B$3,3,18),'Leave log'!$F$7:$F$306,"Pending")&gt;0,"P",""))))</f>
        <v/>
      </c>
      <c r="T101" s="23" t="str">
        <f>IF(A101="","",IF(IF(OR(DATE($B$3,3,19)&gt;EOMONTH(DATE($B$3,3,1),0),NETWORKDAYS.INTL(DATE($B$3,3,19),DATE($B$3,3,19),1,'Non-working days'!$A$6:$A$45)=0),"",IF(COUNTIFS('Leave log'!$A$7:$A$306,Employees!$A$32,'Leave log'!$B$7:$B$306,"&lt;="&amp;DATE($B$3,3,19),'Leave log'!$C$7:$C$306,"&gt;="&amp;DATE($B$3,3,19),'Leave log'!$F$7:$F$306,"Approved")&gt;0,"A",""))="A","A",IF(OR(DATE($B$3,3,19)&gt;EOMONTH(DATE($B$3,3,1),0),NETWORKDAYS.INTL(DATE($B$3,3,19),DATE($B$3,3,19),1,'Non-working days'!$A$6:$A$45)=0),"",IF(COUNTIFS('Leave log'!$A$7:$A$306,Employees!$A$32,'Leave log'!$B$7:$B$306,"&lt;="&amp;DATE($B$3,3,19),'Leave log'!$C$7:$C$306,"&gt;="&amp;DATE($B$3,3,19),'Leave log'!$F$7:$F$306,"Pending")&gt;0,"P",""))))</f>
        <v/>
      </c>
      <c r="U101" s="23" t="str">
        <f>IF(A101="","",IF(IF(OR(DATE($B$3,3,20)&gt;EOMONTH(DATE($B$3,3,1),0),NETWORKDAYS.INTL(DATE($B$3,3,20),DATE($B$3,3,20),1,'Non-working days'!$A$6:$A$45)=0),"",IF(COUNTIFS('Leave log'!$A$7:$A$306,Employees!$A$32,'Leave log'!$B$7:$B$306,"&lt;="&amp;DATE($B$3,3,20),'Leave log'!$C$7:$C$306,"&gt;="&amp;DATE($B$3,3,20),'Leave log'!$F$7:$F$306,"Approved")&gt;0,"A",""))="A","A",IF(OR(DATE($B$3,3,20)&gt;EOMONTH(DATE($B$3,3,1),0),NETWORKDAYS.INTL(DATE($B$3,3,20),DATE($B$3,3,20),1,'Non-working days'!$A$6:$A$45)=0),"",IF(COUNTIFS('Leave log'!$A$7:$A$306,Employees!$A$32,'Leave log'!$B$7:$B$306,"&lt;="&amp;DATE($B$3,3,20),'Leave log'!$C$7:$C$306,"&gt;="&amp;DATE($B$3,3,20),'Leave log'!$F$7:$F$306,"Pending")&gt;0,"P",""))))</f>
        <v/>
      </c>
      <c r="V101" s="23" t="str">
        <f>IF(A101="","",IF(IF(OR(DATE($B$3,3,21)&gt;EOMONTH(DATE($B$3,3,1),0),NETWORKDAYS.INTL(DATE($B$3,3,21),DATE($B$3,3,21),1,'Non-working days'!$A$6:$A$45)=0),"",IF(COUNTIFS('Leave log'!$A$7:$A$306,Employees!$A$32,'Leave log'!$B$7:$B$306,"&lt;="&amp;DATE($B$3,3,21),'Leave log'!$C$7:$C$306,"&gt;="&amp;DATE($B$3,3,21),'Leave log'!$F$7:$F$306,"Approved")&gt;0,"A",""))="A","A",IF(OR(DATE($B$3,3,21)&gt;EOMONTH(DATE($B$3,3,1),0),NETWORKDAYS.INTL(DATE($B$3,3,21),DATE($B$3,3,21),1,'Non-working days'!$A$6:$A$45)=0),"",IF(COUNTIFS('Leave log'!$A$7:$A$306,Employees!$A$32,'Leave log'!$B$7:$B$306,"&lt;="&amp;DATE($B$3,3,21),'Leave log'!$C$7:$C$306,"&gt;="&amp;DATE($B$3,3,21),'Leave log'!$F$7:$F$306,"Pending")&gt;0,"P",""))))</f>
        <v/>
      </c>
      <c r="W101" s="23" t="str">
        <f>IF(A101="","",IF(IF(OR(DATE($B$3,3,22)&gt;EOMONTH(DATE($B$3,3,1),0),NETWORKDAYS.INTL(DATE($B$3,3,22),DATE($B$3,3,22),1,'Non-working days'!$A$6:$A$45)=0),"",IF(COUNTIFS('Leave log'!$A$7:$A$306,Employees!$A$32,'Leave log'!$B$7:$B$306,"&lt;="&amp;DATE($B$3,3,22),'Leave log'!$C$7:$C$306,"&gt;="&amp;DATE($B$3,3,22),'Leave log'!$F$7:$F$306,"Approved")&gt;0,"A",""))="A","A",IF(OR(DATE($B$3,3,22)&gt;EOMONTH(DATE($B$3,3,1),0),NETWORKDAYS.INTL(DATE($B$3,3,22),DATE($B$3,3,22),1,'Non-working days'!$A$6:$A$45)=0),"",IF(COUNTIFS('Leave log'!$A$7:$A$306,Employees!$A$32,'Leave log'!$B$7:$B$306,"&lt;="&amp;DATE($B$3,3,22),'Leave log'!$C$7:$C$306,"&gt;="&amp;DATE($B$3,3,22),'Leave log'!$F$7:$F$306,"Pending")&gt;0,"P",""))))</f>
        <v/>
      </c>
      <c r="X101" s="23" t="str">
        <f>IF(A101="","",IF(IF(OR(DATE($B$3,3,23)&gt;EOMONTH(DATE($B$3,3,1),0),NETWORKDAYS.INTL(DATE($B$3,3,23),DATE($B$3,3,23),1,'Non-working days'!$A$6:$A$45)=0),"",IF(COUNTIFS('Leave log'!$A$7:$A$306,Employees!$A$32,'Leave log'!$B$7:$B$306,"&lt;="&amp;DATE($B$3,3,23),'Leave log'!$C$7:$C$306,"&gt;="&amp;DATE($B$3,3,23),'Leave log'!$F$7:$F$306,"Approved")&gt;0,"A",""))="A","A",IF(OR(DATE($B$3,3,23)&gt;EOMONTH(DATE($B$3,3,1),0),NETWORKDAYS.INTL(DATE($B$3,3,23),DATE($B$3,3,23),1,'Non-working days'!$A$6:$A$45)=0),"",IF(COUNTIFS('Leave log'!$A$7:$A$306,Employees!$A$32,'Leave log'!$B$7:$B$306,"&lt;="&amp;DATE($B$3,3,23),'Leave log'!$C$7:$C$306,"&gt;="&amp;DATE($B$3,3,23),'Leave log'!$F$7:$F$306,"Pending")&gt;0,"P",""))))</f>
        <v/>
      </c>
      <c r="Y101" s="23" t="str">
        <f>IF(A101="","",IF(IF(OR(DATE($B$3,3,24)&gt;EOMONTH(DATE($B$3,3,1),0),NETWORKDAYS.INTL(DATE($B$3,3,24),DATE($B$3,3,24),1,'Non-working days'!$A$6:$A$45)=0),"",IF(COUNTIFS('Leave log'!$A$7:$A$306,Employees!$A$32,'Leave log'!$B$7:$B$306,"&lt;="&amp;DATE($B$3,3,24),'Leave log'!$C$7:$C$306,"&gt;="&amp;DATE($B$3,3,24),'Leave log'!$F$7:$F$306,"Approved")&gt;0,"A",""))="A","A",IF(OR(DATE($B$3,3,24)&gt;EOMONTH(DATE($B$3,3,1),0),NETWORKDAYS.INTL(DATE($B$3,3,24),DATE($B$3,3,24),1,'Non-working days'!$A$6:$A$45)=0),"",IF(COUNTIFS('Leave log'!$A$7:$A$306,Employees!$A$32,'Leave log'!$B$7:$B$306,"&lt;="&amp;DATE($B$3,3,24),'Leave log'!$C$7:$C$306,"&gt;="&amp;DATE($B$3,3,24),'Leave log'!$F$7:$F$306,"Pending")&gt;0,"P",""))))</f>
        <v/>
      </c>
      <c r="Z101" s="23" t="str">
        <f>IF(A101="","",IF(IF(OR(DATE($B$3,3,25)&gt;EOMONTH(DATE($B$3,3,1),0),NETWORKDAYS.INTL(DATE($B$3,3,25),DATE($B$3,3,25),1,'Non-working days'!$A$6:$A$45)=0),"",IF(COUNTIFS('Leave log'!$A$7:$A$306,Employees!$A$32,'Leave log'!$B$7:$B$306,"&lt;="&amp;DATE($B$3,3,25),'Leave log'!$C$7:$C$306,"&gt;="&amp;DATE($B$3,3,25),'Leave log'!$F$7:$F$306,"Approved")&gt;0,"A",""))="A","A",IF(OR(DATE($B$3,3,25)&gt;EOMONTH(DATE($B$3,3,1),0),NETWORKDAYS.INTL(DATE($B$3,3,25),DATE($B$3,3,25),1,'Non-working days'!$A$6:$A$45)=0),"",IF(COUNTIFS('Leave log'!$A$7:$A$306,Employees!$A$32,'Leave log'!$B$7:$B$306,"&lt;="&amp;DATE($B$3,3,25),'Leave log'!$C$7:$C$306,"&gt;="&amp;DATE($B$3,3,25),'Leave log'!$F$7:$F$306,"Pending")&gt;0,"P",""))))</f>
        <v/>
      </c>
      <c r="AA101" s="23" t="str">
        <f>IF(A101="","",IF(IF(OR(DATE($B$3,3,26)&gt;EOMONTH(DATE($B$3,3,1),0),NETWORKDAYS.INTL(DATE($B$3,3,26),DATE($B$3,3,26),1,'Non-working days'!$A$6:$A$45)=0),"",IF(COUNTIFS('Leave log'!$A$7:$A$306,Employees!$A$32,'Leave log'!$B$7:$B$306,"&lt;="&amp;DATE($B$3,3,26),'Leave log'!$C$7:$C$306,"&gt;="&amp;DATE($B$3,3,26),'Leave log'!$F$7:$F$306,"Approved")&gt;0,"A",""))="A","A",IF(OR(DATE($B$3,3,26)&gt;EOMONTH(DATE($B$3,3,1),0),NETWORKDAYS.INTL(DATE($B$3,3,26),DATE($B$3,3,26),1,'Non-working days'!$A$6:$A$45)=0),"",IF(COUNTIFS('Leave log'!$A$7:$A$306,Employees!$A$32,'Leave log'!$B$7:$B$306,"&lt;="&amp;DATE($B$3,3,26),'Leave log'!$C$7:$C$306,"&gt;="&amp;DATE($B$3,3,26),'Leave log'!$F$7:$F$306,"Pending")&gt;0,"P",""))))</f>
        <v/>
      </c>
      <c r="AB101" s="23" t="str">
        <f>IF(A101="","",IF(IF(OR(DATE($B$3,3,27)&gt;EOMONTH(DATE($B$3,3,1),0),NETWORKDAYS.INTL(DATE($B$3,3,27),DATE($B$3,3,27),1,'Non-working days'!$A$6:$A$45)=0),"",IF(COUNTIFS('Leave log'!$A$7:$A$306,Employees!$A$32,'Leave log'!$B$7:$B$306,"&lt;="&amp;DATE($B$3,3,27),'Leave log'!$C$7:$C$306,"&gt;="&amp;DATE($B$3,3,27),'Leave log'!$F$7:$F$306,"Approved")&gt;0,"A",""))="A","A",IF(OR(DATE($B$3,3,27)&gt;EOMONTH(DATE($B$3,3,1),0),NETWORKDAYS.INTL(DATE($B$3,3,27),DATE($B$3,3,27),1,'Non-working days'!$A$6:$A$45)=0),"",IF(COUNTIFS('Leave log'!$A$7:$A$306,Employees!$A$32,'Leave log'!$B$7:$B$306,"&lt;="&amp;DATE($B$3,3,27),'Leave log'!$C$7:$C$306,"&gt;="&amp;DATE($B$3,3,27),'Leave log'!$F$7:$F$306,"Pending")&gt;0,"P",""))))</f>
        <v/>
      </c>
      <c r="AC101" s="23" t="str">
        <f>IF(A101="","",IF(IF(OR(DATE($B$3,3,28)&gt;EOMONTH(DATE($B$3,3,1),0),NETWORKDAYS.INTL(DATE($B$3,3,28),DATE($B$3,3,28),1,'Non-working days'!$A$6:$A$45)=0),"",IF(COUNTIFS('Leave log'!$A$7:$A$306,Employees!$A$32,'Leave log'!$B$7:$B$306,"&lt;="&amp;DATE($B$3,3,28),'Leave log'!$C$7:$C$306,"&gt;="&amp;DATE($B$3,3,28),'Leave log'!$F$7:$F$306,"Approved")&gt;0,"A",""))="A","A",IF(OR(DATE($B$3,3,28)&gt;EOMONTH(DATE($B$3,3,1),0),NETWORKDAYS.INTL(DATE($B$3,3,28),DATE($B$3,3,28),1,'Non-working days'!$A$6:$A$45)=0),"",IF(COUNTIFS('Leave log'!$A$7:$A$306,Employees!$A$32,'Leave log'!$B$7:$B$306,"&lt;="&amp;DATE($B$3,3,28),'Leave log'!$C$7:$C$306,"&gt;="&amp;DATE($B$3,3,28),'Leave log'!$F$7:$F$306,"Pending")&gt;0,"P",""))))</f>
        <v/>
      </c>
      <c r="AD101" s="23" t="str">
        <f>IF(A101="","",IF(IF(OR(DATE($B$3,3,29)&gt;EOMONTH(DATE($B$3,3,1),0),NETWORKDAYS.INTL(DATE($B$3,3,29),DATE($B$3,3,29),1,'Non-working days'!$A$6:$A$45)=0),"",IF(COUNTIFS('Leave log'!$A$7:$A$306,Employees!$A$32,'Leave log'!$B$7:$B$306,"&lt;="&amp;DATE($B$3,3,29),'Leave log'!$C$7:$C$306,"&gt;="&amp;DATE($B$3,3,29),'Leave log'!$F$7:$F$306,"Approved")&gt;0,"A",""))="A","A",IF(OR(DATE($B$3,3,29)&gt;EOMONTH(DATE($B$3,3,1),0),NETWORKDAYS.INTL(DATE($B$3,3,29),DATE($B$3,3,29),1,'Non-working days'!$A$6:$A$45)=0),"",IF(COUNTIFS('Leave log'!$A$7:$A$306,Employees!$A$32,'Leave log'!$B$7:$B$306,"&lt;="&amp;DATE($B$3,3,29),'Leave log'!$C$7:$C$306,"&gt;="&amp;DATE($B$3,3,29),'Leave log'!$F$7:$F$306,"Pending")&gt;0,"P",""))))</f>
        <v/>
      </c>
      <c r="AE101" s="23" t="str">
        <f>IF(A101="","",IF(IF(OR(DATE($B$3,3,30)&gt;EOMONTH(DATE($B$3,3,1),0),NETWORKDAYS.INTL(DATE($B$3,3,30),DATE($B$3,3,30),1,'Non-working days'!$A$6:$A$45)=0),"",IF(COUNTIFS('Leave log'!$A$7:$A$306,Employees!$A$32,'Leave log'!$B$7:$B$306,"&lt;="&amp;DATE($B$3,3,30),'Leave log'!$C$7:$C$306,"&gt;="&amp;DATE($B$3,3,30),'Leave log'!$F$7:$F$306,"Approved")&gt;0,"A",""))="A","A",IF(OR(DATE($B$3,3,30)&gt;EOMONTH(DATE($B$3,3,1),0),NETWORKDAYS.INTL(DATE($B$3,3,30),DATE($B$3,3,30),1,'Non-working days'!$A$6:$A$45)=0),"",IF(COUNTIFS('Leave log'!$A$7:$A$306,Employees!$A$32,'Leave log'!$B$7:$B$306,"&lt;="&amp;DATE($B$3,3,30),'Leave log'!$C$7:$C$306,"&gt;="&amp;DATE($B$3,3,30),'Leave log'!$F$7:$F$306,"Pending")&gt;0,"P",""))))</f>
        <v/>
      </c>
      <c r="AF101" s="23" t="str">
        <f>IF(A101="","",IF(IF(OR(DATE($B$3,3,31)&gt;EOMONTH(DATE($B$3,3,1),0),NETWORKDAYS.INTL(DATE($B$3,3,31),DATE($B$3,3,31),1,'Non-working days'!$A$6:$A$45)=0),"",IF(COUNTIFS('Leave log'!$A$7:$A$306,Employees!$A$32,'Leave log'!$B$7:$B$306,"&lt;="&amp;DATE($B$3,3,31),'Leave log'!$C$7:$C$306,"&gt;="&amp;DATE($B$3,3,31),'Leave log'!$F$7:$F$306,"Approved")&gt;0,"A",""))="A","A",IF(OR(DATE($B$3,3,31)&gt;EOMONTH(DATE($B$3,3,1),0),NETWORKDAYS.INTL(DATE($B$3,3,31),DATE($B$3,3,31),1,'Non-working days'!$A$6:$A$45)=0),"",IF(COUNTIFS('Leave log'!$A$7:$A$306,Employees!$A$32,'Leave log'!$B$7:$B$306,"&lt;="&amp;DATE($B$3,3,31),'Leave log'!$C$7:$C$306,"&gt;="&amp;DATE($B$3,3,31),'Leave log'!$F$7:$F$306,"Pending")&gt;0,"P",""))))</f>
        <v/>
      </c>
    </row>
    <row r="102" spans="1:32" ht="18" customHeight="1" x14ac:dyDescent="0.3">
      <c r="A102" s="22" t="str">
        <f>IF(Employees!F33="Yes",Employees!B33,"")</f>
        <v/>
      </c>
      <c r="B102" s="23" t="str">
        <f>IF(A102="","",IF(IF(OR(DATE($B$3,3,1)&gt;EOMONTH(DATE($B$3,3,1),0),NETWORKDAYS.INTL(DATE($B$3,3,1),DATE($B$3,3,1),1,'Non-working days'!$A$6:$A$45)=0),"",IF(COUNTIFS('Leave log'!$A$7:$A$306,Employees!$A$33,'Leave log'!$B$7:$B$306,"&lt;="&amp;DATE($B$3,3,1),'Leave log'!$C$7:$C$306,"&gt;="&amp;DATE($B$3,3,1),'Leave log'!$F$7:$F$306,"Approved")&gt;0,"A",""))="A","A",IF(OR(DATE($B$3,3,1)&gt;EOMONTH(DATE($B$3,3,1),0),NETWORKDAYS.INTL(DATE($B$3,3,1),DATE($B$3,3,1),1,'Non-working days'!$A$6:$A$45)=0),"",IF(COUNTIFS('Leave log'!$A$7:$A$306,Employees!$A$33,'Leave log'!$B$7:$B$306,"&lt;="&amp;DATE($B$3,3,1),'Leave log'!$C$7:$C$306,"&gt;="&amp;DATE($B$3,3,1),'Leave log'!$F$7:$F$306,"Pending")&gt;0,"P",""))))</f>
        <v/>
      </c>
      <c r="C102" s="23" t="str">
        <f>IF(A102="","",IF(IF(OR(DATE($B$3,3,2)&gt;EOMONTH(DATE($B$3,3,1),0),NETWORKDAYS.INTL(DATE($B$3,3,2),DATE($B$3,3,2),1,'Non-working days'!$A$6:$A$45)=0),"",IF(COUNTIFS('Leave log'!$A$7:$A$306,Employees!$A$33,'Leave log'!$B$7:$B$306,"&lt;="&amp;DATE($B$3,3,2),'Leave log'!$C$7:$C$306,"&gt;="&amp;DATE($B$3,3,2),'Leave log'!$F$7:$F$306,"Approved")&gt;0,"A",""))="A","A",IF(OR(DATE($B$3,3,2)&gt;EOMONTH(DATE($B$3,3,1),0),NETWORKDAYS.INTL(DATE($B$3,3,2),DATE($B$3,3,2),1,'Non-working days'!$A$6:$A$45)=0),"",IF(COUNTIFS('Leave log'!$A$7:$A$306,Employees!$A$33,'Leave log'!$B$7:$B$306,"&lt;="&amp;DATE($B$3,3,2),'Leave log'!$C$7:$C$306,"&gt;="&amp;DATE($B$3,3,2),'Leave log'!$F$7:$F$306,"Pending")&gt;0,"P",""))))</f>
        <v/>
      </c>
      <c r="D102" s="23" t="str">
        <f>IF(A102="","",IF(IF(OR(DATE($B$3,3,3)&gt;EOMONTH(DATE($B$3,3,1),0),NETWORKDAYS.INTL(DATE($B$3,3,3),DATE($B$3,3,3),1,'Non-working days'!$A$6:$A$45)=0),"",IF(COUNTIFS('Leave log'!$A$7:$A$306,Employees!$A$33,'Leave log'!$B$7:$B$306,"&lt;="&amp;DATE($B$3,3,3),'Leave log'!$C$7:$C$306,"&gt;="&amp;DATE($B$3,3,3),'Leave log'!$F$7:$F$306,"Approved")&gt;0,"A",""))="A","A",IF(OR(DATE($B$3,3,3)&gt;EOMONTH(DATE($B$3,3,1),0),NETWORKDAYS.INTL(DATE($B$3,3,3),DATE($B$3,3,3),1,'Non-working days'!$A$6:$A$45)=0),"",IF(COUNTIFS('Leave log'!$A$7:$A$306,Employees!$A$33,'Leave log'!$B$7:$B$306,"&lt;="&amp;DATE($B$3,3,3),'Leave log'!$C$7:$C$306,"&gt;="&amp;DATE($B$3,3,3),'Leave log'!$F$7:$F$306,"Pending")&gt;0,"P",""))))</f>
        <v/>
      </c>
      <c r="E102" s="23" t="str">
        <f>IF(A102="","",IF(IF(OR(DATE($B$3,3,4)&gt;EOMONTH(DATE($B$3,3,1),0),NETWORKDAYS.INTL(DATE($B$3,3,4),DATE($B$3,3,4),1,'Non-working days'!$A$6:$A$45)=0),"",IF(COUNTIFS('Leave log'!$A$7:$A$306,Employees!$A$33,'Leave log'!$B$7:$B$306,"&lt;="&amp;DATE($B$3,3,4),'Leave log'!$C$7:$C$306,"&gt;="&amp;DATE($B$3,3,4),'Leave log'!$F$7:$F$306,"Approved")&gt;0,"A",""))="A","A",IF(OR(DATE($B$3,3,4)&gt;EOMONTH(DATE($B$3,3,1),0),NETWORKDAYS.INTL(DATE($B$3,3,4),DATE($B$3,3,4),1,'Non-working days'!$A$6:$A$45)=0),"",IF(COUNTIFS('Leave log'!$A$7:$A$306,Employees!$A$33,'Leave log'!$B$7:$B$306,"&lt;="&amp;DATE($B$3,3,4),'Leave log'!$C$7:$C$306,"&gt;="&amp;DATE($B$3,3,4),'Leave log'!$F$7:$F$306,"Pending")&gt;0,"P",""))))</f>
        <v/>
      </c>
      <c r="F102" s="23" t="str">
        <f>IF(A102="","",IF(IF(OR(DATE($B$3,3,5)&gt;EOMONTH(DATE($B$3,3,1),0),NETWORKDAYS.INTL(DATE($B$3,3,5),DATE($B$3,3,5),1,'Non-working days'!$A$6:$A$45)=0),"",IF(COUNTIFS('Leave log'!$A$7:$A$306,Employees!$A$33,'Leave log'!$B$7:$B$306,"&lt;="&amp;DATE($B$3,3,5),'Leave log'!$C$7:$C$306,"&gt;="&amp;DATE($B$3,3,5),'Leave log'!$F$7:$F$306,"Approved")&gt;0,"A",""))="A","A",IF(OR(DATE($B$3,3,5)&gt;EOMONTH(DATE($B$3,3,1),0),NETWORKDAYS.INTL(DATE($B$3,3,5),DATE($B$3,3,5),1,'Non-working days'!$A$6:$A$45)=0),"",IF(COUNTIFS('Leave log'!$A$7:$A$306,Employees!$A$33,'Leave log'!$B$7:$B$306,"&lt;="&amp;DATE($B$3,3,5),'Leave log'!$C$7:$C$306,"&gt;="&amp;DATE($B$3,3,5),'Leave log'!$F$7:$F$306,"Pending")&gt;0,"P",""))))</f>
        <v/>
      </c>
      <c r="G102" s="23" t="str">
        <f>IF(A102="","",IF(IF(OR(DATE($B$3,3,6)&gt;EOMONTH(DATE($B$3,3,1),0),NETWORKDAYS.INTL(DATE($B$3,3,6),DATE($B$3,3,6),1,'Non-working days'!$A$6:$A$45)=0),"",IF(COUNTIFS('Leave log'!$A$7:$A$306,Employees!$A$33,'Leave log'!$B$7:$B$306,"&lt;="&amp;DATE($B$3,3,6),'Leave log'!$C$7:$C$306,"&gt;="&amp;DATE($B$3,3,6),'Leave log'!$F$7:$F$306,"Approved")&gt;0,"A",""))="A","A",IF(OR(DATE($B$3,3,6)&gt;EOMONTH(DATE($B$3,3,1),0),NETWORKDAYS.INTL(DATE($B$3,3,6),DATE($B$3,3,6),1,'Non-working days'!$A$6:$A$45)=0),"",IF(COUNTIFS('Leave log'!$A$7:$A$306,Employees!$A$33,'Leave log'!$B$7:$B$306,"&lt;="&amp;DATE($B$3,3,6),'Leave log'!$C$7:$C$306,"&gt;="&amp;DATE($B$3,3,6),'Leave log'!$F$7:$F$306,"Pending")&gt;0,"P",""))))</f>
        <v/>
      </c>
      <c r="H102" s="23" t="str">
        <f>IF(A102="","",IF(IF(OR(DATE($B$3,3,7)&gt;EOMONTH(DATE($B$3,3,1),0),NETWORKDAYS.INTL(DATE($B$3,3,7),DATE($B$3,3,7),1,'Non-working days'!$A$6:$A$45)=0),"",IF(COUNTIFS('Leave log'!$A$7:$A$306,Employees!$A$33,'Leave log'!$B$7:$B$306,"&lt;="&amp;DATE($B$3,3,7),'Leave log'!$C$7:$C$306,"&gt;="&amp;DATE($B$3,3,7),'Leave log'!$F$7:$F$306,"Approved")&gt;0,"A",""))="A","A",IF(OR(DATE($B$3,3,7)&gt;EOMONTH(DATE($B$3,3,1),0),NETWORKDAYS.INTL(DATE($B$3,3,7),DATE($B$3,3,7),1,'Non-working days'!$A$6:$A$45)=0),"",IF(COUNTIFS('Leave log'!$A$7:$A$306,Employees!$A$33,'Leave log'!$B$7:$B$306,"&lt;="&amp;DATE($B$3,3,7),'Leave log'!$C$7:$C$306,"&gt;="&amp;DATE($B$3,3,7),'Leave log'!$F$7:$F$306,"Pending")&gt;0,"P",""))))</f>
        <v/>
      </c>
      <c r="I102" s="23" t="str">
        <f>IF(A102="","",IF(IF(OR(DATE($B$3,3,8)&gt;EOMONTH(DATE($B$3,3,1),0),NETWORKDAYS.INTL(DATE($B$3,3,8),DATE($B$3,3,8),1,'Non-working days'!$A$6:$A$45)=0),"",IF(COUNTIFS('Leave log'!$A$7:$A$306,Employees!$A$33,'Leave log'!$B$7:$B$306,"&lt;="&amp;DATE($B$3,3,8),'Leave log'!$C$7:$C$306,"&gt;="&amp;DATE($B$3,3,8),'Leave log'!$F$7:$F$306,"Approved")&gt;0,"A",""))="A","A",IF(OR(DATE($B$3,3,8)&gt;EOMONTH(DATE($B$3,3,1),0),NETWORKDAYS.INTL(DATE($B$3,3,8),DATE($B$3,3,8),1,'Non-working days'!$A$6:$A$45)=0),"",IF(COUNTIFS('Leave log'!$A$7:$A$306,Employees!$A$33,'Leave log'!$B$7:$B$306,"&lt;="&amp;DATE($B$3,3,8),'Leave log'!$C$7:$C$306,"&gt;="&amp;DATE($B$3,3,8),'Leave log'!$F$7:$F$306,"Pending")&gt;0,"P",""))))</f>
        <v/>
      </c>
      <c r="J102" s="23" t="str">
        <f>IF(A102="","",IF(IF(OR(DATE($B$3,3,9)&gt;EOMONTH(DATE($B$3,3,1),0),NETWORKDAYS.INTL(DATE($B$3,3,9),DATE($B$3,3,9),1,'Non-working days'!$A$6:$A$45)=0),"",IF(COUNTIFS('Leave log'!$A$7:$A$306,Employees!$A$33,'Leave log'!$B$7:$B$306,"&lt;="&amp;DATE($B$3,3,9),'Leave log'!$C$7:$C$306,"&gt;="&amp;DATE($B$3,3,9),'Leave log'!$F$7:$F$306,"Approved")&gt;0,"A",""))="A","A",IF(OR(DATE($B$3,3,9)&gt;EOMONTH(DATE($B$3,3,1),0),NETWORKDAYS.INTL(DATE($B$3,3,9),DATE($B$3,3,9),1,'Non-working days'!$A$6:$A$45)=0),"",IF(COUNTIFS('Leave log'!$A$7:$A$306,Employees!$A$33,'Leave log'!$B$7:$B$306,"&lt;="&amp;DATE($B$3,3,9),'Leave log'!$C$7:$C$306,"&gt;="&amp;DATE($B$3,3,9),'Leave log'!$F$7:$F$306,"Pending")&gt;0,"P",""))))</f>
        <v/>
      </c>
      <c r="K102" s="23" t="str">
        <f>IF(A102="","",IF(IF(OR(DATE($B$3,3,10)&gt;EOMONTH(DATE($B$3,3,1),0),NETWORKDAYS.INTL(DATE($B$3,3,10),DATE($B$3,3,10),1,'Non-working days'!$A$6:$A$45)=0),"",IF(COUNTIFS('Leave log'!$A$7:$A$306,Employees!$A$33,'Leave log'!$B$7:$B$306,"&lt;="&amp;DATE($B$3,3,10),'Leave log'!$C$7:$C$306,"&gt;="&amp;DATE($B$3,3,10),'Leave log'!$F$7:$F$306,"Approved")&gt;0,"A",""))="A","A",IF(OR(DATE($B$3,3,10)&gt;EOMONTH(DATE($B$3,3,1),0),NETWORKDAYS.INTL(DATE($B$3,3,10),DATE($B$3,3,10),1,'Non-working days'!$A$6:$A$45)=0),"",IF(COUNTIFS('Leave log'!$A$7:$A$306,Employees!$A$33,'Leave log'!$B$7:$B$306,"&lt;="&amp;DATE($B$3,3,10),'Leave log'!$C$7:$C$306,"&gt;="&amp;DATE($B$3,3,10),'Leave log'!$F$7:$F$306,"Pending")&gt;0,"P",""))))</f>
        <v/>
      </c>
      <c r="L102" s="23" t="str">
        <f>IF(A102="","",IF(IF(OR(DATE($B$3,3,11)&gt;EOMONTH(DATE($B$3,3,1),0),NETWORKDAYS.INTL(DATE($B$3,3,11),DATE($B$3,3,11),1,'Non-working days'!$A$6:$A$45)=0),"",IF(COUNTIFS('Leave log'!$A$7:$A$306,Employees!$A$33,'Leave log'!$B$7:$B$306,"&lt;="&amp;DATE($B$3,3,11),'Leave log'!$C$7:$C$306,"&gt;="&amp;DATE($B$3,3,11),'Leave log'!$F$7:$F$306,"Approved")&gt;0,"A",""))="A","A",IF(OR(DATE($B$3,3,11)&gt;EOMONTH(DATE($B$3,3,1),0),NETWORKDAYS.INTL(DATE($B$3,3,11),DATE($B$3,3,11),1,'Non-working days'!$A$6:$A$45)=0),"",IF(COUNTIFS('Leave log'!$A$7:$A$306,Employees!$A$33,'Leave log'!$B$7:$B$306,"&lt;="&amp;DATE($B$3,3,11),'Leave log'!$C$7:$C$306,"&gt;="&amp;DATE($B$3,3,11),'Leave log'!$F$7:$F$306,"Pending")&gt;0,"P",""))))</f>
        <v/>
      </c>
      <c r="M102" s="23" t="str">
        <f>IF(A102="","",IF(IF(OR(DATE($B$3,3,12)&gt;EOMONTH(DATE($B$3,3,1),0),NETWORKDAYS.INTL(DATE($B$3,3,12),DATE($B$3,3,12),1,'Non-working days'!$A$6:$A$45)=0),"",IF(COUNTIFS('Leave log'!$A$7:$A$306,Employees!$A$33,'Leave log'!$B$7:$B$306,"&lt;="&amp;DATE($B$3,3,12),'Leave log'!$C$7:$C$306,"&gt;="&amp;DATE($B$3,3,12),'Leave log'!$F$7:$F$306,"Approved")&gt;0,"A",""))="A","A",IF(OR(DATE($B$3,3,12)&gt;EOMONTH(DATE($B$3,3,1),0),NETWORKDAYS.INTL(DATE($B$3,3,12),DATE($B$3,3,12),1,'Non-working days'!$A$6:$A$45)=0),"",IF(COUNTIFS('Leave log'!$A$7:$A$306,Employees!$A$33,'Leave log'!$B$7:$B$306,"&lt;="&amp;DATE($B$3,3,12),'Leave log'!$C$7:$C$306,"&gt;="&amp;DATE($B$3,3,12),'Leave log'!$F$7:$F$306,"Pending")&gt;0,"P",""))))</f>
        <v/>
      </c>
      <c r="N102" s="23" t="str">
        <f>IF(A102="","",IF(IF(OR(DATE($B$3,3,13)&gt;EOMONTH(DATE($B$3,3,1),0),NETWORKDAYS.INTL(DATE($B$3,3,13),DATE($B$3,3,13),1,'Non-working days'!$A$6:$A$45)=0),"",IF(COUNTIFS('Leave log'!$A$7:$A$306,Employees!$A$33,'Leave log'!$B$7:$B$306,"&lt;="&amp;DATE($B$3,3,13),'Leave log'!$C$7:$C$306,"&gt;="&amp;DATE($B$3,3,13),'Leave log'!$F$7:$F$306,"Approved")&gt;0,"A",""))="A","A",IF(OR(DATE($B$3,3,13)&gt;EOMONTH(DATE($B$3,3,1),0),NETWORKDAYS.INTL(DATE($B$3,3,13),DATE($B$3,3,13),1,'Non-working days'!$A$6:$A$45)=0),"",IF(COUNTIFS('Leave log'!$A$7:$A$306,Employees!$A$33,'Leave log'!$B$7:$B$306,"&lt;="&amp;DATE($B$3,3,13),'Leave log'!$C$7:$C$306,"&gt;="&amp;DATE($B$3,3,13),'Leave log'!$F$7:$F$306,"Pending")&gt;0,"P",""))))</f>
        <v/>
      </c>
      <c r="O102" s="23" t="str">
        <f>IF(A102="","",IF(IF(OR(DATE($B$3,3,14)&gt;EOMONTH(DATE($B$3,3,1),0),NETWORKDAYS.INTL(DATE($B$3,3,14),DATE($B$3,3,14),1,'Non-working days'!$A$6:$A$45)=0),"",IF(COUNTIFS('Leave log'!$A$7:$A$306,Employees!$A$33,'Leave log'!$B$7:$B$306,"&lt;="&amp;DATE($B$3,3,14),'Leave log'!$C$7:$C$306,"&gt;="&amp;DATE($B$3,3,14),'Leave log'!$F$7:$F$306,"Approved")&gt;0,"A",""))="A","A",IF(OR(DATE($B$3,3,14)&gt;EOMONTH(DATE($B$3,3,1),0),NETWORKDAYS.INTL(DATE($B$3,3,14),DATE($B$3,3,14),1,'Non-working days'!$A$6:$A$45)=0),"",IF(COUNTIFS('Leave log'!$A$7:$A$306,Employees!$A$33,'Leave log'!$B$7:$B$306,"&lt;="&amp;DATE($B$3,3,14),'Leave log'!$C$7:$C$306,"&gt;="&amp;DATE($B$3,3,14),'Leave log'!$F$7:$F$306,"Pending")&gt;0,"P",""))))</f>
        <v/>
      </c>
      <c r="P102" s="23" t="str">
        <f>IF(A102="","",IF(IF(OR(DATE($B$3,3,15)&gt;EOMONTH(DATE($B$3,3,1),0),NETWORKDAYS.INTL(DATE($B$3,3,15),DATE($B$3,3,15),1,'Non-working days'!$A$6:$A$45)=0),"",IF(COUNTIFS('Leave log'!$A$7:$A$306,Employees!$A$33,'Leave log'!$B$7:$B$306,"&lt;="&amp;DATE($B$3,3,15),'Leave log'!$C$7:$C$306,"&gt;="&amp;DATE($B$3,3,15),'Leave log'!$F$7:$F$306,"Approved")&gt;0,"A",""))="A","A",IF(OR(DATE($B$3,3,15)&gt;EOMONTH(DATE($B$3,3,1),0),NETWORKDAYS.INTL(DATE($B$3,3,15),DATE($B$3,3,15),1,'Non-working days'!$A$6:$A$45)=0),"",IF(COUNTIFS('Leave log'!$A$7:$A$306,Employees!$A$33,'Leave log'!$B$7:$B$306,"&lt;="&amp;DATE($B$3,3,15),'Leave log'!$C$7:$C$306,"&gt;="&amp;DATE($B$3,3,15),'Leave log'!$F$7:$F$306,"Pending")&gt;0,"P",""))))</f>
        <v/>
      </c>
      <c r="Q102" s="23" t="str">
        <f>IF(A102="","",IF(IF(OR(DATE($B$3,3,16)&gt;EOMONTH(DATE($B$3,3,1),0),NETWORKDAYS.INTL(DATE($B$3,3,16),DATE($B$3,3,16),1,'Non-working days'!$A$6:$A$45)=0),"",IF(COUNTIFS('Leave log'!$A$7:$A$306,Employees!$A$33,'Leave log'!$B$7:$B$306,"&lt;="&amp;DATE($B$3,3,16),'Leave log'!$C$7:$C$306,"&gt;="&amp;DATE($B$3,3,16),'Leave log'!$F$7:$F$306,"Approved")&gt;0,"A",""))="A","A",IF(OR(DATE($B$3,3,16)&gt;EOMONTH(DATE($B$3,3,1),0),NETWORKDAYS.INTL(DATE($B$3,3,16),DATE($B$3,3,16),1,'Non-working days'!$A$6:$A$45)=0),"",IF(COUNTIFS('Leave log'!$A$7:$A$306,Employees!$A$33,'Leave log'!$B$7:$B$306,"&lt;="&amp;DATE($B$3,3,16),'Leave log'!$C$7:$C$306,"&gt;="&amp;DATE($B$3,3,16),'Leave log'!$F$7:$F$306,"Pending")&gt;0,"P",""))))</f>
        <v/>
      </c>
      <c r="R102" s="23" t="str">
        <f>IF(A102="","",IF(IF(OR(DATE($B$3,3,17)&gt;EOMONTH(DATE($B$3,3,1),0),NETWORKDAYS.INTL(DATE($B$3,3,17),DATE($B$3,3,17),1,'Non-working days'!$A$6:$A$45)=0),"",IF(COUNTIFS('Leave log'!$A$7:$A$306,Employees!$A$33,'Leave log'!$B$7:$B$306,"&lt;="&amp;DATE($B$3,3,17),'Leave log'!$C$7:$C$306,"&gt;="&amp;DATE($B$3,3,17),'Leave log'!$F$7:$F$306,"Approved")&gt;0,"A",""))="A","A",IF(OR(DATE($B$3,3,17)&gt;EOMONTH(DATE($B$3,3,1),0),NETWORKDAYS.INTL(DATE($B$3,3,17),DATE($B$3,3,17),1,'Non-working days'!$A$6:$A$45)=0),"",IF(COUNTIFS('Leave log'!$A$7:$A$306,Employees!$A$33,'Leave log'!$B$7:$B$306,"&lt;="&amp;DATE($B$3,3,17),'Leave log'!$C$7:$C$306,"&gt;="&amp;DATE($B$3,3,17),'Leave log'!$F$7:$F$306,"Pending")&gt;0,"P",""))))</f>
        <v/>
      </c>
      <c r="S102" s="23" t="str">
        <f>IF(A102="","",IF(IF(OR(DATE($B$3,3,18)&gt;EOMONTH(DATE($B$3,3,1),0),NETWORKDAYS.INTL(DATE($B$3,3,18),DATE($B$3,3,18),1,'Non-working days'!$A$6:$A$45)=0),"",IF(COUNTIFS('Leave log'!$A$7:$A$306,Employees!$A$33,'Leave log'!$B$7:$B$306,"&lt;="&amp;DATE($B$3,3,18),'Leave log'!$C$7:$C$306,"&gt;="&amp;DATE($B$3,3,18),'Leave log'!$F$7:$F$306,"Approved")&gt;0,"A",""))="A","A",IF(OR(DATE($B$3,3,18)&gt;EOMONTH(DATE($B$3,3,1),0),NETWORKDAYS.INTL(DATE($B$3,3,18),DATE($B$3,3,18),1,'Non-working days'!$A$6:$A$45)=0),"",IF(COUNTIFS('Leave log'!$A$7:$A$306,Employees!$A$33,'Leave log'!$B$7:$B$306,"&lt;="&amp;DATE($B$3,3,18),'Leave log'!$C$7:$C$306,"&gt;="&amp;DATE($B$3,3,18),'Leave log'!$F$7:$F$306,"Pending")&gt;0,"P",""))))</f>
        <v/>
      </c>
      <c r="T102" s="23" t="str">
        <f>IF(A102="","",IF(IF(OR(DATE($B$3,3,19)&gt;EOMONTH(DATE($B$3,3,1),0),NETWORKDAYS.INTL(DATE($B$3,3,19),DATE($B$3,3,19),1,'Non-working days'!$A$6:$A$45)=0),"",IF(COUNTIFS('Leave log'!$A$7:$A$306,Employees!$A$33,'Leave log'!$B$7:$B$306,"&lt;="&amp;DATE($B$3,3,19),'Leave log'!$C$7:$C$306,"&gt;="&amp;DATE($B$3,3,19),'Leave log'!$F$7:$F$306,"Approved")&gt;0,"A",""))="A","A",IF(OR(DATE($B$3,3,19)&gt;EOMONTH(DATE($B$3,3,1),0),NETWORKDAYS.INTL(DATE($B$3,3,19),DATE($B$3,3,19),1,'Non-working days'!$A$6:$A$45)=0),"",IF(COUNTIFS('Leave log'!$A$7:$A$306,Employees!$A$33,'Leave log'!$B$7:$B$306,"&lt;="&amp;DATE($B$3,3,19),'Leave log'!$C$7:$C$306,"&gt;="&amp;DATE($B$3,3,19),'Leave log'!$F$7:$F$306,"Pending")&gt;0,"P",""))))</f>
        <v/>
      </c>
      <c r="U102" s="23" t="str">
        <f>IF(A102="","",IF(IF(OR(DATE($B$3,3,20)&gt;EOMONTH(DATE($B$3,3,1),0),NETWORKDAYS.INTL(DATE($B$3,3,20),DATE($B$3,3,20),1,'Non-working days'!$A$6:$A$45)=0),"",IF(COUNTIFS('Leave log'!$A$7:$A$306,Employees!$A$33,'Leave log'!$B$7:$B$306,"&lt;="&amp;DATE($B$3,3,20),'Leave log'!$C$7:$C$306,"&gt;="&amp;DATE($B$3,3,20),'Leave log'!$F$7:$F$306,"Approved")&gt;0,"A",""))="A","A",IF(OR(DATE($B$3,3,20)&gt;EOMONTH(DATE($B$3,3,1),0),NETWORKDAYS.INTL(DATE($B$3,3,20),DATE($B$3,3,20),1,'Non-working days'!$A$6:$A$45)=0),"",IF(COUNTIFS('Leave log'!$A$7:$A$306,Employees!$A$33,'Leave log'!$B$7:$B$306,"&lt;="&amp;DATE($B$3,3,20),'Leave log'!$C$7:$C$306,"&gt;="&amp;DATE($B$3,3,20),'Leave log'!$F$7:$F$306,"Pending")&gt;0,"P",""))))</f>
        <v/>
      </c>
      <c r="V102" s="23" t="str">
        <f>IF(A102="","",IF(IF(OR(DATE($B$3,3,21)&gt;EOMONTH(DATE($B$3,3,1),0),NETWORKDAYS.INTL(DATE($B$3,3,21),DATE($B$3,3,21),1,'Non-working days'!$A$6:$A$45)=0),"",IF(COUNTIFS('Leave log'!$A$7:$A$306,Employees!$A$33,'Leave log'!$B$7:$B$306,"&lt;="&amp;DATE($B$3,3,21),'Leave log'!$C$7:$C$306,"&gt;="&amp;DATE($B$3,3,21),'Leave log'!$F$7:$F$306,"Approved")&gt;0,"A",""))="A","A",IF(OR(DATE($B$3,3,21)&gt;EOMONTH(DATE($B$3,3,1),0),NETWORKDAYS.INTL(DATE($B$3,3,21),DATE($B$3,3,21),1,'Non-working days'!$A$6:$A$45)=0),"",IF(COUNTIFS('Leave log'!$A$7:$A$306,Employees!$A$33,'Leave log'!$B$7:$B$306,"&lt;="&amp;DATE($B$3,3,21),'Leave log'!$C$7:$C$306,"&gt;="&amp;DATE($B$3,3,21),'Leave log'!$F$7:$F$306,"Pending")&gt;0,"P",""))))</f>
        <v/>
      </c>
      <c r="W102" s="23" t="str">
        <f>IF(A102="","",IF(IF(OR(DATE($B$3,3,22)&gt;EOMONTH(DATE($B$3,3,1),0),NETWORKDAYS.INTL(DATE($B$3,3,22),DATE($B$3,3,22),1,'Non-working days'!$A$6:$A$45)=0),"",IF(COUNTIFS('Leave log'!$A$7:$A$306,Employees!$A$33,'Leave log'!$B$7:$B$306,"&lt;="&amp;DATE($B$3,3,22),'Leave log'!$C$7:$C$306,"&gt;="&amp;DATE($B$3,3,22),'Leave log'!$F$7:$F$306,"Approved")&gt;0,"A",""))="A","A",IF(OR(DATE($B$3,3,22)&gt;EOMONTH(DATE($B$3,3,1),0),NETWORKDAYS.INTL(DATE($B$3,3,22),DATE($B$3,3,22),1,'Non-working days'!$A$6:$A$45)=0),"",IF(COUNTIFS('Leave log'!$A$7:$A$306,Employees!$A$33,'Leave log'!$B$7:$B$306,"&lt;="&amp;DATE($B$3,3,22),'Leave log'!$C$7:$C$306,"&gt;="&amp;DATE($B$3,3,22),'Leave log'!$F$7:$F$306,"Pending")&gt;0,"P",""))))</f>
        <v/>
      </c>
      <c r="X102" s="23" t="str">
        <f>IF(A102="","",IF(IF(OR(DATE($B$3,3,23)&gt;EOMONTH(DATE($B$3,3,1),0),NETWORKDAYS.INTL(DATE($B$3,3,23),DATE($B$3,3,23),1,'Non-working days'!$A$6:$A$45)=0),"",IF(COUNTIFS('Leave log'!$A$7:$A$306,Employees!$A$33,'Leave log'!$B$7:$B$306,"&lt;="&amp;DATE($B$3,3,23),'Leave log'!$C$7:$C$306,"&gt;="&amp;DATE($B$3,3,23),'Leave log'!$F$7:$F$306,"Approved")&gt;0,"A",""))="A","A",IF(OR(DATE($B$3,3,23)&gt;EOMONTH(DATE($B$3,3,1),0),NETWORKDAYS.INTL(DATE($B$3,3,23),DATE($B$3,3,23),1,'Non-working days'!$A$6:$A$45)=0),"",IF(COUNTIFS('Leave log'!$A$7:$A$306,Employees!$A$33,'Leave log'!$B$7:$B$306,"&lt;="&amp;DATE($B$3,3,23),'Leave log'!$C$7:$C$306,"&gt;="&amp;DATE($B$3,3,23),'Leave log'!$F$7:$F$306,"Pending")&gt;0,"P",""))))</f>
        <v/>
      </c>
      <c r="Y102" s="23" t="str">
        <f>IF(A102="","",IF(IF(OR(DATE($B$3,3,24)&gt;EOMONTH(DATE($B$3,3,1),0),NETWORKDAYS.INTL(DATE($B$3,3,24),DATE($B$3,3,24),1,'Non-working days'!$A$6:$A$45)=0),"",IF(COUNTIFS('Leave log'!$A$7:$A$306,Employees!$A$33,'Leave log'!$B$7:$B$306,"&lt;="&amp;DATE($B$3,3,24),'Leave log'!$C$7:$C$306,"&gt;="&amp;DATE($B$3,3,24),'Leave log'!$F$7:$F$306,"Approved")&gt;0,"A",""))="A","A",IF(OR(DATE($B$3,3,24)&gt;EOMONTH(DATE($B$3,3,1),0),NETWORKDAYS.INTL(DATE($B$3,3,24),DATE($B$3,3,24),1,'Non-working days'!$A$6:$A$45)=0),"",IF(COUNTIFS('Leave log'!$A$7:$A$306,Employees!$A$33,'Leave log'!$B$7:$B$306,"&lt;="&amp;DATE($B$3,3,24),'Leave log'!$C$7:$C$306,"&gt;="&amp;DATE($B$3,3,24),'Leave log'!$F$7:$F$306,"Pending")&gt;0,"P",""))))</f>
        <v/>
      </c>
      <c r="Z102" s="23" t="str">
        <f>IF(A102="","",IF(IF(OR(DATE($B$3,3,25)&gt;EOMONTH(DATE($B$3,3,1),0),NETWORKDAYS.INTL(DATE($B$3,3,25),DATE($B$3,3,25),1,'Non-working days'!$A$6:$A$45)=0),"",IF(COUNTIFS('Leave log'!$A$7:$A$306,Employees!$A$33,'Leave log'!$B$7:$B$306,"&lt;="&amp;DATE($B$3,3,25),'Leave log'!$C$7:$C$306,"&gt;="&amp;DATE($B$3,3,25),'Leave log'!$F$7:$F$306,"Approved")&gt;0,"A",""))="A","A",IF(OR(DATE($B$3,3,25)&gt;EOMONTH(DATE($B$3,3,1),0),NETWORKDAYS.INTL(DATE($B$3,3,25),DATE($B$3,3,25),1,'Non-working days'!$A$6:$A$45)=0),"",IF(COUNTIFS('Leave log'!$A$7:$A$306,Employees!$A$33,'Leave log'!$B$7:$B$306,"&lt;="&amp;DATE($B$3,3,25),'Leave log'!$C$7:$C$306,"&gt;="&amp;DATE($B$3,3,25),'Leave log'!$F$7:$F$306,"Pending")&gt;0,"P",""))))</f>
        <v/>
      </c>
      <c r="AA102" s="23" t="str">
        <f>IF(A102="","",IF(IF(OR(DATE($B$3,3,26)&gt;EOMONTH(DATE($B$3,3,1),0),NETWORKDAYS.INTL(DATE($B$3,3,26),DATE($B$3,3,26),1,'Non-working days'!$A$6:$A$45)=0),"",IF(COUNTIFS('Leave log'!$A$7:$A$306,Employees!$A$33,'Leave log'!$B$7:$B$306,"&lt;="&amp;DATE($B$3,3,26),'Leave log'!$C$7:$C$306,"&gt;="&amp;DATE($B$3,3,26),'Leave log'!$F$7:$F$306,"Approved")&gt;0,"A",""))="A","A",IF(OR(DATE($B$3,3,26)&gt;EOMONTH(DATE($B$3,3,1),0),NETWORKDAYS.INTL(DATE($B$3,3,26),DATE($B$3,3,26),1,'Non-working days'!$A$6:$A$45)=0),"",IF(COUNTIFS('Leave log'!$A$7:$A$306,Employees!$A$33,'Leave log'!$B$7:$B$306,"&lt;="&amp;DATE($B$3,3,26),'Leave log'!$C$7:$C$306,"&gt;="&amp;DATE($B$3,3,26),'Leave log'!$F$7:$F$306,"Pending")&gt;0,"P",""))))</f>
        <v/>
      </c>
      <c r="AB102" s="23" t="str">
        <f>IF(A102="","",IF(IF(OR(DATE($B$3,3,27)&gt;EOMONTH(DATE($B$3,3,1),0),NETWORKDAYS.INTL(DATE($B$3,3,27),DATE($B$3,3,27),1,'Non-working days'!$A$6:$A$45)=0),"",IF(COUNTIFS('Leave log'!$A$7:$A$306,Employees!$A$33,'Leave log'!$B$7:$B$306,"&lt;="&amp;DATE($B$3,3,27),'Leave log'!$C$7:$C$306,"&gt;="&amp;DATE($B$3,3,27),'Leave log'!$F$7:$F$306,"Approved")&gt;0,"A",""))="A","A",IF(OR(DATE($B$3,3,27)&gt;EOMONTH(DATE($B$3,3,1),0),NETWORKDAYS.INTL(DATE($B$3,3,27),DATE($B$3,3,27),1,'Non-working days'!$A$6:$A$45)=0),"",IF(COUNTIFS('Leave log'!$A$7:$A$306,Employees!$A$33,'Leave log'!$B$7:$B$306,"&lt;="&amp;DATE($B$3,3,27),'Leave log'!$C$7:$C$306,"&gt;="&amp;DATE($B$3,3,27),'Leave log'!$F$7:$F$306,"Pending")&gt;0,"P",""))))</f>
        <v/>
      </c>
      <c r="AC102" s="23" t="str">
        <f>IF(A102="","",IF(IF(OR(DATE($B$3,3,28)&gt;EOMONTH(DATE($B$3,3,1),0),NETWORKDAYS.INTL(DATE($B$3,3,28),DATE($B$3,3,28),1,'Non-working days'!$A$6:$A$45)=0),"",IF(COUNTIFS('Leave log'!$A$7:$A$306,Employees!$A$33,'Leave log'!$B$7:$B$306,"&lt;="&amp;DATE($B$3,3,28),'Leave log'!$C$7:$C$306,"&gt;="&amp;DATE($B$3,3,28),'Leave log'!$F$7:$F$306,"Approved")&gt;0,"A",""))="A","A",IF(OR(DATE($B$3,3,28)&gt;EOMONTH(DATE($B$3,3,1),0),NETWORKDAYS.INTL(DATE($B$3,3,28),DATE($B$3,3,28),1,'Non-working days'!$A$6:$A$45)=0),"",IF(COUNTIFS('Leave log'!$A$7:$A$306,Employees!$A$33,'Leave log'!$B$7:$B$306,"&lt;="&amp;DATE($B$3,3,28),'Leave log'!$C$7:$C$306,"&gt;="&amp;DATE($B$3,3,28),'Leave log'!$F$7:$F$306,"Pending")&gt;0,"P",""))))</f>
        <v/>
      </c>
      <c r="AD102" s="23" t="str">
        <f>IF(A102="","",IF(IF(OR(DATE($B$3,3,29)&gt;EOMONTH(DATE($B$3,3,1),0),NETWORKDAYS.INTL(DATE($B$3,3,29),DATE($B$3,3,29),1,'Non-working days'!$A$6:$A$45)=0),"",IF(COUNTIFS('Leave log'!$A$7:$A$306,Employees!$A$33,'Leave log'!$B$7:$B$306,"&lt;="&amp;DATE($B$3,3,29),'Leave log'!$C$7:$C$306,"&gt;="&amp;DATE($B$3,3,29),'Leave log'!$F$7:$F$306,"Approved")&gt;0,"A",""))="A","A",IF(OR(DATE($B$3,3,29)&gt;EOMONTH(DATE($B$3,3,1),0),NETWORKDAYS.INTL(DATE($B$3,3,29),DATE($B$3,3,29),1,'Non-working days'!$A$6:$A$45)=0),"",IF(COUNTIFS('Leave log'!$A$7:$A$306,Employees!$A$33,'Leave log'!$B$7:$B$306,"&lt;="&amp;DATE($B$3,3,29),'Leave log'!$C$7:$C$306,"&gt;="&amp;DATE($B$3,3,29),'Leave log'!$F$7:$F$306,"Pending")&gt;0,"P",""))))</f>
        <v/>
      </c>
      <c r="AE102" s="23" t="str">
        <f>IF(A102="","",IF(IF(OR(DATE($B$3,3,30)&gt;EOMONTH(DATE($B$3,3,1),0),NETWORKDAYS.INTL(DATE($B$3,3,30),DATE($B$3,3,30),1,'Non-working days'!$A$6:$A$45)=0),"",IF(COUNTIFS('Leave log'!$A$7:$A$306,Employees!$A$33,'Leave log'!$B$7:$B$306,"&lt;="&amp;DATE($B$3,3,30),'Leave log'!$C$7:$C$306,"&gt;="&amp;DATE($B$3,3,30),'Leave log'!$F$7:$F$306,"Approved")&gt;0,"A",""))="A","A",IF(OR(DATE($B$3,3,30)&gt;EOMONTH(DATE($B$3,3,1),0),NETWORKDAYS.INTL(DATE($B$3,3,30),DATE($B$3,3,30),1,'Non-working days'!$A$6:$A$45)=0),"",IF(COUNTIFS('Leave log'!$A$7:$A$306,Employees!$A$33,'Leave log'!$B$7:$B$306,"&lt;="&amp;DATE($B$3,3,30),'Leave log'!$C$7:$C$306,"&gt;="&amp;DATE($B$3,3,30),'Leave log'!$F$7:$F$306,"Pending")&gt;0,"P",""))))</f>
        <v/>
      </c>
      <c r="AF102" s="23" t="str">
        <f>IF(A102="","",IF(IF(OR(DATE($B$3,3,31)&gt;EOMONTH(DATE($B$3,3,1),0),NETWORKDAYS.INTL(DATE($B$3,3,31),DATE($B$3,3,31),1,'Non-working days'!$A$6:$A$45)=0),"",IF(COUNTIFS('Leave log'!$A$7:$A$306,Employees!$A$33,'Leave log'!$B$7:$B$306,"&lt;="&amp;DATE($B$3,3,31),'Leave log'!$C$7:$C$306,"&gt;="&amp;DATE($B$3,3,31),'Leave log'!$F$7:$F$306,"Approved")&gt;0,"A",""))="A","A",IF(OR(DATE($B$3,3,31)&gt;EOMONTH(DATE($B$3,3,1),0),NETWORKDAYS.INTL(DATE($B$3,3,31),DATE($B$3,3,31),1,'Non-working days'!$A$6:$A$45)=0),"",IF(COUNTIFS('Leave log'!$A$7:$A$306,Employees!$A$33,'Leave log'!$B$7:$B$306,"&lt;="&amp;DATE($B$3,3,31),'Leave log'!$C$7:$C$306,"&gt;="&amp;DATE($B$3,3,31),'Leave log'!$F$7:$F$306,"Pending")&gt;0,"P",""))))</f>
        <v/>
      </c>
    </row>
    <row r="103" spans="1:32" ht="18" customHeight="1" x14ac:dyDescent="0.3">
      <c r="A103" s="22" t="str">
        <f>IF(Employees!F34="Yes",Employees!B34,"")</f>
        <v/>
      </c>
      <c r="B103" s="23" t="str">
        <f>IF(A103="","",IF(IF(OR(DATE($B$3,3,1)&gt;EOMONTH(DATE($B$3,3,1),0),NETWORKDAYS.INTL(DATE($B$3,3,1),DATE($B$3,3,1),1,'Non-working days'!$A$6:$A$45)=0),"",IF(COUNTIFS('Leave log'!$A$7:$A$306,Employees!$A$34,'Leave log'!$B$7:$B$306,"&lt;="&amp;DATE($B$3,3,1),'Leave log'!$C$7:$C$306,"&gt;="&amp;DATE($B$3,3,1),'Leave log'!$F$7:$F$306,"Approved")&gt;0,"A",""))="A","A",IF(OR(DATE($B$3,3,1)&gt;EOMONTH(DATE($B$3,3,1),0),NETWORKDAYS.INTL(DATE($B$3,3,1),DATE($B$3,3,1),1,'Non-working days'!$A$6:$A$45)=0),"",IF(COUNTIFS('Leave log'!$A$7:$A$306,Employees!$A$34,'Leave log'!$B$7:$B$306,"&lt;="&amp;DATE($B$3,3,1),'Leave log'!$C$7:$C$306,"&gt;="&amp;DATE($B$3,3,1),'Leave log'!$F$7:$F$306,"Pending")&gt;0,"P",""))))</f>
        <v/>
      </c>
      <c r="C103" s="23" t="str">
        <f>IF(A103="","",IF(IF(OR(DATE($B$3,3,2)&gt;EOMONTH(DATE($B$3,3,1),0),NETWORKDAYS.INTL(DATE($B$3,3,2),DATE($B$3,3,2),1,'Non-working days'!$A$6:$A$45)=0),"",IF(COUNTIFS('Leave log'!$A$7:$A$306,Employees!$A$34,'Leave log'!$B$7:$B$306,"&lt;="&amp;DATE($B$3,3,2),'Leave log'!$C$7:$C$306,"&gt;="&amp;DATE($B$3,3,2),'Leave log'!$F$7:$F$306,"Approved")&gt;0,"A",""))="A","A",IF(OR(DATE($B$3,3,2)&gt;EOMONTH(DATE($B$3,3,1),0),NETWORKDAYS.INTL(DATE($B$3,3,2),DATE($B$3,3,2),1,'Non-working days'!$A$6:$A$45)=0),"",IF(COUNTIFS('Leave log'!$A$7:$A$306,Employees!$A$34,'Leave log'!$B$7:$B$306,"&lt;="&amp;DATE($B$3,3,2),'Leave log'!$C$7:$C$306,"&gt;="&amp;DATE($B$3,3,2),'Leave log'!$F$7:$F$306,"Pending")&gt;0,"P",""))))</f>
        <v/>
      </c>
      <c r="D103" s="23" t="str">
        <f>IF(A103="","",IF(IF(OR(DATE($B$3,3,3)&gt;EOMONTH(DATE($B$3,3,1),0),NETWORKDAYS.INTL(DATE($B$3,3,3),DATE($B$3,3,3),1,'Non-working days'!$A$6:$A$45)=0),"",IF(COUNTIFS('Leave log'!$A$7:$A$306,Employees!$A$34,'Leave log'!$B$7:$B$306,"&lt;="&amp;DATE($B$3,3,3),'Leave log'!$C$7:$C$306,"&gt;="&amp;DATE($B$3,3,3),'Leave log'!$F$7:$F$306,"Approved")&gt;0,"A",""))="A","A",IF(OR(DATE($B$3,3,3)&gt;EOMONTH(DATE($B$3,3,1),0),NETWORKDAYS.INTL(DATE($B$3,3,3),DATE($B$3,3,3),1,'Non-working days'!$A$6:$A$45)=0),"",IF(COUNTIFS('Leave log'!$A$7:$A$306,Employees!$A$34,'Leave log'!$B$7:$B$306,"&lt;="&amp;DATE($B$3,3,3),'Leave log'!$C$7:$C$306,"&gt;="&amp;DATE($B$3,3,3),'Leave log'!$F$7:$F$306,"Pending")&gt;0,"P",""))))</f>
        <v/>
      </c>
      <c r="E103" s="23" t="str">
        <f>IF(A103="","",IF(IF(OR(DATE($B$3,3,4)&gt;EOMONTH(DATE($B$3,3,1),0),NETWORKDAYS.INTL(DATE($B$3,3,4),DATE($B$3,3,4),1,'Non-working days'!$A$6:$A$45)=0),"",IF(COUNTIFS('Leave log'!$A$7:$A$306,Employees!$A$34,'Leave log'!$B$7:$B$306,"&lt;="&amp;DATE($B$3,3,4),'Leave log'!$C$7:$C$306,"&gt;="&amp;DATE($B$3,3,4),'Leave log'!$F$7:$F$306,"Approved")&gt;0,"A",""))="A","A",IF(OR(DATE($B$3,3,4)&gt;EOMONTH(DATE($B$3,3,1),0),NETWORKDAYS.INTL(DATE($B$3,3,4),DATE($B$3,3,4),1,'Non-working days'!$A$6:$A$45)=0),"",IF(COUNTIFS('Leave log'!$A$7:$A$306,Employees!$A$34,'Leave log'!$B$7:$B$306,"&lt;="&amp;DATE($B$3,3,4),'Leave log'!$C$7:$C$306,"&gt;="&amp;DATE($B$3,3,4),'Leave log'!$F$7:$F$306,"Pending")&gt;0,"P",""))))</f>
        <v/>
      </c>
      <c r="F103" s="23" t="str">
        <f>IF(A103="","",IF(IF(OR(DATE($B$3,3,5)&gt;EOMONTH(DATE($B$3,3,1),0),NETWORKDAYS.INTL(DATE($B$3,3,5),DATE($B$3,3,5),1,'Non-working days'!$A$6:$A$45)=0),"",IF(COUNTIFS('Leave log'!$A$7:$A$306,Employees!$A$34,'Leave log'!$B$7:$B$306,"&lt;="&amp;DATE($B$3,3,5),'Leave log'!$C$7:$C$306,"&gt;="&amp;DATE($B$3,3,5),'Leave log'!$F$7:$F$306,"Approved")&gt;0,"A",""))="A","A",IF(OR(DATE($B$3,3,5)&gt;EOMONTH(DATE($B$3,3,1),0),NETWORKDAYS.INTL(DATE($B$3,3,5),DATE($B$3,3,5),1,'Non-working days'!$A$6:$A$45)=0),"",IF(COUNTIFS('Leave log'!$A$7:$A$306,Employees!$A$34,'Leave log'!$B$7:$B$306,"&lt;="&amp;DATE($B$3,3,5),'Leave log'!$C$7:$C$306,"&gt;="&amp;DATE($B$3,3,5),'Leave log'!$F$7:$F$306,"Pending")&gt;0,"P",""))))</f>
        <v/>
      </c>
      <c r="G103" s="23" t="str">
        <f>IF(A103="","",IF(IF(OR(DATE($B$3,3,6)&gt;EOMONTH(DATE($B$3,3,1),0),NETWORKDAYS.INTL(DATE($B$3,3,6),DATE($B$3,3,6),1,'Non-working days'!$A$6:$A$45)=0),"",IF(COUNTIFS('Leave log'!$A$7:$A$306,Employees!$A$34,'Leave log'!$B$7:$B$306,"&lt;="&amp;DATE($B$3,3,6),'Leave log'!$C$7:$C$306,"&gt;="&amp;DATE($B$3,3,6),'Leave log'!$F$7:$F$306,"Approved")&gt;0,"A",""))="A","A",IF(OR(DATE($B$3,3,6)&gt;EOMONTH(DATE($B$3,3,1),0),NETWORKDAYS.INTL(DATE($B$3,3,6),DATE($B$3,3,6),1,'Non-working days'!$A$6:$A$45)=0),"",IF(COUNTIFS('Leave log'!$A$7:$A$306,Employees!$A$34,'Leave log'!$B$7:$B$306,"&lt;="&amp;DATE($B$3,3,6),'Leave log'!$C$7:$C$306,"&gt;="&amp;DATE($B$3,3,6),'Leave log'!$F$7:$F$306,"Pending")&gt;0,"P",""))))</f>
        <v/>
      </c>
      <c r="H103" s="23" t="str">
        <f>IF(A103="","",IF(IF(OR(DATE($B$3,3,7)&gt;EOMONTH(DATE($B$3,3,1),0),NETWORKDAYS.INTL(DATE($B$3,3,7),DATE($B$3,3,7),1,'Non-working days'!$A$6:$A$45)=0),"",IF(COUNTIFS('Leave log'!$A$7:$A$306,Employees!$A$34,'Leave log'!$B$7:$B$306,"&lt;="&amp;DATE($B$3,3,7),'Leave log'!$C$7:$C$306,"&gt;="&amp;DATE($B$3,3,7),'Leave log'!$F$7:$F$306,"Approved")&gt;0,"A",""))="A","A",IF(OR(DATE($B$3,3,7)&gt;EOMONTH(DATE($B$3,3,1),0),NETWORKDAYS.INTL(DATE($B$3,3,7),DATE($B$3,3,7),1,'Non-working days'!$A$6:$A$45)=0),"",IF(COUNTIFS('Leave log'!$A$7:$A$306,Employees!$A$34,'Leave log'!$B$7:$B$306,"&lt;="&amp;DATE($B$3,3,7),'Leave log'!$C$7:$C$306,"&gt;="&amp;DATE($B$3,3,7),'Leave log'!$F$7:$F$306,"Pending")&gt;0,"P",""))))</f>
        <v/>
      </c>
      <c r="I103" s="23" t="str">
        <f>IF(A103="","",IF(IF(OR(DATE($B$3,3,8)&gt;EOMONTH(DATE($B$3,3,1),0),NETWORKDAYS.INTL(DATE($B$3,3,8),DATE($B$3,3,8),1,'Non-working days'!$A$6:$A$45)=0),"",IF(COUNTIFS('Leave log'!$A$7:$A$306,Employees!$A$34,'Leave log'!$B$7:$B$306,"&lt;="&amp;DATE($B$3,3,8),'Leave log'!$C$7:$C$306,"&gt;="&amp;DATE($B$3,3,8),'Leave log'!$F$7:$F$306,"Approved")&gt;0,"A",""))="A","A",IF(OR(DATE($B$3,3,8)&gt;EOMONTH(DATE($B$3,3,1),0),NETWORKDAYS.INTL(DATE($B$3,3,8),DATE($B$3,3,8),1,'Non-working days'!$A$6:$A$45)=0),"",IF(COUNTIFS('Leave log'!$A$7:$A$306,Employees!$A$34,'Leave log'!$B$7:$B$306,"&lt;="&amp;DATE($B$3,3,8),'Leave log'!$C$7:$C$306,"&gt;="&amp;DATE($B$3,3,8),'Leave log'!$F$7:$F$306,"Pending")&gt;0,"P",""))))</f>
        <v/>
      </c>
      <c r="J103" s="23" t="str">
        <f>IF(A103="","",IF(IF(OR(DATE($B$3,3,9)&gt;EOMONTH(DATE($B$3,3,1),0),NETWORKDAYS.INTL(DATE($B$3,3,9),DATE($B$3,3,9),1,'Non-working days'!$A$6:$A$45)=0),"",IF(COUNTIFS('Leave log'!$A$7:$A$306,Employees!$A$34,'Leave log'!$B$7:$B$306,"&lt;="&amp;DATE($B$3,3,9),'Leave log'!$C$7:$C$306,"&gt;="&amp;DATE($B$3,3,9),'Leave log'!$F$7:$F$306,"Approved")&gt;0,"A",""))="A","A",IF(OR(DATE($B$3,3,9)&gt;EOMONTH(DATE($B$3,3,1),0),NETWORKDAYS.INTL(DATE($B$3,3,9),DATE($B$3,3,9),1,'Non-working days'!$A$6:$A$45)=0),"",IF(COUNTIFS('Leave log'!$A$7:$A$306,Employees!$A$34,'Leave log'!$B$7:$B$306,"&lt;="&amp;DATE($B$3,3,9),'Leave log'!$C$7:$C$306,"&gt;="&amp;DATE($B$3,3,9),'Leave log'!$F$7:$F$306,"Pending")&gt;0,"P",""))))</f>
        <v/>
      </c>
      <c r="K103" s="23" t="str">
        <f>IF(A103="","",IF(IF(OR(DATE($B$3,3,10)&gt;EOMONTH(DATE($B$3,3,1),0),NETWORKDAYS.INTL(DATE($B$3,3,10),DATE($B$3,3,10),1,'Non-working days'!$A$6:$A$45)=0),"",IF(COUNTIFS('Leave log'!$A$7:$A$306,Employees!$A$34,'Leave log'!$B$7:$B$306,"&lt;="&amp;DATE($B$3,3,10),'Leave log'!$C$7:$C$306,"&gt;="&amp;DATE($B$3,3,10),'Leave log'!$F$7:$F$306,"Approved")&gt;0,"A",""))="A","A",IF(OR(DATE($B$3,3,10)&gt;EOMONTH(DATE($B$3,3,1),0),NETWORKDAYS.INTL(DATE($B$3,3,10),DATE($B$3,3,10),1,'Non-working days'!$A$6:$A$45)=0),"",IF(COUNTIFS('Leave log'!$A$7:$A$306,Employees!$A$34,'Leave log'!$B$7:$B$306,"&lt;="&amp;DATE($B$3,3,10),'Leave log'!$C$7:$C$306,"&gt;="&amp;DATE($B$3,3,10),'Leave log'!$F$7:$F$306,"Pending")&gt;0,"P",""))))</f>
        <v/>
      </c>
      <c r="L103" s="23" t="str">
        <f>IF(A103="","",IF(IF(OR(DATE($B$3,3,11)&gt;EOMONTH(DATE($B$3,3,1),0),NETWORKDAYS.INTL(DATE($B$3,3,11),DATE($B$3,3,11),1,'Non-working days'!$A$6:$A$45)=0),"",IF(COUNTIFS('Leave log'!$A$7:$A$306,Employees!$A$34,'Leave log'!$B$7:$B$306,"&lt;="&amp;DATE($B$3,3,11),'Leave log'!$C$7:$C$306,"&gt;="&amp;DATE($B$3,3,11),'Leave log'!$F$7:$F$306,"Approved")&gt;0,"A",""))="A","A",IF(OR(DATE($B$3,3,11)&gt;EOMONTH(DATE($B$3,3,1),0),NETWORKDAYS.INTL(DATE($B$3,3,11),DATE($B$3,3,11),1,'Non-working days'!$A$6:$A$45)=0),"",IF(COUNTIFS('Leave log'!$A$7:$A$306,Employees!$A$34,'Leave log'!$B$7:$B$306,"&lt;="&amp;DATE($B$3,3,11),'Leave log'!$C$7:$C$306,"&gt;="&amp;DATE($B$3,3,11),'Leave log'!$F$7:$F$306,"Pending")&gt;0,"P",""))))</f>
        <v/>
      </c>
      <c r="M103" s="23" t="str">
        <f>IF(A103="","",IF(IF(OR(DATE($B$3,3,12)&gt;EOMONTH(DATE($B$3,3,1),0),NETWORKDAYS.INTL(DATE($B$3,3,12),DATE($B$3,3,12),1,'Non-working days'!$A$6:$A$45)=0),"",IF(COUNTIFS('Leave log'!$A$7:$A$306,Employees!$A$34,'Leave log'!$B$7:$B$306,"&lt;="&amp;DATE($B$3,3,12),'Leave log'!$C$7:$C$306,"&gt;="&amp;DATE($B$3,3,12),'Leave log'!$F$7:$F$306,"Approved")&gt;0,"A",""))="A","A",IF(OR(DATE($B$3,3,12)&gt;EOMONTH(DATE($B$3,3,1),0),NETWORKDAYS.INTL(DATE($B$3,3,12),DATE($B$3,3,12),1,'Non-working days'!$A$6:$A$45)=0),"",IF(COUNTIFS('Leave log'!$A$7:$A$306,Employees!$A$34,'Leave log'!$B$7:$B$306,"&lt;="&amp;DATE($B$3,3,12),'Leave log'!$C$7:$C$306,"&gt;="&amp;DATE($B$3,3,12),'Leave log'!$F$7:$F$306,"Pending")&gt;0,"P",""))))</f>
        <v/>
      </c>
      <c r="N103" s="23" t="str">
        <f>IF(A103="","",IF(IF(OR(DATE($B$3,3,13)&gt;EOMONTH(DATE($B$3,3,1),0),NETWORKDAYS.INTL(DATE($B$3,3,13),DATE($B$3,3,13),1,'Non-working days'!$A$6:$A$45)=0),"",IF(COUNTIFS('Leave log'!$A$7:$A$306,Employees!$A$34,'Leave log'!$B$7:$B$306,"&lt;="&amp;DATE($B$3,3,13),'Leave log'!$C$7:$C$306,"&gt;="&amp;DATE($B$3,3,13),'Leave log'!$F$7:$F$306,"Approved")&gt;0,"A",""))="A","A",IF(OR(DATE($B$3,3,13)&gt;EOMONTH(DATE($B$3,3,1),0),NETWORKDAYS.INTL(DATE($B$3,3,13),DATE($B$3,3,13),1,'Non-working days'!$A$6:$A$45)=0),"",IF(COUNTIFS('Leave log'!$A$7:$A$306,Employees!$A$34,'Leave log'!$B$7:$B$306,"&lt;="&amp;DATE($B$3,3,13),'Leave log'!$C$7:$C$306,"&gt;="&amp;DATE($B$3,3,13),'Leave log'!$F$7:$F$306,"Pending")&gt;0,"P",""))))</f>
        <v/>
      </c>
      <c r="O103" s="23" t="str">
        <f>IF(A103="","",IF(IF(OR(DATE($B$3,3,14)&gt;EOMONTH(DATE($B$3,3,1),0),NETWORKDAYS.INTL(DATE($B$3,3,14),DATE($B$3,3,14),1,'Non-working days'!$A$6:$A$45)=0),"",IF(COUNTIFS('Leave log'!$A$7:$A$306,Employees!$A$34,'Leave log'!$B$7:$B$306,"&lt;="&amp;DATE($B$3,3,14),'Leave log'!$C$7:$C$306,"&gt;="&amp;DATE($B$3,3,14),'Leave log'!$F$7:$F$306,"Approved")&gt;0,"A",""))="A","A",IF(OR(DATE($B$3,3,14)&gt;EOMONTH(DATE($B$3,3,1),0),NETWORKDAYS.INTL(DATE($B$3,3,14),DATE($B$3,3,14),1,'Non-working days'!$A$6:$A$45)=0),"",IF(COUNTIFS('Leave log'!$A$7:$A$306,Employees!$A$34,'Leave log'!$B$7:$B$306,"&lt;="&amp;DATE($B$3,3,14),'Leave log'!$C$7:$C$306,"&gt;="&amp;DATE($B$3,3,14),'Leave log'!$F$7:$F$306,"Pending")&gt;0,"P",""))))</f>
        <v/>
      </c>
      <c r="P103" s="23" t="str">
        <f>IF(A103="","",IF(IF(OR(DATE($B$3,3,15)&gt;EOMONTH(DATE($B$3,3,1),0),NETWORKDAYS.INTL(DATE($B$3,3,15),DATE($B$3,3,15),1,'Non-working days'!$A$6:$A$45)=0),"",IF(COUNTIFS('Leave log'!$A$7:$A$306,Employees!$A$34,'Leave log'!$B$7:$B$306,"&lt;="&amp;DATE($B$3,3,15),'Leave log'!$C$7:$C$306,"&gt;="&amp;DATE($B$3,3,15),'Leave log'!$F$7:$F$306,"Approved")&gt;0,"A",""))="A","A",IF(OR(DATE($B$3,3,15)&gt;EOMONTH(DATE($B$3,3,1),0),NETWORKDAYS.INTL(DATE($B$3,3,15),DATE($B$3,3,15),1,'Non-working days'!$A$6:$A$45)=0),"",IF(COUNTIFS('Leave log'!$A$7:$A$306,Employees!$A$34,'Leave log'!$B$7:$B$306,"&lt;="&amp;DATE($B$3,3,15),'Leave log'!$C$7:$C$306,"&gt;="&amp;DATE($B$3,3,15),'Leave log'!$F$7:$F$306,"Pending")&gt;0,"P",""))))</f>
        <v/>
      </c>
      <c r="Q103" s="23" t="str">
        <f>IF(A103="","",IF(IF(OR(DATE($B$3,3,16)&gt;EOMONTH(DATE($B$3,3,1),0),NETWORKDAYS.INTL(DATE($B$3,3,16),DATE($B$3,3,16),1,'Non-working days'!$A$6:$A$45)=0),"",IF(COUNTIFS('Leave log'!$A$7:$A$306,Employees!$A$34,'Leave log'!$B$7:$B$306,"&lt;="&amp;DATE($B$3,3,16),'Leave log'!$C$7:$C$306,"&gt;="&amp;DATE($B$3,3,16),'Leave log'!$F$7:$F$306,"Approved")&gt;0,"A",""))="A","A",IF(OR(DATE($B$3,3,16)&gt;EOMONTH(DATE($B$3,3,1),0),NETWORKDAYS.INTL(DATE($B$3,3,16),DATE($B$3,3,16),1,'Non-working days'!$A$6:$A$45)=0),"",IF(COUNTIFS('Leave log'!$A$7:$A$306,Employees!$A$34,'Leave log'!$B$7:$B$306,"&lt;="&amp;DATE($B$3,3,16),'Leave log'!$C$7:$C$306,"&gt;="&amp;DATE($B$3,3,16),'Leave log'!$F$7:$F$306,"Pending")&gt;0,"P",""))))</f>
        <v/>
      </c>
      <c r="R103" s="23" t="str">
        <f>IF(A103="","",IF(IF(OR(DATE($B$3,3,17)&gt;EOMONTH(DATE($B$3,3,1),0),NETWORKDAYS.INTL(DATE($B$3,3,17),DATE($B$3,3,17),1,'Non-working days'!$A$6:$A$45)=0),"",IF(COUNTIFS('Leave log'!$A$7:$A$306,Employees!$A$34,'Leave log'!$B$7:$B$306,"&lt;="&amp;DATE($B$3,3,17),'Leave log'!$C$7:$C$306,"&gt;="&amp;DATE($B$3,3,17),'Leave log'!$F$7:$F$306,"Approved")&gt;0,"A",""))="A","A",IF(OR(DATE($B$3,3,17)&gt;EOMONTH(DATE($B$3,3,1),0),NETWORKDAYS.INTL(DATE($B$3,3,17),DATE($B$3,3,17),1,'Non-working days'!$A$6:$A$45)=0),"",IF(COUNTIFS('Leave log'!$A$7:$A$306,Employees!$A$34,'Leave log'!$B$7:$B$306,"&lt;="&amp;DATE($B$3,3,17),'Leave log'!$C$7:$C$306,"&gt;="&amp;DATE($B$3,3,17),'Leave log'!$F$7:$F$306,"Pending")&gt;0,"P",""))))</f>
        <v/>
      </c>
      <c r="S103" s="23" t="str">
        <f>IF(A103="","",IF(IF(OR(DATE($B$3,3,18)&gt;EOMONTH(DATE($B$3,3,1),0),NETWORKDAYS.INTL(DATE($B$3,3,18),DATE($B$3,3,18),1,'Non-working days'!$A$6:$A$45)=0),"",IF(COUNTIFS('Leave log'!$A$7:$A$306,Employees!$A$34,'Leave log'!$B$7:$B$306,"&lt;="&amp;DATE($B$3,3,18),'Leave log'!$C$7:$C$306,"&gt;="&amp;DATE($B$3,3,18),'Leave log'!$F$7:$F$306,"Approved")&gt;0,"A",""))="A","A",IF(OR(DATE($B$3,3,18)&gt;EOMONTH(DATE($B$3,3,1),0),NETWORKDAYS.INTL(DATE($B$3,3,18),DATE($B$3,3,18),1,'Non-working days'!$A$6:$A$45)=0),"",IF(COUNTIFS('Leave log'!$A$7:$A$306,Employees!$A$34,'Leave log'!$B$7:$B$306,"&lt;="&amp;DATE($B$3,3,18),'Leave log'!$C$7:$C$306,"&gt;="&amp;DATE($B$3,3,18),'Leave log'!$F$7:$F$306,"Pending")&gt;0,"P",""))))</f>
        <v/>
      </c>
      <c r="T103" s="23" t="str">
        <f>IF(A103="","",IF(IF(OR(DATE($B$3,3,19)&gt;EOMONTH(DATE($B$3,3,1),0),NETWORKDAYS.INTL(DATE($B$3,3,19),DATE($B$3,3,19),1,'Non-working days'!$A$6:$A$45)=0),"",IF(COUNTIFS('Leave log'!$A$7:$A$306,Employees!$A$34,'Leave log'!$B$7:$B$306,"&lt;="&amp;DATE($B$3,3,19),'Leave log'!$C$7:$C$306,"&gt;="&amp;DATE($B$3,3,19),'Leave log'!$F$7:$F$306,"Approved")&gt;0,"A",""))="A","A",IF(OR(DATE($B$3,3,19)&gt;EOMONTH(DATE($B$3,3,1),0),NETWORKDAYS.INTL(DATE($B$3,3,19),DATE($B$3,3,19),1,'Non-working days'!$A$6:$A$45)=0),"",IF(COUNTIFS('Leave log'!$A$7:$A$306,Employees!$A$34,'Leave log'!$B$7:$B$306,"&lt;="&amp;DATE($B$3,3,19),'Leave log'!$C$7:$C$306,"&gt;="&amp;DATE($B$3,3,19),'Leave log'!$F$7:$F$306,"Pending")&gt;0,"P",""))))</f>
        <v/>
      </c>
      <c r="U103" s="23" t="str">
        <f>IF(A103="","",IF(IF(OR(DATE($B$3,3,20)&gt;EOMONTH(DATE($B$3,3,1),0),NETWORKDAYS.INTL(DATE($B$3,3,20),DATE($B$3,3,20),1,'Non-working days'!$A$6:$A$45)=0),"",IF(COUNTIFS('Leave log'!$A$7:$A$306,Employees!$A$34,'Leave log'!$B$7:$B$306,"&lt;="&amp;DATE($B$3,3,20),'Leave log'!$C$7:$C$306,"&gt;="&amp;DATE($B$3,3,20),'Leave log'!$F$7:$F$306,"Approved")&gt;0,"A",""))="A","A",IF(OR(DATE($B$3,3,20)&gt;EOMONTH(DATE($B$3,3,1),0),NETWORKDAYS.INTL(DATE($B$3,3,20),DATE($B$3,3,20),1,'Non-working days'!$A$6:$A$45)=0),"",IF(COUNTIFS('Leave log'!$A$7:$A$306,Employees!$A$34,'Leave log'!$B$7:$B$306,"&lt;="&amp;DATE($B$3,3,20),'Leave log'!$C$7:$C$306,"&gt;="&amp;DATE($B$3,3,20),'Leave log'!$F$7:$F$306,"Pending")&gt;0,"P",""))))</f>
        <v/>
      </c>
      <c r="V103" s="23" t="str">
        <f>IF(A103="","",IF(IF(OR(DATE($B$3,3,21)&gt;EOMONTH(DATE($B$3,3,1),0),NETWORKDAYS.INTL(DATE($B$3,3,21),DATE($B$3,3,21),1,'Non-working days'!$A$6:$A$45)=0),"",IF(COUNTIFS('Leave log'!$A$7:$A$306,Employees!$A$34,'Leave log'!$B$7:$B$306,"&lt;="&amp;DATE($B$3,3,21),'Leave log'!$C$7:$C$306,"&gt;="&amp;DATE($B$3,3,21),'Leave log'!$F$7:$F$306,"Approved")&gt;0,"A",""))="A","A",IF(OR(DATE($B$3,3,21)&gt;EOMONTH(DATE($B$3,3,1),0),NETWORKDAYS.INTL(DATE($B$3,3,21),DATE($B$3,3,21),1,'Non-working days'!$A$6:$A$45)=0),"",IF(COUNTIFS('Leave log'!$A$7:$A$306,Employees!$A$34,'Leave log'!$B$7:$B$306,"&lt;="&amp;DATE($B$3,3,21),'Leave log'!$C$7:$C$306,"&gt;="&amp;DATE($B$3,3,21),'Leave log'!$F$7:$F$306,"Pending")&gt;0,"P",""))))</f>
        <v/>
      </c>
      <c r="W103" s="23" t="str">
        <f>IF(A103="","",IF(IF(OR(DATE($B$3,3,22)&gt;EOMONTH(DATE($B$3,3,1),0),NETWORKDAYS.INTL(DATE($B$3,3,22),DATE($B$3,3,22),1,'Non-working days'!$A$6:$A$45)=0),"",IF(COUNTIFS('Leave log'!$A$7:$A$306,Employees!$A$34,'Leave log'!$B$7:$B$306,"&lt;="&amp;DATE($B$3,3,22),'Leave log'!$C$7:$C$306,"&gt;="&amp;DATE($B$3,3,22),'Leave log'!$F$7:$F$306,"Approved")&gt;0,"A",""))="A","A",IF(OR(DATE($B$3,3,22)&gt;EOMONTH(DATE($B$3,3,1),0),NETWORKDAYS.INTL(DATE($B$3,3,22),DATE($B$3,3,22),1,'Non-working days'!$A$6:$A$45)=0),"",IF(COUNTIFS('Leave log'!$A$7:$A$306,Employees!$A$34,'Leave log'!$B$7:$B$306,"&lt;="&amp;DATE($B$3,3,22),'Leave log'!$C$7:$C$306,"&gt;="&amp;DATE($B$3,3,22),'Leave log'!$F$7:$F$306,"Pending")&gt;0,"P",""))))</f>
        <v/>
      </c>
      <c r="X103" s="23" t="str">
        <f>IF(A103="","",IF(IF(OR(DATE($B$3,3,23)&gt;EOMONTH(DATE($B$3,3,1),0),NETWORKDAYS.INTL(DATE($B$3,3,23),DATE($B$3,3,23),1,'Non-working days'!$A$6:$A$45)=0),"",IF(COUNTIFS('Leave log'!$A$7:$A$306,Employees!$A$34,'Leave log'!$B$7:$B$306,"&lt;="&amp;DATE($B$3,3,23),'Leave log'!$C$7:$C$306,"&gt;="&amp;DATE($B$3,3,23),'Leave log'!$F$7:$F$306,"Approved")&gt;0,"A",""))="A","A",IF(OR(DATE($B$3,3,23)&gt;EOMONTH(DATE($B$3,3,1),0),NETWORKDAYS.INTL(DATE($B$3,3,23),DATE($B$3,3,23),1,'Non-working days'!$A$6:$A$45)=0),"",IF(COUNTIFS('Leave log'!$A$7:$A$306,Employees!$A$34,'Leave log'!$B$7:$B$306,"&lt;="&amp;DATE($B$3,3,23),'Leave log'!$C$7:$C$306,"&gt;="&amp;DATE($B$3,3,23),'Leave log'!$F$7:$F$306,"Pending")&gt;0,"P",""))))</f>
        <v/>
      </c>
      <c r="Y103" s="23" t="str">
        <f>IF(A103="","",IF(IF(OR(DATE($B$3,3,24)&gt;EOMONTH(DATE($B$3,3,1),0),NETWORKDAYS.INTL(DATE($B$3,3,24),DATE($B$3,3,24),1,'Non-working days'!$A$6:$A$45)=0),"",IF(COUNTIFS('Leave log'!$A$7:$A$306,Employees!$A$34,'Leave log'!$B$7:$B$306,"&lt;="&amp;DATE($B$3,3,24),'Leave log'!$C$7:$C$306,"&gt;="&amp;DATE($B$3,3,24),'Leave log'!$F$7:$F$306,"Approved")&gt;0,"A",""))="A","A",IF(OR(DATE($B$3,3,24)&gt;EOMONTH(DATE($B$3,3,1),0),NETWORKDAYS.INTL(DATE($B$3,3,24),DATE($B$3,3,24),1,'Non-working days'!$A$6:$A$45)=0),"",IF(COUNTIFS('Leave log'!$A$7:$A$306,Employees!$A$34,'Leave log'!$B$7:$B$306,"&lt;="&amp;DATE($B$3,3,24),'Leave log'!$C$7:$C$306,"&gt;="&amp;DATE($B$3,3,24),'Leave log'!$F$7:$F$306,"Pending")&gt;0,"P",""))))</f>
        <v/>
      </c>
      <c r="Z103" s="23" t="str">
        <f>IF(A103="","",IF(IF(OR(DATE($B$3,3,25)&gt;EOMONTH(DATE($B$3,3,1),0),NETWORKDAYS.INTL(DATE($B$3,3,25),DATE($B$3,3,25),1,'Non-working days'!$A$6:$A$45)=0),"",IF(COUNTIFS('Leave log'!$A$7:$A$306,Employees!$A$34,'Leave log'!$B$7:$B$306,"&lt;="&amp;DATE($B$3,3,25),'Leave log'!$C$7:$C$306,"&gt;="&amp;DATE($B$3,3,25),'Leave log'!$F$7:$F$306,"Approved")&gt;0,"A",""))="A","A",IF(OR(DATE($B$3,3,25)&gt;EOMONTH(DATE($B$3,3,1),0),NETWORKDAYS.INTL(DATE($B$3,3,25),DATE($B$3,3,25),1,'Non-working days'!$A$6:$A$45)=0),"",IF(COUNTIFS('Leave log'!$A$7:$A$306,Employees!$A$34,'Leave log'!$B$7:$B$306,"&lt;="&amp;DATE($B$3,3,25),'Leave log'!$C$7:$C$306,"&gt;="&amp;DATE($B$3,3,25),'Leave log'!$F$7:$F$306,"Pending")&gt;0,"P",""))))</f>
        <v/>
      </c>
      <c r="AA103" s="23" t="str">
        <f>IF(A103="","",IF(IF(OR(DATE($B$3,3,26)&gt;EOMONTH(DATE($B$3,3,1),0),NETWORKDAYS.INTL(DATE($B$3,3,26),DATE($B$3,3,26),1,'Non-working days'!$A$6:$A$45)=0),"",IF(COUNTIFS('Leave log'!$A$7:$A$306,Employees!$A$34,'Leave log'!$B$7:$B$306,"&lt;="&amp;DATE($B$3,3,26),'Leave log'!$C$7:$C$306,"&gt;="&amp;DATE($B$3,3,26),'Leave log'!$F$7:$F$306,"Approved")&gt;0,"A",""))="A","A",IF(OR(DATE($B$3,3,26)&gt;EOMONTH(DATE($B$3,3,1),0),NETWORKDAYS.INTL(DATE($B$3,3,26),DATE($B$3,3,26),1,'Non-working days'!$A$6:$A$45)=0),"",IF(COUNTIFS('Leave log'!$A$7:$A$306,Employees!$A$34,'Leave log'!$B$7:$B$306,"&lt;="&amp;DATE($B$3,3,26),'Leave log'!$C$7:$C$306,"&gt;="&amp;DATE($B$3,3,26),'Leave log'!$F$7:$F$306,"Pending")&gt;0,"P",""))))</f>
        <v/>
      </c>
      <c r="AB103" s="23" t="str">
        <f>IF(A103="","",IF(IF(OR(DATE($B$3,3,27)&gt;EOMONTH(DATE($B$3,3,1),0),NETWORKDAYS.INTL(DATE($B$3,3,27),DATE($B$3,3,27),1,'Non-working days'!$A$6:$A$45)=0),"",IF(COUNTIFS('Leave log'!$A$7:$A$306,Employees!$A$34,'Leave log'!$B$7:$B$306,"&lt;="&amp;DATE($B$3,3,27),'Leave log'!$C$7:$C$306,"&gt;="&amp;DATE($B$3,3,27),'Leave log'!$F$7:$F$306,"Approved")&gt;0,"A",""))="A","A",IF(OR(DATE($B$3,3,27)&gt;EOMONTH(DATE($B$3,3,1),0),NETWORKDAYS.INTL(DATE($B$3,3,27),DATE($B$3,3,27),1,'Non-working days'!$A$6:$A$45)=0),"",IF(COUNTIFS('Leave log'!$A$7:$A$306,Employees!$A$34,'Leave log'!$B$7:$B$306,"&lt;="&amp;DATE($B$3,3,27),'Leave log'!$C$7:$C$306,"&gt;="&amp;DATE($B$3,3,27),'Leave log'!$F$7:$F$306,"Pending")&gt;0,"P",""))))</f>
        <v/>
      </c>
      <c r="AC103" s="23" t="str">
        <f>IF(A103="","",IF(IF(OR(DATE($B$3,3,28)&gt;EOMONTH(DATE($B$3,3,1),0),NETWORKDAYS.INTL(DATE($B$3,3,28),DATE($B$3,3,28),1,'Non-working days'!$A$6:$A$45)=0),"",IF(COUNTIFS('Leave log'!$A$7:$A$306,Employees!$A$34,'Leave log'!$B$7:$B$306,"&lt;="&amp;DATE($B$3,3,28),'Leave log'!$C$7:$C$306,"&gt;="&amp;DATE($B$3,3,28),'Leave log'!$F$7:$F$306,"Approved")&gt;0,"A",""))="A","A",IF(OR(DATE($B$3,3,28)&gt;EOMONTH(DATE($B$3,3,1),0),NETWORKDAYS.INTL(DATE($B$3,3,28),DATE($B$3,3,28),1,'Non-working days'!$A$6:$A$45)=0),"",IF(COUNTIFS('Leave log'!$A$7:$A$306,Employees!$A$34,'Leave log'!$B$7:$B$306,"&lt;="&amp;DATE($B$3,3,28),'Leave log'!$C$7:$C$306,"&gt;="&amp;DATE($B$3,3,28),'Leave log'!$F$7:$F$306,"Pending")&gt;0,"P",""))))</f>
        <v/>
      </c>
      <c r="AD103" s="23" t="str">
        <f>IF(A103="","",IF(IF(OR(DATE($B$3,3,29)&gt;EOMONTH(DATE($B$3,3,1),0),NETWORKDAYS.INTL(DATE($B$3,3,29),DATE($B$3,3,29),1,'Non-working days'!$A$6:$A$45)=0),"",IF(COUNTIFS('Leave log'!$A$7:$A$306,Employees!$A$34,'Leave log'!$B$7:$B$306,"&lt;="&amp;DATE($B$3,3,29),'Leave log'!$C$7:$C$306,"&gt;="&amp;DATE($B$3,3,29),'Leave log'!$F$7:$F$306,"Approved")&gt;0,"A",""))="A","A",IF(OR(DATE($B$3,3,29)&gt;EOMONTH(DATE($B$3,3,1),0),NETWORKDAYS.INTL(DATE($B$3,3,29),DATE($B$3,3,29),1,'Non-working days'!$A$6:$A$45)=0),"",IF(COUNTIFS('Leave log'!$A$7:$A$306,Employees!$A$34,'Leave log'!$B$7:$B$306,"&lt;="&amp;DATE($B$3,3,29),'Leave log'!$C$7:$C$306,"&gt;="&amp;DATE($B$3,3,29),'Leave log'!$F$7:$F$306,"Pending")&gt;0,"P",""))))</f>
        <v/>
      </c>
      <c r="AE103" s="23" t="str">
        <f>IF(A103="","",IF(IF(OR(DATE($B$3,3,30)&gt;EOMONTH(DATE($B$3,3,1),0),NETWORKDAYS.INTL(DATE($B$3,3,30),DATE($B$3,3,30),1,'Non-working days'!$A$6:$A$45)=0),"",IF(COUNTIFS('Leave log'!$A$7:$A$306,Employees!$A$34,'Leave log'!$B$7:$B$306,"&lt;="&amp;DATE($B$3,3,30),'Leave log'!$C$7:$C$306,"&gt;="&amp;DATE($B$3,3,30),'Leave log'!$F$7:$F$306,"Approved")&gt;0,"A",""))="A","A",IF(OR(DATE($B$3,3,30)&gt;EOMONTH(DATE($B$3,3,1),0),NETWORKDAYS.INTL(DATE($B$3,3,30),DATE($B$3,3,30),1,'Non-working days'!$A$6:$A$45)=0),"",IF(COUNTIFS('Leave log'!$A$7:$A$306,Employees!$A$34,'Leave log'!$B$7:$B$306,"&lt;="&amp;DATE($B$3,3,30),'Leave log'!$C$7:$C$306,"&gt;="&amp;DATE($B$3,3,30),'Leave log'!$F$7:$F$306,"Pending")&gt;0,"P",""))))</f>
        <v/>
      </c>
      <c r="AF103" s="23" t="str">
        <f>IF(A103="","",IF(IF(OR(DATE($B$3,3,31)&gt;EOMONTH(DATE($B$3,3,1),0),NETWORKDAYS.INTL(DATE($B$3,3,31),DATE($B$3,3,31),1,'Non-working days'!$A$6:$A$45)=0),"",IF(COUNTIFS('Leave log'!$A$7:$A$306,Employees!$A$34,'Leave log'!$B$7:$B$306,"&lt;="&amp;DATE($B$3,3,31),'Leave log'!$C$7:$C$306,"&gt;="&amp;DATE($B$3,3,31),'Leave log'!$F$7:$F$306,"Approved")&gt;0,"A",""))="A","A",IF(OR(DATE($B$3,3,31)&gt;EOMONTH(DATE($B$3,3,1),0),NETWORKDAYS.INTL(DATE($B$3,3,31),DATE($B$3,3,31),1,'Non-working days'!$A$6:$A$45)=0),"",IF(COUNTIFS('Leave log'!$A$7:$A$306,Employees!$A$34,'Leave log'!$B$7:$B$306,"&lt;="&amp;DATE($B$3,3,31),'Leave log'!$C$7:$C$306,"&gt;="&amp;DATE($B$3,3,31),'Leave log'!$F$7:$F$306,"Pending")&gt;0,"P",""))))</f>
        <v/>
      </c>
    </row>
    <row r="104" spans="1:32" ht="18" customHeight="1" x14ac:dyDescent="0.3">
      <c r="A104" s="22" t="str">
        <f>IF(Employees!F35="Yes",Employees!B35,"")</f>
        <v/>
      </c>
      <c r="B104" s="23" t="str">
        <f>IF(A104="","",IF(IF(OR(DATE($B$3,3,1)&gt;EOMONTH(DATE($B$3,3,1),0),NETWORKDAYS.INTL(DATE($B$3,3,1),DATE($B$3,3,1),1,'Non-working days'!$A$6:$A$45)=0),"",IF(COUNTIFS('Leave log'!$A$7:$A$306,Employees!$A$35,'Leave log'!$B$7:$B$306,"&lt;="&amp;DATE($B$3,3,1),'Leave log'!$C$7:$C$306,"&gt;="&amp;DATE($B$3,3,1),'Leave log'!$F$7:$F$306,"Approved")&gt;0,"A",""))="A","A",IF(OR(DATE($B$3,3,1)&gt;EOMONTH(DATE($B$3,3,1),0),NETWORKDAYS.INTL(DATE($B$3,3,1),DATE($B$3,3,1),1,'Non-working days'!$A$6:$A$45)=0),"",IF(COUNTIFS('Leave log'!$A$7:$A$306,Employees!$A$35,'Leave log'!$B$7:$B$306,"&lt;="&amp;DATE($B$3,3,1),'Leave log'!$C$7:$C$306,"&gt;="&amp;DATE($B$3,3,1),'Leave log'!$F$7:$F$306,"Pending")&gt;0,"P",""))))</f>
        <v/>
      </c>
      <c r="C104" s="23" t="str">
        <f>IF(A104="","",IF(IF(OR(DATE($B$3,3,2)&gt;EOMONTH(DATE($B$3,3,1),0),NETWORKDAYS.INTL(DATE($B$3,3,2),DATE($B$3,3,2),1,'Non-working days'!$A$6:$A$45)=0),"",IF(COUNTIFS('Leave log'!$A$7:$A$306,Employees!$A$35,'Leave log'!$B$7:$B$306,"&lt;="&amp;DATE($B$3,3,2),'Leave log'!$C$7:$C$306,"&gt;="&amp;DATE($B$3,3,2),'Leave log'!$F$7:$F$306,"Approved")&gt;0,"A",""))="A","A",IF(OR(DATE($B$3,3,2)&gt;EOMONTH(DATE($B$3,3,1),0),NETWORKDAYS.INTL(DATE($B$3,3,2),DATE($B$3,3,2),1,'Non-working days'!$A$6:$A$45)=0),"",IF(COUNTIFS('Leave log'!$A$7:$A$306,Employees!$A$35,'Leave log'!$B$7:$B$306,"&lt;="&amp;DATE($B$3,3,2),'Leave log'!$C$7:$C$306,"&gt;="&amp;DATE($B$3,3,2),'Leave log'!$F$7:$F$306,"Pending")&gt;0,"P",""))))</f>
        <v/>
      </c>
      <c r="D104" s="23" t="str">
        <f>IF(A104="","",IF(IF(OR(DATE($B$3,3,3)&gt;EOMONTH(DATE($B$3,3,1),0),NETWORKDAYS.INTL(DATE($B$3,3,3),DATE($B$3,3,3),1,'Non-working days'!$A$6:$A$45)=0),"",IF(COUNTIFS('Leave log'!$A$7:$A$306,Employees!$A$35,'Leave log'!$B$7:$B$306,"&lt;="&amp;DATE($B$3,3,3),'Leave log'!$C$7:$C$306,"&gt;="&amp;DATE($B$3,3,3),'Leave log'!$F$7:$F$306,"Approved")&gt;0,"A",""))="A","A",IF(OR(DATE($B$3,3,3)&gt;EOMONTH(DATE($B$3,3,1),0),NETWORKDAYS.INTL(DATE($B$3,3,3),DATE($B$3,3,3),1,'Non-working days'!$A$6:$A$45)=0),"",IF(COUNTIFS('Leave log'!$A$7:$A$306,Employees!$A$35,'Leave log'!$B$7:$B$306,"&lt;="&amp;DATE($B$3,3,3),'Leave log'!$C$7:$C$306,"&gt;="&amp;DATE($B$3,3,3),'Leave log'!$F$7:$F$306,"Pending")&gt;0,"P",""))))</f>
        <v/>
      </c>
      <c r="E104" s="23" t="str">
        <f>IF(A104="","",IF(IF(OR(DATE($B$3,3,4)&gt;EOMONTH(DATE($B$3,3,1),0),NETWORKDAYS.INTL(DATE($B$3,3,4),DATE($B$3,3,4),1,'Non-working days'!$A$6:$A$45)=0),"",IF(COUNTIFS('Leave log'!$A$7:$A$306,Employees!$A$35,'Leave log'!$B$7:$B$306,"&lt;="&amp;DATE($B$3,3,4),'Leave log'!$C$7:$C$306,"&gt;="&amp;DATE($B$3,3,4),'Leave log'!$F$7:$F$306,"Approved")&gt;0,"A",""))="A","A",IF(OR(DATE($B$3,3,4)&gt;EOMONTH(DATE($B$3,3,1),0),NETWORKDAYS.INTL(DATE($B$3,3,4),DATE($B$3,3,4),1,'Non-working days'!$A$6:$A$45)=0),"",IF(COUNTIFS('Leave log'!$A$7:$A$306,Employees!$A$35,'Leave log'!$B$7:$B$306,"&lt;="&amp;DATE($B$3,3,4),'Leave log'!$C$7:$C$306,"&gt;="&amp;DATE($B$3,3,4),'Leave log'!$F$7:$F$306,"Pending")&gt;0,"P",""))))</f>
        <v/>
      </c>
      <c r="F104" s="23" t="str">
        <f>IF(A104="","",IF(IF(OR(DATE($B$3,3,5)&gt;EOMONTH(DATE($B$3,3,1),0),NETWORKDAYS.INTL(DATE($B$3,3,5),DATE($B$3,3,5),1,'Non-working days'!$A$6:$A$45)=0),"",IF(COUNTIFS('Leave log'!$A$7:$A$306,Employees!$A$35,'Leave log'!$B$7:$B$306,"&lt;="&amp;DATE($B$3,3,5),'Leave log'!$C$7:$C$306,"&gt;="&amp;DATE($B$3,3,5),'Leave log'!$F$7:$F$306,"Approved")&gt;0,"A",""))="A","A",IF(OR(DATE($B$3,3,5)&gt;EOMONTH(DATE($B$3,3,1),0),NETWORKDAYS.INTL(DATE($B$3,3,5),DATE($B$3,3,5),1,'Non-working days'!$A$6:$A$45)=0),"",IF(COUNTIFS('Leave log'!$A$7:$A$306,Employees!$A$35,'Leave log'!$B$7:$B$306,"&lt;="&amp;DATE($B$3,3,5),'Leave log'!$C$7:$C$306,"&gt;="&amp;DATE($B$3,3,5),'Leave log'!$F$7:$F$306,"Pending")&gt;0,"P",""))))</f>
        <v/>
      </c>
      <c r="G104" s="23" t="str">
        <f>IF(A104="","",IF(IF(OR(DATE($B$3,3,6)&gt;EOMONTH(DATE($B$3,3,1),0),NETWORKDAYS.INTL(DATE($B$3,3,6),DATE($B$3,3,6),1,'Non-working days'!$A$6:$A$45)=0),"",IF(COUNTIFS('Leave log'!$A$7:$A$306,Employees!$A$35,'Leave log'!$B$7:$B$306,"&lt;="&amp;DATE($B$3,3,6),'Leave log'!$C$7:$C$306,"&gt;="&amp;DATE($B$3,3,6),'Leave log'!$F$7:$F$306,"Approved")&gt;0,"A",""))="A","A",IF(OR(DATE($B$3,3,6)&gt;EOMONTH(DATE($B$3,3,1),0),NETWORKDAYS.INTL(DATE($B$3,3,6),DATE($B$3,3,6),1,'Non-working days'!$A$6:$A$45)=0),"",IF(COUNTIFS('Leave log'!$A$7:$A$306,Employees!$A$35,'Leave log'!$B$7:$B$306,"&lt;="&amp;DATE($B$3,3,6),'Leave log'!$C$7:$C$306,"&gt;="&amp;DATE($B$3,3,6),'Leave log'!$F$7:$F$306,"Pending")&gt;0,"P",""))))</f>
        <v/>
      </c>
      <c r="H104" s="23" t="str">
        <f>IF(A104="","",IF(IF(OR(DATE($B$3,3,7)&gt;EOMONTH(DATE($B$3,3,1),0),NETWORKDAYS.INTL(DATE($B$3,3,7),DATE($B$3,3,7),1,'Non-working days'!$A$6:$A$45)=0),"",IF(COUNTIFS('Leave log'!$A$7:$A$306,Employees!$A$35,'Leave log'!$B$7:$B$306,"&lt;="&amp;DATE($B$3,3,7),'Leave log'!$C$7:$C$306,"&gt;="&amp;DATE($B$3,3,7),'Leave log'!$F$7:$F$306,"Approved")&gt;0,"A",""))="A","A",IF(OR(DATE($B$3,3,7)&gt;EOMONTH(DATE($B$3,3,1),0),NETWORKDAYS.INTL(DATE($B$3,3,7),DATE($B$3,3,7),1,'Non-working days'!$A$6:$A$45)=0),"",IF(COUNTIFS('Leave log'!$A$7:$A$306,Employees!$A$35,'Leave log'!$B$7:$B$306,"&lt;="&amp;DATE($B$3,3,7),'Leave log'!$C$7:$C$306,"&gt;="&amp;DATE($B$3,3,7),'Leave log'!$F$7:$F$306,"Pending")&gt;0,"P",""))))</f>
        <v/>
      </c>
      <c r="I104" s="23" t="str">
        <f>IF(A104="","",IF(IF(OR(DATE($B$3,3,8)&gt;EOMONTH(DATE($B$3,3,1),0),NETWORKDAYS.INTL(DATE($B$3,3,8),DATE($B$3,3,8),1,'Non-working days'!$A$6:$A$45)=0),"",IF(COUNTIFS('Leave log'!$A$7:$A$306,Employees!$A$35,'Leave log'!$B$7:$B$306,"&lt;="&amp;DATE($B$3,3,8),'Leave log'!$C$7:$C$306,"&gt;="&amp;DATE($B$3,3,8),'Leave log'!$F$7:$F$306,"Approved")&gt;0,"A",""))="A","A",IF(OR(DATE($B$3,3,8)&gt;EOMONTH(DATE($B$3,3,1),0),NETWORKDAYS.INTL(DATE($B$3,3,8),DATE($B$3,3,8),1,'Non-working days'!$A$6:$A$45)=0),"",IF(COUNTIFS('Leave log'!$A$7:$A$306,Employees!$A$35,'Leave log'!$B$7:$B$306,"&lt;="&amp;DATE($B$3,3,8),'Leave log'!$C$7:$C$306,"&gt;="&amp;DATE($B$3,3,8),'Leave log'!$F$7:$F$306,"Pending")&gt;0,"P",""))))</f>
        <v/>
      </c>
      <c r="J104" s="23" t="str">
        <f>IF(A104="","",IF(IF(OR(DATE($B$3,3,9)&gt;EOMONTH(DATE($B$3,3,1),0),NETWORKDAYS.INTL(DATE($B$3,3,9),DATE($B$3,3,9),1,'Non-working days'!$A$6:$A$45)=0),"",IF(COUNTIFS('Leave log'!$A$7:$A$306,Employees!$A$35,'Leave log'!$B$7:$B$306,"&lt;="&amp;DATE($B$3,3,9),'Leave log'!$C$7:$C$306,"&gt;="&amp;DATE($B$3,3,9),'Leave log'!$F$7:$F$306,"Approved")&gt;0,"A",""))="A","A",IF(OR(DATE($B$3,3,9)&gt;EOMONTH(DATE($B$3,3,1),0),NETWORKDAYS.INTL(DATE($B$3,3,9),DATE($B$3,3,9),1,'Non-working days'!$A$6:$A$45)=0),"",IF(COUNTIFS('Leave log'!$A$7:$A$306,Employees!$A$35,'Leave log'!$B$7:$B$306,"&lt;="&amp;DATE($B$3,3,9),'Leave log'!$C$7:$C$306,"&gt;="&amp;DATE($B$3,3,9),'Leave log'!$F$7:$F$306,"Pending")&gt;0,"P",""))))</f>
        <v/>
      </c>
      <c r="K104" s="23" t="str">
        <f>IF(A104="","",IF(IF(OR(DATE($B$3,3,10)&gt;EOMONTH(DATE($B$3,3,1),0),NETWORKDAYS.INTL(DATE($B$3,3,10),DATE($B$3,3,10),1,'Non-working days'!$A$6:$A$45)=0),"",IF(COUNTIFS('Leave log'!$A$7:$A$306,Employees!$A$35,'Leave log'!$B$7:$B$306,"&lt;="&amp;DATE($B$3,3,10),'Leave log'!$C$7:$C$306,"&gt;="&amp;DATE($B$3,3,10),'Leave log'!$F$7:$F$306,"Approved")&gt;0,"A",""))="A","A",IF(OR(DATE($B$3,3,10)&gt;EOMONTH(DATE($B$3,3,1),0),NETWORKDAYS.INTL(DATE($B$3,3,10),DATE($B$3,3,10),1,'Non-working days'!$A$6:$A$45)=0),"",IF(COUNTIFS('Leave log'!$A$7:$A$306,Employees!$A$35,'Leave log'!$B$7:$B$306,"&lt;="&amp;DATE($B$3,3,10),'Leave log'!$C$7:$C$306,"&gt;="&amp;DATE($B$3,3,10),'Leave log'!$F$7:$F$306,"Pending")&gt;0,"P",""))))</f>
        <v/>
      </c>
      <c r="L104" s="23" t="str">
        <f>IF(A104="","",IF(IF(OR(DATE($B$3,3,11)&gt;EOMONTH(DATE($B$3,3,1),0),NETWORKDAYS.INTL(DATE($B$3,3,11),DATE($B$3,3,11),1,'Non-working days'!$A$6:$A$45)=0),"",IF(COUNTIFS('Leave log'!$A$7:$A$306,Employees!$A$35,'Leave log'!$B$7:$B$306,"&lt;="&amp;DATE($B$3,3,11),'Leave log'!$C$7:$C$306,"&gt;="&amp;DATE($B$3,3,11),'Leave log'!$F$7:$F$306,"Approved")&gt;0,"A",""))="A","A",IF(OR(DATE($B$3,3,11)&gt;EOMONTH(DATE($B$3,3,1),0),NETWORKDAYS.INTL(DATE($B$3,3,11),DATE($B$3,3,11),1,'Non-working days'!$A$6:$A$45)=0),"",IF(COUNTIFS('Leave log'!$A$7:$A$306,Employees!$A$35,'Leave log'!$B$7:$B$306,"&lt;="&amp;DATE($B$3,3,11),'Leave log'!$C$7:$C$306,"&gt;="&amp;DATE($B$3,3,11),'Leave log'!$F$7:$F$306,"Pending")&gt;0,"P",""))))</f>
        <v/>
      </c>
      <c r="M104" s="23" t="str">
        <f>IF(A104="","",IF(IF(OR(DATE($B$3,3,12)&gt;EOMONTH(DATE($B$3,3,1),0),NETWORKDAYS.INTL(DATE($B$3,3,12),DATE($B$3,3,12),1,'Non-working days'!$A$6:$A$45)=0),"",IF(COUNTIFS('Leave log'!$A$7:$A$306,Employees!$A$35,'Leave log'!$B$7:$B$306,"&lt;="&amp;DATE($B$3,3,12),'Leave log'!$C$7:$C$306,"&gt;="&amp;DATE($B$3,3,12),'Leave log'!$F$7:$F$306,"Approved")&gt;0,"A",""))="A","A",IF(OR(DATE($B$3,3,12)&gt;EOMONTH(DATE($B$3,3,1),0),NETWORKDAYS.INTL(DATE($B$3,3,12),DATE($B$3,3,12),1,'Non-working days'!$A$6:$A$45)=0),"",IF(COUNTIFS('Leave log'!$A$7:$A$306,Employees!$A$35,'Leave log'!$B$7:$B$306,"&lt;="&amp;DATE($B$3,3,12),'Leave log'!$C$7:$C$306,"&gt;="&amp;DATE($B$3,3,12),'Leave log'!$F$7:$F$306,"Pending")&gt;0,"P",""))))</f>
        <v/>
      </c>
      <c r="N104" s="23" t="str">
        <f>IF(A104="","",IF(IF(OR(DATE($B$3,3,13)&gt;EOMONTH(DATE($B$3,3,1),0),NETWORKDAYS.INTL(DATE($B$3,3,13),DATE($B$3,3,13),1,'Non-working days'!$A$6:$A$45)=0),"",IF(COUNTIFS('Leave log'!$A$7:$A$306,Employees!$A$35,'Leave log'!$B$7:$B$306,"&lt;="&amp;DATE($B$3,3,13),'Leave log'!$C$7:$C$306,"&gt;="&amp;DATE($B$3,3,13),'Leave log'!$F$7:$F$306,"Approved")&gt;0,"A",""))="A","A",IF(OR(DATE($B$3,3,13)&gt;EOMONTH(DATE($B$3,3,1),0),NETWORKDAYS.INTL(DATE($B$3,3,13),DATE($B$3,3,13),1,'Non-working days'!$A$6:$A$45)=0),"",IF(COUNTIFS('Leave log'!$A$7:$A$306,Employees!$A$35,'Leave log'!$B$7:$B$306,"&lt;="&amp;DATE($B$3,3,13),'Leave log'!$C$7:$C$306,"&gt;="&amp;DATE($B$3,3,13),'Leave log'!$F$7:$F$306,"Pending")&gt;0,"P",""))))</f>
        <v/>
      </c>
      <c r="O104" s="23" t="str">
        <f>IF(A104="","",IF(IF(OR(DATE($B$3,3,14)&gt;EOMONTH(DATE($B$3,3,1),0),NETWORKDAYS.INTL(DATE($B$3,3,14),DATE($B$3,3,14),1,'Non-working days'!$A$6:$A$45)=0),"",IF(COUNTIFS('Leave log'!$A$7:$A$306,Employees!$A$35,'Leave log'!$B$7:$B$306,"&lt;="&amp;DATE($B$3,3,14),'Leave log'!$C$7:$C$306,"&gt;="&amp;DATE($B$3,3,14),'Leave log'!$F$7:$F$306,"Approved")&gt;0,"A",""))="A","A",IF(OR(DATE($B$3,3,14)&gt;EOMONTH(DATE($B$3,3,1),0),NETWORKDAYS.INTL(DATE($B$3,3,14),DATE($B$3,3,14),1,'Non-working days'!$A$6:$A$45)=0),"",IF(COUNTIFS('Leave log'!$A$7:$A$306,Employees!$A$35,'Leave log'!$B$7:$B$306,"&lt;="&amp;DATE($B$3,3,14),'Leave log'!$C$7:$C$306,"&gt;="&amp;DATE($B$3,3,14),'Leave log'!$F$7:$F$306,"Pending")&gt;0,"P",""))))</f>
        <v/>
      </c>
      <c r="P104" s="23" t="str">
        <f>IF(A104="","",IF(IF(OR(DATE($B$3,3,15)&gt;EOMONTH(DATE($B$3,3,1),0),NETWORKDAYS.INTL(DATE($B$3,3,15),DATE($B$3,3,15),1,'Non-working days'!$A$6:$A$45)=0),"",IF(COUNTIFS('Leave log'!$A$7:$A$306,Employees!$A$35,'Leave log'!$B$7:$B$306,"&lt;="&amp;DATE($B$3,3,15),'Leave log'!$C$7:$C$306,"&gt;="&amp;DATE($B$3,3,15),'Leave log'!$F$7:$F$306,"Approved")&gt;0,"A",""))="A","A",IF(OR(DATE($B$3,3,15)&gt;EOMONTH(DATE($B$3,3,1),0),NETWORKDAYS.INTL(DATE($B$3,3,15),DATE($B$3,3,15),1,'Non-working days'!$A$6:$A$45)=0),"",IF(COUNTIFS('Leave log'!$A$7:$A$306,Employees!$A$35,'Leave log'!$B$7:$B$306,"&lt;="&amp;DATE($B$3,3,15),'Leave log'!$C$7:$C$306,"&gt;="&amp;DATE($B$3,3,15),'Leave log'!$F$7:$F$306,"Pending")&gt;0,"P",""))))</f>
        <v/>
      </c>
      <c r="Q104" s="23" t="str">
        <f>IF(A104="","",IF(IF(OR(DATE($B$3,3,16)&gt;EOMONTH(DATE($B$3,3,1),0),NETWORKDAYS.INTL(DATE($B$3,3,16),DATE($B$3,3,16),1,'Non-working days'!$A$6:$A$45)=0),"",IF(COUNTIFS('Leave log'!$A$7:$A$306,Employees!$A$35,'Leave log'!$B$7:$B$306,"&lt;="&amp;DATE($B$3,3,16),'Leave log'!$C$7:$C$306,"&gt;="&amp;DATE($B$3,3,16),'Leave log'!$F$7:$F$306,"Approved")&gt;0,"A",""))="A","A",IF(OR(DATE($B$3,3,16)&gt;EOMONTH(DATE($B$3,3,1),0),NETWORKDAYS.INTL(DATE($B$3,3,16),DATE($B$3,3,16),1,'Non-working days'!$A$6:$A$45)=0),"",IF(COUNTIFS('Leave log'!$A$7:$A$306,Employees!$A$35,'Leave log'!$B$7:$B$306,"&lt;="&amp;DATE($B$3,3,16),'Leave log'!$C$7:$C$306,"&gt;="&amp;DATE($B$3,3,16),'Leave log'!$F$7:$F$306,"Pending")&gt;0,"P",""))))</f>
        <v/>
      </c>
      <c r="R104" s="23" t="str">
        <f>IF(A104="","",IF(IF(OR(DATE($B$3,3,17)&gt;EOMONTH(DATE($B$3,3,1),0),NETWORKDAYS.INTL(DATE($B$3,3,17),DATE($B$3,3,17),1,'Non-working days'!$A$6:$A$45)=0),"",IF(COUNTIFS('Leave log'!$A$7:$A$306,Employees!$A$35,'Leave log'!$B$7:$B$306,"&lt;="&amp;DATE($B$3,3,17),'Leave log'!$C$7:$C$306,"&gt;="&amp;DATE($B$3,3,17),'Leave log'!$F$7:$F$306,"Approved")&gt;0,"A",""))="A","A",IF(OR(DATE($B$3,3,17)&gt;EOMONTH(DATE($B$3,3,1),0),NETWORKDAYS.INTL(DATE($B$3,3,17),DATE($B$3,3,17),1,'Non-working days'!$A$6:$A$45)=0),"",IF(COUNTIFS('Leave log'!$A$7:$A$306,Employees!$A$35,'Leave log'!$B$7:$B$306,"&lt;="&amp;DATE($B$3,3,17),'Leave log'!$C$7:$C$306,"&gt;="&amp;DATE($B$3,3,17),'Leave log'!$F$7:$F$306,"Pending")&gt;0,"P",""))))</f>
        <v/>
      </c>
      <c r="S104" s="23" t="str">
        <f>IF(A104="","",IF(IF(OR(DATE($B$3,3,18)&gt;EOMONTH(DATE($B$3,3,1),0),NETWORKDAYS.INTL(DATE($B$3,3,18),DATE($B$3,3,18),1,'Non-working days'!$A$6:$A$45)=0),"",IF(COUNTIFS('Leave log'!$A$7:$A$306,Employees!$A$35,'Leave log'!$B$7:$B$306,"&lt;="&amp;DATE($B$3,3,18),'Leave log'!$C$7:$C$306,"&gt;="&amp;DATE($B$3,3,18),'Leave log'!$F$7:$F$306,"Approved")&gt;0,"A",""))="A","A",IF(OR(DATE($B$3,3,18)&gt;EOMONTH(DATE($B$3,3,1),0),NETWORKDAYS.INTL(DATE($B$3,3,18),DATE($B$3,3,18),1,'Non-working days'!$A$6:$A$45)=0),"",IF(COUNTIFS('Leave log'!$A$7:$A$306,Employees!$A$35,'Leave log'!$B$7:$B$306,"&lt;="&amp;DATE($B$3,3,18),'Leave log'!$C$7:$C$306,"&gt;="&amp;DATE($B$3,3,18),'Leave log'!$F$7:$F$306,"Pending")&gt;0,"P",""))))</f>
        <v/>
      </c>
      <c r="T104" s="23" t="str">
        <f>IF(A104="","",IF(IF(OR(DATE($B$3,3,19)&gt;EOMONTH(DATE($B$3,3,1),0),NETWORKDAYS.INTL(DATE($B$3,3,19),DATE($B$3,3,19),1,'Non-working days'!$A$6:$A$45)=0),"",IF(COUNTIFS('Leave log'!$A$7:$A$306,Employees!$A$35,'Leave log'!$B$7:$B$306,"&lt;="&amp;DATE($B$3,3,19),'Leave log'!$C$7:$C$306,"&gt;="&amp;DATE($B$3,3,19),'Leave log'!$F$7:$F$306,"Approved")&gt;0,"A",""))="A","A",IF(OR(DATE($B$3,3,19)&gt;EOMONTH(DATE($B$3,3,1),0),NETWORKDAYS.INTL(DATE($B$3,3,19),DATE($B$3,3,19),1,'Non-working days'!$A$6:$A$45)=0),"",IF(COUNTIFS('Leave log'!$A$7:$A$306,Employees!$A$35,'Leave log'!$B$7:$B$306,"&lt;="&amp;DATE($B$3,3,19),'Leave log'!$C$7:$C$306,"&gt;="&amp;DATE($B$3,3,19),'Leave log'!$F$7:$F$306,"Pending")&gt;0,"P",""))))</f>
        <v/>
      </c>
      <c r="U104" s="23" t="str">
        <f>IF(A104="","",IF(IF(OR(DATE($B$3,3,20)&gt;EOMONTH(DATE($B$3,3,1),0),NETWORKDAYS.INTL(DATE($B$3,3,20),DATE($B$3,3,20),1,'Non-working days'!$A$6:$A$45)=0),"",IF(COUNTIFS('Leave log'!$A$7:$A$306,Employees!$A$35,'Leave log'!$B$7:$B$306,"&lt;="&amp;DATE($B$3,3,20),'Leave log'!$C$7:$C$306,"&gt;="&amp;DATE($B$3,3,20),'Leave log'!$F$7:$F$306,"Approved")&gt;0,"A",""))="A","A",IF(OR(DATE($B$3,3,20)&gt;EOMONTH(DATE($B$3,3,1),0),NETWORKDAYS.INTL(DATE($B$3,3,20),DATE($B$3,3,20),1,'Non-working days'!$A$6:$A$45)=0),"",IF(COUNTIFS('Leave log'!$A$7:$A$306,Employees!$A$35,'Leave log'!$B$7:$B$306,"&lt;="&amp;DATE($B$3,3,20),'Leave log'!$C$7:$C$306,"&gt;="&amp;DATE($B$3,3,20),'Leave log'!$F$7:$F$306,"Pending")&gt;0,"P",""))))</f>
        <v/>
      </c>
      <c r="V104" s="23" t="str">
        <f>IF(A104="","",IF(IF(OR(DATE($B$3,3,21)&gt;EOMONTH(DATE($B$3,3,1),0),NETWORKDAYS.INTL(DATE($B$3,3,21),DATE($B$3,3,21),1,'Non-working days'!$A$6:$A$45)=0),"",IF(COUNTIFS('Leave log'!$A$7:$A$306,Employees!$A$35,'Leave log'!$B$7:$B$306,"&lt;="&amp;DATE($B$3,3,21),'Leave log'!$C$7:$C$306,"&gt;="&amp;DATE($B$3,3,21),'Leave log'!$F$7:$F$306,"Approved")&gt;0,"A",""))="A","A",IF(OR(DATE($B$3,3,21)&gt;EOMONTH(DATE($B$3,3,1),0),NETWORKDAYS.INTL(DATE($B$3,3,21),DATE($B$3,3,21),1,'Non-working days'!$A$6:$A$45)=0),"",IF(COUNTIFS('Leave log'!$A$7:$A$306,Employees!$A$35,'Leave log'!$B$7:$B$306,"&lt;="&amp;DATE($B$3,3,21),'Leave log'!$C$7:$C$306,"&gt;="&amp;DATE($B$3,3,21),'Leave log'!$F$7:$F$306,"Pending")&gt;0,"P",""))))</f>
        <v/>
      </c>
      <c r="W104" s="23" t="str">
        <f>IF(A104="","",IF(IF(OR(DATE($B$3,3,22)&gt;EOMONTH(DATE($B$3,3,1),0),NETWORKDAYS.INTL(DATE($B$3,3,22),DATE($B$3,3,22),1,'Non-working days'!$A$6:$A$45)=0),"",IF(COUNTIFS('Leave log'!$A$7:$A$306,Employees!$A$35,'Leave log'!$B$7:$B$306,"&lt;="&amp;DATE($B$3,3,22),'Leave log'!$C$7:$C$306,"&gt;="&amp;DATE($B$3,3,22),'Leave log'!$F$7:$F$306,"Approved")&gt;0,"A",""))="A","A",IF(OR(DATE($B$3,3,22)&gt;EOMONTH(DATE($B$3,3,1),0),NETWORKDAYS.INTL(DATE($B$3,3,22),DATE($B$3,3,22),1,'Non-working days'!$A$6:$A$45)=0),"",IF(COUNTIFS('Leave log'!$A$7:$A$306,Employees!$A$35,'Leave log'!$B$7:$B$306,"&lt;="&amp;DATE($B$3,3,22),'Leave log'!$C$7:$C$306,"&gt;="&amp;DATE($B$3,3,22),'Leave log'!$F$7:$F$306,"Pending")&gt;0,"P",""))))</f>
        <v/>
      </c>
      <c r="X104" s="23" t="str">
        <f>IF(A104="","",IF(IF(OR(DATE($B$3,3,23)&gt;EOMONTH(DATE($B$3,3,1),0),NETWORKDAYS.INTL(DATE($B$3,3,23),DATE($B$3,3,23),1,'Non-working days'!$A$6:$A$45)=0),"",IF(COUNTIFS('Leave log'!$A$7:$A$306,Employees!$A$35,'Leave log'!$B$7:$B$306,"&lt;="&amp;DATE($B$3,3,23),'Leave log'!$C$7:$C$306,"&gt;="&amp;DATE($B$3,3,23),'Leave log'!$F$7:$F$306,"Approved")&gt;0,"A",""))="A","A",IF(OR(DATE($B$3,3,23)&gt;EOMONTH(DATE($B$3,3,1),0),NETWORKDAYS.INTL(DATE($B$3,3,23),DATE($B$3,3,23),1,'Non-working days'!$A$6:$A$45)=0),"",IF(COUNTIFS('Leave log'!$A$7:$A$306,Employees!$A$35,'Leave log'!$B$7:$B$306,"&lt;="&amp;DATE($B$3,3,23),'Leave log'!$C$7:$C$306,"&gt;="&amp;DATE($B$3,3,23),'Leave log'!$F$7:$F$306,"Pending")&gt;0,"P",""))))</f>
        <v/>
      </c>
      <c r="Y104" s="23" t="str">
        <f>IF(A104="","",IF(IF(OR(DATE($B$3,3,24)&gt;EOMONTH(DATE($B$3,3,1),0),NETWORKDAYS.INTL(DATE($B$3,3,24),DATE($B$3,3,24),1,'Non-working days'!$A$6:$A$45)=0),"",IF(COUNTIFS('Leave log'!$A$7:$A$306,Employees!$A$35,'Leave log'!$B$7:$B$306,"&lt;="&amp;DATE($B$3,3,24),'Leave log'!$C$7:$C$306,"&gt;="&amp;DATE($B$3,3,24),'Leave log'!$F$7:$F$306,"Approved")&gt;0,"A",""))="A","A",IF(OR(DATE($B$3,3,24)&gt;EOMONTH(DATE($B$3,3,1),0),NETWORKDAYS.INTL(DATE($B$3,3,24),DATE($B$3,3,24),1,'Non-working days'!$A$6:$A$45)=0),"",IF(COUNTIFS('Leave log'!$A$7:$A$306,Employees!$A$35,'Leave log'!$B$7:$B$306,"&lt;="&amp;DATE($B$3,3,24),'Leave log'!$C$7:$C$306,"&gt;="&amp;DATE($B$3,3,24),'Leave log'!$F$7:$F$306,"Pending")&gt;0,"P",""))))</f>
        <v/>
      </c>
      <c r="Z104" s="23" t="str">
        <f>IF(A104="","",IF(IF(OR(DATE($B$3,3,25)&gt;EOMONTH(DATE($B$3,3,1),0),NETWORKDAYS.INTL(DATE($B$3,3,25),DATE($B$3,3,25),1,'Non-working days'!$A$6:$A$45)=0),"",IF(COUNTIFS('Leave log'!$A$7:$A$306,Employees!$A$35,'Leave log'!$B$7:$B$306,"&lt;="&amp;DATE($B$3,3,25),'Leave log'!$C$7:$C$306,"&gt;="&amp;DATE($B$3,3,25),'Leave log'!$F$7:$F$306,"Approved")&gt;0,"A",""))="A","A",IF(OR(DATE($B$3,3,25)&gt;EOMONTH(DATE($B$3,3,1),0),NETWORKDAYS.INTL(DATE($B$3,3,25),DATE($B$3,3,25),1,'Non-working days'!$A$6:$A$45)=0),"",IF(COUNTIFS('Leave log'!$A$7:$A$306,Employees!$A$35,'Leave log'!$B$7:$B$306,"&lt;="&amp;DATE($B$3,3,25),'Leave log'!$C$7:$C$306,"&gt;="&amp;DATE($B$3,3,25),'Leave log'!$F$7:$F$306,"Pending")&gt;0,"P",""))))</f>
        <v/>
      </c>
      <c r="AA104" s="23" t="str">
        <f>IF(A104="","",IF(IF(OR(DATE($B$3,3,26)&gt;EOMONTH(DATE($B$3,3,1),0),NETWORKDAYS.INTL(DATE($B$3,3,26),DATE($B$3,3,26),1,'Non-working days'!$A$6:$A$45)=0),"",IF(COUNTIFS('Leave log'!$A$7:$A$306,Employees!$A$35,'Leave log'!$B$7:$B$306,"&lt;="&amp;DATE($B$3,3,26),'Leave log'!$C$7:$C$306,"&gt;="&amp;DATE($B$3,3,26),'Leave log'!$F$7:$F$306,"Approved")&gt;0,"A",""))="A","A",IF(OR(DATE($B$3,3,26)&gt;EOMONTH(DATE($B$3,3,1),0),NETWORKDAYS.INTL(DATE($B$3,3,26),DATE($B$3,3,26),1,'Non-working days'!$A$6:$A$45)=0),"",IF(COUNTIFS('Leave log'!$A$7:$A$306,Employees!$A$35,'Leave log'!$B$7:$B$306,"&lt;="&amp;DATE($B$3,3,26),'Leave log'!$C$7:$C$306,"&gt;="&amp;DATE($B$3,3,26),'Leave log'!$F$7:$F$306,"Pending")&gt;0,"P",""))))</f>
        <v/>
      </c>
      <c r="AB104" s="23" t="str">
        <f>IF(A104="","",IF(IF(OR(DATE($B$3,3,27)&gt;EOMONTH(DATE($B$3,3,1),0),NETWORKDAYS.INTL(DATE($B$3,3,27),DATE($B$3,3,27),1,'Non-working days'!$A$6:$A$45)=0),"",IF(COUNTIFS('Leave log'!$A$7:$A$306,Employees!$A$35,'Leave log'!$B$7:$B$306,"&lt;="&amp;DATE($B$3,3,27),'Leave log'!$C$7:$C$306,"&gt;="&amp;DATE($B$3,3,27),'Leave log'!$F$7:$F$306,"Approved")&gt;0,"A",""))="A","A",IF(OR(DATE($B$3,3,27)&gt;EOMONTH(DATE($B$3,3,1),0),NETWORKDAYS.INTL(DATE($B$3,3,27),DATE($B$3,3,27),1,'Non-working days'!$A$6:$A$45)=0),"",IF(COUNTIFS('Leave log'!$A$7:$A$306,Employees!$A$35,'Leave log'!$B$7:$B$306,"&lt;="&amp;DATE($B$3,3,27),'Leave log'!$C$7:$C$306,"&gt;="&amp;DATE($B$3,3,27),'Leave log'!$F$7:$F$306,"Pending")&gt;0,"P",""))))</f>
        <v/>
      </c>
      <c r="AC104" s="23" t="str">
        <f>IF(A104="","",IF(IF(OR(DATE($B$3,3,28)&gt;EOMONTH(DATE($B$3,3,1),0),NETWORKDAYS.INTL(DATE($B$3,3,28),DATE($B$3,3,28),1,'Non-working days'!$A$6:$A$45)=0),"",IF(COUNTIFS('Leave log'!$A$7:$A$306,Employees!$A$35,'Leave log'!$B$7:$B$306,"&lt;="&amp;DATE($B$3,3,28),'Leave log'!$C$7:$C$306,"&gt;="&amp;DATE($B$3,3,28),'Leave log'!$F$7:$F$306,"Approved")&gt;0,"A",""))="A","A",IF(OR(DATE($B$3,3,28)&gt;EOMONTH(DATE($B$3,3,1),0),NETWORKDAYS.INTL(DATE($B$3,3,28),DATE($B$3,3,28),1,'Non-working days'!$A$6:$A$45)=0),"",IF(COUNTIFS('Leave log'!$A$7:$A$306,Employees!$A$35,'Leave log'!$B$7:$B$306,"&lt;="&amp;DATE($B$3,3,28),'Leave log'!$C$7:$C$306,"&gt;="&amp;DATE($B$3,3,28),'Leave log'!$F$7:$F$306,"Pending")&gt;0,"P",""))))</f>
        <v/>
      </c>
      <c r="AD104" s="23" t="str">
        <f>IF(A104="","",IF(IF(OR(DATE($B$3,3,29)&gt;EOMONTH(DATE($B$3,3,1),0),NETWORKDAYS.INTL(DATE($B$3,3,29),DATE($B$3,3,29),1,'Non-working days'!$A$6:$A$45)=0),"",IF(COUNTIFS('Leave log'!$A$7:$A$306,Employees!$A$35,'Leave log'!$B$7:$B$306,"&lt;="&amp;DATE($B$3,3,29),'Leave log'!$C$7:$C$306,"&gt;="&amp;DATE($B$3,3,29),'Leave log'!$F$7:$F$306,"Approved")&gt;0,"A",""))="A","A",IF(OR(DATE($B$3,3,29)&gt;EOMONTH(DATE($B$3,3,1),0),NETWORKDAYS.INTL(DATE($B$3,3,29),DATE($B$3,3,29),1,'Non-working days'!$A$6:$A$45)=0),"",IF(COUNTIFS('Leave log'!$A$7:$A$306,Employees!$A$35,'Leave log'!$B$7:$B$306,"&lt;="&amp;DATE($B$3,3,29),'Leave log'!$C$7:$C$306,"&gt;="&amp;DATE($B$3,3,29),'Leave log'!$F$7:$F$306,"Pending")&gt;0,"P",""))))</f>
        <v/>
      </c>
      <c r="AE104" s="23" t="str">
        <f>IF(A104="","",IF(IF(OR(DATE($B$3,3,30)&gt;EOMONTH(DATE($B$3,3,1),0),NETWORKDAYS.INTL(DATE($B$3,3,30),DATE($B$3,3,30),1,'Non-working days'!$A$6:$A$45)=0),"",IF(COUNTIFS('Leave log'!$A$7:$A$306,Employees!$A$35,'Leave log'!$B$7:$B$306,"&lt;="&amp;DATE($B$3,3,30),'Leave log'!$C$7:$C$306,"&gt;="&amp;DATE($B$3,3,30),'Leave log'!$F$7:$F$306,"Approved")&gt;0,"A",""))="A","A",IF(OR(DATE($B$3,3,30)&gt;EOMONTH(DATE($B$3,3,1),0),NETWORKDAYS.INTL(DATE($B$3,3,30),DATE($B$3,3,30),1,'Non-working days'!$A$6:$A$45)=0),"",IF(COUNTIFS('Leave log'!$A$7:$A$306,Employees!$A$35,'Leave log'!$B$7:$B$306,"&lt;="&amp;DATE($B$3,3,30),'Leave log'!$C$7:$C$306,"&gt;="&amp;DATE($B$3,3,30),'Leave log'!$F$7:$F$306,"Pending")&gt;0,"P",""))))</f>
        <v/>
      </c>
      <c r="AF104" s="23" t="str">
        <f>IF(A104="","",IF(IF(OR(DATE($B$3,3,31)&gt;EOMONTH(DATE($B$3,3,1),0),NETWORKDAYS.INTL(DATE($B$3,3,31),DATE($B$3,3,31),1,'Non-working days'!$A$6:$A$45)=0),"",IF(COUNTIFS('Leave log'!$A$7:$A$306,Employees!$A$35,'Leave log'!$B$7:$B$306,"&lt;="&amp;DATE($B$3,3,31),'Leave log'!$C$7:$C$306,"&gt;="&amp;DATE($B$3,3,31),'Leave log'!$F$7:$F$306,"Approved")&gt;0,"A",""))="A","A",IF(OR(DATE($B$3,3,31)&gt;EOMONTH(DATE($B$3,3,1),0),NETWORKDAYS.INTL(DATE($B$3,3,31),DATE($B$3,3,31),1,'Non-working days'!$A$6:$A$45)=0),"",IF(COUNTIFS('Leave log'!$A$7:$A$306,Employees!$A$35,'Leave log'!$B$7:$B$306,"&lt;="&amp;DATE($B$3,3,31),'Leave log'!$C$7:$C$306,"&gt;="&amp;DATE($B$3,3,31),'Leave log'!$F$7:$F$306,"Pending")&gt;0,"P",""))))</f>
        <v/>
      </c>
    </row>
    <row r="107" spans="1:32" ht="15.6" x14ac:dyDescent="0.3">
      <c r="A107" s="31" t="s">
        <v>78</v>
      </c>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row>
    <row r="108" spans="1:32" x14ac:dyDescent="0.3">
      <c r="A108" s="20" t="s">
        <v>75</v>
      </c>
      <c r="B108" s="21">
        <v>1</v>
      </c>
      <c r="C108" s="21">
        <v>2</v>
      </c>
      <c r="D108" s="21">
        <v>3</v>
      </c>
      <c r="E108" s="21">
        <v>4</v>
      </c>
      <c r="F108" s="21">
        <v>5</v>
      </c>
      <c r="G108" s="21">
        <v>6</v>
      </c>
      <c r="H108" s="21">
        <v>7</v>
      </c>
      <c r="I108" s="21">
        <v>8</v>
      </c>
      <c r="J108" s="21">
        <v>9</v>
      </c>
      <c r="K108" s="21">
        <v>10</v>
      </c>
      <c r="L108" s="21">
        <v>11</v>
      </c>
      <c r="M108" s="21">
        <v>12</v>
      </c>
      <c r="N108" s="21">
        <v>13</v>
      </c>
      <c r="O108" s="21">
        <v>14</v>
      </c>
      <c r="P108" s="21">
        <v>15</v>
      </c>
      <c r="Q108" s="21">
        <v>16</v>
      </c>
      <c r="R108" s="21">
        <v>17</v>
      </c>
      <c r="S108" s="21">
        <v>18</v>
      </c>
      <c r="T108" s="21">
        <v>19</v>
      </c>
      <c r="U108" s="21">
        <v>20</v>
      </c>
      <c r="V108" s="21">
        <v>21</v>
      </c>
      <c r="W108" s="21">
        <v>22</v>
      </c>
      <c r="X108" s="21">
        <v>23</v>
      </c>
      <c r="Y108" s="21">
        <v>24</v>
      </c>
      <c r="Z108" s="21">
        <v>25</v>
      </c>
      <c r="AA108" s="21">
        <v>26</v>
      </c>
      <c r="AB108" s="21">
        <v>27</v>
      </c>
      <c r="AC108" s="21">
        <v>28</v>
      </c>
      <c r="AD108" s="21">
        <v>29</v>
      </c>
      <c r="AE108" s="21">
        <v>30</v>
      </c>
      <c r="AF108" s="21">
        <v>31</v>
      </c>
    </row>
    <row r="109" spans="1:32" ht="18" customHeight="1" x14ac:dyDescent="0.3">
      <c r="A109" s="22" t="str">
        <f>IF(Employees!F6="Yes",Employees!B6,"")</f>
        <v>Alex Morgan</v>
      </c>
      <c r="B109" s="23" t="str">
        <f>IF(A109="","",IF(IF(OR(DATE($B$3,4,1)&gt;EOMONTH(DATE($B$3,4,1),0),NETWORKDAYS.INTL(DATE($B$3,4,1),DATE($B$3,4,1),1,'Non-working days'!$A$6:$A$45)=0),"",IF(COUNTIFS('Leave log'!$A$7:$A$306,Employees!$A$6,'Leave log'!$B$7:$B$306,"&lt;="&amp;DATE($B$3,4,1),'Leave log'!$C$7:$C$306,"&gt;="&amp;DATE($B$3,4,1),'Leave log'!$F$7:$F$306,"Approved")&gt;0,"A",""))="A","A",IF(OR(DATE($B$3,4,1)&gt;EOMONTH(DATE($B$3,4,1),0),NETWORKDAYS.INTL(DATE($B$3,4,1),DATE($B$3,4,1),1,'Non-working days'!$A$6:$A$45)=0),"",IF(COUNTIFS('Leave log'!$A$7:$A$306,Employees!$A$6,'Leave log'!$B$7:$B$306,"&lt;="&amp;DATE($B$3,4,1),'Leave log'!$C$7:$C$306,"&gt;="&amp;DATE($B$3,4,1),'Leave log'!$F$7:$F$306,"Pending")&gt;0,"P",""))))</f>
        <v/>
      </c>
      <c r="C109" s="23" t="str">
        <f>IF(A109="","",IF(IF(OR(DATE($B$3,4,2)&gt;EOMONTH(DATE($B$3,4,1),0),NETWORKDAYS.INTL(DATE($B$3,4,2),DATE($B$3,4,2),1,'Non-working days'!$A$6:$A$45)=0),"",IF(COUNTIFS('Leave log'!$A$7:$A$306,Employees!$A$6,'Leave log'!$B$7:$B$306,"&lt;="&amp;DATE($B$3,4,2),'Leave log'!$C$7:$C$306,"&gt;="&amp;DATE($B$3,4,2),'Leave log'!$F$7:$F$306,"Approved")&gt;0,"A",""))="A","A",IF(OR(DATE($B$3,4,2)&gt;EOMONTH(DATE($B$3,4,1),0),NETWORKDAYS.INTL(DATE($B$3,4,2),DATE($B$3,4,2),1,'Non-working days'!$A$6:$A$45)=0),"",IF(COUNTIFS('Leave log'!$A$7:$A$306,Employees!$A$6,'Leave log'!$B$7:$B$306,"&lt;="&amp;DATE($B$3,4,2),'Leave log'!$C$7:$C$306,"&gt;="&amp;DATE($B$3,4,2),'Leave log'!$F$7:$F$306,"Pending")&gt;0,"P",""))))</f>
        <v/>
      </c>
      <c r="D109" s="23" t="str">
        <f>IF(A109="","",IF(IF(OR(DATE($B$3,4,3)&gt;EOMONTH(DATE($B$3,4,1),0),NETWORKDAYS.INTL(DATE($B$3,4,3),DATE($B$3,4,3),1,'Non-working days'!$A$6:$A$45)=0),"",IF(COUNTIFS('Leave log'!$A$7:$A$306,Employees!$A$6,'Leave log'!$B$7:$B$306,"&lt;="&amp;DATE($B$3,4,3),'Leave log'!$C$7:$C$306,"&gt;="&amp;DATE($B$3,4,3),'Leave log'!$F$7:$F$306,"Approved")&gt;0,"A",""))="A","A",IF(OR(DATE($B$3,4,3)&gt;EOMONTH(DATE($B$3,4,1),0),NETWORKDAYS.INTL(DATE($B$3,4,3),DATE($B$3,4,3),1,'Non-working days'!$A$6:$A$45)=0),"",IF(COUNTIFS('Leave log'!$A$7:$A$306,Employees!$A$6,'Leave log'!$B$7:$B$306,"&lt;="&amp;DATE($B$3,4,3),'Leave log'!$C$7:$C$306,"&gt;="&amp;DATE($B$3,4,3),'Leave log'!$F$7:$F$306,"Pending")&gt;0,"P",""))))</f>
        <v/>
      </c>
      <c r="E109" s="23" t="str">
        <f>IF(A109="","",IF(IF(OR(DATE($B$3,4,4)&gt;EOMONTH(DATE($B$3,4,1),0),NETWORKDAYS.INTL(DATE($B$3,4,4),DATE($B$3,4,4),1,'Non-working days'!$A$6:$A$45)=0),"",IF(COUNTIFS('Leave log'!$A$7:$A$306,Employees!$A$6,'Leave log'!$B$7:$B$306,"&lt;="&amp;DATE($B$3,4,4),'Leave log'!$C$7:$C$306,"&gt;="&amp;DATE($B$3,4,4),'Leave log'!$F$7:$F$306,"Approved")&gt;0,"A",""))="A","A",IF(OR(DATE($B$3,4,4)&gt;EOMONTH(DATE($B$3,4,1),0),NETWORKDAYS.INTL(DATE($B$3,4,4),DATE($B$3,4,4),1,'Non-working days'!$A$6:$A$45)=0),"",IF(COUNTIFS('Leave log'!$A$7:$A$306,Employees!$A$6,'Leave log'!$B$7:$B$306,"&lt;="&amp;DATE($B$3,4,4),'Leave log'!$C$7:$C$306,"&gt;="&amp;DATE($B$3,4,4),'Leave log'!$F$7:$F$306,"Pending")&gt;0,"P",""))))</f>
        <v/>
      </c>
      <c r="F109" s="23" t="str">
        <f>IF(A109="","",IF(IF(OR(DATE($B$3,4,5)&gt;EOMONTH(DATE($B$3,4,1),0),NETWORKDAYS.INTL(DATE($B$3,4,5),DATE($B$3,4,5),1,'Non-working days'!$A$6:$A$45)=0),"",IF(COUNTIFS('Leave log'!$A$7:$A$306,Employees!$A$6,'Leave log'!$B$7:$B$306,"&lt;="&amp;DATE($B$3,4,5),'Leave log'!$C$7:$C$306,"&gt;="&amp;DATE($B$3,4,5),'Leave log'!$F$7:$F$306,"Approved")&gt;0,"A",""))="A","A",IF(OR(DATE($B$3,4,5)&gt;EOMONTH(DATE($B$3,4,1),0),NETWORKDAYS.INTL(DATE($B$3,4,5),DATE($B$3,4,5),1,'Non-working days'!$A$6:$A$45)=0),"",IF(COUNTIFS('Leave log'!$A$7:$A$306,Employees!$A$6,'Leave log'!$B$7:$B$306,"&lt;="&amp;DATE($B$3,4,5),'Leave log'!$C$7:$C$306,"&gt;="&amp;DATE($B$3,4,5),'Leave log'!$F$7:$F$306,"Pending")&gt;0,"P",""))))</f>
        <v/>
      </c>
      <c r="G109" s="23" t="str">
        <f>IF(A109="","",IF(IF(OR(DATE($B$3,4,6)&gt;EOMONTH(DATE($B$3,4,1),0),NETWORKDAYS.INTL(DATE($B$3,4,6),DATE($B$3,4,6),1,'Non-working days'!$A$6:$A$45)=0),"",IF(COUNTIFS('Leave log'!$A$7:$A$306,Employees!$A$6,'Leave log'!$B$7:$B$306,"&lt;="&amp;DATE($B$3,4,6),'Leave log'!$C$7:$C$306,"&gt;="&amp;DATE($B$3,4,6),'Leave log'!$F$7:$F$306,"Approved")&gt;0,"A",""))="A","A",IF(OR(DATE($B$3,4,6)&gt;EOMONTH(DATE($B$3,4,1),0),NETWORKDAYS.INTL(DATE($B$3,4,6),DATE($B$3,4,6),1,'Non-working days'!$A$6:$A$45)=0),"",IF(COUNTIFS('Leave log'!$A$7:$A$306,Employees!$A$6,'Leave log'!$B$7:$B$306,"&lt;="&amp;DATE($B$3,4,6),'Leave log'!$C$7:$C$306,"&gt;="&amp;DATE($B$3,4,6),'Leave log'!$F$7:$F$306,"Pending")&gt;0,"P",""))))</f>
        <v/>
      </c>
      <c r="H109" s="23" t="str">
        <f>IF(A109="","",IF(IF(OR(DATE($B$3,4,7)&gt;EOMONTH(DATE($B$3,4,1),0),NETWORKDAYS.INTL(DATE($B$3,4,7),DATE($B$3,4,7),1,'Non-working days'!$A$6:$A$45)=0),"",IF(COUNTIFS('Leave log'!$A$7:$A$306,Employees!$A$6,'Leave log'!$B$7:$B$306,"&lt;="&amp;DATE($B$3,4,7),'Leave log'!$C$7:$C$306,"&gt;="&amp;DATE($B$3,4,7),'Leave log'!$F$7:$F$306,"Approved")&gt;0,"A",""))="A","A",IF(OR(DATE($B$3,4,7)&gt;EOMONTH(DATE($B$3,4,1),0),NETWORKDAYS.INTL(DATE($B$3,4,7),DATE($B$3,4,7),1,'Non-working days'!$A$6:$A$45)=0),"",IF(COUNTIFS('Leave log'!$A$7:$A$306,Employees!$A$6,'Leave log'!$B$7:$B$306,"&lt;="&amp;DATE($B$3,4,7),'Leave log'!$C$7:$C$306,"&gt;="&amp;DATE($B$3,4,7),'Leave log'!$F$7:$F$306,"Pending")&gt;0,"P",""))))</f>
        <v/>
      </c>
      <c r="I109" s="23" t="str">
        <f>IF(A109="","",IF(IF(OR(DATE($B$3,4,8)&gt;EOMONTH(DATE($B$3,4,1),0),NETWORKDAYS.INTL(DATE($B$3,4,8),DATE($B$3,4,8),1,'Non-working days'!$A$6:$A$45)=0),"",IF(COUNTIFS('Leave log'!$A$7:$A$306,Employees!$A$6,'Leave log'!$B$7:$B$306,"&lt;="&amp;DATE($B$3,4,8),'Leave log'!$C$7:$C$306,"&gt;="&amp;DATE($B$3,4,8),'Leave log'!$F$7:$F$306,"Approved")&gt;0,"A",""))="A","A",IF(OR(DATE($B$3,4,8)&gt;EOMONTH(DATE($B$3,4,1),0),NETWORKDAYS.INTL(DATE($B$3,4,8),DATE($B$3,4,8),1,'Non-working days'!$A$6:$A$45)=0),"",IF(COUNTIFS('Leave log'!$A$7:$A$306,Employees!$A$6,'Leave log'!$B$7:$B$306,"&lt;="&amp;DATE($B$3,4,8),'Leave log'!$C$7:$C$306,"&gt;="&amp;DATE($B$3,4,8),'Leave log'!$F$7:$F$306,"Pending")&gt;0,"P",""))))</f>
        <v/>
      </c>
      <c r="J109" s="23" t="str">
        <f>IF(A109="","",IF(IF(OR(DATE($B$3,4,9)&gt;EOMONTH(DATE($B$3,4,1),0),NETWORKDAYS.INTL(DATE($B$3,4,9),DATE($B$3,4,9),1,'Non-working days'!$A$6:$A$45)=0),"",IF(COUNTIFS('Leave log'!$A$7:$A$306,Employees!$A$6,'Leave log'!$B$7:$B$306,"&lt;="&amp;DATE($B$3,4,9),'Leave log'!$C$7:$C$306,"&gt;="&amp;DATE($B$3,4,9),'Leave log'!$F$7:$F$306,"Approved")&gt;0,"A",""))="A","A",IF(OR(DATE($B$3,4,9)&gt;EOMONTH(DATE($B$3,4,1),0),NETWORKDAYS.INTL(DATE($B$3,4,9),DATE($B$3,4,9),1,'Non-working days'!$A$6:$A$45)=0),"",IF(COUNTIFS('Leave log'!$A$7:$A$306,Employees!$A$6,'Leave log'!$B$7:$B$306,"&lt;="&amp;DATE($B$3,4,9),'Leave log'!$C$7:$C$306,"&gt;="&amp;DATE($B$3,4,9),'Leave log'!$F$7:$F$306,"Pending")&gt;0,"P",""))))</f>
        <v/>
      </c>
      <c r="K109" s="23" t="str">
        <f>IF(A109="","",IF(IF(OR(DATE($B$3,4,10)&gt;EOMONTH(DATE($B$3,4,1),0),NETWORKDAYS.INTL(DATE($B$3,4,10),DATE($B$3,4,10),1,'Non-working days'!$A$6:$A$45)=0),"",IF(COUNTIFS('Leave log'!$A$7:$A$306,Employees!$A$6,'Leave log'!$B$7:$B$306,"&lt;="&amp;DATE($B$3,4,10),'Leave log'!$C$7:$C$306,"&gt;="&amp;DATE($B$3,4,10),'Leave log'!$F$7:$F$306,"Approved")&gt;0,"A",""))="A","A",IF(OR(DATE($B$3,4,10)&gt;EOMONTH(DATE($B$3,4,1),0),NETWORKDAYS.INTL(DATE($B$3,4,10),DATE($B$3,4,10),1,'Non-working days'!$A$6:$A$45)=0),"",IF(COUNTIFS('Leave log'!$A$7:$A$306,Employees!$A$6,'Leave log'!$B$7:$B$306,"&lt;="&amp;DATE($B$3,4,10),'Leave log'!$C$7:$C$306,"&gt;="&amp;DATE($B$3,4,10),'Leave log'!$F$7:$F$306,"Pending")&gt;0,"P",""))))</f>
        <v/>
      </c>
      <c r="L109" s="23" t="str">
        <f>IF(A109="","",IF(IF(OR(DATE($B$3,4,11)&gt;EOMONTH(DATE($B$3,4,1),0),NETWORKDAYS.INTL(DATE($B$3,4,11),DATE($B$3,4,11),1,'Non-working days'!$A$6:$A$45)=0),"",IF(COUNTIFS('Leave log'!$A$7:$A$306,Employees!$A$6,'Leave log'!$B$7:$B$306,"&lt;="&amp;DATE($B$3,4,11),'Leave log'!$C$7:$C$306,"&gt;="&amp;DATE($B$3,4,11),'Leave log'!$F$7:$F$306,"Approved")&gt;0,"A",""))="A","A",IF(OR(DATE($B$3,4,11)&gt;EOMONTH(DATE($B$3,4,1),0),NETWORKDAYS.INTL(DATE($B$3,4,11),DATE($B$3,4,11),1,'Non-working days'!$A$6:$A$45)=0),"",IF(COUNTIFS('Leave log'!$A$7:$A$306,Employees!$A$6,'Leave log'!$B$7:$B$306,"&lt;="&amp;DATE($B$3,4,11),'Leave log'!$C$7:$C$306,"&gt;="&amp;DATE($B$3,4,11),'Leave log'!$F$7:$F$306,"Pending")&gt;0,"P",""))))</f>
        <v/>
      </c>
      <c r="M109" s="23" t="str">
        <f>IF(A109="","",IF(IF(OR(DATE($B$3,4,12)&gt;EOMONTH(DATE($B$3,4,1),0),NETWORKDAYS.INTL(DATE($B$3,4,12),DATE($B$3,4,12),1,'Non-working days'!$A$6:$A$45)=0),"",IF(COUNTIFS('Leave log'!$A$7:$A$306,Employees!$A$6,'Leave log'!$B$7:$B$306,"&lt;="&amp;DATE($B$3,4,12),'Leave log'!$C$7:$C$306,"&gt;="&amp;DATE($B$3,4,12),'Leave log'!$F$7:$F$306,"Approved")&gt;0,"A",""))="A","A",IF(OR(DATE($B$3,4,12)&gt;EOMONTH(DATE($B$3,4,1),0),NETWORKDAYS.INTL(DATE($B$3,4,12),DATE($B$3,4,12),1,'Non-working days'!$A$6:$A$45)=0),"",IF(COUNTIFS('Leave log'!$A$7:$A$306,Employees!$A$6,'Leave log'!$B$7:$B$306,"&lt;="&amp;DATE($B$3,4,12),'Leave log'!$C$7:$C$306,"&gt;="&amp;DATE($B$3,4,12),'Leave log'!$F$7:$F$306,"Pending")&gt;0,"P",""))))</f>
        <v/>
      </c>
      <c r="N109" s="23" t="str">
        <f>IF(A109="","",IF(IF(OR(DATE($B$3,4,13)&gt;EOMONTH(DATE($B$3,4,1),0),NETWORKDAYS.INTL(DATE($B$3,4,13),DATE($B$3,4,13),1,'Non-working days'!$A$6:$A$45)=0),"",IF(COUNTIFS('Leave log'!$A$7:$A$306,Employees!$A$6,'Leave log'!$B$7:$B$306,"&lt;="&amp;DATE($B$3,4,13),'Leave log'!$C$7:$C$306,"&gt;="&amp;DATE($B$3,4,13),'Leave log'!$F$7:$F$306,"Approved")&gt;0,"A",""))="A","A",IF(OR(DATE($B$3,4,13)&gt;EOMONTH(DATE($B$3,4,1),0),NETWORKDAYS.INTL(DATE($B$3,4,13),DATE($B$3,4,13),1,'Non-working days'!$A$6:$A$45)=0),"",IF(COUNTIFS('Leave log'!$A$7:$A$306,Employees!$A$6,'Leave log'!$B$7:$B$306,"&lt;="&amp;DATE($B$3,4,13),'Leave log'!$C$7:$C$306,"&gt;="&amp;DATE($B$3,4,13),'Leave log'!$F$7:$F$306,"Pending")&gt;0,"P",""))))</f>
        <v/>
      </c>
      <c r="O109" s="23" t="str">
        <f>IF(A109="","",IF(IF(OR(DATE($B$3,4,14)&gt;EOMONTH(DATE($B$3,4,1),0),NETWORKDAYS.INTL(DATE($B$3,4,14),DATE($B$3,4,14),1,'Non-working days'!$A$6:$A$45)=0),"",IF(COUNTIFS('Leave log'!$A$7:$A$306,Employees!$A$6,'Leave log'!$B$7:$B$306,"&lt;="&amp;DATE($B$3,4,14),'Leave log'!$C$7:$C$306,"&gt;="&amp;DATE($B$3,4,14),'Leave log'!$F$7:$F$306,"Approved")&gt;0,"A",""))="A","A",IF(OR(DATE($B$3,4,14)&gt;EOMONTH(DATE($B$3,4,1),0),NETWORKDAYS.INTL(DATE($B$3,4,14),DATE($B$3,4,14),1,'Non-working days'!$A$6:$A$45)=0),"",IF(COUNTIFS('Leave log'!$A$7:$A$306,Employees!$A$6,'Leave log'!$B$7:$B$306,"&lt;="&amp;DATE($B$3,4,14),'Leave log'!$C$7:$C$306,"&gt;="&amp;DATE($B$3,4,14),'Leave log'!$F$7:$F$306,"Pending")&gt;0,"P",""))))</f>
        <v/>
      </c>
      <c r="P109" s="23" t="str">
        <f>IF(A109="","",IF(IF(OR(DATE($B$3,4,15)&gt;EOMONTH(DATE($B$3,4,1),0),NETWORKDAYS.INTL(DATE($B$3,4,15),DATE($B$3,4,15),1,'Non-working days'!$A$6:$A$45)=0),"",IF(COUNTIFS('Leave log'!$A$7:$A$306,Employees!$A$6,'Leave log'!$B$7:$B$306,"&lt;="&amp;DATE($B$3,4,15),'Leave log'!$C$7:$C$306,"&gt;="&amp;DATE($B$3,4,15),'Leave log'!$F$7:$F$306,"Approved")&gt;0,"A",""))="A","A",IF(OR(DATE($B$3,4,15)&gt;EOMONTH(DATE($B$3,4,1),0),NETWORKDAYS.INTL(DATE($B$3,4,15),DATE($B$3,4,15),1,'Non-working days'!$A$6:$A$45)=0),"",IF(COUNTIFS('Leave log'!$A$7:$A$306,Employees!$A$6,'Leave log'!$B$7:$B$306,"&lt;="&amp;DATE($B$3,4,15),'Leave log'!$C$7:$C$306,"&gt;="&amp;DATE($B$3,4,15),'Leave log'!$F$7:$F$306,"Pending")&gt;0,"P",""))))</f>
        <v/>
      </c>
      <c r="Q109" s="23" t="str">
        <f>IF(A109="","",IF(IF(OR(DATE($B$3,4,16)&gt;EOMONTH(DATE($B$3,4,1),0),NETWORKDAYS.INTL(DATE($B$3,4,16),DATE($B$3,4,16),1,'Non-working days'!$A$6:$A$45)=0),"",IF(COUNTIFS('Leave log'!$A$7:$A$306,Employees!$A$6,'Leave log'!$B$7:$B$306,"&lt;="&amp;DATE($B$3,4,16),'Leave log'!$C$7:$C$306,"&gt;="&amp;DATE($B$3,4,16),'Leave log'!$F$7:$F$306,"Approved")&gt;0,"A",""))="A","A",IF(OR(DATE($B$3,4,16)&gt;EOMONTH(DATE($B$3,4,1),0),NETWORKDAYS.INTL(DATE($B$3,4,16),DATE($B$3,4,16),1,'Non-working days'!$A$6:$A$45)=0),"",IF(COUNTIFS('Leave log'!$A$7:$A$306,Employees!$A$6,'Leave log'!$B$7:$B$306,"&lt;="&amp;DATE($B$3,4,16),'Leave log'!$C$7:$C$306,"&gt;="&amp;DATE($B$3,4,16),'Leave log'!$F$7:$F$306,"Pending")&gt;0,"P",""))))</f>
        <v/>
      </c>
      <c r="R109" s="23" t="str">
        <f>IF(A109="","",IF(IF(OR(DATE($B$3,4,17)&gt;EOMONTH(DATE($B$3,4,1),0),NETWORKDAYS.INTL(DATE($B$3,4,17),DATE($B$3,4,17),1,'Non-working days'!$A$6:$A$45)=0),"",IF(COUNTIFS('Leave log'!$A$7:$A$306,Employees!$A$6,'Leave log'!$B$7:$B$306,"&lt;="&amp;DATE($B$3,4,17),'Leave log'!$C$7:$C$306,"&gt;="&amp;DATE($B$3,4,17),'Leave log'!$F$7:$F$306,"Approved")&gt;0,"A",""))="A","A",IF(OR(DATE($B$3,4,17)&gt;EOMONTH(DATE($B$3,4,1),0),NETWORKDAYS.INTL(DATE($B$3,4,17),DATE($B$3,4,17),1,'Non-working days'!$A$6:$A$45)=0),"",IF(COUNTIFS('Leave log'!$A$7:$A$306,Employees!$A$6,'Leave log'!$B$7:$B$306,"&lt;="&amp;DATE($B$3,4,17),'Leave log'!$C$7:$C$306,"&gt;="&amp;DATE($B$3,4,17),'Leave log'!$F$7:$F$306,"Pending")&gt;0,"P",""))))</f>
        <v/>
      </c>
      <c r="S109" s="23" t="str">
        <f>IF(A109="","",IF(IF(OR(DATE($B$3,4,18)&gt;EOMONTH(DATE($B$3,4,1),0),NETWORKDAYS.INTL(DATE($B$3,4,18),DATE($B$3,4,18),1,'Non-working days'!$A$6:$A$45)=0),"",IF(COUNTIFS('Leave log'!$A$7:$A$306,Employees!$A$6,'Leave log'!$B$7:$B$306,"&lt;="&amp;DATE($B$3,4,18),'Leave log'!$C$7:$C$306,"&gt;="&amp;DATE($B$3,4,18),'Leave log'!$F$7:$F$306,"Approved")&gt;0,"A",""))="A","A",IF(OR(DATE($B$3,4,18)&gt;EOMONTH(DATE($B$3,4,1),0),NETWORKDAYS.INTL(DATE($B$3,4,18),DATE($B$3,4,18),1,'Non-working days'!$A$6:$A$45)=0),"",IF(COUNTIFS('Leave log'!$A$7:$A$306,Employees!$A$6,'Leave log'!$B$7:$B$306,"&lt;="&amp;DATE($B$3,4,18),'Leave log'!$C$7:$C$306,"&gt;="&amp;DATE($B$3,4,18),'Leave log'!$F$7:$F$306,"Pending")&gt;0,"P",""))))</f>
        <v/>
      </c>
      <c r="T109" s="23" t="str">
        <f>IF(A109="","",IF(IF(OR(DATE($B$3,4,19)&gt;EOMONTH(DATE($B$3,4,1),0),NETWORKDAYS.INTL(DATE($B$3,4,19),DATE($B$3,4,19),1,'Non-working days'!$A$6:$A$45)=0),"",IF(COUNTIFS('Leave log'!$A$7:$A$306,Employees!$A$6,'Leave log'!$B$7:$B$306,"&lt;="&amp;DATE($B$3,4,19),'Leave log'!$C$7:$C$306,"&gt;="&amp;DATE($B$3,4,19),'Leave log'!$F$7:$F$306,"Approved")&gt;0,"A",""))="A","A",IF(OR(DATE($B$3,4,19)&gt;EOMONTH(DATE($B$3,4,1),0),NETWORKDAYS.INTL(DATE($B$3,4,19),DATE($B$3,4,19),1,'Non-working days'!$A$6:$A$45)=0),"",IF(COUNTIFS('Leave log'!$A$7:$A$306,Employees!$A$6,'Leave log'!$B$7:$B$306,"&lt;="&amp;DATE($B$3,4,19),'Leave log'!$C$7:$C$306,"&gt;="&amp;DATE($B$3,4,19),'Leave log'!$F$7:$F$306,"Pending")&gt;0,"P",""))))</f>
        <v/>
      </c>
      <c r="U109" s="23" t="str">
        <f>IF(A109="","",IF(IF(OR(DATE($B$3,4,20)&gt;EOMONTH(DATE($B$3,4,1),0),NETWORKDAYS.INTL(DATE($B$3,4,20),DATE($B$3,4,20),1,'Non-working days'!$A$6:$A$45)=0),"",IF(COUNTIFS('Leave log'!$A$7:$A$306,Employees!$A$6,'Leave log'!$B$7:$B$306,"&lt;="&amp;DATE($B$3,4,20),'Leave log'!$C$7:$C$306,"&gt;="&amp;DATE($B$3,4,20),'Leave log'!$F$7:$F$306,"Approved")&gt;0,"A",""))="A","A",IF(OR(DATE($B$3,4,20)&gt;EOMONTH(DATE($B$3,4,1),0),NETWORKDAYS.INTL(DATE($B$3,4,20),DATE($B$3,4,20),1,'Non-working days'!$A$6:$A$45)=0),"",IF(COUNTIFS('Leave log'!$A$7:$A$306,Employees!$A$6,'Leave log'!$B$7:$B$306,"&lt;="&amp;DATE($B$3,4,20),'Leave log'!$C$7:$C$306,"&gt;="&amp;DATE($B$3,4,20),'Leave log'!$F$7:$F$306,"Pending")&gt;0,"P",""))))</f>
        <v/>
      </c>
      <c r="V109" s="23" t="str">
        <f>IF(A109="","",IF(IF(OR(DATE($B$3,4,21)&gt;EOMONTH(DATE($B$3,4,1),0),NETWORKDAYS.INTL(DATE($B$3,4,21),DATE($B$3,4,21),1,'Non-working days'!$A$6:$A$45)=0),"",IF(COUNTIFS('Leave log'!$A$7:$A$306,Employees!$A$6,'Leave log'!$B$7:$B$306,"&lt;="&amp;DATE($B$3,4,21),'Leave log'!$C$7:$C$306,"&gt;="&amp;DATE($B$3,4,21),'Leave log'!$F$7:$F$306,"Approved")&gt;0,"A",""))="A","A",IF(OR(DATE($B$3,4,21)&gt;EOMONTH(DATE($B$3,4,1),0),NETWORKDAYS.INTL(DATE($B$3,4,21),DATE($B$3,4,21),1,'Non-working days'!$A$6:$A$45)=0),"",IF(COUNTIFS('Leave log'!$A$7:$A$306,Employees!$A$6,'Leave log'!$B$7:$B$306,"&lt;="&amp;DATE($B$3,4,21),'Leave log'!$C$7:$C$306,"&gt;="&amp;DATE($B$3,4,21),'Leave log'!$F$7:$F$306,"Pending")&gt;0,"P",""))))</f>
        <v/>
      </c>
      <c r="W109" s="23" t="str">
        <f>IF(A109="","",IF(IF(OR(DATE($B$3,4,22)&gt;EOMONTH(DATE($B$3,4,1),0),NETWORKDAYS.INTL(DATE($B$3,4,22),DATE($B$3,4,22),1,'Non-working days'!$A$6:$A$45)=0),"",IF(COUNTIFS('Leave log'!$A$7:$A$306,Employees!$A$6,'Leave log'!$B$7:$B$306,"&lt;="&amp;DATE($B$3,4,22),'Leave log'!$C$7:$C$306,"&gt;="&amp;DATE($B$3,4,22),'Leave log'!$F$7:$F$306,"Approved")&gt;0,"A",""))="A","A",IF(OR(DATE($B$3,4,22)&gt;EOMONTH(DATE($B$3,4,1),0),NETWORKDAYS.INTL(DATE($B$3,4,22),DATE($B$3,4,22),1,'Non-working days'!$A$6:$A$45)=0),"",IF(COUNTIFS('Leave log'!$A$7:$A$306,Employees!$A$6,'Leave log'!$B$7:$B$306,"&lt;="&amp;DATE($B$3,4,22),'Leave log'!$C$7:$C$306,"&gt;="&amp;DATE($B$3,4,22),'Leave log'!$F$7:$F$306,"Pending")&gt;0,"P",""))))</f>
        <v/>
      </c>
      <c r="X109" s="23" t="str">
        <f>IF(A109="","",IF(IF(OR(DATE($B$3,4,23)&gt;EOMONTH(DATE($B$3,4,1),0),NETWORKDAYS.INTL(DATE($B$3,4,23),DATE($B$3,4,23),1,'Non-working days'!$A$6:$A$45)=0),"",IF(COUNTIFS('Leave log'!$A$7:$A$306,Employees!$A$6,'Leave log'!$B$7:$B$306,"&lt;="&amp;DATE($B$3,4,23),'Leave log'!$C$7:$C$306,"&gt;="&amp;DATE($B$3,4,23),'Leave log'!$F$7:$F$306,"Approved")&gt;0,"A",""))="A","A",IF(OR(DATE($B$3,4,23)&gt;EOMONTH(DATE($B$3,4,1),0),NETWORKDAYS.INTL(DATE($B$3,4,23),DATE($B$3,4,23),1,'Non-working days'!$A$6:$A$45)=0),"",IF(COUNTIFS('Leave log'!$A$7:$A$306,Employees!$A$6,'Leave log'!$B$7:$B$306,"&lt;="&amp;DATE($B$3,4,23),'Leave log'!$C$7:$C$306,"&gt;="&amp;DATE($B$3,4,23),'Leave log'!$F$7:$F$306,"Pending")&gt;0,"P",""))))</f>
        <v/>
      </c>
      <c r="Y109" s="23" t="str">
        <f>IF(A109="","",IF(IF(OR(DATE($B$3,4,24)&gt;EOMONTH(DATE($B$3,4,1),0),NETWORKDAYS.INTL(DATE($B$3,4,24),DATE($B$3,4,24),1,'Non-working days'!$A$6:$A$45)=0),"",IF(COUNTIFS('Leave log'!$A$7:$A$306,Employees!$A$6,'Leave log'!$B$7:$B$306,"&lt;="&amp;DATE($B$3,4,24),'Leave log'!$C$7:$C$306,"&gt;="&amp;DATE($B$3,4,24),'Leave log'!$F$7:$F$306,"Approved")&gt;0,"A",""))="A","A",IF(OR(DATE($B$3,4,24)&gt;EOMONTH(DATE($B$3,4,1),0),NETWORKDAYS.INTL(DATE($B$3,4,24),DATE($B$3,4,24),1,'Non-working days'!$A$6:$A$45)=0),"",IF(COUNTIFS('Leave log'!$A$7:$A$306,Employees!$A$6,'Leave log'!$B$7:$B$306,"&lt;="&amp;DATE($B$3,4,24),'Leave log'!$C$7:$C$306,"&gt;="&amp;DATE($B$3,4,24),'Leave log'!$F$7:$F$306,"Pending")&gt;0,"P",""))))</f>
        <v/>
      </c>
      <c r="Z109" s="23" t="str">
        <f>IF(A109="","",IF(IF(OR(DATE($B$3,4,25)&gt;EOMONTH(DATE($B$3,4,1),0),NETWORKDAYS.INTL(DATE($B$3,4,25),DATE($B$3,4,25),1,'Non-working days'!$A$6:$A$45)=0),"",IF(COUNTIFS('Leave log'!$A$7:$A$306,Employees!$A$6,'Leave log'!$B$7:$B$306,"&lt;="&amp;DATE($B$3,4,25),'Leave log'!$C$7:$C$306,"&gt;="&amp;DATE($B$3,4,25),'Leave log'!$F$7:$F$306,"Approved")&gt;0,"A",""))="A","A",IF(OR(DATE($B$3,4,25)&gt;EOMONTH(DATE($B$3,4,1),0),NETWORKDAYS.INTL(DATE($B$3,4,25),DATE($B$3,4,25),1,'Non-working days'!$A$6:$A$45)=0),"",IF(COUNTIFS('Leave log'!$A$7:$A$306,Employees!$A$6,'Leave log'!$B$7:$B$306,"&lt;="&amp;DATE($B$3,4,25),'Leave log'!$C$7:$C$306,"&gt;="&amp;DATE($B$3,4,25),'Leave log'!$F$7:$F$306,"Pending")&gt;0,"P",""))))</f>
        <v/>
      </c>
      <c r="AA109" s="23" t="str">
        <f>IF(A109="","",IF(IF(OR(DATE($B$3,4,26)&gt;EOMONTH(DATE($B$3,4,1),0),NETWORKDAYS.INTL(DATE($B$3,4,26),DATE($B$3,4,26),1,'Non-working days'!$A$6:$A$45)=0),"",IF(COUNTIFS('Leave log'!$A$7:$A$306,Employees!$A$6,'Leave log'!$B$7:$B$306,"&lt;="&amp;DATE($B$3,4,26),'Leave log'!$C$7:$C$306,"&gt;="&amp;DATE($B$3,4,26),'Leave log'!$F$7:$F$306,"Approved")&gt;0,"A",""))="A","A",IF(OR(DATE($B$3,4,26)&gt;EOMONTH(DATE($B$3,4,1),0),NETWORKDAYS.INTL(DATE($B$3,4,26),DATE($B$3,4,26),1,'Non-working days'!$A$6:$A$45)=0),"",IF(COUNTIFS('Leave log'!$A$7:$A$306,Employees!$A$6,'Leave log'!$B$7:$B$306,"&lt;="&amp;DATE($B$3,4,26),'Leave log'!$C$7:$C$306,"&gt;="&amp;DATE($B$3,4,26),'Leave log'!$F$7:$F$306,"Pending")&gt;0,"P",""))))</f>
        <v/>
      </c>
      <c r="AB109" s="23" t="str">
        <f>IF(A109="","",IF(IF(OR(DATE($B$3,4,27)&gt;EOMONTH(DATE($B$3,4,1),0),NETWORKDAYS.INTL(DATE($B$3,4,27),DATE($B$3,4,27),1,'Non-working days'!$A$6:$A$45)=0),"",IF(COUNTIFS('Leave log'!$A$7:$A$306,Employees!$A$6,'Leave log'!$B$7:$B$306,"&lt;="&amp;DATE($B$3,4,27),'Leave log'!$C$7:$C$306,"&gt;="&amp;DATE($B$3,4,27),'Leave log'!$F$7:$F$306,"Approved")&gt;0,"A",""))="A","A",IF(OR(DATE($B$3,4,27)&gt;EOMONTH(DATE($B$3,4,1),0),NETWORKDAYS.INTL(DATE($B$3,4,27),DATE($B$3,4,27),1,'Non-working days'!$A$6:$A$45)=0),"",IF(COUNTIFS('Leave log'!$A$7:$A$306,Employees!$A$6,'Leave log'!$B$7:$B$306,"&lt;="&amp;DATE($B$3,4,27),'Leave log'!$C$7:$C$306,"&gt;="&amp;DATE($B$3,4,27),'Leave log'!$F$7:$F$306,"Pending")&gt;0,"P",""))))</f>
        <v/>
      </c>
      <c r="AC109" s="23" t="str">
        <f>IF(A109="","",IF(IF(OR(DATE($B$3,4,28)&gt;EOMONTH(DATE($B$3,4,1),0),NETWORKDAYS.INTL(DATE($B$3,4,28),DATE($B$3,4,28),1,'Non-working days'!$A$6:$A$45)=0),"",IF(COUNTIFS('Leave log'!$A$7:$A$306,Employees!$A$6,'Leave log'!$B$7:$B$306,"&lt;="&amp;DATE($B$3,4,28),'Leave log'!$C$7:$C$306,"&gt;="&amp;DATE($B$3,4,28),'Leave log'!$F$7:$F$306,"Approved")&gt;0,"A",""))="A","A",IF(OR(DATE($B$3,4,28)&gt;EOMONTH(DATE($B$3,4,1),0),NETWORKDAYS.INTL(DATE($B$3,4,28),DATE($B$3,4,28),1,'Non-working days'!$A$6:$A$45)=0),"",IF(COUNTIFS('Leave log'!$A$7:$A$306,Employees!$A$6,'Leave log'!$B$7:$B$306,"&lt;="&amp;DATE($B$3,4,28),'Leave log'!$C$7:$C$306,"&gt;="&amp;DATE($B$3,4,28),'Leave log'!$F$7:$F$306,"Pending")&gt;0,"P",""))))</f>
        <v/>
      </c>
      <c r="AD109" s="23" t="str">
        <f>IF(A109="","",IF(IF(OR(DATE($B$3,4,29)&gt;EOMONTH(DATE($B$3,4,1),0),NETWORKDAYS.INTL(DATE($B$3,4,29),DATE($B$3,4,29),1,'Non-working days'!$A$6:$A$45)=0),"",IF(COUNTIFS('Leave log'!$A$7:$A$306,Employees!$A$6,'Leave log'!$B$7:$B$306,"&lt;="&amp;DATE($B$3,4,29),'Leave log'!$C$7:$C$306,"&gt;="&amp;DATE($B$3,4,29),'Leave log'!$F$7:$F$306,"Approved")&gt;0,"A",""))="A","A",IF(OR(DATE($B$3,4,29)&gt;EOMONTH(DATE($B$3,4,1),0),NETWORKDAYS.INTL(DATE($B$3,4,29),DATE($B$3,4,29),1,'Non-working days'!$A$6:$A$45)=0),"",IF(COUNTIFS('Leave log'!$A$7:$A$306,Employees!$A$6,'Leave log'!$B$7:$B$306,"&lt;="&amp;DATE($B$3,4,29),'Leave log'!$C$7:$C$306,"&gt;="&amp;DATE($B$3,4,29),'Leave log'!$F$7:$F$306,"Pending")&gt;0,"P",""))))</f>
        <v/>
      </c>
      <c r="AE109" s="23" t="str">
        <f>IF(A109="","",IF(IF(OR(DATE($B$3,4,30)&gt;EOMONTH(DATE($B$3,4,1),0),NETWORKDAYS.INTL(DATE($B$3,4,30),DATE($B$3,4,30),1,'Non-working days'!$A$6:$A$45)=0),"",IF(COUNTIFS('Leave log'!$A$7:$A$306,Employees!$A$6,'Leave log'!$B$7:$B$306,"&lt;="&amp;DATE($B$3,4,30),'Leave log'!$C$7:$C$306,"&gt;="&amp;DATE($B$3,4,30),'Leave log'!$F$7:$F$306,"Approved")&gt;0,"A",""))="A","A",IF(OR(DATE($B$3,4,30)&gt;EOMONTH(DATE($B$3,4,1),0),NETWORKDAYS.INTL(DATE($B$3,4,30),DATE($B$3,4,30),1,'Non-working days'!$A$6:$A$45)=0),"",IF(COUNTIFS('Leave log'!$A$7:$A$306,Employees!$A$6,'Leave log'!$B$7:$B$306,"&lt;="&amp;DATE($B$3,4,30),'Leave log'!$C$7:$C$306,"&gt;="&amp;DATE($B$3,4,30),'Leave log'!$F$7:$F$306,"Pending")&gt;0,"P",""))))</f>
        <v/>
      </c>
      <c r="AF109" s="23" t="str">
        <f>IF(A109="","",IF(IF(OR(DATE($B$3,4,31)&gt;EOMONTH(DATE($B$3,4,1),0),NETWORKDAYS.INTL(DATE($B$3,4,31),DATE($B$3,4,31),1,'Non-working days'!$A$6:$A$45)=0),"",IF(COUNTIFS('Leave log'!$A$7:$A$306,Employees!$A$6,'Leave log'!$B$7:$B$306,"&lt;="&amp;DATE($B$3,4,31),'Leave log'!$C$7:$C$306,"&gt;="&amp;DATE($B$3,4,31),'Leave log'!$F$7:$F$306,"Approved")&gt;0,"A",""))="A","A",IF(OR(DATE($B$3,4,31)&gt;EOMONTH(DATE($B$3,4,1),0),NETWORKDAYS.INTL(DATE($B$3,4,31),DATE($B$3,4,31),1,'Non-working days'!$A$6:$A$45)=0),"",IF(COUNTIFS('Leave log'!$A$7:$A$306,Employees!$A$6,'Leave log'!$B$7:$B$306,"&lt;="&amp;DATE($B$3,4,31),'Leave log'!$C$7:$C$306,"&gt;="&amp;DATE($B$3,4,31),'Leave log'!$F$7:$F$306,"Pending")&gt;0,"P",""))))</f>
        <v/>
      </c>
    </row>
    <row r="110" spans="1:32" ht="18" customHeight="1" x14ac:dyDescent="0.3">
      <c r="A110" s="22" t="str">
        <f>IF(Employees!F7="Yes",Employees!B7,"")</f>
        <v/>
      </c>
      <c r="B110" s="23" t="str">
        <f>IF(A110="","",IF(IF(OR(DATE($B$3,4,1)&gt;EOMONTH(DATE($B$3,4,1),0),NETWORKDAYS.INTL(DATE($B$3,4,1),DATE($B$3,4,1),1,'Non-working days'!$A$6:$A$45)=0),"",IF(COUNTIFS('Leave log'!$A$7:$A$306,Employees!$A$7,'Leave log'!$B$7:$B$306,"&lt;="&amp;DATE($B$3,4,1),'Leave log'!$C$7:$C$306,"&gt;="&amp;DATE($B$3,4,1),'Leave log'!$F$7:$F$306,"Approved")&gt;0,"A",""))="A","A",IF(OR(DATE($B$3,4,1)&gt;EOMONTH(DATE($B$3,4,1),0),NETWORKDAYS.INTL(DATE($B$3,4,1),DATE($B$3,4,1),1,'Non-working days'!$A$6:$A$45)=0),"",IF(COUNTIFS('Leave log'!$A$7:$A$306,Employees!$A$7,'Leave log'!$B$7:$B$306,"&lt;="&amp;DATE($B$3,4,1),'Leave log'!$C$7:$C$306,"&gt;="&amp;DATE($B$3,4,1),'Leave log'!$F$7:$F$306,"Pending")&gt;0,"P",""))))</f>
        <v/>
      </c>
      <c r="C110" s="23" t="str">
        <f>IF(A110="","",IF(IF(OR(DATE($B$3,4,2)&gt;EOMONTH(DATE($B$3,4,1),0),NETWORKDAYS.INTL(DATE($B$3,4,2),DATE($B$3,4,2),1,'Non-working days'!$A$6:$A$45)=0),"",IF(COUNTIFS('Leave log'!$A$7:$A$306,Employees!$A$7,'Leave log'!$B$7:$B$306,"&lt;="&amp;DATE($B$3,4,2),'Leave log'!$C$7:$C$306,"&gt;="&amp;DATE($B$3,4,2),'Leave log'!$F$7:$F$306,"Approved")&gt;0,"A",""))="A","A",IF(OR(DATE($B$3,4,2)&gt;EOMONTH(DATE($B$3,4,1),0),NETWORKDAYS.INTL(DATE($B$3,4,2),DATE($B$3,4,2),1,'Non-working days'!$A$6:$A$45)=0),"",IF(COUNTIFS('Leave log'!$A$7:$A$306,Employees!$A$7,'Leave log'!$B$7:$B$306,"&lt;="&amp;DATE($B$3,4,2),'Leave log'!$C$7:$C$306,"&gt;="&amp;DATE($B$3,4,2),'Leave log'!$F$7:$F$306,"Pending")&gt;0,"P",""))))</f>
        <v/>
      </c>
      <c r="D110" s="23" t="str">
        <f>IF(A110="","",IF(IF(OR(DATE($B$3,4,3)&gt;EOMONTH(DATE($B$3,4,1),0),NETWORKDAYS.INTL(DATE($B$3,4,3),DATE($B$3,4,3),1,'Non-working days'!$A$6:$A$45)=0),"",IF(COUNTIFS('Leave log'!$A$7:$A$306,Employees!$A$7,'Leave log'!$B$7:$B$306,"&lt;="&amp;DATE($B$3,4,3),'Leave log'!$C$7:$C$306,"&gt;="&amp;DATE($B$3,4,3),'Leave log'!$F$7:$F$306,"Approved")&gt;0,"A",""))="A","A",IF(OR(DATE($B$3,4,3)&gt;EOMONTH(DATE($B$3,4,1),0),NETWORKDAYS.INTL(DATE($B$3,4,3),DATE($B$3,4,3),1,'Non-working days'!$A$6:$A$45)=0),"",IF(COUNTIFS('Leave log'!$A$7:$A$306,Employees!$A$7,'Leave log'!$B$7:$B$306,"&lt;="&amp;DATE($B$3,4,3),'Leave log'!$C$7:$C$306,"&gt;="&amp;DATE($B$3,4,3),'Leave log'!$F$7:$F$306,"Pending")&gt;0,"P",""))))</f>
        <v/>
      </c>
      <c r="E110" s="23" t="str">
        <f>IF(A110="","",IF(IF(OR(DATE($B$3,4,4)&gt;EOMONTH(DATE($B$3,4,1),0),NETWORKDAYS.INTL(DATE($B$3,4,4),DATE($B$3,4,4),1,'Non-working days'!$A$6:$A$45)=0),"",IF(COUNTIFS('Leave log'!$A$7:$A$306,Employees!$A$7,'Leave log'!$B$7:$B$306,"&lt;="&amp;DATE($B$3,4,4),'Leave log'!$C$7:$C$306,"&gt;="&amp;DATE($B$3,4,4),'Leave log'!$F$7:$F$306,"Approved")&gt;0,"A",""))="A","A",IF(OR(DATE($B$3,4,4)&gt;EOMONTH(DATE($B$3,4,1),0),NETWORKDAYS.INTL(DATE($B$3,4,4),DATE($B$3,4,4),1,'Non-working days'!$A$6:$A$45)=0),"",IF(COUNTIFS('Leave log'!$A$7:$A$306,Employees!$A$7,'Leave log'!$B$7:$B$306,"&lt;="&amp;DATE($B$3,4,4),'Leave log'!$C$7:$C$306,"&gt;="&amp;DATE($B$3,4,4),'Leave log'!$F$7:$F$306,"Pending")&gt;0,"P",""))))</f>
        <v/>
      </c>
      <c r="F110" s="23" t="str">
        <f>IF(A110="","",IF(IF(OR(DATE($B$3,4,5)&gt;EOMONTH(DATE($B$3,4,1),0),NETWORKDAYS.INTL(DATE($B$3,4,5),DATE($B$3,4,5),1,'Non-working days'!$A$6:$A$45)=0),"",IF(COUNTIFS('Leave log'!$A$7:$A$306,Employees!$A$7,'Leave log'!$B$7:$B$306,"&lt;="&amp;DATE($B$3,4,5),'Leave log'!$C$7:$C$306,"&gt;="&amp;DATE($B$3,4,5),'Leave log'!$F$7:$F$306,"Approved")&gt;0,"A",""))="A","A",IF(OR(DATE($B$3,4,5)&gt;EOMONTH(DATE($B$3,4,1),0),NETWORKDAYS.INTL(DATE($B$3,4,5),DATE($B$3,4,5),1,'Non-working days'!$A$6:$A$45)=0),"",IF(COUNTIFS('Leave log'!$A$7:$A$306,Employees!$A$7,'Leave log'!$B$7:$B$306,"&lt;="&amp;DATE($B$3,4,5),'Leave log'!$C$7:$C$306,"&gt;="&amp;DATE($B$3,4,5),'Leave log'!$F$7:$F$306,"Pending")&gt;0,"P",""))))</f>
        <v/>
      </c>
      <c r="G110" s="23" t="str">
        <f>IF(A110="","",IF(IF(OR(DATE($B$3,4,6)&gt;EOMONTH(DATE($B$3,4,1),0),NETWORKDAYS.INTL(DATE($B$3,4,6),DATE($B$3,4,6),1,'Non-working days'!$A$6:$A$45)=0),"",IF(COUNTIFS('Leave log'!$A$7:$A$306,Employees!$A$7,'Leave log'!$B$7:$B$306,"&lt;="&amp;DATE($B$3,4,6),'Leave log'!$C$7:$C$306,"&gt;="&amp;DATE($B$3,4,6),'Leave log'!$F$7:$F$306,"Approved")&gt;0,"A",""))="A","A",IF(OR(DATE($B$3,4,6)&gt;EOMONTH(DATE($B$3,4,1),0),NETWORKDAYS.INTL(DATE($B$3,4,6),DATE($B$3,4,6),1,'Non-working days'!$A$6:$A$45)=0),"",IF(COUNTIFS('Leave log'!$A$7:$A$306,Employees!$A$7,'Leave log'!$B$7:$B$306,"&lt;="&amp;DATE($B$3,4,6),'Leave log'!$C$7:$C$306,"&gt;="&amp;DATE($B$3,4,6),'Leave log'!$F$7:$F$306,"Pending")&gt;0,"P",""))))</f>
        <v/>
      </c>
      <c r="H110" s="23" t="str">
        <f>IF(A110="","",IF(IF(OR(DATE($B$3,4,7)&gt;EOMONTH(DATE($B$3,4,1),0),NETWORKDAYS.INTL(DATE($B$3,4,7),DATE($B$3,4,7),1,'Non-working days'!$A$6:$A$45)=0),"",IF(COUNTIFS('Leave log'!$A$7:$A$306,Employees!$A$7,'Leave log'!$B$7:$B$306,"&lt;="&amp;DATE($B$3,4,7),'Leave log'!$C$7:$C$306,"&gt;="&amp;DATE($B$3,4,7),'Leave log'!$F$7:$F$306,"Approved")&gt;0,"A",""))="A","A",IF(OR(DATE($B$3,4,7)&gt;EOMONTH(DATE($B$3,4,1),0),NETWORKDAYS.INTL(DATE($B$3,4,7),DATE($B$3,4,7),1,'Non-working days'!$A$6:$A$45)=0),"",IF(COUNTIFS('Leave log'!$A$7:$A$306,Employees!$A$7,'Leave log'!$B$7:$B$306,"&lt;="&amp;DATE($B$3,4,7),'Leave log'!$C$7:$C$306,"&gt;="&amp;DATE($B$3,4,7),'Leave log'!$F$7:$F$306,"Pending")&gt;0,"P",""))))</f>
        <v/>
      </c>
      <c r="I110" s="23" t="str">
        <f>IF(A110="","",IF(IF(OR(DATE($B$3,4,8)&gt;EOMONTH(DATE($B$3,4,1),0),NETWORKDAYS.INTL(DATE($B$3,4,8),DATE($B$3,4,8),1,'Non-working days'!$A$6:$A$45)=0),"",IF(COUNTIFS('Leave log'!$A$7:$A$306,Employees!$A$7,'Leave log'!$B$7:$B$306,"&lt;="&amp;DATE($B$3,4,8),'Leave log'!$C$7:$C$306,"&gt;="&amp;DATE($B$3,4,8),'Leave log'!$F$7:$F$306,"Approved")&gt;0,"A",""))="A","A",IF(OR(DATE($B$3,4,8)&gt;EOMONTH(DATE($B$3,4,1),0),NETWORKDAYS.INTL(DATE($B$3,4,8),DATE($B$3,4,8),1,'Non-working days'!$A$6:$A$45)=0),"",IF(COUNTIFS('Leave log'!$A$7:$A$306,Employees!$A$7,'Leave log'!$B$7:$B$306,"&lt;="&amp;DATE($B$3,4,8),'Leave log'!$C$7:$C$306,"&gt;="&amp;DATE($B$3,4,8),'Leave log'!$F$7:$F$306,"Pending")&gt;0,"P",""))))</f>
        <v/>
      </c>
      <c r="J110" s="23" t="str">
        <f>IF(A110="","",IF(IF(OR(DATE($B$3,4,9)&gt;EOMONTH(DATE($B$3,4,1),0),NETWORKDAYS.INTL(DATE($B$3,4,9),DATE($B$3,4,9),1,'Non-working days'!$A$6:$A$45)=0),"",IF(COUNTIFS('Leave log'!$A$7:$A$306,Employees!$A$7,'Leave log'!$B$7:$B$306,"&lt;="&amp;DATE($B$3,4,9),'Leave log'!$C$7:$C$306,"&gt;="&amp;DATE($B$3,4,9),'Leave log'!$F$7:$F$306,"Approved")&gt;0,"A",""))="A","A",IF(OR(DATE($B$3,4,9)&gt;EOMONTH(DATE($B$3,4,1),0),NETWORKDAYS.INTL(DATE($B$3,4,9),DATE($B$3,4,9),1,'Non-working days'!$A$6:$A$45)=0),"",IF(COUNTIFS('Leave log'!$A$7:$A$306,Employees!$A$7,'Leave log'!$B$7:$B$306,"&lt;="&amp;DATE($B$3,4,9),'Leave log'!$C$7:$C$306,"&gt;="&amp;DATE($B$3,4,9),'Leave log'!$F$7:$F$306,"Pending")&gt;0,"P",""))))</f>
        <v/>
      </c>
      <c r="K110" s="23" t="str">
        <f>IF(A110="","",IF(IF(OR(DATE($B$3,4,10)&gt;EOMONTH(DATE($B$3,4,1),0),NETWORKDAYS.INTL(DATE($B$3,4,10),DATE($B$3,4,10),1,'Non-working days'!$A$6:$A$45)=0),"",IF(COUNTIFS('Leave log'!$A$7:$A$306,Employees!$A$7,'Leave log'!$B$7:$B$306,"&lt;="&amp;DATE($B$3,4,10),'Leave log'!$C$7:$C$306,"&gt;="&amp;DATE($B$3,4,10),'Leave log'!$F$7:$F$306,"Approved")&gt;0,"A",""))="A","A",IF(OR(DATE($B$3,4,10)&gt;EOMONTH(DATE($B$3,4,1),0),NETWORKDAYS.INTL(DATE($B$3,4,10),DATE($B$3,4,10),1,'Non-working days'!$A$6:$A$45)=0),"",IF(COUNTIFS('Leave log'!$A$7:$A$306,Employees!$A$7,'Leave log'!$B$7:$B$306,"&lt;="&amp;DATE($B$3,4,10),'Leave log'!$C$7:$C$306,"&gt;="&amp;DATE($B$3,4,10),'Leave log'!$F$7:$F$306,"Pending")&gt;0,"P",""))))</f>
        <v/>
      </c>
      <c r="L110" s="23" t="str">
        <f>IF(A110="","",IF(IF(OR(DATE($B$3,4,11)&gt;EOMONTH(DATE($B$3,4,1),0),NETWORKDAYS.INTL(DATE($B$3,4,11),DATE($B$3,4,11),1,'Non-working days'!$A$6:$A$45)=0),"",IF(COUNTIFS('Leave log'!$A$7:$A$306,Employees!$A$7,'Leave log'!$B$7:$B$306,"&lt;="&amp;DATE($B$3,4,11),'Leave log'!$C$7:$C$306,"&gt;="&amp;DATE($B$3,4,11),'Leave log'!$F$7:$F$306,"Approved")&gt;0,"A",""))="A","A",IF(OR(DATE($B$3,4,11)&gt;EOMONTH(DATE($B$3,4,1),0),NETWORKDAYS.INTL(DATE($B$3,4,11),DATE($B$3,4,11),1,'Non-working days'!$A$6:$A$45)=0),"",IF(COUNTIFS('Leave log'!$A$7:$A$306,Employees!$A$7,'Leave log'!$B$7:$B$306,"&lt;="&amp;DATE($B$3,4,11),'Leave log'!$C$7:$C$306,"&gt;="&amp;DATE($B$3,4,11),'Leave log'!$F$7:$F$306,"Pending")&gt;0,"P",""))))</f>
        <v/>
      </c>
      <c r="M110" s="23" t="str">
        <f>IF(A110="","",IF(IF(OR(DATE($B$3,4,12)&gt;EOMONTH(DATE($B$3,4,1),0),NETWORKDAYS.INTL(DATE($B$3,4,12),DATE($B$3,4,12),1,'Non-working days'!$A$6:$A$45)=0),"",IF(COUNTIFS('Leave log'!$A$7:$A$306,Employees!$A$7,'Leave log'!$B$7:$B$306,"&lt;="&amp;DATE($B$3,4,12),'Leave log'!$C$7:$C$306,"&gt;="&amp;DATE($B$3,4,12),'Leave log'!$F$7:$F$306,"Approved")&gt;0,"A",""))="A","A",IF(OR(DATE($B$3,4,12)&gt;EOMONTH(DATE($B$3,4,1),0),NETWORKDAYS.INTL(DATE($B$3,4,12),DATE($B$3,4,12),1,'Non-working days'!$A$6:$A$45)=0),"",IF(COUNTIFS('Leave log'!$A$7:$A$306,Employees!$A$7,'Leave log'!$B$7:$B$306,"&lt;="&amp;DATE($B$3,4,12),'Leave log'!$C$7:$C$306,"&gt;="&amp;DATE($B$3,4,12),'Leave log'!$F$7:$F$306,"Pending")&gt;0,"P",""))))</f>
        <v/>
      </c>
      <c r="N110" s="23" t="str">
        <f>IF(A110="","",IF(IF(OR(DATE($B$3,4,13)&gt;EOMONTH(DATE($B$3,4,1),0),NETWORKDAYS.INTL(DATE($B$3,4,13),DATE($B$3,4,13),1,'Non-working days'!$A$6:$A$45)=0),"",IF(COUNTIFS('Leave log'!$A$7:$A$306,Employees!$A$7,'Leave log'!$B$7:$B$306,"&lt;="&amp;DATE($B$3,4,13),'Leave log'!$C$7:$C$306,"&gt;="&amp;DATE($B$3,4,13),'Leave log'!$F$7:$F$306,"Approved")&gt;0,"A",""))="A","A",IF(OR(DATE($B$3,4,13)&gt;EOMONTH(DATE($B$3,4,1),0),NETWORKDAYS.INTL(DATE($B$3,4,13),DATE($B$3,4,13),1,'Non-working days'!$A$6:$A$45)=0),"",IF(COUNTIFS('Leave log'!$A$7:$A$306,Employees!$A$7,'Leave log'!$B$7:$B$306,"&lt;="&amp;DATE($B$3,4,13),'Leave log'!$C$7:$C$306,"&gt;="&amp;DATE($B$3,4,13),'Leave log'!$F$7:$F$306,"Pending")&gt;0,"P",""))))</f>
        <v/>
      </c>
      <c r="O110" s="23" t="str">
        <f>IF(A110="","",IF(IF(OR(DATE($B$3,4,14)&gt;EOMONTH(DATE($B$3,4,1),0),NETWORKDAYS.INTL(DATE($B$3,4,14),DATE($B$3,4,14),1,'Non-working days'!$A$6:$A$45)=0),"",IF(COUNTIFS('Leave log'!$A$7:$A$306,Employees!$A$7,'Leave log'!$B$7:$B$306,"&lt;="&amp;DATE($B$3,4,14),'Leave log'!$C$7:$C$306,"&gt;="&amp;DATE($B$3,4,14),'Leave log'!$F$7:$F$306,"Approved")&gt;0,"A",""))="A","A",IF(OR(DATE($B$3,4,14)&gt;EOMONTH(DATE($B$3,4,1),0),NETWORKDAYS.INTL(DATE($B$3,4,14),DATE($B$3,4,14),1,'Non-working days'!$A$6:$A$45)=0),"",IF(COUNTIFS('Leave log'!$A$7:$A$306,Employees!$A$7,'Leave log'!$B$7:$B$306,"&lt;="&amp;DATE($B$3,4,14),'Leave log'!$C$7:$C$306,"&gt;="&amp;DATE($B$3,4,14),'Leave log'!$F$7:$F$306,"Pending")&gt;0,"P",""))))</f>
        <v/>
      </c>
      <c r="P110" s="23" t="str">
        <f>IF(A110="","",IF(IF(OR(DATE($B$3,4,15)&gt;EOMONTH(DATE($B$3,4,1),0),NETWORKDAYS.INTL(DATE($B$3,4,15),DATE($B$3,4,15),1,'Non-working days'!$A$6:$A$45)=0),"",IF(COUNTIFS('Leave log'!$A$7:$A$306,Employees!$A$7,'Leave log'!$B$7:$B$306,"&lt;="&amp;DATE($B$3,4,15),'Leave log'!$C$7:$C$306,"&gt;="&amp;DATE($B$3,4,15),'Leave log'!$F$7:$F$306,"Approved")&gt;0,"A",""))="A","A",IF(OR(DATE($B$3,4,15)&gt;EOMONTH(DATE($B$3,4,1),0),NETWORKDAYS.INTL(DATE($B$3,4,15),DATE($B$3,4,15),1,'Non-working days'!$A$6:$A$45)=0),"",IF(COUNTIFS('Leave log'!$A$7:$A$306,Employees!$A$7,'Leave log'!$B$7:$B$306,"&lt;="&amp;DATE($B$3,4,15),'Leave log'!$C$7:$C$306,"&gt;="&amp;DATE($B$3,4,15),'Leave log'!$F$7:$F$306,"Pending")&gt;0,"P",""))))</f>
        <v/>
      </c>
      <c r="Q110" s="23" t="str">
        <f>IF(A110="","",IF(IF(OR(DATE($B$3,4,16)&gt;EOMONTH(DATE($B$3,4,1),0),NETWORKDAYS.INTL(DATE($B$3,4,16),DATE($B$3,4,16),1,'Non-working days'!$A$6:$A$45)=0),"",IF(COUNTIFS('Leave log'!$A$7:$A$306,Employees!$A$7,'Leave log'!$B$7:$B$306,"&lt;="&amp;DATE($B$3,4,16),'Leave log'!$C$7:$C$306,"&gt;="&amp;DATE($B$3,4,16),'Leave log'!$F$7:$F$306,"Approved")&gt;0,"A",""))="A","A",IF(OR(DATE($B$3,4,16)&gt;EOMONTH(DATE($B$3,4,1),0),NETWORKDAYS.INTL(DATE($B$3,4,16),DATE($B$3,4,16),1,'Non-working days'!$A$6:$A$45)=0),"",IF(COUNTIFS('Leave log'!$A$7:$A$306,Employees!$A$7,'Leave log'!$B$7:$B$306,"&lt;="&amp;DATE($B$3,4,16),'Leave log'!$C$7:$C$306,"&gt;="&amp;DATE($B$3,4,16),'Leave log'!$F$7:$F$306,"Pending")&gt;0,"P",""))))</f>
        <v/>
      </c>
      <c r="R110" s="23" t="str">
        <f>IF(A110="","",IF(IF(OR(DATE($B$3,4,17)&gt;EOMONTH(DATE($B$3,4,1),0),NETWORKDAYS.INTL(DATE($B$3,4,17),DATE($B$3,4,17),1,'Non-working days'!$A$6:$A$45)=0),"",IF(COUNTIFS('Leave log'!$A$7:$A$306,Employees!$A$7,'Leave log'!$B$7:$B$306,"&lt;="&amp;DATE($B$3,4,17),'Leave log'!$C$7:$C$306,"&gt;="&amp;DATE($B$3,4,17),'Leave log'!$F$7:$F$306,"Approved")&gt;0,"A",""))="A","A",IF(OR(DATE($B$3,4,17)&gt;EOMONTH(DATE($B$3,4,1),0),NETWORKDAYS.INTL(DATE($B$3,4,17),DATE($B$3,4,17),1,'Non-working days'!$A$6:$A$45)=0),"",IF(COUNTIFS('Leave log'!$A$7:$A$306,Employees!$A$7,'Leave log'!$B$7:$B$306,"&lt;="&amp;DATE($B$3,4,17),'Leave log'!$C$7:$C$306,"&gt;="&amp;DATE($B$3,4,17),'Leave log'!$F$7:$F$306,"Pending")&gt;0,"P",""))))</f>
        <v/>
      </c>
      <c r="S110" s="23" t="str">
        <f>IF(A110="","",IF(IF(OR(DATE($B$3,4,18)&gt;EOMONTH(DATE($B$3,4,1),0),NETWORKDAYS.INTL(DATE($B$3,4,18),DATE($B$3,4,18),1,'Non-working days'!$A$6:$A$45)=0),"",IF(COUNTIFS('Leave log'!$A$7:$A$306,Employees!$A$7,'Leave log'!$B$7:$B$306,"&lt;="&amp;DATE($B$3,4,18),'Leave log'!$C$7:$C$306,"&gt;="&amp;DATE($B$3,4,18),'Leave log'!$F$7:$F$306,"Approved")&gt;0,"A",""))="A","A",IF(OR(DATE($B$3,4,18)&gt;EOMONTH(DATE($B$3,4,1),0),NETWORKDAYS.INTL(DATE($B$3,4,18),DATE($B$3,4,18),1,'Non-working days'!$A$6:$A$45)=0),"",IF(COUNTIFS('Leave log'!$A$7:$A$306,Employees!$A$7,'Leave log'!$B$7:$B$306,"&lt;="&amp;DATE($B$3,4,18),'Leave log'!$C$7:$C$306,"&gt;="&amp;DATE($B$3,4,18),'Leave log'!$F$7:$F$306,"Pending")&gt;0,"P",""))))</f>
        <v/>
      </c>
      <c r="T110" s="23" t="str">
        <f>IF(A110="","",IF(IF(OR(DATE($B$3,4,19)&gt;EOMONTH(DATE($B$3,4,1),0),NETWORKDAYS.INTL(DATE($B$3,4,19),DATE($B$3,4,19),1,'Non-working days'!$A$6:$A$45)=0),"",IF(COUNTIFS('Leave log'!$A$7:$A$306,Employees!$A$7,'Leave log'!$B$7:$B$306,"&lt;="&amp;DATE($B$3,4,19),'Leave log'!$C$7:$C$306,"&gt;="&amp;DATE($B$3,4,19),'Leave log'!$F$7:$F$306,"Approved")&gt;0,"A",""))="A","A",IF(OR(DATE($B$3,4,19)&gt;EOMONTH(DATE($B$3,4,1),0),NETWORKDAYS.INTL(DATE($B$3,4,19),DATE($B$3,4,19),1,'Non-working days'!$A$6:$A$45)=0),"",IF(COUNTIFS('Leave log'!$A$7:$A$306,Employees!$A$7,'Leave log'!$B$7:$B$306,"&lt;="&amp;DATE($B$3,4,19),'Leave log'!$C$7:$C$306,"&gt;="&amp;DATE($B$3,4,19),'Leave log'!$F$7:$F$306,"Pending")&gt;0,"P",""))))</f>
        <v/>
      </c>
      <c r="U110" s="23" t="str">
        <f>IF(A110="","",IF(IF(OR(DATE($B$3,4,20)&gt;EOMONTH(DATE($B$3,4,1),0),NETWORKDAYS.INTL(DATE($B$3,4,20),DATE($B$3,4,20),1,'Non-working days'!$A$6:$A$45)=0),"",IF(COUNTIFS('Leave log'!$A$7:$A$306,Employees!$A$7,'Leave log'!$B$7:$B$306,"&lt;="&amp;DATE($B$3,4,20),'Leave log'!$C$7:$C$306,"&gt;="&amp;DATE($B$3,4,20),'Leave log'!$F$7:$F$306,"Approved")&gt;0,"A",""))="A","A",IF(OR(DATE($B$3,4,20)&gt;EOMONTH(DATE($B$3,4,1),0),NETWORKDAYS.INTL(DATE($B$3,4,20),DATE($B$3,4,20),1,'Non-working days'!$A$6:$A$45)=0),"",IF(COUNTIFS('Leave log'!$A$7:$A$306,Employees!$A$7,'Leave log'!$B$7:$B$306,"&lt;="&amp;DATE($B$3,4,20),'Leave log'!$C$7:$C$306,"&gt;="&amp;DATE($B$3,4,20),'Leave log'!$F$7:$F$306,"Pending")&gt;0,"P",""))))</f>
        <v/>
      </c>
      <c r="V110" s="23" t="str">
        <f>IF(A110="","",IF(IF(OR(DATE($B$3,4,21)&gt;EOMONTH(DATE($B$3,4,1),0),NETWORKDAYS.INTL(DATE($B$3,4,21),DATE($B$3,4,21),1,'Non-working days'!$A$6:$A$45)=0),"",IF(COUNTIFS('Leave log'!$A$7:$A$306,Employees!$A$7,'Leave log'!$B$7:$B$306,"&lt;="&amp;DATE($B$3,4,21),'Leave log'!$C$7:$C$306,"&gt;="&amp;DATE($B$3,4,21),'Leave log'!$F$7:$F$306,"Approved")&gt;0,"A",""))="A","A",IF(OR(DATE($B$3,4,21)&gt;EOMONTH(DATE($B$3,4,1),0),NETWORKDAYS.INTL(DATE($B$3,4,21),DATE($B$3,4,21),1,'Non-working days'!$A$6:$A$45)=0),"",IF(COUNTIFS('Leave log'!$A$7:$A$306,Employees!$A$7,'Leave log'!$B$7:$B$306,"&lt;="&amp;DATE($B$3,4,21),'Leave log'!$C$7:$C$306,"&gt;="&amp;DATE($B$3,4,21),'Leave log'!$F$7:$F$306,"Pending")&gt;0,"P",""))))</f>
        <v/>
      </c>
      <c r="W110" s="23" t="str">
        <f>IF(A110="","",IF(IF(OR(DATE($B$3,4,22)&gt;EOMONTH(DATE($B$3,4,1),0),NETWORKDAYS.INTL(DATE($B$3,4,22),DATE($B$3,4,22),1,'Non-working days'!$A$6:$A$45)=0),"",IF(COUNTIFS('Leave log'!$A$7:$A$306,Employees!$A$7,'Leave log'!$B$7:$B$306,"&lt;="&amp;DATE($B$3,4,22),'Leave log'!$C$7:$C$306,"&gt;="&amp;DATE($B$3,4,22),'Leave log'!$F$7:$F$306,"Approved")&gt;0,"A",""))="A","A",IF(OR(DATE($B$3,4,22)&gt;EOMONTH(DATE($B$3,4,1),0),NETWORKDAYS.INTL(DATE($B$3,4,22),DATE($B$3,4,22),1,'Non-working days'!$A$6:$A$45)=0),"",IF(COUNTIFS('Leave log'!$A$7:$A$306,Employees!$A$7,'Leave log'!$B$7:$B$306,"&lt;="&amp;DATE($B$3,4,22),'Leave log'!$C$7:$C$306,"&gt;="&amp;DATE($B$3,4,22),'Leave log'!$F$7:$F$306,"Pending")&gt;0,"P",""))))</f>
        <v/>
      </c>
      <c r="X110" s="23" t="str">
        <f>IF(A110="","",IF(IF(OR(DATE($B$3,4,23)&gt;EOMONTH(DATE($B$3,4,1),0),NETWORKDAYS.INTL(DATE($B$3,4,23),DATE($B$3,4,23),1,'Non-working days'!$A$6:$A$45)=0),"",IF(COUNTIFS('Leave log'!$A$7:$A$306,Employees!$A$7,'Leave log'!$B$7:$B$306,"&lt;="&amp;DATE($B$3,4,23),'Leave log'!$C$7:$C$306,"&gt;="&amp;DATE($B$3,4,23),'Leave log'!$F$7:$F$306,"Approved")&gt;0,"A",""))="A","A",IF(OR(DATE($B$3,4,23)&gt;EOMONTH(DATE($B$3,4,1),0),NETWORKDAYS.INTL(DATE($B$3,4,23),DATE($B$3,4,23),1,'Non-working days'!$A$6:$A$45)=0),"",IF(COUNTIFS('Leave log'!$A$7:$A$306,Employees!$A$7,'Leave log'!$B$7:$B$306,"&lt;="&amp;DATE($B$3,4,23),'Leave log'!$C$7:$C$306,"&gt;="&amp;DATE($B$3,4,23),'Leave log'!$F$7:$F$306,"Pending")&gt;0,"P",""))))</f>
        <v/>
      </c>
      <c r="Y110" s="23" t="str">
        <f>IF(A110="","",IF(IF(OR(DATE($B$3,4,24)&gt;EOMONTH(DATE($B$3,4,1),0),NETWORKDAYS.INTL(DATE($B$3,4,24),DATE($B$3,4,24),1,'Non-working days'!$A$6:$A$45)=0),"",IF(COUNTIFS('Leave log'!$A$7:$A$306,Employees!$A$7,'Leave log'!$B$7:$B$306,"&lt;="&amp;DATE($B$3,4,24),'Leave log'!$C$7:$C$306,"&gt;="&amp;DATE($B$3,4,24),'Leave log'!$F$7:$F$306,"Approved")&gt;0,"A",""))="A","A",IF(OR(DATE($B$3,4,24)&gt;EOMONTH(DATE($B$3,4,1),0),NETWORKDAYS.INTL(DATE($B$3,4,24),DATE($B$3,4,24),1,'Non-working days'!$A$6:$A$45)=0),"",IF(COUNTIFS('Leave log'!$A$7:$A$306,Employees!$A$7,'Leave log'!$B$7:$B$306,"&lt;="&amp;DATE($B$3,4,24),'Leave log'!$C$7:$C$306,"&gt;="&amp;DATE($B$3,4,24),'Leave log'!$F$7:$F$306,"Pending")&gt;0,"P",""))))</f>
        <v/>
      </c>
      <c r="Z110" s="23" t="str">
        <f>IF(A110="","",IF(IF(OR(DATE($B$3,4,25)&gt;EOMONTH(DATE($B$3,4,1),0),NETWORKDAYS.INTL(DATE($B$3,4,25),DATE($B$3,4,25),1,'Non-working days'!$A$6:$A$45)=0),"",IF(COUNTIFS('Leave log'!$A$7:$A$306,Employees!$A$7,'Leave log'!$B$7:$B$306,"&lt;="&amp;DATE($B$3,4,25),'Leave log'!$C$7:$C$306,"&gt;="&amp;DATE($B$3,4,25),'Leave log'!$F$7:$F$306,"Approved")&gt;0,"A",""))="A","A",IF(OR(DATE($B$3,4,25)&gt;EOMONTH(DATE($B$3,4,1),0),NETWORKDAYS.INTL(DATE($B$3,4,25),DATE($B$3,4,25),1,'Non-working days'!$A$6:$A$45)=0),"",IF(COUNTIFS('Leave log'!$A$7:$A$306,Employees!$A$7,'Leave log'!$B$7:$B$306,"&lt;="&amp;DATE($B$3,4,25),'Leave log'!$C$7:$C$306,"&gt;="&amp;DATE($B$3,4,25),'Leave log'!$F$7:$F$306,"Pending")&gt;0,"P",""))))</f>
        <v/>
      </c>
      <c r="AA110" s="23" t="str">
        <f>IF(A110="","",IF(IF(OR(DATE($B$3,4,26)&gt;EOMONTH(DATE($B$3,4,1),0),NETWORKDAYS.INTL(DATE($B$3,4,26),DATE($B$3,4,26),1,'Non-working days'!$A$6:$A$45)=0),"",IF(COUNTIFS('Leave log'!$A$7:$A$306,Employees!$A$7,'Leave log'!$B$7:$B$306,"&lt;="&amp;DATE($B$3,4,26),'Leave log'!$C$7:$C$306,"&gt;="&amp;DATE($B$3,4,26),'Leave log'!$F$7:$F$306,"Approved")&gt;0,"A",""))="A","A",IF(OR(DATE($B$3,4,26)&gt;EOMONTH(DATE($B$3,4,1),0),NETWORKDAYS.INTL(DATE($B$3,4,26),DATE($B$3,4,26),1,'Non-working days'!$A$6:$A$45)=0),"",IF(COUNTIFS('Leave log'!$A$7:$A$306,Employees!$A$7,'Leave log'!$B$7:$B$306,"&lt;="&amp;DATE($B$3,4,26),'Leave log'!$C$7:$C$306,"&gt;="&amp;DATE($B$3,4,26),'Leave log'!$F$7:$F$306,"Pending")&gt;0,"P",""))))</f>
        <v/>
      </c>
      <c r="AB110" s="23" t="str">
        <f>IF(A110="","",IF(IF(OR(DATE($B$3,4,27)&gt;EOMONTH(DATE($B$3,4,1),0),NETWORKDAYS.INTL(DATE($B$3,4,27),DATE($B$3,4,27),1,'Non-working days'!$A$6:$A$45)=0),"",IF(COUNTIFS('Leave log'!$A$7:$A$306,Employees!$A$7,'Leave log'!$B$7:$B$306,"&lt;="&amp;DATE($B$3,4,27),'Leave log'!$C$7:$C$306,"&gt;="&amp;DATE($B$3,4,27),'Leave log'!$F$7:$F$306,"Approved")&gt;0,"A",""))="A","A",IF(OR(DATE($B$3,4,27)&gt;EOMONTH(DATE($B$3,4,1),0),NETWORKDAYS.INTL(DATE($B$3,4,27),DATE($B$3,4,27),1,'Non-working days'!$A$6:$A$45)=0),"",IF(COUNTIFS('Leave log'!$A$7:$A$306,Employees!$A$7,'Leave log'!$B$7:$B$306,"&lt;="&amp;DATE($B$3,4,27),'Leave log'!$C$7:$C$306,"&gt;="&amp;DATE($B$3,4,27),'Leave log'!$F$7:$F$306,"Pending")&gt;0,"P",""))))</f>
        <v/>
      </c>
      <c r="AC110" s="23" t="str">
        <f>IF(A110="","",IF(IF(OR(DATE($B$3,4,28)&gt;EOMONTH(DATE($B$3,4,1),0),NETWORKDAYS.INTL(DATE($B$3,4,28),DATE($B$3,4,28),1,'Non-working days'!$A$6:$A$45)=0),"",IF(COUNTIFS('Leave log'!$A$7:$A$306,Employees!$A$7,'Leave log'!$B$7:$B$306,"&lt;="&amp;DATE($B$3,4,28),'Leave log'!$C$7:$C$306,"&gt;="&amp;DATE($B$3,4,28),'Leave log'!$F$7:$F$306,"Approved")&gt;0,"A",""))="A","A",IF(OR(DATE($B$3,4,28)&gt;EOMONTH(DATE($B$3,4,1),0),NETWORKDAYS.INTL(DATE($B$3,4,28),DATE($B$3,4,28),1,'Non-working days'!$A$6:$A$45)=0),"",IF(COUNTIFS('Leave log'!$A$7:$A$306,Employees!$A$7,'Leave log'!$B$7:$B$306,"&lt;="&amp;DATE($B$3,4,28),'Leave log'!$C$7:$C$306,"&gt;="&amp;DATE($B$3,4,28),'Leave log'!$F$7:$F$306,"Pending")&gt;0,"P",""))))</f>
        <v/>
      </c>
      <c r="AD110" s="23" t="str">
        <f>IF(A110="","",IF(IF(OR(DATE($B$3,4,29)&gt;EOMONTH(DATE($B$3,4,1),0),NETWORKDAYS.INTL(DATE($B$3,4,29),DATE($B$3,4,29),1,'Non-working days'!$A$6:$A$45)=0),"",IF(COUNTIFS('Leave log'!$A$7:$A$306,Employees!$A$7,'Leave log'!$B$7:$B$306,"&lt;="&amp;DATE($B$3,4,29),'Leave log'!$C$7:$C$306,"&gt;="&amp;DATE($B$3,4,29),'Leave log'!$F$7:$F$306,"Approved")&gt;0,"A",""))="A","A",IF(OR(DATE($B$3,4,29)&gt;EOMONTH(DATE($B$3,4,1),0),NETWORKDAYS.INTL(DATE($B$3,4,29),DATE($B$3,4,29),1,'Non-working days'!$A$6:$A$45)=0),"",IF(COUNTIFS('Leave log'!$A$7:$A$306,Employees!$A$7,'Leave log'!$B$7:$B$306,"&lt;="&amp;DATE($B$3,4,29),'Leave log'!$C$7:$C$306,"&gt;="&amp;DATE($B$3,4,29),'Leave log'!$F$7:$F$306,"Pending")&gt;0,"P",""))))</f>
        <v/>
      </c>
      <c r="AE110" s="23" t="str">
        <f>IF(A110="","",IF(IF(OR(DATE($B$3,4,30)&gt;EOMONTH(DATE($B$3,4,1),0),NETWORKDAYS.INTL(DATE($B$3,4,30),DATE($B$3,4,30),1,'Non-working days'!$A$6:$A$45)=0),"",IF(COUNTIFS('Leave log'!$A$7:$A$306,Employees!$A$7,'Leave log'!$B$7:$B$306,"&lt;="&amp;DATE($B$3,4,30),'Leave log'!$C$7:$C$306,"&gt;="&amp;DATE($B$3,4,30),'Leave log'!$F$7:$F$306,"Approved")&gt;0,"A",""))="A","A",IF(OR(DATE($B$3,4,30)&gt;EOMONTH(DATE($B$3,4,1),0),NETWORKDAYS.INTL(DATE($B$3,4,30),DATE($B$3,4,30),1,'Non-working days'!$A$6:$A$45)=0),"",IF(COUNTIFS('Leave log'!$A$7:$A$306,Employees!$A$7,'Leave log'!$B$7:$B$306,"&lt;="&amp;DATE($B$3,4,30),'Leave log'!$C$7:$C$306,"&gt;="&amp;DATE($B$3,4,30),'Leave log'!$F$7:$F$306,"Pending")&gt;0,"P",""))))</f>
        <v/>
      </c>
      <c r="AF110" s="23" t="str">
        <f>IF(A110="","",IF(IF(OR(DATE($B$3,4,31)&gt;EOMONTH(DATE($B$3,4,1),0),NETWORKDAYS.INTL(DATE($B$3,4,31),DATE($B$3,4,31),1,'Non-working days'!$A$6:$A$45)=0),"",IF(COUNTIFS('Leave log'!$A$7:$A$306,Employees!$A$7,'Leave log'!$B$7:$B$306,"&lt;="&amp;DATE($B$3,4,31),'Leave log'!$C$7:$C$306,"&gt;="&amp;DATE($B$3,4,31),'Leave log'!$F$7:$F$306,"Approved")&gt;0,"A",""))="A","A",IF(OR(DATE($B$3,4,31)&gt;EOMONTH(DATE($B$3,4,1),0),NETWORKDAYS.INTL(DATE($B$3,4,31),DATE($B$3,4,31),1,'Non-working days'!$A$6:$A$45)=0),"",IF(COUNTIFS('Leave log'!$A$7:$A$306,Employees!$A$7,'Leave log'!$B$7:$B$306,"&lt;="&amp;DATE($B$3,4,31),'Leave log'!$C$7:$C$306,"&gt;="&amp;DATE($B$3,4,31),'Leave log'!$F$7:$F$306,"Pending")&gt;0,"P",""))))</f>
        <v/>
      </c>
    </row>
    <row r="111" spans="1:32" ht="18" customHeight="1" x14ac:dyDescent="0.3">
      <c r="A111" s="22" t="str">
        <f>IF(Employees!F8="Yes",Employees!B8,"")</f>
        <v/>
      </c>
      <c r="B111" s="23" t="str">
        <f>IF(A111="","",IF(IF(OR(DATE($B$3,4,1)&gt;EOMONTH(DATE($B$3,4,1),0),NETWORKDAYS.INTL(DATE($B$3,4,1),DATE($B$3,4,1),1,'Non-working days'!$A$6:$A$45)=0),"",IF(COUNTIFS('Leave log'!$A$7:$A$306,Employees!$A$8,'Leave log'!$B$7:$B$306,"&lt;="&amp;DATE($B$3,4,1),'Leave log'!$C$7:$C$306,"&gt;="&amp;DATE($B$3,4,1),'Leave log'!$F$7:$F$306,"Approved")&gt;0,"A",""))="A","A",IF(OR(DATE($B$3,4,1)&gt;EOMONTH(DATE($B$3,4,1),0),NETWORKDAYS.INTL(DATE($B$3,4,1),DATE($B$3,4,1),1,'Non-working days'!$A$6:$A$45)=0),"",IF(COUNTIFS('Leave log'!$A$7:$A$306,Employees!$A$8,'Leave log'!$B$7:$B$306,"&lt;="&amp;DATE($B$3,4,1),'Leave log'!$C$7:$C$306,"&gt;="&amp;DATE($B$3,4,1),'Leave log'!$F$7:$F$306,"Pending")&gt;0,"P",""))))</f>
        <v/>
      </c>
      <c r="C111" s="23" t="str">
        <f>IF(A111="","",IF(IF(OR(DATE($B$3,4,2)&gt;EOMONTH(DATE($B$3,4,1),0),NETWORKDAYS.INTL(DATE($B$3,4,2),DATE($B$3,4,2),1,'Non-working days'!$A$6:$A$45)=0),"",IF(COUNTIFS('Leave log'!$A$7:$A$306,Employees!$A$8,'Leave log'!$B$7:$B$306,"&lt;="&amp;DATE($B$3,4,2),'Leave log'!$C$7:$C$306,"&gt;="&amp;DATE($B$3,4,2),'Leave log'!$F$7:$F$306,"Approved")&gt;0,"A",""))="A","A",IF(OR(DATE($B$3,4,2)&gt;EOMONTH(DATE($B$3,4,1),0),NETWORKDAYS.INTL(DATE($B$3,4,2),DATE($B$3,4,2),1,'Non-working days'!$A$6:$A$45)=0),"",IF(COUNTIFS('Leave log'!$A$7:$A$306,Employees!$A$8,'Leave log'!$B$7:$B$306,"&lt;="&amp;DATE($B$3,4,2),'Leave log'!$C$7:$C$306,"&gt;="&amp;DATE($B$3,4,2),'Leave log'!$F$7:$F$306,"Pending")&gt;0,"P",""))))</f>
        <v/>
      </c>
      <c r="D111" s="23" t="str">
        <f>IF(A111="","",IF(IF(OR(DATE($B$3,4,3)&gt;EOMONTH(DATE($B$3,4,1),0),NETWORKDAYS.INTL(DATE($B$3,4,3),DATE($B$3,4,3),1,'Non-working days'!$A$6:$A$45)=0),"",IF(COUNTIFS('Leave log'!$A$7:$A$306,Employees!$A$8,'Leave log'!$B$7:$B$306,"&lt;="&amp;DATE($B$3,4,3),'Leave log'!$C$7:$C$306,"&gt;="&amp;DATE($B$3,4,3),'Leave log'!$F$7:$F$306,"Approved")&gt;0,"A",""))="A","A",IF(OR(DATE($B$3,4,3)&gt;EOMONTH(DATE($B$3,4,1),0),NETWORKDAYS.INTL(DATE($B$3,4,3),DATE($B$3,4,3),1,'Non-working days'!$A$6:$A$45)=0),"",IF(COUNTIFS('Leave log'!$A$7:$A$306,Employees!$A$8,'Leave log'!$B$7:$B$306,"&lt;="&amp;DATE($B$3,4,3),'Leave log'!$C$7:$C$306,"&gt;="&amp;DATE($B$3,4,3),'Leave log'!$F$7:$F$306,"Pending")&gt;0,"P",""))))</f>
        <v/>
      </c>
      <c r="E111" s="23" t="str">
        <f>IF(A111="","",IF(IF(OR(DATE($B$3,4,4)&gt;EOMONTH(DATE($B$3,4,1),0),NETWORKDAYS.INTL(DATE($B$3,4,4),DATE($B$3,4,4),1,'Non-working days'!$A$6:$A$45)=0),"",IF(COUNTIFS('Leave log'!$A$7:$A$306,Employees!$A$8,'Leave log'!$B$7:$B$306,"&lt;="&amp;DATE($B$3,4,4),'Leave log'!$C$7:$C$306,"&gt;="&amp;DATE($B$3,4,4),'Leave log'!$F$7:$F$306,"Approved")&gt;0,"A",""))="A","A",IF(OR(DATE($B$3,4,4)&gt;EOMONTH(DATE($B$3,4,1),0),NETWORKDAYS.INTL(DATE($B$3,4,4),DATE($B$3,4,4),1,'Non-working days'!$A$6:$A$45)=0),"",IF(COUNTIFS('Leave log'!$A$7:$A$306,Employees!$A$8,'Leave log'!$B$7:$B$306,"&lt;="&amp;DATE($B$3,4,4),'Leave log'!$C$7:$C$306,"&gt;="&amp;DATE($B$3,4,4),'Leave log'!$F$7:$F$306,"Pending")&gt;0,"P",""))))</f>
        <v/>
      </c>
      <c r="F111" s="23" t="str">
        <f>IF(A111="","",IF(IF(OR(DATE($B$3,4,5)&gt;EOMONTH(DATE($B$3,4,1),0),NETWORKDAYS.INTL(DATE($B$3,4,5),DATE($B$3,4,5),1,'Non-working days'!$A$6:$A$45)=0),"",IF(COUNTIFS('Leave log'!$A$7:$A$306,Employees!$A$8,'Leave log'!$B$7:$B$306,"&lt;="&amp;DATE($B$3,4,5),'Leave log'!$C$7:$C$306,"&gt;="&amp;DATE($B$3,4,5),'Leave log'!$F$7:$F$306,"Approved")&gt;0,"A",""))="A","A",IF(OR(DATE($B$3,4,5)&gt;EOMONTH(DATE($B$3,4,1),0),NETWORKDAYS.INTL(DATE($B$3,4,5),DATE($B$3,4,5),1,'Non-working days'!$A$6:$A$45)=0),"",IF(COUNTIFS('Leave log'!$A$7:$A$306,Employees!$A$8,'Leave log'!$B$7:$B$306,"&lt;="&amp;DATE($B$3,4,5),'Leave log'!$C$7:$C$306,"&gt;="&amp;DATE($B$3,4,5),'Leave log'!$F$7:$F$306,"Pending")&gt;0,"P",""))))</f>
        <v/>
      </c>
      <c r="G111" s="23" t="str">
        <f>IF(A111="","",IF(IF(OR(DATE($B$3,4,6)&gt;EOMONTH(DATE($B$3,4,1),0),NETWORKDAYS.INTL(DATE($B$3,4,6),DATE($B$3,4,6),1,'Non-working days'!$A$6:$A$45)=0),"",IF(COUNTIFS('Leave log'!$A$7:$A$306,Employees!$A$8,'Leave log'!$B$7:$B$306,"&lt;="&amp;DATE($B$3,4,6),'Leave log'!$C$7:$C$306,"&gt;="&amp;DATE($B$3,4,6),'Leave log'!$F$7:$F$306,"Approved")&gt;0,"A",""))="A","A",IF(OR(DATE($B$3,4,6)&gt;EOMONTH(DATE($B$3,4,1),0),NETWORKDAYS.INTL(DATE($B$3,4,6),DATE($B$3,4,6),1,'Non-working days'!$A$6:$A$45)=0),"",IF(COUNTIFS('Leave log'!$A$7:$A$306,Employees!$A$8,'Leave log'!$B$7:$B$306,"&lt;="&amp;DATE($B$3,4,6),'Leave log'!$C$7:$C$306,"&gt;="&amp;DATE($B$3,4,6),'Leave log'!$F$7:$F$306,"Pending")&gt;0,"P",""))))</f>
        <v/>
      </c>
      <c r="H111" s="23" t="str">
        <f>IF(A111="","",IF(IF(OR(DATE($B$3,4,7)&gt;EOMONTH(DATE($B$3,4,1),0),NETWORKDAYS.INTL(DATE($B$3,4,7),DATE($B$3,4,7),1,'Non-working days'!$A$6:$A$45)=0),"",IF(COUNTIFS('Leave log'!$A$7:$A$306,Employees!$A$8,'Leave log'!$B$7:$B$306,"&lt;="&amp;DATE($B$3,4,7),'Leave log'!$C$7:$C$306,"&gt;="&amp;DATE($B$3,4,7),'Leave log'!$F$7:$F$306,"Approved")&gt;0,"A",""))="A","A",IF(OR(DATE($B$3,4,7)&gt;EOMONTH(DATE($B$3,4,1),0),NETWORKDAYS.INTL(DATE($B$3,4,7),DATE($B$3,4,7),1,'Non-working days'!$A$6:$A$45)=0),"",IF(COUNTIFS('Leave log'!$A$7:$A$306,Employees!$A$8,'Leave log'!$B$7:$B$306,"&lt;="&amp;DATE($B$3,4,7),'Leave log'!$C$7:$C$306,"&gt;="&amp;DATE($B$3,4,7),'Leave log'!$F$7:$F$306,"Pending")&gt;0,"P",""))))</f>
        <v/>
      </c>
      <c r="I111" s="23" t="str">
        <f>IF(A111="","",IF(IF(OR(DATE($B$3,4,8)&gt;EOMONTH(DATE($B$3,4,1),0),NETWORKDAYS.INTL(DATE($B$3,4,8),DATE($B$3,4,8),1,'Non-working days'!$A$6:$A$45)=0),"",IF(COUNTIFS('Leave log'!$A$7:$A$306,Employees!$A$8,'Leave log'!$B$7:$B$306,"&lt;="&amp;DATE($B$3,4,8),'Leave log'!$C$7:$C$306,"&gt;="&amp;DATE($B$3,4,8),'Leave log'!$F$7:$F$306,"Approved")&gt;0,"A",""))="A","A",IF(OR(DATE($B$3,4,8)&gt;EOMONTH(DATE($B$3,4,1),0),NETWORKDAYS.INTL(DATE($B$3,4,8),DATE($B$3,4,8),1,'Non-working days'!$A$6:$A$45)=0),"",IF(COUNTIFS('Leave log'!$A$7:$A$306,Employees!$A$8,'Leave log'!$B$7:$B$306,"&lt;="&amp;DATE($B$3,4,8),'Leave log'!$C$7:$C$306,"&gt;="&amp;DATE($B$3,4,8),'Leave log'!$F$7:$F$306,"Pending")&gt;0,"P",""))))</f>
        <v/>
      </c>
      <c r="J111" s="23" t="str">
        <f>IF(A111="","",IF(IF(OR(DATE($B$3,4,9)&gt;EOMONTH(DATE($B$3,4,1),0),NETWORKDAYS.INTL(DATE($B$3,4,9),DATE($B$3,4,9),1,'Non-working days'!$A$6:$A$45)=0),"",IF(COUNTIFS('Leave log'!$A$7:$A$306,Employees!$A$8,'Leave log'!$B$7:$B$306,"&lt;="&amp;DATE($B$3,4,9),'Leave log'!$C$7:$C$306,"&gt;="&amp;DATE($B$3,4,9),'Leave log'!$F$7:$F$306,"Approved")&gt;0,"A",""))="A","A",IF(OR(DATE($B$3,4,9)&gt;EOMONTH(DATE($B$3,4,1),0),NETWORKDAYS.INTL(DATE($B$3,4,9),DATE($B$3,4,9),1,'Non-working days'!$A$6:$A$45)=0),"",IF(COUNTIFS('Leave log'!$A$7:$A$306,Employees!$A$8,'Leave log'!$B$7:$B$306,"&lt;="&amp;DATE($B$3,4,9),'Leave log'!$C$7:$C$306,"&gt;="&amp;DATE($B$3,4,9),'Leave log'!$F$7:$F$306,"Pending")&gt;0,"P",""))))</f>
        <v/>
      </c>
      <c r="K111" s="23" t="str">
        <f>IF(A111="","",IF(IF(OR(DATE($B$3,4,10)&gt;EOMONTH(DATE($B$3,4,1),0),NETWORKDAYS.INTL(DATE($B$3,4,10),DATE($B$3,4,10),1,'Non-working days'!$A$6:$A$45)=0),"",IF(COUNTIFS('Leave log'!$A$7:$A$306,Employees!$A$8,'Leave log'!$B$7:$B$306,"&lt;="&amp;DATE($B$3,4,10),'Leave log'!$C$7:$C$306,"&gt;="&amp;DATE($B$3,4,10),'Leave log'!$F$7:$F$306,"Approved")&gt;0,"A",""))="A","A",IF(OR(DATE($B$3,4,10)&gt;EOMONTH(DATE($B$3,4,1),0),NETWORKDAYS.INTL(DATE($B$3,4,10),DATE($B$3,4,10),1,'Non-working days'!$A$6:$A$45)=0),"",IF(COUNTIFS('Leave log'!$A$7:$A$306,Employees!$A$8,'Leave log'!$B$7:$B$306,"&lt;="&amp;DATE($B$3,4,10),'Leave log'!$C$7:$C$306,"&gt;="&amp;DATE($B$3,4,10),'Leave log'!$F$7:$F$306,"Pending")&gt;0,"P",""))))</f>
        <v/>
      </c>
      <c r="L111" s="23" t="str">
        <f>IF(A111="","",IF(IF(OR(DATE($B$3,4,11)&gt;EOMONTH(DATE($B$3,4,1),0),NETWORKDAYS.INTL(DATE($B$3,4,11),DATE($B$3,4,11),1,'Non-working days'!$A$6:$A$45)=0),"",IF(COUNTIFS('Leave log'!$A$7:$A$306,Employees!$A$8,'Leave log'!$B$7:$B$306,"&lt;="&amp;DATE($B$3,4,11),'Leave log'!$C$7:$C$306,"&gt;="&amp;DATE($B$3,4,11),'Leave log'!$F$7:$F$306,"Approved")&gt;0,"A",""))="A","A",IF(OR(DATE($B$3,4,11)&gt;EOMONTH(DATE($B$3,4,1),0),NETWORKDAYS.INTL(DATE($B$3,4,11),DATE($B$3,4,11),1,'Non-working days'!$A$6:$A$45)=0),"",IF(COUNTIFS('Leave log'!$A$7:$A$306,Employees!$A$8,'Leave log'!$B$7:$B$306,"&lt;="&amp;DATE($B$3,4,11),'Leave log'!$C$7:$C$306,"&gt;="&amp;DATE($B$3,4,11),'Leave log'!$F$7:$F$306,"Pending")&gt;0,"P",""))))</f>
        <v/>
      </c>
      <c r="M111" s="23" t="str">
        <f>IF(A111="","",IF(IF(OR(DATE($B$3,4,12)&gt;EOMONTH(DATE($B$3,4,1),0),NETWORKDAYS.INTL(DATE($B$3,4,12),DATE($B$3,4,12),1,'Non-working days'!$A$6:$A$45)=0),"",IF(COUNTIFS('Leave log'!$A$7:$A$306,Employees!$A$8,'Leave log'!$B$7:$B$306,"&lt;="&amp;DATE($B$3,4,12),'Leave log'!$C$7:$C$306,"&gt;="&amp;DATE($B$3,4,12),'Leave log'!$F$7:$F$306,"Approved")&gt;0,"A",""))="A","A",IF(OR(DATE($B$3,4,12)&gt;EOMONTH(DATE($B$3,4,1),0),NETWORKDAYS.INTL(DATE($B$3,4,12),DATE($B$3,4,12),1,'Non-working days'!$A$6:$A$45)=0),"",IF(COUNTIFS('Leave log'!$A$7:$A$306,Employees!$A$8,'Leave log'!$B$7:$B$306,"&lt;="&amp;DATE($B$3,4,12),'Leave log'!$C$7:$C$306,"&gt;="&amp;DATE($B$3,4,12),'Leave log'!$F$7:$F$306,"Pending")&gt;0,"P",""))))</f>
        <v/>
      </c>
      <c r="N111" s="23" t="str">
        <f>IF(A111="","",IF(IF(OR(DATE($B$3,4,13)&gt;EOMONTH(DATE($B$3,4,1),0),NETWORKDAYS.INTL(DATE($B$3,4,13),DATE($B$3,4,13),1,'Non-working days'!$A$6:$A$45)=0),"",IF(COUNTIFS('Leave log'!$A$7:$A$306,Employees!$A$8,'Leave log'!$B$7:$B$306,"&lt;="&amp;DATE($B$3,4,13),'Leave log'!$C$7:$C$306,"&gt;="&amp;DATE($B$3,4,13),'Leave log'!$F$7:$F$306,"Approved")&gt;0,"A",""))="A","A",IF(OR(DATE($B$3,4,13)&gt;EOMONTH(DATE($B$3,4,1),0),NETWORKDAYS.INTL(DATE($B$3,4,13),DATE($B$3,4,13),1,'Non-working days'!$A$6:$A$45)=0),"",IF(COUNTIFS('Leave log'!$A$7:$A$306,Employees!$A$8,'Leave log'!$B$7:$B$306,"&lt;="&amp;DATE($B$3,4,13),'Leave log'!$C$7:$C$306,"&gt;="&amp;DATE($B$3,4,13),'Leave log'!$F$7:$F$306,"Pending")&gt;0,"P",""))))</f>
        <v/>
      </c>
      <c r="O111" s="23" t="str">
        <f>IF(A111="","",IF(IF(OR(DATE($B$3,4,14)&gt;EOMONTH(DATE($B$3,4,1),0),NETWORKDAYS.INTL(DATE($B$3,4,14),DATE($B$3,4,14),1,'Non-working days'!$A$6:$A$45)=0),"",IF(COUNTIFS('Leave log'!$A$7:$A$306,Employees!$A$8,'Leave log'!$B$7:$B$306,"&lt;="&amp;DATE($B$3,4,14),'Leave log'!$C$7:$C$306,"&gt;="&amp;DATE($B$3,4,14),'Leave log'!$F$7:$F$306,"Approved")&gt;0,"A",""))="A","A",IF(OR(DATE($B$3,4,14)&gt;EOMONTH(DATE($B$3,4,1),0),NETWORKDAYS.INTL(DATE($B$3,4,14),DATE($B$3,4,14),1,'Non-working days'!$A$6:$A$45)=0),"",IF(COUNTIFS('Leave log'!$A$7:$A$306,Employees!$A$8,'Leave log'!$B$7:$B$306,"&lt;="&amp;DATE($B$3,4,14),'Leave log'!$C$7:$C$306,"&gt;="&amp;DATE($B$3,4,14),'Leave log'!$F$7:$F$306,"Pending")&gt;0,"P",""))))</f>
        <v/>
      </c>
      <c r="P111" s="23" t="str">
        <f>IF(A111="","",IF(IF(OR(DATE($B$3,4,15)&gt;EOMONTH(DATE($B$3,4,1),0),NETWORKDAYS.INTL(DATE($B$3,4,15),DATE($B$3,4,15),1,'Non-working days'!$A$6:$A$45)=0),"",IF(COUNTIFS('Leave log'!$A$7:$A$306,Employees!$A$8,'Leave log'!$B$7:$B$306,"&lt;="&amp;DATE($B$3,4,15),'Leave log'!$C$7:$C$306,"&gt;="&amp;DATE($B$3,4,15),'Leave log'!$F$7:$F$306,"Approved")&gt;0,"A",""))="A","A",IF(OR(DATE($B$3,4,15)&gt;EOMONTH(DATE($B$3,4,1),0),NETWORKDAYS.INTL(DATE($B$3,4,15),DATE($B$3,4,15),1,'Non-working days'!$A$6:$A$45)=0),"",IF(COUNTIFS('Leave log'!$A$7:$A$306,Employees!$A$8,'Leave log'!$B$7:$B$306,"&lt;="&amp;DATE($B$3,4,15),'Leave log'!$C$7:$C$306,"&gt;="&amp;DATE($B$3,4,15),'Leave log'!$F$7:$F$306,"Pending")&gt;0,"P",""))))</f>
        <v/>
      </c>
      <c r="Q111" s="23" t="str">
        <f>IF(A111="","",IF(IF(OR(DATE($B$3,4,16)&gt;EOMONTH(DATE($B$3,4,1),0),NETWORKDAYS.INTL(DATE($B$3,4,16),DATE($B$3,4,16),1,'Non-working days'!$A$6:$A$45)=0),"",IF(COUNTIFS('Leave log'!$A$7:$A$306,Employees!$A$8,'Leave log'!$B$7:$B$306,"&lt;="&amp;DATE($B$3,4,16),'Leave log'!$C$7:$C$306,"&gt;="&amp;DATE($B$3,4,16),'Leave log'!$F$7:$F$306,"Approved")&gt;0,"A",""))="A","A",IF(OR(DATE($B$3,4,16)&gt;EOMONTH(DATE($B$3,4,1),0),NETWORKDAYS.INTL(DATE($B$3,4,16),DATE($B$3,4,16),1,'Non-working days'!$A$6:$A$45)=0),"",IF(COUNTIFS('Leave log'!$A$7:$A$306,Employees!$A$8,'Leave log'!$B$7:$B$306,"&lt;="&amp;DATE($B$3,4,16),'Leave log'!$C$7:$C$306,"&gt;="&amp;DATE($B$3,4,16),'Leave log'!$F$7:$F$306,"Pending")&gt;0,"P",""))))</f>
        <v/>
      </c>
      <c r="R111" s="23" t="str">
        <f>IF(A111="","",IF(IF(OR(DATE($B$3,4,17)&gt;EOMONTH(DATE($B$3,4,1),0),NETWORKDAYS.INTL(DATE($B$3,4,17),DATE($B$3,4,17),1,'Non-working days'!$A$6:$A$45)=0),"",IF(COUNTIFS('Leave log'!$A$7:$A$306,Employees!$A$8,'Leave log'!$B$7:$B$306,"&lt;="&amp;DATE($B$3,4,17),'Leave log'!$C$7:$C$306,"&gt;="&amp;DATE($B$3,4,17),'Leave log'!$F$7:$F$306,"Approved")&gt;0,"A",""))="A","A",IF(OR(DATE($B$3,4,17)&gt;EOMONTH(DATE($B$3,4,1),0),NETWORKDAYS.INTL(DATE($B$3,4,17),DATE($B$3,4,17),1,'Non-working days'!$A$6:$A$45)=0),"",IF(COUNTIFS('Leave log'!$A$7:$A$306,Employees!$A$8,'Leave log'!$B$7:$B$306,"&lt;="&amp;DATE($B$3,4,17),'Leave log'!$C$7:$C$306,"&gt;="&amp;DATE($B$3,4,17),'Leave log'!$F$7:$F$306,"Pending")&gt;0,"P",""))))</f>
        <v/>
      </c>
      <c r="S111" s="23" t="str">
        <f>IF(A111="","",IF(IF(OR(DATE($B$3,4,18)&gt;EOMONTH(DATE($B$3,4,1),0),NETWORKDAYS.INTL(DATE($B$3,4,18),DATE($B$3,4,18),1,'Non-working days'!$A$6:$A$45)=0),"",IF(COUNTIFS('Leave log'!$A$7:$A$306,Employees!$A$8,'Leave log'!$B$7:$B$306,"&lt;="&amp;DATE($B$3,4,18),'Leave log'!$C$7:$C$306,"&gt;="&amp;DATE($B$3,4,18),'Leave log'!$F$7:$F$306,"Approved")&gt;0,"A",""))="A","A",IF(OR(DATE($B$3,4,18)&gt;EOMONTH(DATE($B$3,4,1),0),NETWORKDAYS.INTL(DATE($B$3,4,18),DATE($B$3,4,18),1,'Non-working days'!$A$6:$A$45)=0),"",IF(COUNTIFS('Leave log'!$A$7:$A$306,Employees!$A$8,'Leave log'!$B$7:$B$306,"&lt;="&amp;DATE($B$3,4,18),'Leave log'!$C$7:$C$306,"&gt;="&amp;DATE($B$3,4,18),'Leave log'!$F$7:$F$306,"Pending")&gt;0,"P",""))))</f>
        <v/>
      </c>
      <c r="T111" s="23" t="str">
        <f>IF(A111="","",IF(IF(OR(DATE($B$3,4,19)&gt;EOMONTH(DATE($B$3,4,1),0),NETWORKDAYS.INTL(DATE($B$3,4,19),DATE($B$3,4,19),1,'Non-working days'!$A$6:$A$45)=0),"",IF(COUNTIFS('Leave log'!$A$7:$A$306,Employees!$A$8,'Leave log'!$B$7:$B$306,"&lt;="&amp;DATE($B$3,4,19),'Leave log'!$C$7:$C$306,"&gt;="&amp;DATE($B$3,4,19),'Leave log'!$F$7:$F$306,"Approved")&gt;0,"A",""))="A","A",IF(OR(DATE($B$3,4,19)&gt;EOMONTH(DATE($B$3,4,1),0),NETWORKDAYS.INTL(DATE($B$3,4,19),DATE($B$3,4,19),1,'Non-working days'!$A$6:$A$45)=0),"",IF(COUNTIFS('Leave log'!$A$7:$A$306,Employees!$A$8,'Leave log'!$B$7:$B$306,"&lt;="&amp;DATE($B$3,4,19),'Leave log'!$C$7:$C$306,"&gt;="&amp;DATE($B$3,4,19),'Leave log'!$F$7:$F$306,"Pending")&gt;0,"P",""))))</f>
        <v/>
      </c>
      <c r="U111" s="23" t="str">
        <f>IF(A111="","",IF(IF(OR(DATE($B$3,4,20)&gt;EOMONTH(DATE($B$3,4,1),0),NETWORKDAYS.INTL(DATE($B$3,4,20),DATE($B$3,4,20),1,'Non-working days'!$A$6:$A$45)=0),"",IF(COUNTIFS('Leave log'!$A$7:$A$306,Employees!$A$8,'Leave log'!$B$7:$B$306,"&lt;="&amp;DATE($B$3,4,20),'Leave log'!$C$7:$C$306,"&gt;="&amp;DATE($B$3,4,20),'Leave log'!$F$7:$F$306,"Approved")&gt;0,"A",""))="A","A",IF(OR(DATE($B$3,4,20)&gt;EOMONTH(DATE($B$3,4,1),0),NETWORKDAYS.INTL(DATE($B$3,4,20),DATE($B$3,4,20),1,'Non-working days'!$A$6:$A$45)=0),"",IF(COUNTIFS('Leave log'!$A$7:$A$306,Employees!$A$8,'Leave log'!$B$7:$B$306,"&lt;="&amp;DATE($B$3,4,20),'Leave log'!$C$7:$C$306,"&gt;="&amp;DATE($B$3,4,20),'Leave log'!$F$7:$F$306,"Pending")&gt;0,"P",""))))</f>
        <v/>
      </c>
      <c r="V111" s="23" t="str">
        <f>IF(A111="","",IF(IF(OR(DATE($B$3,4,21)&gt;EOMONTH(DATE($B$3,4,1),0),NETWORKDAYS.INTL(DATE($B$3,4,21),DATE($B$3,4,21),1,'Non-working days'!$A$6:$A$45)=0),"",IF(COUNTIFS('Leave log'!$A$7:$A$306,Employees!$A$8,'Leave log'!$B$7:$B$306,"&lt;="&amp;DATE($B$3,4,21),'Leave log'!$C$7:$C$306,"&gt;="&amp;DATE($B$3,4,21),'Leave log'!$F$7:$F$306,"Approved")&gt;0,"A",""))="A","A",IF(OR(DATE($B$3,4,21)&gt;EOMONTH(DATE($B$3,4,1),0),NETWORKDAYS.INTL(DATE($B$3,4,21),DATE($B$3,4,21),1,'Non-working days'!$A$6:$A$45)=0),"",IF(COUNTIFS('Leave log'!$A$7:$A$306,Employees!$A$8,'Leave log'!$B$7:$B$306,"&lt;="&amp;DATE($B$3,4,21),'Leave log'!$C$7:$C$306,"&gt;="&amp;DATE($B$3,4,21),'Leave log'!$F$7:$F$306,"Pending")&gt;0,"P",""))))</f>
        <v/>
      </c>
      <c r="W111" s="23" t="str">
        <f>IF(A111="","",IF(IF(OR(DATE($B$3,4,22)&gt;EOMONTH(DATE($B$3,4,1),0),NETWORKDAYS.INTL(DATE($B$3,4,22),DATE($B$3,4,22),1,'Non-working days'!$A$6:$A$45)=0),"",IF(COUNTIFS('Leave log'!$A$7:$A$306,Employees!$A$8,'Leave log'!$B$7:$B$306,"&lt;="&amp;DATE($B$3,4,22),'Leave log'!$C$7:$C$306,"&gt;="&amp;DATE($B$3,4,22),'Leave log'!$F$7:$F$306,"Approved")&gt;0,"A",""))="A","A",IF(OR(DATE($B$3,4,22)&gt;EOMONTH(DATE($B$3,4,1),0),NETWORKDAYS.INTL(DATE($B$3,4,22),DATE($B$3,4,22),1,'Non-working days'!$A$6:$A$45)=0),"",IF(COUNTIFS('Leave log'!$A$7:$A$306,Employees!$A$8,'Leave log'!$B$7:$B$306,"&lt;="&amp;DATE($B$3,4,22),'Leave log'!$C$7:$C$306,"&gt;="&amp;DATE($B$3,4,22),'Leave log'!$F$7:$F$306,"Pending")&gt;0,"P",""))))</f>
        <v/>
      </c>
      <c r="X111" s="23" t="str">
        <f>IF(A111="","",IF(IF(OR(DATE($B$3,4,23)&gt;EOMONTH(DATE($B$3,4,1),0),NETWORKDAYS.INTL(DATE($B$3,4,23),DATE($B$3,4,23),1,'Non-working days'!$A$6:$A$45)=0),"",IF(COUNTIFS('Leave log'!$A$7:$A$306,Employees!$A$8,'Leave log'!$B$7:$B$306,"&lt;="&amp;DATE($B$3,4,23),'Leave log'!$C$7:$C$306,"&gt;="&amp;DATE($B$3,4,23),'Leave log'!$F$7:$F$306,"Approved")&gt;0,"A",""))="A","A",IF(OR(DATE($B$3,4,23)&gt;EOMONTH(DATE($B$3,4,1),0),NETWORKDAYS.INTL(DATE($B$3,4,23),DATE($B$3,4,23),1,'Non-working days'!$A$6:$A$45)=0),"",IF(COUNTIFS('Leave log'!$A$7:$A$306,Employees!$A$8,'Leave log'!$B$7:$B$306,"&lt;="&amp;DATE($B$3,4,23),'Leave log'!$C$7:$C$306,"&gt;="&amp;DATE($B$3,4,23),'Leave log'!$F$7:$F$306,"Pending")&gt;0,"P",""))))</f>
        <v/>
      </c>
      <c r="Y111" s="23" t="str">
        <f>IF(A111="","",IF(IF(OR(DATE($B$3,4,24)&gt;EOMONTH(DATE($B$3,4,1),0),NETWORKDAYS.INTL(DATE($B$3,4,24),DATE($B$3,4,24),1,'Non-working days'!$A$6:$A$45)=0),"",IF(COUNTIFS('Leave log'!$A$7:$A$306,Employees!$A$8,'Leave log'!$B$7:$B$306,"&lt;="&amp;DATE($B$3,4,24),'Leave log'!$C$7:$C$306,"&gt;="&amp;DATE($B$3,4,24),'Leave log'!$F$7:$F$306,"Approved")&gt;0,"A",""))="A","A",IF(OR(DATE($B$3,4,24)&gt;EOMONTH(DATE($B$3,4,1),0),NETWORKDAYS.INTL(DATE($B$3,4,24),DATE($B$3,4,24),1,'Non-working days'!$A$6:$A$45)=0),"",IF(COUNTIFS('Leave log'!$A$7:$A$306,Employees!$A$8,'Leave log'!$B$7:$B$306,"&lt;="&amp;DATE($B$3,4,24),'Leave log'!$C$7:$C$306,"&gt;="&amp;DATE($B$3,4,24),'Leave log'!$F$7:$F$306,"Pending")&gt;0,"P",""))))</f>
        <v/>
      </c>
      <c r="Z111" s="23" t="str">
        <f>IF(A111="","",IF(IF(OR(DATE($B$3,4,25)&gt;EOMONTH(DATE($B$3,4,1),0),NETWORKDAYS.INTL(DATE($B$3,4,25),DATE($B$3,4,25),1,'Non-working days'!$A$6:$A$45)=0),"",IF(COUNTIFS('Leave log'!$A$7:$A$306,Employees!$A$8,'Leave log'!$B$7:$B$306,"&lt;="&amp;DATE($B$3,4,25),'Leave log'!$C$7:$C$306,"&gt;="&amp;DATE($B$3,4,25),'Leave log'!$F$7:$F$306,"Approved")&gt;0,"A",""))="A","A",IF(OR(DATE($B$3,4,25)&gt;EOMONTH(DATE($B$3,4,1),0),NETWORKDAYS.INTL(DATE($B$3,4,25),DATE($B$3,4,25),1,'Non-working days'!$A$6:$A$45)=0),"",IF(COUNTIFS('Leave log'!$A$7:$A$306,Employees!$A$8,'Leave log'!$B$7:$B$306,"&lt;="&amp;DATE($B$3,4,25),'Leave log'!$C$7:$C$306,"&gt;="&amp;DATE($B$3,4,25),'Leave log'!$F$7:$F$306,"Pending")&gt;0,"P",""))))</f>
        <v/>
      </c>
      <c r="AA111" s="23" t="str">
        <f>IF(A111="","",IF(IF(OR(DATE($B$3,4,26)&gt;EOMONTH(DATE($B$3,4,1),0),NETWORKDAYS.INTL(DATE($B$3,4,26),DATE($B$3,4,26),1,'Non-working days'!$A$6:$A$45)=0),"",IF(COUNTIFS('Leave log'!$A$7:$A$306,Employees!$A$8,'Leave log'!$B$7:$B$306,"&lt;="&amp;DATE($B$3,4,26),'Leave log'!$C$7:$C$306,"&gt;="&amp;DATE($B$3,4,26),'Leave log'!$F$7:$F$306,"Approved")&gt;0,"A",""))="A","A",IF(OR(DATE($B$3,4,26)&gt;EOMONTH(DATE($B$3,4,1),0),NETWORKDAYS.INTL(DATE($B$3,4,26),DATE($B$3,4,26),1,'Non-working days'!$A$6:$A$45)=0),"",IF(COUNTIFS('Leave log'!$A$7:$A$306,Employees!$A$8,'Leave log'!$B$7:$B$306,"&lt;="&amp;DATE($B$3,4,26),'Leave log'!$C$7:$C$306,"&gt;="&amp;DATE($B$3,4,26),'Leave log'!$F$7:$F$306,"Pending")&gt;0,"P",""))))</f>
        <v/>
      </c>
      <c r="AB111" s="23" t="str">
        <f>IF(A111="","",IF(IF(OR(DATE($B$3,4,27)&gt;EOMONTH(DATE($B$3,4,1),0),NETWORKDAYS.INTL(DATE($B$3,4,27),DATE($B$3,4,27),1,'Non-working days'!$A$6:$A$45)=0),"",IF(COUNTIFS('Leave log'!$A$7:$A$306,Employees!$A$8,'Leave log'!$B$7:$B$306,"&lt;="&amp;DATE($B$3,4,27),'Leave log'!$C$7:$C$306,"&gt;="&amp;DATE($B$3,4,27),'Leave log'!$F$7:$F$306,"Approved")&gt;0,"A",""))="A","A",IF(OR(DATE($B$3,4,27)&gt;EOMONTH(DATE($B$3,4,1),0),NETWORKDAYS.INTL(DATE($B$3,4,27),DATE($B$3,4,27),1,'Non-working days'!$A$6:$A$45)=0),"",IF(COUNTIFS('Leave log'!$A$7:$A$306,Employees!$A$8,'Leave log'!$B$7:$B$306,"&lt;="&amp;DATE($B$3,4,27),'Leave log'!$C$7:$C$306,"&gt;="&amp;DATE($B$3,4,27),'Leave log'!$F$7:$F$306,"Pending")&gt;0,"P",""))))</f>
        <v/>
      </c>
      <c r="AC111" s="23" t="str">
        <f>IF(A111="","",IF(IF(OR(DATE($B$3,4,28)&gt;EOMONTH(DATE($B$3,4,1),0),NETWORKDAYS.INTL(DATE($B$3,4,28),DATE($B$3,4,28),1,'Non-working days'!$A$6:$A$45)=0),"",IF(COUNTIFS('Leave log'!$A$7:$A$306,Employees!$A$8,'Leave log'!$B$7:$B$306,"&lt;="&amp;DATE($B$3,4,28),'Leave log'!$C$7:$C$306,"&gt;="&amp;DATE($B$3,4,28),'Leave log'!$F$7:$F$306,"Approved")&gt;0,"A",""))="A","A",IF(OR(DATE($B$3,4,28)&gt;EOMONTH(DATE($B$3,4,1),0),NETWORKDAYS.INTL(DATE($B$3,4,28),DATE($B$3,4,28),1,'Non-working days'!$A$6:$A$45)=0),"",IF(COUNTIFS('Leave log'!$A$7:$A$306,Employees!$A$8,'Leave log'!$B$7:$B$306,"&lt;="&amp;DATE($B$3,4,28),'Leave log'!$C$7:$C$306,"&gt;="&amp;DATE($B$3,4,28),'Leave log'!$F$7:$F$306,"Pending")&gt;0,"P",""))))</f>
        <v/>
      </c>
      <c r="AD111" s="23" t="str">
        <f>IF(A111="","",IF(IF(OR(DATE($B$3,4,29)&gt;EOMONTH(DATE($B$3,4,1),0),NETWORKDAYS.INTL(DATE($B$3,4,29),DATE($B$3,4,29),1,'Non-working days'!$A$6:$A$45)=0),"",IF(COUNTIFS('Leave log'!$A$7:$A$306,Employees!$A$8,'Leave log'!$B$7:$B$306,"&lt;="&amp;DATE($B$3,4,29),'Leave log'!$C$7:$C$306,"&gt;="&amp;DATE($B$3,4,29),'Leave log'!$F$7:$F$306,"Approved")&gt;0,"A",""))="A","A",IF(OR(DATE($B$3,4,29)&gt;EOMONTH(DATE($B$3,4,1),0),NETWORKDAYS.INTL(DATE($B$3,4,29),DATE($B$3,4,29),1,'Non-working days'!$A$6:$A$45)=0),"",IF(COUNTIFS('Leave log'!$A$7:$A$306,Employees!$A$8,'Leave log'!$B$7:$B$306,"&lt;="&amp;DATE($B$3,4,29),'Leave log'!$C$7:$C$306,"&gt;="&amp;DATE($B$3,4,29),'Leave log'!$F$7:$F$306,"Pending")&gt;0,"P",""))))</f>
        <v/>
      </c>
      <c r="AE111" s="23" t="str">
        <f>IF(A111="","",IF(IF(OR(DATE($B$3,4,30)&gt;EOMONTH(DATE($B$3,4,1),0),NETWORKDAYS.INTL(DATE($B$3,4,30),DATE($B$3,4,30),1,'Non-working days'!$A$6:$A$45)=0),"",IF(COUNTIFS('Leave log'!$A$7:$A$306,Employees!$A$8,'Leave log'!$B$7:$B$306,"&lt;="&amp;DATE($B$3,4,30),'Leave log'!$C$7:$C$306,"&gt;="&amp;DATE($B$3,4,30),'Leave log'!$F$7:$F$306,"Approved")&gt;0,"A",""))="A","A",IF(OR(DATE($B$3,4,30)&gt;EOMONTH(DATE($B$3,4,1),0),NETWORKDAYS.INTL(DATE($B$3,4,30),DATE($B$3,4,30),1,'Non-working days'!$A$6:$A$45)=0),"",IF(COUNTIFS('Leave log'!$A$7:$A$306,Employees!$A$8,'Leave log'!$B$7:$B$306,"&lt;="&amp;DATE($B$3,4,30),'Leave log'!$C$7:$C$306,"&gt;="&amp;DATE($B$3,4,30),'Leave log'!$F$7:$F$306,"Pending")&gt;0,"P",""))))</f>
        <v/>
      </c>
      <c r="AF111" s="23" t="str">
        <f>IF(A111="","",IF(IF(OR(DATE($B$3,4,31)&gt;EOMONTH(DATE($B$3,4,1),0),NETWORKDAYS.INTL(DATE($B$3,4,31),DATE($B$3,4,31),1,'Non-working days'!$A$6:$A$45)=0),"",IF(COUNTIFS('Leave log'!$A$7:$A$306,Employees!$A$8,'Leave log'!$B$7:$B$306,"&lt;="&amp;DATE($B$3,4,31),'Leave log'!$C$7:$C$306,"&gt;="&amp;DATE($B$3,4,31),'Leave log'!$F$7:$F$306,"Approved")&gt;0,"A",""))="A","A",IF(OR(DATE($B$3,4,31)&gt;EOMONTH(DATE($B$3,4,1),0),NETWORKDAYS.INTL(DATE($B$3,4,31),DATE($B$3,4,31),1,'Non-working days'!$A$6:$A$45)=0),"",IF(COUNTIFS('Leave log'!$A$7:$A$306,Employees!$A$8,'Leave log'!$B$7:$B$306,"&lt;="&amp;DATE($B$3,4,31),'Leave log'!$C$7:$C$306,"&gt;="&amp;DATE($B$3,4,31),'Leave log'!$F$7:$F$306,"Pending")&gt;0,"P",""))))</f>
        <v/>
      </c>
    </row>
    <row r="112" spans="1:32" ht="18" customHeight="1" x14ac:dyDescent="0.3">
      <c r="A112" s="22" t="str">
        <f>IF(Employees!F9="Yes",Employees!B9,"")</f>
        <v/>
      </c>
      <c r="B112" s="23" t="str">
        <f>IF(A112="","",IF(IF(OR(DATE($B$3,4,1)&gt;EOMONTH(DATE($B$3,4,1),0),NETWORKDAYS.INTL(DATE($B$3,4,1),DATE($B$3,4,1),1,'Non-working days'!$A$6:$A$45)=0),"",IF(COUNTIFS('Leave log'!$A$7:$A$306,Employees!$A$9,'Leave log'!$B$7:$B$306,"&lt;="&amp;DATE($B$3,4,1),'Leave log'!$C$7:$C$306,"&gt;="&amp;DATE($B$3,4,1),'Leave log'!$F$7:$F$306,"Approved")&gt;0,"A",""))="A","A",IF(OR(DATE($B$3,4,1)&gt;EOMONTH(DATE($B$3,4,1),0),NETWORKDAYS.INTL(DATE($B$3,4,1),DATE($B$3,4,1),1,'Non-working days'!$A$6:$A$45)=0),"",IF(COUNTIFS('Leave log'!$A$7:$A$306,Employees!$A$9,'Leave log'!$B$7:$B$306,"&lt;="&amp;DATE($B$3,4,1),'Leave log'!$C$7:$C$306,"&gt;="&amp;DATE($B$3,4,1),'Leave log'!$F$7:$F$306,"Pending")&gt;0,"P",""))))</f>
        <v/>
      </c>
      <c r="C112" s="23" t="str">
        <f>IF(A112="","",IF(IF(OR(DATE($B$3,4,2)&gt;EOMONTH(DATE($B$3,4,1),0),NETWORKDAYS.INTL(DATE($B$3,4,2),DATE($B$3,4,2),1,'Non-working days'!$A$6:$A$45)=0),"",IF(COUNTIFS('Leave log'!$A$7:$A$306,Employees!$A$9,'Leave log'!$B$7:$B$306,"&lt;="&amp;DATE($B$3,4,2),'Leave log'!$C$7:$C$306,"&gt;="&amp;DATE($B$3,4,2),'Leave log'!$F$7:$F$306,"Approved")&gt;0,"A",""))="A","A",IF(OR(DATE($B$3,4,2)&gt;EOMONTH(DATE($B$3,4,1),0),NETWORKDAYS.INTL(DATE($B$3,4,2),DATE($B$3,4,2),1,'Non-working days'!$A$6:$A$45)=0),"",IF(COUNTIFS('Leave log'!$A$7:$A$306,Employees!$A$9,'Leave log'!$B$7:$B$306,"&lt;="&amp;DATE($B$3,4,2),'Leave log'!$C$7:$C$306,"&gt;="&amp;DATE($B$3,4,2),'Leave log'!$F$7:$F$306,"Pending")&gt;0,"P",""))))</f>
        <v/>
      </c>
      <c r="D112" s="23" t="str">
        <f>IF(A112="","",IF(IF(OR(DATE($B$3,4,3)&gt;EOMONTH(DATE($B$3,4,1),0),NETWORKDAYS.INTL(DATE($B$3,4,3),DATE($B$3,4,3),1,'Non-working days'!$A$6:$A$45)=0),"",IF(COUNTIFS('Leave log'!$A$7:$A$306,Employees!$A$9,'Leave log'!$B$7:$B$306,"&lt;="&amp;DATE($B$3,4,3),'Leave log'!$C$7:$C$306,"&gt;="&amp;DATE($B$3,4,3),'Leave log'!$F$7:$F$306,"Approved")&gt;0,"A",""))="A","A",IF(OR(DATE($B$3,4,3)&gt;EOMONTH(DATE($B$3,4,1),0),NETWORKDAYS.INTL(DATE($B$3,4,3),DATE($B$3,4,3),1,'Non-working days'!$A$6:$A$45)=0),"",IF(COUNTIFS('Leave log'!$A$7:$A$306,Employees!$A$9,'Leave log'!$B$7:$B$306,"&lt;="&amp;DATE($B$3,4,3),'Leave log'!$C$7:$C$306,"&gt;="&amp;DATE($B$3,4,3),'Leave log'!$F$7:$F$306,"Pending")&gt;0,"P",""))))</f>
        <v/>
      </c>
      <c r="E112" s="23" t="str">
        <f>IF(A112="","",IF(IF(OR(DATE($B$3,4,4)&gt;EOMONTH(DATE($B$3,4,1),0),NETWORKDAYS.INTL(DATE($B$3,4,4),DATE($B$3,4,4),1,'Non-working days'!$A$6:$A$45)=0),"",IF(COUNTIFS('Leave log'!$A$7:$A$306,Employees!$A$9,'Leave log'!$B$7:$B$306,"&lt;="&amp;DATE($B$3,4,4),'Leave log'!$C$7:$C$306,"&gt;="&amp;DATE($B$3,4,4),'Leave log'!$F$7:$F$306,"Approved")&gt;0,"A",""))="A","A",IF(OR(DATE($B$3,4,4)&gt;EOMONTH(DATE($B$3,4,1),0),NETWORKDAYS.INTL(DATE($B$3,4,4),DATE($B$3,4,4),1,'Non-working days'!$A$6:$A$45)=0),"",IF(COUNTIFS('Leave log'!$A$7:$A$306,Employees!$A$9,'Leave log'!$B$7:$B$306,"&lt;="&amp;DATE($B$3,4,4),'Leave log'!$C$7:$C$306,"&gt;="&amp;DATE($B$3,4,4),'Leave log'!$F$7:$F$306,"Pending")&gt;0,"P",""))))</f>
        <v/>
      </c>
      <c r="F112" s="23" t="str">
        <f>IF(A112="","",IF(IF(OR(DATE($B$3,4,5)&gt;EOMONTH(DATE($B$3,4,1),0),NETWORKDAYS.INTL(DATE($B$3,4,5),DATE($B$3,4,5),1,'Non-working days'!$A$6:$A$45)=0),"",IF(COUNTIFS('Leave log'!$A$7:$A$306,Employees!$A$9,'Leave log'!$B$7:$B$306,"&lt;="&amp;DATE($B$3,4,5),'Leave log'!$C$7:$C$306,"&gt;="&amp;DATE($B$3,4,5),'Leave log'!$F$7:$F$306,"Approved")&gt;0,"A",""))="A","A",IF(OR(DATE($B$3,4,5)&gt;EOMONTH(DATE($B$3,4,1),0),NETWORKDAYS.INTL(DATE($B$3,4,5),DATE($B$3,4,5),1,'Non-working days'!$A$6:$A$45)=0),"",IF(COUNTIFS('Leave log'!$A$7:$A$306,Employees!$A$9,'Leave log'!$B$7:$B$306,"&lt;="&amp;DATE($B$3,4,5),'Leave log'!$C$7:$C$306,"&gt;="&amp;DATE($B$3,4,5),'Leave log'!$F$7:$F$306,"Pending")&gt;0,"P",""))))</f>
        <v/>
      </c>
      <c r="G112" s="23" t="str">
        <f>IF(A112="","",IF(IF(OR(DATE($B$3,4,6)&gt;EOMONTH(DATE($B$3,4,1),0),NETWORKDAYS.INTL(DATE($B$3,4,6),DATE($B$3,4,6),1,'Non-working days'!$A$6:$A$45)=0),"",IF(COUNTIFS('Leave log'!$A$7:$A$306,Employees!$A$9,'Leave log'!$B$7:$B$306,"&lt;="&amp;DATE($B$3,4,6),'Leave log'!$C$7:$C$306,"&gt;="&amp;DATE($B$3,4,6),'Leave log'!$F$7:$F$306,"Approved")&gt;0,"A",""))="A","A",IF(OR(DATE($B$3,4,6)&gt;EOMONTH(DATE($B$3,4,1),0),NETWORKDAYS.INTL(DATE($B$3,4,6),DATE($B$3,4,6),1,'Non-working days'!$A$6:$A$45)=0),"",IF(COUNTIFS('Leave log'!$A$7:$A$306,Employees!$A$9,'Leave log'!$B$7:$B$306,"&lt;="&amp;DATE($B$3,4,6),'Leave log'!$C$7:$C$306,"&gt;="&amp;DATE($B$3,4,6),'Leave log'!$F$7:$F$306,"Pending")&gt;0,"P",""))))</f>
        <v/>
      </c>
      <c r="H112" s="23" t="str">
        <f>IF(A112="","",IF(IF(OR(DATE($B$3,4,7)&gt;EOMONTH(DATE($B$3,4,1),0),NETWORKDAYS.INTL(DATE($B$3,4,7),DATE($B$3,4,7),1,'Non-working days'!$A$6:$A$45)=0),"",IF(COUNTIFS('Leave log'!$A$7:$A$306,Employees!$A$9,'Leave log'!$B$7:$B$306,"&lt;="&amp;DATE($B$3,4,7),'Leave log'!$C$7:$C$306,"&gt;="&amp;DATE($B$3,4,7),'Leave log'!$F$7:$F$306,"Approved")&gt;0,"A",""))="A","A",IF(OR(DATE($B$3,4,7)&gt;EOMONTH(DATE($B$3,4,1),0),NETWORKDAYS.INTL(DATE($B$3,4,7),DATE($B$3,4,7),1,'Non-working days'!$A$6:$A$45)=0),"",IF(COUNTIFS('Leave log'!$A$7:$A$306,Employees!$A$9,'Leave log'!$B$7:$B$306,"&lt;="&amp;DATE($B$3,4,7),'Leave log'!$C$7:$C$306,"&gt;="&amp;DATE($B$3,4,7),'Leave log'!$F$7:$F$306,"Pending")&gt;0,"P",""))))</f>
        <v/>
      </c>
      <c r="I112" s="23" t="str">
        <f>IF(A112="","",IF(IF(OR(DATE($B$3,4,8)&gt;EOMONTH(DATE($B$3,4,1),0),NETWORKDAYS.INTL(DATE($B$3,4,8),DATE($B$3,4,8),1,'Non-working days'!$A$6:$A$45)=0),"",IF(COUNTIFS('Leave log'!$A$7:$A$306,Employees!$A$9,'Leave log'!$B$7:$B$306,"&lt;="&amp;DATE($B$3,4,8),'Leave log'!$C$7:$C$306,"&gt;="&amp;DATE($B$3,4,8),'Leave log'!$F$7:$F$306,"Approved")&gt;0,"A",""))="A","A",IF(OR(DATE($B$3,4,8)&gt;EOMONTH(DATE($B$3,4,1),0),NETWORKDAYS.INTL(DATE($B$3,4,8),DATE($B$3,4,8),1,'Non-working days'!$A$6:$A$45)=0),"",IF(COUNTIFS('Leave log'!$A$7:$A$306,Employees!$A$9,'Leave log'!$B$7:$B$306,"&lt;="&amp;DATE($B$3,4,8),'Leave log'!$C$7:$C$306,"&gt;="&amp;DATE($B$3,4,8),'Leave log'!$F$7:$F$306,"Pending")&gt;0,"P",""))))</f>
        <v/>
      </c>
      <c r="J112" s="23" t="str">
        <f>IF(A112="","",IF(IF(OR(DATE($B$3,4,9)&gt;EOMONTH(DATE($B$3,4,1),0),NETWORKDAYS.INTL(DATE($B$3,4,9),DATE($B$3,4,9),1,'Non-working days'!$A$6:$A$45)=0),"",IF(COUNTIFS('Leave log'!$A$7:$A$306,Employees!$A$9,'Leave log'!$B$7:$B$306,"&lt;="&amp;DATE($B$3,4,9),'Leave log'!$C$7:$C$306,"&gt;="&amp;DATE($B$3,4,9),'Leave log'!$F$7:$F$306,"Approved")&gt;0,"A",""))="A","A",IF(OR(DATE($B$3,4,9)&gt;EOMONTH(DATE($B$3,4,1),0),NETWORKDAYS.INTL(DATE($B$3,4,9),DATE($B$3,4,9),1,'Non-working days'!$A$6:$A$45)=0),"",IF(COUNTIFS('Leave log'!$A$7:$A$306,Employees!$A$9,'Leave log'!$B$7:$B$306,"&lt;="&amp;DATE($B$3,4,9),'Leave log'!$C$7:$C$306,"&gt;="&amp;DATE($B$3,4,9),'Leave log'!$F$7:$F$306,"Pending")&gt;0,"P",""))))</f>
        <v/>
      </c>
      <c r="K112" s="23" t="str">
        <f>IF(A112="","",IF(IF(OR(DATE($B$3,4,10)&gt;EOMONTH(DATE($B$3,4,1),0),NETWORKDAYS.INTL(DATE($B$3,4,10),DATE($B$3,4,10),1,'Non-working days'!$A$6:$A$45)=0),"",IF(COUNTIFS('Leave log'!$A$7:$A$306,Employees!$A$9,'Leave log'!$B$7:$B$306,"&lt;="&amp;DATE($B$3,4,10),'Leave log'!$C$7:$C$306,"&gt;="&amp;DATE($B$3,4,10),'Leave log'!$F$7:$F$306,"Approved")&gt;0,"A",""))="A","A",IF(OR(DATE($B$3,4,10)&gt;EOMONTH(DATE($B$3,4,1),0),NETWORKDAYS.INTL(DATE($B$3,4,10),DATE($B$3,4,10),1,'Non-working days'!$A$6:$A$45)=0),"",IF(COUNTIFS('Leave log'!$A$7:$A$306,Employees!$A$9,'Leave log'!$B$7:$B$306,"&lt;="&amp;DATE($B$3,4,10),'Leave log'!$C$7:$C$306,"&gt;="&amp;DATE($B$3,4,10),'Leave log'!$F$7:$F$306,"Pending")&gt;0,"P",""))))</f>
        <v/>
      </c>
      <c r="L112" s="23" t="str">
        <f>IF(A112="","",IF(IF(OR(DATE($B$3,4,11)&gt;EOMONTH(DATE($B$3,4,1),0),NETWORKDAYS.INTL(DATE($B$3,4,11),DATE($B$3,4,11),1,'Non-working days'!$A$6:$A$45)=0),"",IF(COUNTIFS('Leave log'!$A$7:$A$306,Employees!$A$9,'Leave log'!$B$7:$B$306,"&lt;="&amp;DATE($B$3,4,11),'Leave log'!$C$7:$C$306,"&gt;="&amp;DATE($B$3,4,11),'Leave log'!$F$7:$F$306,"Approved")&gt;0,"A",""))="A","A",IF(OR(DATE($B$3,4,11)&gt;EOMONTH(DATE($B$3,4,1),0),NETWORKDAYS.INTL(DATE($B$3,4,11),DATE($B$3,4,11),1,'Non-working days'!$A$6:$A$45)=0),"",IF(COUNTIFS('Leave log'!$A$7:$A$306,Employees!$A$9,'Leave log'!$B$7:$B$306,"&lt;="&amp;DATE($B$3,4,11),'Leave log'!$C$7:$C$306,"&gt;="&amp;DATE($B$3,4,11),'Leave log'!$F$7:$F$306,"Pending")&gt;0,"P",""))))</f>
        <v/>
      </c>
      <c r="M112" s="23" t="str">
        <f>IF(A112="","",IF(IF(OR(DATE($B$3,4,12)&gt;EOMONTH(DATE($B$3,4,1),0),NETWORKDAYS.INTL(DATE($B$3,4,12),DATE($B$3,4,12),1,'Non-working days'!$A$6:$A$45)=0),"",IF(COUNTIFS('Leave log'!$A$7:$A$306,Employees!$A$9,'Leave log'!$B$7:$B$306,"&lt;="&amp;DATE($B$3,4,12),'Leave log'!$C$7:$C$306,"&gt;="&amp;DATE($B$3,4,12),'Leave log'!$F$7:$F$306,"Approved")&gt;0,"A",""))="A","A",IF(OR(DATE($B$3,4,12)&gt;EOMONTH(DATE($B$3,4,1),0),NETWORKDAYS.INTL(DATE($B$3,4,12),DATE($B$3,4,12),1,'Non-working days'!$A$6:$A$45)=0),"",IF(COUNTIFS('Leave log'!$A$7:$A$306,Employees!$A$9,'Leave log'!$B$7:$B$306,"&lt;="&amp;DATE($B$3,4,12),'Leave log'!$C$7:$C$306,"&gt;="&amp;DATE($B$3,4,12),'Leave log'!$F$7:$F$306,"Pending")&gt;0,"P",""))))</f>
        <v/>
      </c>
      <c r="N112" s="23" t="str">
        <f>IF(A112="","",IF(IF(OR(DATE($B$3,4,13)&gt;EOMONTH(DATE($B$3,4,1),0),NETWORKDAYS.INTL(DATE($B$3,4,13),DATE($B$3,4,13),1,'Non-working days'!$A$6:$A$45)=0),"",IF(COUNTIFS('Leave log'!$A$7:$A$306,Employees!$A$9,'Leave log'!$B$7:$B$306,"&lt;="&amp;DATE($B$3,4,13),'Leave log'!$C$7:$C$306,"&gt;="&amp;DATE($B$3,4,13),'Leave log'!$F$7:$F$306,"Approved")&gt;0,"A",""))="A","A",IF(OR(DATE($B$3,4,13)&gt;EOMONTH(DATE($B$3,4,1),0),NETWORKDAYS.INTL(DATE($B$3,4,13),DATE($B$3,4,13),1,'Non-working days'!$A$6:$A$45)=0),"",IF(COUNTIFS('Leave log'!$A$7:$A$306,Employees!$A$9,'Leave log'!$B$7:$B$306,"&lt;="&amp;DATE($B$3,4,13),'Leave log'!$C$7:$C$306,"&gt;="&amp;DATE($B$3,4,13),'Leave log'!$F$7:$F$306,"Pending")&gt;0,"P",""))))</f>
        <v/>
      </c>
      <c r="O112" s="23" t="str">
        <f>IF(A112="","",IF(IF(OR(DATE($B$3,4,14)&gt;EOMONTH(DATE($B$3,4,1),0),NETWORKDAYS.INTL(DATE($B$3,4,14),DATE($B$3,4,14),1,'Non-working days'!$A$6:$A$45)=0),"",IF(COUNTIFS('Leave log'!$A$7:$A$306,Employees!$A$9,'Leave log'!$B$7:$B$306,"&lt;="&amp;DATE($B$3,4,14),'Leave log'!$C$7:$C$306,"&gt;="&amp;DATE($B$3,4,14),'Leave log'!$F$7:$F$306,"Approved")&gt;0,"A",""))="A","A",IF(OR(DATE($B$3,4,14)&gt;EOMONTH(DATE($B$3,4,1),0),NETWORKDAYS.INTL(DATE($B$3,4,14),DATE($B$3,4,14),1,'Non-working days'!$A$6:$A$45)=0),"",IF(COUNTIFS('Leave log'!$A$7:$A$306,Employees!$A$9,'Leave log'!$B$7:$B$306,"&lt;="&amp;DATE($B$3,4,14),'Leave log'!$C$7:$C$306,"&gt;="&amp;DATE($B$3,4,14),'Leave log'!$F$7:$F$306,"Pending")&gt;0,"P",""))))</f>
        <v/>
      </c>
      <c r="P112" s="23" t="str">
        <f>IF(A112="","",IF(IF(OR(DATE($B$3,4,15)&gt;EOMONTH(DATE($B$3,4,1),0),NETWORKDAYS.INTL(DATE($B$3,4,15),DATE($B$3,4,15),1,'Non-working days'!$A$6:$A$45)=0),"",IF(COUNTIFS('Leave log'!$A$7:$A$306,Employees!$A$9,'Leave log'!$B$7:$B$306,"&lt;="&amp;DATE($B$3,4,15),'Leave log'!$C$7:$C$306,"&gt;="&amp;DATE($B$3,4,15),'Leave log'!$F$7:$F$306,"Approved")&gt;0,"A",""))="A","A",IF(OR(DATE($B$3,4,15)&gt;EOMONTH(DATE($B$3,4,1),0),NETWORKDAYS.INTL(DATE($B$3,4,15),DATE($B$3,4,15),1,'Non-working days'!$A$6:$A$45)=0),"",IF(COUNTIFS('Leave log'!$A$7:$A$306,Employees!$A$9,'Leave log'!$B$7:$B$306,"&lt;="&amp;DATE($B$3,4,15),'Leave log'!$C$7:$C$306,"&gt;="&amp;DATE($B$3,4,15),'Leave log'!$F$7:$F$306,"Pending")&gt;0,"P",""))))</f>
        <v/>
      </c>
      <c r="Q112" s="23" t="str">
        <f>IF(A112="","",IF(IF(OR(DATE($B$3,4,16)&gt;EOMONTH(DATE($B$3,4,1),0),NETWORKDAYS.INTL(DATE($B$3,4,16),DATE($B$3,4,16),1,'Non-working days'!$A$6:$A$45)=0),"",IF(COUNTIFS('Leave log'!$A$7:$A$306,Employees!$A$9,'Leave log'!$B$7:$B$306,"&lt;="&amp;DATE($B$3,4,16),'Leave log'!$C$7:$C$306,"&gt;="&amp;DATE($B$3,4,16),'Leave log'!$F$7:$F$306,"Approved")&gt;0,"A",""))="A","A",IF(OR(DATE($B$3,4,16)&gt;EOMONTH(DATE($B$3,4,1),0),NETWORKDAYS.INTL(DATE($B$3,4,16),DATE($B$3,4,16),1,'Non-working days'!$A$6:$A$45)=0),"",IF(COUNTIFS('Leave log'!$A$7:$A$306,Employees!$A$9,'Leave log'!$B$7:$B$306,"&lt;="&amp;DATE($B$3,4,16),'Leave log'!$C$7:$C$306,"&gt;="&amp;DATE($B$3,4,16),'Leave log'!$F$7:$F$306,"Pending")&gt;0,"P",""))))</f>
        <v/>
      </c>
      <c r="R112" s="23" t="str">
        <f>IF(A112="","",IF(IF(OR(DATE($B$3,4,17)&gt;EOMONTH(DATE($B$3,4,1),0),NETWORKDAYS.INTL(DATE($B$3,4,17),DATE($B$3,4,17),1,'Non-working days'!$A$6:$A$45)=0),"",IF(COUNTIFS('Leave log'!$A$7:$A$306,Employees!$A$9,'Leave log'!$B$7:$B$306,"&lt;="&amp;DATE($B$3,4,17),'Leave log'!$C$7:$C$306,"&gt;="&amp;DATE($B$3,4,17),'Leave log'!$F$7:$F$306,"Approved")&gt;0,"A",""))="A","A",IF(OR(DATE($B$3,4,17)&gt;EOMONTH(DATE($B$3,4,1),0),NETWORKDAYS.INTL(DATE($B$3,4,17),DATE($B$3,4,17),1,'Non-working days'!$A$6:$A$45)=0),"",IF(COUNTIFS('Leave log'!$A$7:$A$306,Employees!$A$9,'Leave log'!$B$7:$B$306,"&lt;="&amp;DATE($B$3,4,17),'Leave log'!$C$7:$C$306,"&gt;="&amp;DATE($B$3,4,17),'Leave log'!$F$7:$F$306,"Pending")&gt;0,"P",""))))</f>
        <v/>
      </c>
      <c r="S112" s="23" t="str">
        <f>IF(A112="","",IF(IF(OR(DATE($B$3,4,18)&gt;EOMONTH(DATE($B$3,4,1),0),NETWORKDAYS.INTL(DATE($B$3,4,18),DATE($B$3,4,18),1,'Non-working days'!$A$6:$A$45)=0),"",IF(COUNTIFS('Leave log'!$A$7:$A$306,Employees!$A$9,'Leave log'!$B$7:$B$306,"&lt;="&amp;DATE($B$3,4,18),'Leave log'!$C$7:$C$306,"&gt;="&amp;DATE($B$3,4,18),'Leave log'!$F$7:$F$306,"Approved")&gt;0,"A",""))="A","A",IF(OR(DATE($B$3,4,18)&gt;EOMONTH(DATE($B$3,4,1),0),NETWORKDAYS.INTL(DATE($B$3,4,18),DATE($B$3,4,18),1,'Non-working days'!$A$6:$A$45)=0),"",IF(COUNTIFS('Leave log'!$A$7:$A$306,Employees!$A$9,'Leave log'!$B$7:$B$306,"&lt;="&amp;DATE($B$3,4,18),'Leave log'!$C$7:$C$306,"&gt;="&amp;DATE($B$3,4,18),'Leave log'!$F$7:$F$306,"Pending")&gt;0,"P",""))))</f>
        <v/>
      </c>
      <c r="T112" s="23" t="str">
        <f>IF(A112="","",IF(IF(OR(DATE($B$3,4,19)&gt;EOMONTH(DATE($B$3,4,1),0),NETWORKDAYS.INTL(DATE($B$3,4,19),DATE($B$3,4,19),1,'Non-working days'!$A$6:$A$45)=0),"",IF(COUNTIFS('Leave log'!$A$7:$A$306,Employees!$A$9,'Leave log'!$B$7:$B$306,"&lt;="&amp;DATE($B$3,4,19),'Leave log'!$C$7:$C$306,"&gt;="&amp;DATE($B$3,4,19),'Leave log'!$F$7:$F$306,"Approved")&gt;0,"A",""))="A","A",IF(OR(DATE($B$3,4,19)&gt;EOMONTH(DATE($B$3,4,1),0),NETWORKDAYS.INTL(DATE($B$3,4,19),DATE($B$3,4,19),1,'Non-working days'!$A$6:$A$45)=0),"",IF(COUNTIFS('Leave log'!$A$7:$A$306,Employees!$A$9,'Leave log'!$B$7:$B$306,"&lt;="&amp;DATE($B$3,4,19),'Leave log'!$C$7:$C$306,"&gt;="&amp;DATE($B$3,4,19),'Leave log'!$F$7:$F$306,"Pending")&gt;0,"P",""))))</f>
        <v/>
      </c>
      <c r="U112" s="23" t="str">
        <f>IF(A112="","",IF(IF(OR(DATE($B$3,4,20)&gt;EOMONTH(DATE($B$3,4,1),0),NETWORKDAYS.INTL(DATE($B$3,4,20),DATE($B$3,4,20),1,'Non-working days'!$A$6:$A$45)=0),"",IF(COUNTIFS('Leave log'!$A$7:$A$306,Employees!$A$9,'Leave log'!$B$7:$B$306,"&lt;="&amp;DATE($B$3,4,20),'Leave log'!$C$7:$C$306,"&gt;="&amp;DATE($B$3,4,20),'Leave log'!$F$7:$F$306,"Approved")&gt;0,"A",""))="A","A",IF(OR(DATE($B$3,4,20)&gt;EOMONTH(DATE($B$3,4,1),0),NETWORKDAYS.INTL(DATE($B$3,4,20),DATE($B$3,4,20),1,'Non-working days'!$A$6:$A$45)=0),"",IF(COUNTIFS('Leave log'!$A$7:$A$306,Employees!$A$9,'Leave log'!$B$7:$B$306,"&lt;="&amp;DATE($B$3,4,20),'Leave log'!$C$7:$C$306,"&gt;="&amp;DATE($B$3,4,20),'Leave log'!$F$7:$F$306,"Pending")&gt;0,"P",""))))</f>
        <v/>
      </c>
      <c r="V112" s="23" t="str">
        <f>IF(A112="","",IF(IF(OR(DATE($B$3,4,21)&gt;EOMONTH(DATE($B$3,4,1),0),NETWORKDAYS.INTL(DATE($B$3,4,21),DATE($B$3,4,21),1,'Non-working days'!$A$6:$A$45)=0),"",IF(COUNTIFS('Leave log'!$A$7:$A$306,Employees!$A$9,'Leave log'!$B$7:$B$306,"&lt;="&amp;DATE($B$3,4,21),'Leave log'!$C$7:$C$306,"&gt;="&amp;DATE($B$3,4,21),'Leave log'!$F$7:$F$306,"Approved")&gt;0,"A",""))="A","A",IF(OR(DATE($B$3,4,21)&gt;EOMONTH(DATE($B$3,4,1),0),NETWORKDAYS.INTL(DATE($B$3,4,21),DATE($B$3,4,21),1,'Non-working days'!$A$6:$A$45)=0),"",IF(COUNTIFS('Leave log'!$A$7:$A$306,Employees!$A$9,'Leave log'!$B$7:$B$306,"&lt;="&amp;DATE($B$3,4,21),'Leave log'!$C$7:$C$306,"&gt;="&amp;DATE($B$3,4,21),'Leave log'!$F$7:$F$306,"Pending")&gt;0,"P",""))))</f>
        <v/>
      </c>
      <c r="W112" s="23" t="str">
        <f>IF(A112="","",IF(IF(OR(DATE($B$3,4,22)&gt;EOMONTH(DATE($B$3,4,1),0),NETWORKDAYS.INTL(DATE($B$3,4,22),DATE($B$3,4,22),1,'Non-working days'!$A$6:$A$45)=0),"",IF(COUNTIFS('Leave log'!$A$7:$A$306,Employees!$A$9,'Leave log'!$B$7:$B$306,"&lt;="&amp;DATE($B$3,4,22),'Leave log'!$C$7:$C$306,"&gt;="&amp;DATE($B$3,4,22),'Leave log'!$F$7:$F$306,"Approved")&gt;0,"A",""))="A","A",IF(OR(DATE($B$3,4,22)&gt;EOMONTH(DATE($B$3,4,1),0),NETWORKDAYS.INTL(DATE($B$3,4,22),DATE($B$3,4,22),1,'Non-working days'!$A$6:$A$45)=0),"",IF(COUNTIFS('Leave log'!$A$7:$A$306,Employees!$A$9,'Leave log'!$B$7:$B$306,"&lt;="&amp;DATE($B$3,4,22),'Leave log'!$C$7:$C$306,"&gt;="&amp;DATE($B$3,4,22),'Leave log'!$F$7:$F$306,"Pending")&gt;0,"P",""))))</f>
        <v/>
      </c>
      <c r="X112" s="23" t="str">
        <f>IF(A112="","",IF(IF(OR(DATE($B$3,4,23)&gt;EOMONTH(DATE($B$3,4,1),0),NETWORKDAYS.INTL(DATE($B$3,4,23),DATE($B$3,4,23),1,'Non-working days'!$A$6:$A$45)=0),"",IF(COUNTIFS('Leave log'!$A$7:$A$306,Employees!$A$9,'Leave log'!$B$7:$B$306,"&lt;="&amp;DATE($B$3,4,23),'Leave log'!$C$7:$C$306,"&gt;="&amp;DATE($B$3,4,23),'Leave log'!$F$7:$F$306,"Approved")&gt;0,"A",""))="A","A",IF(OR(DATE($B$3,4,23)&gt;EOMONTH(DATE($B$3,4,1),0),NETWORKDAYS.INTL(DATE($B$3,4,23),DATE($B$3,4,23),1,'Non-working days'!$A$6:$A$45)=0),"",IF(COUNTIFS('Leave log'!$A$7:$A$306,Employees!$A$9,'Leave log'!$B$7:$B$306,"&lt;="&amp;DATE($B$3,4,23),'Leave log'!$C$7:$C$306,"&gt;="&amp;DATE($B$3,4,23),'Leave log'!$F$7:$F$306,"Pending")&gt;0,"P",""))))</f>
        <v/>
      </c>
      <c r="Y112" s="23" t="str">
        <f>IF(A112="","",IF(IF(OR(DATE($B$3,4,24)&gt;EOMONTH(DATE($B$3,4,1),0),NETWORKDAYS.INTL(DATE($B$3,4,24),DATE($B$3,4,24),1,'Non-working days'!$A$6:$A$45)=0),"",IF(COUNTIFS('Leave log'!$A$7:$A$306,Employees!$A$9,'Leave log'!$B$7:$B$306,"&lt;="&amp;DATE($B$3,4,24),'Leave log'!$C$7:$C$306,"&gt;="&amp;DATE($B$3,4,24),'Leave log'!$F$7:$F$306,"Approved")&gt;0,"A",""))="A","A",IF(OR(DATE($B$3,4,24)&gt;EOMONTH(DATE($B$3,4,1),0),NETWORKDAYS.INTL(DATE($B$3,4,24),DATE($B$3,4,24),1,'Non-working days'!$A$6:$A$45)=0),"",IF(COUNTIFS('Leave log'!$A$7:$A$306,Employees!$A$9,'Leave log'!$B$7:$B$306,"&lt;="&amp;DATE($B$3,4,24),'Leave log'!$C$7:$C$306,"&gt;="&amp;DATE($B$3,4,24),'Leave log'!$F$7:$F$306,"Pending")&gt;0,"P",""))))</f>
        <v/>
      </c>
      <c r="Z112" s="23" t="str">
        <f>IF(A112="","",IF(IF(OR(DATE($B$3,4,25)&gt;EOMONTH(DATE($B$3,4,1),0),NETWORKDAYS.INTL(DATE($B$3,4,25),DATE($B$3,4,25),1,'Non-working days'!$A$6:$A$45)=0),"",IF(COUNTIFS('Leave log'!$A$7:$A$306,Employees!$A$9,'Leave log'!$B$7:$B$306,"&lt;="&amp;DATE($B$3,4,25),'Leave log'!$C$7:$C$306,"&gt;="&amp;DATE($B$3,4,25),'Leave log'!$F$7:$F$306,"Approved")&gt;0,"A",""))="A","A",IF(OR(DATE($B$3,4,25)&gt;EOMONTH(DATE($B$3,4,1),0),NETWORKDAYS.INTL(DATE($B$3,4,25),DATE($B$3,4,25),1,'Non-working days'!$A$6:$A$45)=0),"",IF(COUNTIFS('Leave log'!$A$7:$A$306,Employees!$A$9,'Leave log'!$B$7:$B$306,"&lt;="&amp;DATE($B$3,4,25),'Leave log'!$C$7:$C$306,"&gt;="&amp;DATE($B$3,4,25),'Leave log'!$F$7:$F$306,"Pending")&gt;0,"P",""))))</f>
        <v/>
      </c>
      <c r="AA112" s="23" t="str">
        <f>IF(A112="","",IF(IF(OR(DATE($B$3,4,26)&gt;EOMONTH(DATE($B$3,4,1),0),NETWORKDAYS.INTL(DATE($B$3,4,26),DATE($B$3,4,26),1,'Non-working days'!$A$6:$A$45)=0),"",IF(COUNTIFS('Leave log'!$A$7:$A$306,Employees!$A$9,'Leave log'!$B$7:$B$306,"&lt;="&amp;DATE($B$3,4,26),'Leave log'!$C$7:$C$306,"&gt;="&amp;DATE($B$3,4,26),'Leave log'!$F$7:$F$306,"Approved")&gt;0,"A",""))="A","A",IF(OR(DATE($B$3,4,26)&gt;EOMONTH(DATE($B$3,4,1),0),NETWORKDAYS.INTL(DATE($B$3,4,26),DATE($B$3,4,26),1,'Non-working days'!$A$6:$A$45)=0),"",IF(COUNTIFS('Leave log'!$A$7:$A$306,Employees!$A$9,'Leave log'!$B$7:$B$306,"&lt;="&amp;DATE($B$3,4,26),'Leave log'!$C$7:$C$306,"&gt;="&amp;DATE($B$3,4,26),'Leave log'!$F$7:$F$306,"Pending")&gt;0,"P",""))))</f>
        <v/>
      </c>
      <c r="AB112" s="23" t="str">
        <f>IF(A112="","",IF(IF(OR(DATE($B$3,4,27)&gt;EOMONTH(DATE($B$3,4,1),0),NETWORKDAYS.INTL(DATE($B$3,4,27),DATE($B$3,4,27),1,'Non-working days'!$A$6:$A$45)=0),"",IF(COUNTIFS('Leave log'!$A$7:$A$306,Employees!$A$9,'Leave log'!$B$7:$B$306,"&lt;="&amp;DATE($B$3,4,27),'Leave log'!$C$7:$C$306,"&gt;="&amp;DATE($B$3,4,27),'Leave log'!$F$7:$F$306,"Approved")&gt;0,"A",""))="A","A",IF(OR(DATE($B$3,4,27)&gt;EOMONTH(DATE($B$3,4,1),0),NETWORKDAYS.INTL(DATE($B$3,4,27),DATE($B$3,4,27),1,'Non-working days'!$A$6:$A$45)=0),"",IF(COUNTIFS('Leave log'!$A$7:$A$306,Employees!$A$9,'Leave log'!$B$7:$B$306,"&lt;="&amp;DATE($B$3,4,27),'Leave log'!$C$7:$C$306,"&gt;="&amp;DATE($B$3,4,27),'Leave log'!$F$7:$F$306,"Pending")&gt;0,"P",""))))</f>
        <v/>
      </c>
      <c r="AC112" s="23" t="str">
        <f>IF(A112="","",IF(IF(OR(DATE($B$3,4,28)&gt;EOMONTH(DATE($B$3,4,1),0),NETWORKDAYS.INTL(DATE($B$3,4,28),DATE($B$3,4,28),1,'Non-working days'!$A$6:$A$45)=0),"",IF(COUNTIFS('Leave log'!$A$7:$A$306,Employees!$A$9,'Leave log'!$B$7:$B$306,"&lt;="&amp;DATE($B$3,4,28),'Leave log'!$C$7:$C$306,"&gt;="&amp;DATE($B$3,4,28),'Leave log'!$F$7:$F$306,"Approved")&gt;0,"A",""))="A","A",IF(OR(DATE($B$3,4,28)&gt;EOMONTH(DATE($B$3,4,1),0),NETWORKDAYS.INTL(DATE($B$3,4,28),DATE($B$3,4,28),1,'Non-working days'!$A$6:$A$45)=0),"",IF(COUNTIFS('Leave log'!$A$7:$A$306,Employees!$A$9,'Leave log'!$B$7:$B$306,"&lt;="&amp;DATE($B$3,4,28),'Leave log'!$C$7:$C$306,"&gt;="&amp;DATE($B$3,4,28),'Leave log'!$F$7:$F$306,"Pending")&gt;0,"P",""))))</f>
        <v/>
      </c>
      <c r="AD112" s="23" t="str">
        <f>IF(A112="","",IF(IF(OR(DATE($B$3,4,29)&gt;EOMONTH(DATE($B$3,4,1),0),NETWORKDAYS.INTL(DATE($B$3,4,29),DATE($B$3,4,29),1,'Non-working days'!$A$6:$A$45)=0),"",IF(COUNTIFS('Leave log'!$A$7:$A$306,Employees!$A$9,'Leave log'!$B$7:$B$306,"&lt;="&amp;DATE($B$3,4,29),'Leave log'!$C$7:$C$306,"&gt;="&amp;DATE($B$3,4,29),'Leave log'!$F$7:$F$306,"Approved")&gt;0,"A",""))="A","A",IF(OR(DATE($B$3,4,29)&gt;EOMONTH(DATE($B$3,4,1),0),NETWORKDAYS.INTL(DATE($B$3,4,29),DATE($B$3,4,29),1,'Non-working days'!$A$6:$A$45)=0),"",IF(COUNTIFS('Leave log'!$A$7:$A$306,Employees!$A$9,'Leave log'!$B$7:$B$306,"&lt;="&amp;DATE($B$3,4,29),'Leave log'!$C$7:$C$306,"&gt;="&amp;DATE($B$3,4,29),'Leave log'!$F$7:$F$306,"Pending")&gt;0,"P",""))))</f>
        <v/>
      </c>
      <c r="AE112" s="23" t="str">
        <f>IF(A112="","",IF(IF(OR(DATE($B$3,4,30)&gt;EOMONTH(DATE($B$3,4,1),0),NETWORKDAYS.INTL(DATE($B$3,4,30),DATE($B$3,4,30),1,'Non-working days'!$A$6:$A$45)=0),"",IF(COUNTIFS('Leave log'!$A$7:$A$306,Employees!$A$9,'Leave log'!$B$7:$B$306,"&lt;="&amp;DATE($B$3,4,30),'Leave log'!$C$7:$C$306,"&gt;="&amp;DATE($B$3,4,30),'Leave log'!$F$7:$F$306,"Approved")&gt;0,"A",""))="A","A",IF(OR(DATE($B$3,4,30)&gt;EOMONTH(DATE($B$3,4,1),0),NETWORKDAYS.INTL(DATE($B$3,4,30),DATE($B$3,4,30),1,'Non-working days'!$A$6:$A$45)=0),"",IF(COUNTIFS('Leave log'!$A$7:$A$306,Employees!$A$9,'Leave log'!$B$7:$B$306,"&lt;="&amp;DATE($B$3,4,30),'Leave log'!$C$7:$C$306,"&gt;="&amp;DATE($B$3,4,30),'Leave log'!$F$7:$F$306,"Pending")&gt;0,"P",""))))</f>
        <v/>
      </c>
      <c r="AF112" s="23" t="str">
        <f>IF(A112="","",IF(IF(OR(DATE($B$3,4,31)&gt;EOMONTH(DATE($B$3,4,1),0),NETWORKDAYS.INTL(DATE($B$3,4,31),DATE($B$3,4,31),1,'Non-working days'!$A$6:$A$45)=0),"",IF(COUNTIFS('Leave log'!$A$7:$A$306,Employees!$A$9,'Leave log'!$B$7:$B$306,"&lt;="&amp;DATE($B$3,4,31),'Leave log'!$C$7:$C$306,"&gt;="&amp;DATE($B$3,4,31),'Leave log'!$F$7:$F$306,"Approved")&gt;0,"A",""))="A","A",IF(OR(DATE($B$3,4,31)&gt;EOMONTH(DATE($B$3,4,1),0),NETWORKDAYS.INTL(DATE($B$3,4,31),DATE($B$3,4,31),1,'Non-working days'!$A$6:$A$45)=0),"",IF(COUNTIFS('Leave log'!$A$7:$A$306,Employees!$A$9,'Leave log'!$B$7:$B$306,"&lt;="&amp;DATE($B$3,4,31),'Leave log'!$C$7:$C$306,"&gt;="&amp;DATE($B$3,4,31),'Leave log'!$F$7:$F$306,"Pending")&gt;0,"P",""))))</f>
        <v/>
      </c>
    </row>
    <row r="113" spans="1:32" ht="18" customHeight="1" x14ac:dyDescent="0.3">
      <c r="A113" s="22" t="str">
        <f>IF(Employees!F10="Yes",Employees!B10,"")</f>
        <v/>
      </c>
      <c r="B113" s="23" t="str">
        <f>IF(A113="","",IF(IF(OR(DATE($B$3,4,1)&gt;EOMONTH(DATE($B$3,4,1),0),NETWORKDAYS.INTL(DATE($B$3,4,1),DATE($B$3,4,1),1,'Non-working days'!$A$6:$A$45)=0),"",IF(COUNTIFS('Leave log'!$A$7:$A$306,Employees!$A$10,'Leave log'!$B$7:$B$306,"&lt;="&amp;DATE($B$3,4,1),'Leave log'!$C$7:$C$306,"&gt;="&amp;DATE($B$3,4,1),'Leave log'!$F$7:$F$306,"Approved")&gt;0,"A",""))="A","A",IF(OR(DATE($B$3,4,1)&gt;EOMONTH(DATE($B$3,4,1),0),NETWORKDAYS.INTL(DATE($B$3,4,1),DATE($B$3,4,1),1,'Non-working days'!$A$6:$A$45)=0),"",IF(COUNTIFS('Leave log'!$A$7:$A$306,Employees!$A$10,'Leave log'!$B$7:$B$306,"&lt;="&amp;DATE($B$3,4,1),'Leave log'!$C$7:$C$306,"&gt;="&amp;DATE($B$3,4,1),'Leave log'!$F$7:$F$306,"Pending")&gt;0,"P",""))))</f>
        <v/>
      </c>
      <c r="C113" s="23" t="str">
        <f>IF(A113="","",IF(IF(OR(DATE($B$3,4,2)&gt;EOMONTH(DATE($B$3,4,1),0),NETWORKDAYS.INTL(DATE($B$3,4,2),DATE($B$3,4,2),1,'Non-working days'!$A$6:$A$45)=0),"",IF(COUNTIFS('Leave log'!$A$7:$A$306,Employees!$A$10,'Leave log'!$B$7:$B$306,"&lt;="&amp;DATE($B$3,4,2),'Leave log'!$C$7:$C$306,"&gt;="&amp;DATE($B$3,4,2),'Leave log'!$F$7:$F$306,"Approved")&gt;0,"A",""))="A","A",IF(OR(DATE($B$3,4,2)&gt;EOMONTH(DATE($B$3,4,1),0),NETWORKDAYS.INTL(DATE($B$3,4,2),DATE($B$3,4,2),1,'Non-working days'!$A$6:$A$45)=0),"",IF(COUNTIFS('Leave log'!$A$7:$A$306,Employees!$A$10,'Leave log'!$B$7:$B$306,"&lt;="&amp;DATE($B$3,4,2),'Leave log'!$C$7:$C$306,"&gt;="&amp;DATE($B$3,4,2),'Leave log'!$F$7:$F$306,"Pending")&gt;0,"P",""))))</f>
        <v/>
      </c>
      <c r="D113" s="23" t="str">
        <f>IF(A113="","",IF(IF(OR(DATE($B$3,4,3)&gt;EOMONTH(DATE($B$3,4,1),0),NETWORKDAYS.INTL(DATE($B$3,4,3),DATE($B$3,4,3),1,'Non-working days'!$A$6:$A$45)=0),"",IF(COUNTIFS('Leave log'!$A$7:$A$306,Employees!$A$10,'Leave log'!$B$7:$B$306,"&lt;="&amp;DATE($B$3,4,3),'Leave log'!$C$7:$C$306,"&gt;="&amp;DATE($B$3,4,3),'Leave log'!$F$7:$F$306,"Approved")&gt;0,"A",""))="A","A",IF(OR(DATE($B$3,4,3)&gt;EOMONTH(DATE($B$3,4,1),0),NETWORKDAYS.INTL(DATE($B$3,4,3),DATE($B$3,4,3),1,'Non-working days'!$A$6:$A$45)=0),"",IF(COUNTIFS('Leave log'!$A$7:$A$306,Employees!$A$10,'Leave log'!$B$7:$B$306,"&lt;="&amp;DATE($B$3,4,3),'Leave log'!$C$7:$C$306,"&gt;="&amp;DATE($B$3,4,3),'Leave log'!$F$7:$F$306,"Pending")&gt;0,"P",""))))</f>
        <v/>
      </c>
      <c r="E113" s="23" t="str">
        <f>IF(A113="","",IF(IF(OR(DATE($B$3,4,4)&gt;EOMONTH(DATE($B$3,4,1),0),NETWORKDAYS.INTL(DATE($B$3,4,4),DATE($B$3,4,4),1,'Non-working days'!$A$6:$A$45)=0),"",IF(COUNTIFS('Leave log'!$A$7:$A$306,Employees!$A$10,'Leave log'!$B$7:$B$306,"&lt;="&amp;DATE($B$3,4,4),'Leave log'!$C$7:$C$306,"&gt;="&amp;DATE($B$3,4,4),'Leave log'!$F$7:$F$306,"Approved")&gt;0,"A",""))="A","A",IF(OR(DATE($B$3,4,4)&gt;EOMONTH(DATE($B$3,4,1),0),NETWORKDAYS.INTL(DATE($B$3,4,4),DATE($B$3,4,4),1,'Non-working days'!$A$6:$A$45)=0),"",IF(COUNTIFS('Leave log'!$A$7:$A$306,Employees!$A$10,'Leave log'!$B$7:$B$306,"&lt;="&amp;DATE($B$3,4,4),'Leave log'!$C$7:$C$306,"&gt;="&amp;DATE($B$3,4,4),'Leave log'!$F$7:$F$306,"Pending")&gt;0,"P",""))))</f>
        <v/>
      </c>
      <c r="F113" s="23" t="str">
        <f>IF(A113="","",IF(IF(OR(DATE($B$3,4,5)&gt;EOMONTH(DATE($B$3,4,1),0),NETWORKDAYS.INTL(DATE($B$3,4,5),DATE($B$3,4,5),1,'Non-working days'!$A$6:$A$45)=0),"",IF(COUNTIFS('Leave log'!$A$7:$A$306,Employees!$A$10,'Leave log'!$B$7:$B$306,"&lt;="&amp;DATE($B$3,4,5),'Leave log'!$C$7:$C$306,"&gt;="&amp;DATE($B$3,4,5),'Leave log'!$F$7:$F$306,"Approved")&gt;0,"A",""))="A","A",IF(OR(DATE($B$3,4,5)&gt;EOMONTH(DATE($B$3,4,1),0),NETWORKDAYS.INTL(DATE($B$3,4,5),DATE($B$3,4,5),1,'Non-working days'!$A$6:$A$45)=0),"",IF(COUNTIFS('Leave log'!$A$7:$A$306,Employees!$A$10,'Leave log'!$B$7:$B$306,"&lt;="&amp;DATE($B$3,4,5),'Leave log'!$C$7:$C$306,"&gt;="&amp;DATE($B$3,4,5),'Leave log'!$F$7:$F$306,"Pending")&gt;0,"P",""))))</f>
        <v/>
      </c>
      <c r="G113" s="23" t="str">
        <f>IF(A113="","",IF(IF(OR(DATE($B$3,4,6)&gt;EOMONTH(DATE($B$3,4,1),0),NETWORKDAYS.INTL(DATE($B$3,4,6),DATE($B$3,4,6),1,'Non-working days'!$A$6:$A$45)=0),"",IF(COUNTIFS('Leave log'!$A$7:$A$306,Employees!$A$10,'Leave log'!$B$7:$B$306,"&lt;="&amp;DATE($B$3,4,6),'Leave log'!$C$7:$C$306,"&gt;="&amp;DATE($B$3,4,6),'Leave log'!$F$7:$F$306,"Approved")&gt;0,"A",""))="A","A",IF(OR(DATE($B$3,4,6)&gt;EOMONTH(DATE($B$3,4,1),0),NETWORKDAYS.INTL(DATE($B$3,4,6),DATE($B$3,4,6),1,'Non-working days'!$A$6:$A$45)=0),"",IF(COUNTIFS('Leave log'!$A$7:$A$306,Employees!$A$10,'Leave log'!$B$7:$B$306,"&lt;="&amp;DATE($B$3,4,6),'Leave log'!$C$7:$C$306,"&gt;="&amp;DATE($B$3,4,6),'Leave log'!$F$7:$F$306,"Pending")&gt;0,"P",""))))</f>
        <v/>
      </c>
      <c r="H113" s="23" t="str">
        <f>IF(A113="","",IF(IF(OR(DATE($B$3,4,7)&gt;EOMONTH(DATE($B$3,4,1),0),NETWORKDAYS.INTL(DATE($B$3,4,7),DATE($B$3,4,7),1,'Non-working days'!$A$6:$A$45)=0),"",IF(COUNTIFS('Leave log'!$A$7:$A$306,Employees!$A$10,'Leave log'!$B$7:$B$306,"&lt;="&amp;DATE($B$3,4,7),'Leave log'!$C$7:$C$306,"&gt;="&amp;DATE($B$3,4,7),'Leave log'!$F$7:$F$306,"Approved")&gt;0,"A",""))="A","A",IF(OR(DATE($B$3,4,7)&gt;EOMONTH(DATE($B$3,4,1),0),NETWORKDAYS.INTL(DATE($B$3,4,7),DATE($B$3,4,7),1,'Non-working days'!$A$6:$A$45)=0),"",IF(COUNTIFS('Leave log'!$A$7:$A$306,Employees!$A$10,'Leave log'!$B$7:$B$306,"&lt;="&amp;DATE($B$3,4,7),'Leave log'!$C$7:$C$306,"&gt;="&amp;DATE($B$3,4,7),'Leave log'!$F$7:$F$306,"Pending")&gt;0,"P",""))))</f>
        <v/>
      </c>
      <c r="I113" s="23" t="str">
        <f>IF(A113="","",IF(IF(OR(DATE($B$3,4,8)&gt;EOMONTH(DATE($B$3,4,1),0),NETWORKDAYS.INTL(DATE($B$3,4,8),DATE($B$3,4,8),1,'Non-working days'!$A$6:$A$45)=0),"",IF(COUNTIFS('Leave log'!$A$7:$A$306,Employees!$A$10,'Leave log'!$B$7:$B$306,"&lt;="&amp;DATE($B$3,4,8),'Leave log'!$C$7:$C$306,"&gt;="&amp;DATE($B$3,4,8),'Leave log'!$F$7:$F$306,"Approved")&gt;0,"A",""))="A","A",IF(OR(DATE($B$3,4,8)&gt;EOMONTH(DATE($B$3,4,1),0),NETWORKDAYS.INTL(DATE($B$3,4,8),DATE($B$3,4,8),1,'Non-working days'!$A$6:$A$45)=0),"",IF(COUNTIFS('Leave log'!$A$7:$A$306,Employees!$A$10,'Leave log'!$B$7:$B$306,"&lt;="&amp;DATE($B$3,4,8),'Leave log'!$C$7:$C$306,"&gt;="&amp;DATE($B$3,4,8),'Leave log'!$F$7:$F$306,"Pending")&gt;0,"P",""))))</f>
        <v/>
      </c>
      <c r="J113" s="23" t="str">
        <f>IF(A113="","",IF(IF(OR(DATE($B$3,4,9)&gt;EOMONTH(DATE($B$3,4,1),0),NETWORKDAYS.INTL(DATE($B$3,4,9),DATE($B$3,4,9),1,'Non-working days'!$A$6:$A$45)=0),"",IF(COUNTIFS('Leave log'!$A$7:$A$306,Employees!$A$10,'Leave log'!$B$7:$B$306,"&lt;="&amp;DATE($B$3,4,9),'Leave log'!$C$7:$C$306,"&gt;="&amp;DATE($B$3,4,9),'Leave log'!$F$7:$F$306,"Approved")&gt;0,"A",""))="A","A",IF(OR(DATE($B$3,4,9)&gt;EOMONTH(DATE($B$3,4,1),0),NETWORKDAYS.INTL(DATE($B$3,4,9),DATE($B$3,4,9),1,'Non-working days'!$A$6:$A$45)=0),"",IF(COUNTIFS('Leave log'!$A$7:$A$306,Employees!$A$10,'Leave log'!$B$7:$B$306,"&lt;="&amp;DATE($B$3,4,9),'Leave log'!$C$7:$C$306,"&gt;="&amp;DATE($B$3,4,9),'Leave log'!$F$7:$F$306,"Pending")&gt;0,"P",""))))</f>
        <v/>
      </c>
      <c r="K113" s="23" t="str">
        <f>IF(A113="","",IF(IF(OR(DATE($B$3,4,10)&gt;EOMONTH(DATE($B$3,4,1),0),NETWORKDAYS.INTL(DATE($B$3,4,10),DATE($B$3,4,10),1,'Non-working days'!$A$6:$A$45)=0),"",IF(COUNTIFS('Leave log'!$A$7:$A$306,Employees!$A$10,'Leave log'!$B$7:$B$306,"&lt;="&amp;DATE($B$3,4,10),'Leave log'!$C$7:$C$306,"&gt;="&amp;DATE($B$3,4,10),'Leave log'!$F$7:$F$306,"Approved")&gt;0,"A",""))="A","A",IF(OR(DATE($B$3,4,10)&gt;EOMONTH(DATE($B$3,4,1),0),NETWORKDAYS.INTL(DATE($B$3,4,10),DATE($B$3,4,10),1,'Non-working days'!$A$6:$A$45)=0),"",IF(COUNTIFS('Leave log'!$A$7:$A$306,Employees!$A$10,'Leave log'!$B$7:$B$306,"&lt;="&amp;DATE($B$3,4,10),'Leave log'!$C$7:$C$306,"&gt;="&amp;DATE($B$3,4,10),'Leave log'!$F$7:$F$306,"Pending")&gt;0,"P",""))))</f>
        <v/>
      </c>
      <c r="L113" s="23" t="str">
        <f>IF(A113="","",IF(IF(OR(DATE($B$3,4,11)&gt;EOMONTH(DATE($B$3,4,1),0),NETWORKDAYS.INTL(DATE($B$3,4,11),DATE($B$3,4,11),1,'Non-working days'!$A$6:$A$45)=0),"",IF(COUNTIFS('Leave log'!$A$7:$A$306,Employees!$A$10,'Leave log'!$B$7:$B$306,"&lt;="&amp;DATE($B$3,4,11),'Leave log'!$C$7:$C$306,"&gt;="&amp;DATE($B$3,4,11),'Leave log'!$F$7:$F$306,"Approved")&gt;0,"A",""))="A","A",IF(OR(DATE($B$3,4,11)&gt;EOMONTH(DATE($B$3,4,1),0),NETWORKDAYS.INTL(DATE($B$3,4,11),DATE($B$3,4,11),1,'Non-working days'!$A$6:$A$45)=0),"",IF(COUNTIFS('Leave log'!$A$7:$A$306,Employees!$A$10,'Leave log'!$B$7:$B$306,"&lt;="&amp;DATE($B$3,4,11),'Leave log'!$C$7:$C$306,"&gt;="&amp;DATE($B$3,4,11),'Leave log'!$F$7:$F$306,"Pending")&gt;0,"P",""))))</f>
        <v/>
      </c>
      <c r="M113" s="23" t="str">
        <f>IF(A113="","",IF(IF(OR(DATE($B$3,4,12)&gt;EOMONTH(DATE($B$3,4,1),0),NETWORKDAYS.INTL(DATE($B$3,4,12),DATE($B$3,4,12),1,'Non-working days'!$A$6:$A$45)=0),"",IF(COUNTIFS('Leave log'!$A$7:$A$306,Employees!$A$10,'Leave log'!$B$7:$B$306,"&lt;="&amp;DATE($B$3,4,12),'Leave log'!$C$7:$C$306,"&gt;="&amp;DATE($B$3,4,12),'Leave log'!$F$7:$F$306,"Approved")&gt;0,"A",""))="A","A",IF(OR(DATE($B$3,4,12)&gt;EOMONTH(DATE($B$3,4,1),0),NETWORKDAYS.INTL(DATE($B$3,4,12),DATE($B$3,4,12),1,'Non-working days'!$A$6:$A$45)=0),"",IF(COUNTIFS('Leave log'!$A$7:$A$306,Employees!$A$10,'Leave log'!$B$7:$B$306,"&lt;="&amp;DATE($B$3,4,12),'Leave log'!$C$7:$C$306,"&gt;="&amp;DATE($B$3,4,12),'Leave log'!$F$7:$F$306,"Pending")&gt;0,"P",""))))</f>
        <v/>
      </c>
      <c r="N113" s="23" t="str">
        <f>IF(A113="","",IF(IF(OR(DATE($B$3,4,13)&gt;EOMONTH(DATE($B$3,4,1),0),NETWORKDAYS.INTL(DATE($B$3,4,13),DATE($B$3,4,13),1,'Non-working days'!$A$6:$A$45)=0),"",IF(COUNTIFS('Leave log'!$A$7:$A$306,Employees!$A$10,'Leave log'!$B$7:$B$306,"&lt;="&amp;DATE($B$3,4,13),'Leave log'!$C$7:$C$306,"&gt;="&amp;DATE($B$3,4,13),'Leave log'!$F$7:$F$306,"Approved")&gt;0,"A",""))="A","A",IF(OR(DATE($B$3,4,13)&gt;EOMONTH(DATE($B$3,4,1),0),NETWORKDAYS.INTL(DATE($B$3,4,13),DATE($B$3,4,13),1,'Non-working days'!$A$6:$A$45)=0),"",IF(COUNTIFS('Leave log'!$A$7:$A$306,Employees!$A$10,'Leave log'!$B$7:$B$306,"&lt;="&amp;DATE($B$3,4,13),'Leave log'!$C$7:$C$306,"&gt;="&amp;DATE($B$3,4,13),'Leave log'!$F$7:$F$306,"Pending")&gt;0,"P",""))))</f>
        <v/>
      </c>
      <c r="O113" s="23" t="str">
        <f>IF(A113="","",IF(IF(OR(DATE($B$3,4,14)&gt;EOMONTH(DATE($B$3,4,1),0),NETWORKDAYS.INTL(DATE($B$3,4,14),DATE($B$3,4,14),1,'Non-working days'!$A$6:$A$45)=0),"",IF(COUNTIFS('Leave log'!$A$7:$A$306,Employees!$A$10,'Leave log'!$B$7:$B$306,"&lt;="&amp;DATE($B$3,4,14),'Leave log'!$C$7:$C$306,"&gt;="&amp;DATE($B$3,4,14),'Leave log'!$F$7:$F$306,"Approved")&gt;0,"A",""))="A","A",IF(OR(DATE($B$3,4,14)&gt;EOMONTH(DATE($B$3,4,1),0),NETWORKDAYS.INTL(DATE($B$3,4,14),DATE($B$3,4,14),1,'Non-working days'!$A$6:$A$45)=0),"",IF(COUNTIFS('Leave log'!$A$7:$A$306,Employees!$A$10,'Leave log'!$B$7:$B$306,"&lt;="&amp;DATE($B$3,4,14),'Leave log'!$C$7:$C$306,"&gt;="&amp;DATE($B$3,4,14),'Leave log'!$F$7:$F$306,"Pending")&gt;0,"P",""))))</f>
        <v/>
      </c>
      <c r="P113" s="23" t="str">
        <f>IF(A113="","",IF(IF(OR(DATE($B$3,4,15)&gt;EOMONTH(DATE($B$3,4,1),0),NETWORKDAYS.INTL(DATE($B$3,4,15),DATE($B$3,4,15),1,'Non-working days'!$A$6:$A$45)=0),"",IF(COUNTIFS('Leave log'!$A$7:$A$306,Employees!$A$10,'Leave log'!$B$7:$B$306,"&lt;="&amp;DATE($B$3,4,15),'Leave log'!$C$7:$C$306,"&gt;="&amp;DATE($B$3,4,15),'Leave log'!$F$7:$F$306,"Approved")&gt;0,"A",""))="A","A",IF(OR(DATE($B$3,4,15)&gt;EOMONTH(DATE($B$3,4,1),0),NETWORKDAYS.INTL(DATE($B$3,4,15),DATE($B$3,4,15),1,'Non-working days'!$A$6:$A$45)=0),"",IF(COUNTIFS('Leave log'!$A$7:$A$306,Employees!$A$10,'Leave log'!$B$7:$B$306,"&lt;="&amp;DATE($B$3,4,15),'Leave log'!$C$7:$C$306,"&gt;="&amp;DATE($B$3,4,15),'Leave log'!$F$7:$F$306,"Pending")&gt;0,"P",""))))</f>
        <v/>
      </c>
      <c r="Q113" s="23" t="str">
        <f>IF(A113="","",IF(IF(OR(DATE($B$3,4,16)&gt;EOMONTH(DATE($B$3,4,1),0),NETWORKDAYS.INTL(DATE($B$3,4,16),DATE($B$3,4,16),1,'Non-working days'!$A$6:$A$45)=0),"",IF(COUNTIFS('Leave log'!$A$7:$A$306,Employees!$A$10,'Leave log'!$B$7:$B$306,"&lt;="&amp;DATE($B$3,4,16),'Leave log'!$C$7:$C$306,"&gt;="&amp;DATE($B$3,4,16),'Leave log'!$F$7:$F$306,"Approved")&gt;0,"A",""))="A","A",IF(OR(DATE($B$3,4,16)&gt;EOMONTH(DATE($B$3,4,1),0),NETWORKDAYS.INTL(DATE($B$3,4,16),DATE($B$3,4,16),1,'Non-working days'!$A$6:$A$45)=0),"",IF(COUNTIFS('Leave log'!$A$7:$A$306,Employees!$A$10,'Leave log'!$B$7:$B$306,"&lt;="&amp;DATE($B$3,4,16),'Leave log'!$C$7:$C$306,"&gt;="&amp;DATE($B$3,4,16),'Leave log'!$F$7:$F$306,"Pending")&gt;0,"P",""))))</f>
        <v/>
      </c>
      <c r="R113" s="23" t="str">
        <f>IF(A113="","",IF(IF(OR(DATE($B$3,4,17)&gt;EOMONTH(DATE($B$3,4,1),0),NETWORKDAYS.INTL(DATE($B$3,4,17),DATE($B$3,4,17),1,'Non-working days'!$A$6:$A$45)=0),"",IF(COUNTIFS('Leave log'!$A$7:$A$306,Employees!$A$10,'Leave log'!$B$7:$B$306,"&lt;="&amp;DATE($B$3,4,17),'Leave log'!$C$7:$C$306,"&gt;="&amp;DATE($B$3,4,17),'Leave log'!$F$7:$F$306,"Approved")&gt;0,"A",""))="A","A",IF(OR(DATE($B$3,4,17)&gt;EOMONTH(DATE($B$3,4,1),0),NETWORKDAYS.INTL(DATE($B$3,4,17),DATE($B$3,4,17),1,'Non-working days'!$A$6:$A$45)=0),"",IF(COUNTIFS('Leave log'!$A$7:$A$306,Employees!$A$10,'Leave log'!$B$7:$B$306,"&lt;="&amp;DATE($B$3,4,17),'Leave log'!$C$7:$C$306,"&gt;="&amp;DATE($B$3,4,17),'Leave log'!$F$7:$F$306,"Pending")&gt;0,"P",""))))</f>
        <v/>
      </c>
      <c r="S113" s="23" t="str">
        <f>IF(A113="","",IF(IF(OR(DATE($B$3,4,18)&gt;EOMONTH(DATE($B$3,4,1),0),NETWORKDAYS.INTL(DATE($B$3,4,18),DATE($B$3,4,18),1,'Non-working days'!$A$6:$A$45)=0),"",IF(COUNTIFS('Leave log'!$A$7:$A$306,Employees!$A$10,'Leave log'!$B$7:$B$306,"&lt;="&amp;DATE($B$3,4,18),'Leave log'!$C$7:$C$306,"&gt;="&amp;DATE($B$3,4,18),'Leave log'!$F$7:$F$306,"Approved")&gt;0,"A",""))="A","A",IF(OR(DATE($B$3,4,18)&gt;EOMONTH(DATE($B$3,4,1),0),NETWORKDAYS.INTL(DATE($B$3,4,18),DATE($B$3,4,18),1,'Non-working days'!$A$6:$A$45)=0),"",IF(COUNTIFS('Leave log'!$A$7:$A$306,Employees!$A$10,'Leave log'!$B$7:$B$306,"&lt;="&amp;DATE($B$3,4,18),'Leave log'!$C$7:$C$306,"&gt;="&amp;DATE($B$3,4,18),'Leave log'!$F$7:$F$306,"Pending")&gt;0,"P",""))))</f>
        <v/>
      </c>
      <c r="T113" s="23" t="str">
        <f>IF(A113="","",IF(IF(OR(DATE($B$3,4,19)&gt;EOMONTH(DATE($B$3,4,1),0),NETWORKDAYS.INTL(DATE($B$3,4,19),DATE($B$3,4,19),1,'Non-working days'!$A$6:$A$45)=0),"",IF(COUNTIFS('Leave log'!$A$7:$A$306,Employees!$A$10,'Leave log'!$B$7:$B$306,"&lt;="&amp;DATE($B$3,4,19),'Leave log'!$C$7:$C$306,"&gt;="&amp;DATE($B$3,4,19),'Leave log'!$F$7:$F$306,"Approved")&gt;0,"A",""))="A","A",IF(OR(DATE($B$3,4,19)&gt;EOMONTH(DATE($B$3,4,1),0),NETWORKDAYS.INTL(DATE($B$3,4,19),DATE($B$3,4,19),1,'Non-working days'!$A$6:$A$45)=0),"",IF(COUNTIFS('Leave log'!$A$7:$A$306,Employees!$A$10,'Leave log'!$B$7:$B$306,"&lt;="&amp;DATE($B$3,4,19),'Leave log'!$C$7:$C$306,"&gt;="&amp;DATE($B$3,4,19),'Leave log'!$F$7:$F$306,"Pending")&gt;0,"P",""))))</f>
        <v/>
      </c>
      <c r="U113" s="23" t="str">
        <f>IF(A113="","",IF(IF(OR(DATE($B$3,4,20)&gt;EOMONTH(DATE($B$3,4,1),0),NETWORKDAYS.INTL(DATE($B$3,4,20),DATE($B$3,4,20),1,'Non-working days'!$A$6:$A$45)=0),"",IF(COUNTIFS('Leave log'!$A$7:$A$306,Employees!$A$10,'Leave log'!$B$7:$B$306,"&lt;="&amp;DATE($B$3,4,20),'Leave log'!$C$7:$C$306,"&gt;="&amp;DATE($B$3,4,20),'Leave log'!$F$7:$F$306,"Approved")&gt;0,"A",""))="A","A",IF(OR(DATE($B$3,4,20)&gt;EOMONTH(DATE($B$3,4,1),0),NETWORKDAYS.INTL(DATE($B$3,4,20),DATE($B$3,4,20),1,'Non-working days'!$A$6:$A$45)=0),"",IF(COUNTIFS('Leave log'!$A$7:$A$306,Employees!$A$10,'Leave log'!$B$7:$B$306,"&lt;="&amp;DATE($B$3,4,20),'Leave log'!$C$7:$C$306,"&gt;="&amp;DATE($B$3,4,20),'Leave log'!$F$7:$F$306,"Pending")&gt;0,"P",""))))</f>
        <v/>
      </c>
      <c r="V113" s="23" t="str">
        <f>IF(A113="","",IF(IF(OR(DATE($B$3,4,21)&gt;EOMONTH(DATE($B$3,4,1),0),NETWORKDAYS.INTL(DATE($B$3,4,21),DATE($B$3,4,21),1,'Non-working days'!$A$6:$A$45)=0),"",IF(COUNTIFS('Leave log'!$A$7:$A$306,Employees!$A$10,'Leave log'!$B$7:$B$306,"&lt;="&amp;DATE($B$3,4,21),'Leave log'!$C$7:$C$306,"&gt;="&amp;DATE($B$3,4,21),'Leave log'!$F$7:$F$306,"Approved")&gt;0,"A",""))="A","A",IF(OR(DATE($B$3,4,21)&gt;EOMONTH(DATE($B$3,4,1),0),NETWORKDAYS.INTL(DATE($B$3,4,21),DATE($B$3,4,21),1,'Non-working days'!$A$6:$A$45)=0),"",IF(COUNTIFS('Leave log'!$A$7:$A$306,Employees!$A$10,'Leave log'!$B$7:$B$306,"&lt;="&amp;DATE($B$3,4,21),'Leave log'!$C$7:$C$306,"&gt;="&amp;DATE($B$3,4,21),'Leave log'!$F$7:$F$306,"Pending")&gt;0,"P",""))))</f>
        <v/>
      </c>
      <c r="W113" s="23" t="str">
        <f>IF(A113="","",IF(IF(OR(DATE($B$3,4,22)&gt;EOMONTH(DATE($B$3,4,1),0),NETWORKDAYS.INTL(DATE($B$3,4,22),DATE($B$3,4,22),1,'Non-working days'!$A$6:$A$45)=0),"",IF(COUNTIFS('Leave log'!$A$7:$A$306,Employees!$A$10,'Leave log'!$B$7:$B$306,"&lt;="&amp;DATE($B$3,4,22),'Leave log'!$C$7:$C$306,"&gt;="&amp;DATE($B$3,4,22),'Leave log'!$F$7:$F$306,"Approved")&gt;0,"A",""))="A","A",IF(OR(DATE($B$3,4,22)&gt;EOMONTH(DATE($B$3,4,1),0),NETWORKDAYS.INTL(DATE($B$3,4,22),DATE($B$3,4,22),1,'Non-working days'!$A$6:$A$45)=0),"",IF(COUNTIFS('Leave log'!$A$7:$A$306,Employees!$A$10,'Leave log'!$B$7:$B$306,"&lt;="&amp;DATE($B$3,4,22),'Leave log'!$C$7:$C$306,"&gt;="&amp;DATE($B$3,4,22),'Leave log'!$F$7:$F$306,"Pending")&gt;0,"P",""))))</f>
        <v/>
      </c>
      <c r="X113" s="23" t="str">
        <f>IF(A113="","",IF(IF(OR(DATE($B$3,4,23)&gt;EOMONTH(DATE($B$3,4,1),0),NETWORKDAYS.INTL(DATE($B$3,4,23),DATE($B$3,4,23),1,'Non-working days'!$A$6:$A$45)=0),"",IF(COUNTIFS('Leave log'!$A$7:$A$306,Employees!$A$10,'Leave log'!$B$7:$B$306,"&lt;="&amp;DATE($B$3,4,23),'Leave log'!$C$7:$C$306,"&gt;="&amp;DATE($B$3,4,23),'Leave log'!$F$7:$F$306,"Approved")&gt;0,"A",""))="A","A",IF(OR(DATE($B$3,4,23)&gt;EOMONTH(DATE($B$3,4,1),0),NETWORKDAYS.INTL(DATE($B$3,4,23),DATE($B$3,4,23),1,'Non-working days'!$A$6:$A$45)=0),"",IF(COUNTIFS('Leave log'!$A$7:$A$306,Employees!$A$10,'Leave log'!$B$7:$B$306,"&lt;="&amp;DATE($B$3,4,23),'Leave log'!$C$7:$C$306,"&gt;="&amp;DATE($B$3,4,23),'Leave log'!$F$7:$F$306,"Pending")&gt;0,"P",""))))</f>
        <v/>
      </c>
      <c r="Y113" s="23" t="str">
        <f>IF(A113="","",IF(IF(OR(DATE($B$3,4,24)&gt;EOMONTH(DATE($B$3,4,1),0),NETWORKDAYS.INTL(DATE($B$3,4,24),DATE($B$3,4,24),1,'Non-working days'!$A$6:$A$45)=0),"",IF(COUNTIFS('Leave log'!$A$7:$A$306,Employees!$A$10,'Leave log'!$B$7:$B$306,"&lt;="&amp;DATE($B$3,4,24),'Leave log'!$C$7:$C$306,"&gt;="&amp;DATE($B$3,4,24),'Leave log'!$F$7:$F$306,"Approved")&gt;0,"A",""))="A","A",IF(OR(DATE($B$3,4,24)&gt;EOMONTH(DATE($B$3,4,1),0),NETWORKDAYS.INTL(DATE($B$3,4,24),DATE($B$3,4,24),1,'Non-working days'!$A$6:$A$45)=0),"",IF(COUNTIFS('Leave log'!$A$7:$A$306,Employees!$A$10,'Leave log'!$B$7:$B$306,"&lt;="&amp;DATE($B$3,4,24),'Leave log'!$C$7:$C$306,"&gt;="&amp;DATE($B$3,4,24),'Leave log'!$F$7:$F$306,"Pending")&gt;0,"P",""))))</f>
        <v/>
      </c>
      <c r="Z113" s="23" t="str">
        <f>IF(A113="","",IF(IF(OR(DATE($B$3,4,25)&gt;EOMONTH(DATE($B$3,4,1),0),NETWORKDAYS.INTL(DATE($B$3,4,25),DATE($B$3,4,25),1,'Non-working days'!$A$6:$A$45)=0),"",IF(COUNTIFS('Leave log'!$A$7:$A$306,Employees!$A$10,'Leave log'!$B$7:$B$306,"&lt;="&amp;DATE($B$3,4,25),'Leave log'!$C$7:$C$306,"&gt;="&amp;DATE($B$3,4,25),'Leave log'!$F$7:$F$306,"Approved")&gt;0,"A",""))="A","A",IF(OR(DATE($B$3,4,25)&gt;EOMONTH(DATE($B$3,4,1),0),NETWORKDAYS.INTL(DATE($B$3,4,25),DATE($B$3,4,25),1,'Non-working days'!$A$6:$A$45)=0),"",IF(COUNTIFS('Leave log'!$A$7:$A$306,Employees!$A$10,'Leave log'!$B$7:$B$306,"&lt;="&amp;DATE($B$3,4,25),'Leave log'!$C$7:$C$306,"&gt;="&amp;DATE($B$3,4,25),'Leave log'!$F$7:$F$306,"Pending")&gt;0,"P",""))))</f>
        <v/>
      </c>
      <c r="AA113" s="23" t="str">
        <f>IF(A113="","",IF(IF(OR(DATE($B$3,4,26)&gt;EOMONTH(DATE($B$3,4,1),0),NETWORKDAYS.INTL(DATE($B$3,4,26),DATE($B$3,4,26),1,'Non-working days'!$A$6:$A$45)=0),"",IF(COUNTIFS('Leave log'!$A$7:$A$306,Employees!$A$10,'Leave log'!$B$7:$B$306,"&lt;="&amp;DATE($B$3,4,26),'Leave log'!$C$7:$C$306,"&gt;="&amp;DATE($B$3,4,26),'Leave log'!$F$7:$F$306,"Approved")&gt;0,"A",""))="A","A",IF(OR(DATE($B$3,4,26)&gt;EOMONTH(DATE($B$3,4,1),0),NETWORKDAYS.INTL(DATE($B$3,4,26),DATE($B$3,4,26),1,'Non-working days'!$A$6:$A$45)=0),"",IF(COUNTIFS('Leave log'!$A$7:$A$306,Employees!$A$10,'Leave log'!$B$7:$B$306,"&lt;="&amp;DATE($B$3,4,26),'Leave log'!$C$7:$C$306,"&gt;="&amp;DATE($B$3,4,26),'Leave log'!$F$7:$F$306,"Pending")&gt;0,"P",""))))</f>
        <v/>
      </c>
      <c r="AB113" s="23" t="str">
        <f>IF(A113="","",IF(IF(OR(DATE($B$3,4,27)&gt;EOMONTH(DATE($B$3,4,1),0),NETWORKDAYS.INTL(DATE($B$3,4,27),DATE($B$3,4,27),1,'Non-working days'!$A$6:$A$45)=0),"",IF(COUNTIFS('Leave log'!$A$7:$A$306,Employees!$A$10,'Leave log'!$B$7:$B$306,"&lt;="&amp;DATE($B$3,4,27),'Leave log'!$C$7:$C$306,"&gt;="&amp;DATE($B$3,4,27),'Leave log'!$F$7:$F$306,"Approved")&gt;0,"A",""))="A","A",IF(OR(DATE($B$3,4,27)&gt;EOMONTH(DATE($B$3,4,1),0),NETWORKDAYS.INTL(DATE($B$3,4,27),DATE($B$3,4,27),1,'Non-working days'!$A$6:$A$45)=0),"",IF(COUNTIFS('Leave log'!$A$7:$A$306,Employees!$A$10,'Leave log'!$B$7:$B$306,"&lt;="&amp;DATE($B$3,4,27),'Leave log'!$C$7:$C$306,"&gt;="&amp;DATE($B$3,4,27),'Leave log'!$F$7:$F$306,"Pending")&gt;0,"P",""))))</f>
        <v/>
      </c>
      <c r="AC113" s="23" t="str">
        <f>IF(A113="","",IF(IF(OR(DATE($B$3,4,28)&gt;EOMONTH(DATE($B$3,4,1),0),NETWORKDAYS.INTL(DATE($B$3,4,28),DATE($B$3,4,28),1,'Non-working days'!$A$6:$A$45)=0),"",IF(COUNTIFS('Leave log'!$A$7:$A$306,Employees!$A$10,'Leave log'!$B$7:$B$306,"&lt;="&amp;DATE($B$3,4,28),'Leave log'!$C$7:$C$306,"&gt;="&amp;DATE($B$3,4,28),'Leave log'!$F$7:$F$306,"Approved")&gt;0,"A",""))="A","A",IF(OR(DATE($B$3,4,28)&gt;EOMONTH(DATE($B$3,4,1),0),NETWORKDAYS.INTL(DATE($B$3,4,28),DATE($B$3,4,28),1,'Non-working days'!$A$6:$A$45)=0),"",IF(COUNTIFS('Leave log'!$A$7:$A$306,Employees!$A$10,'Leave log'!$B$7:$B$306,"&lt;="&amp;DATE($B$3,4,28),'Leave log'!$C$7:$C$306,"&gt;="&amp;DATE($B$3,4,28),'Leave log'!$F$7:$F$306,"Pending")&gt;0,"P",""))))</f>
        <v/>
      </c>
      <c r="AD113" s="23" t="str">
        <f>IF(A113="","",IF(IF(OR(DATE($B$3,4,29)&gt;EOMONTH(DATE($B$3,4,1),0),NETWORKDAYS.INTL(DATE($B$3,4,29),DATE($B$3,4,29),1,'Non-working days'!$A$6:$A$45)=0),"",IF(COUNTIFS('Leave log'!$A$7:$A$306,Employees!$A$10,'Leave log'!$B$7:$B$306,"&lt;="&amp;DATE($B$3,4,29),'Leave log'!$C$7:$C$306,"&gt;="&amp;DATE($B$3,4,29),'Leave log'!$F$7:$F$306,"Approved")&gt;0,"A",""))="A","A",IF(OR(DATE($B$3,4,29)&gt;EOMONTH(DATE($B$3,4,1),0),NETWORKDAYS.INTL(DATE($B$3,4,29),DATE($B$3,4,29),1,'Non-working days'!$A$6:$A$45)=0),"",IF(COUNTIFS('Leave log'!$A$7:$A$306,Employees!$A$10,'Leave log'!$B$7:$B$306,"&lt;="&amp;DATE($B$3,4,29),'Leave log'!$C$7:$C$306,"&gt;="&amp;DATE($B$3,4,29),'Leave log'!$F$7:$F$306,"Pending")&gt;0,"P",""))))</f>
        <v/>
      </c>
      <c r="AE113" s="23" t="str">
        <f>IF(A113="","",IF(IF(OR(DATE($B$3,4,30)&gt;EOMONTH(DATE($B$3,4,1),0),NETWORKDAYS.INTL(DATE($B$3,4,30),DATE($B$3,4,30),1,'Non-working days'!$A$6:$A$45)=0),"",IF(COUNTIFS('Leave log'!$A$7:$A$306,Employees!$A$10,'Leave log'!$B$7:$B$306,"&lt;="&amp;DATE($B$3,4,30),'Leave log'!$C$7:$C$306,"&gt;="&amp;DATE($B$3,4,30),'Leave log'!$F$7:$F$306,"Approved")&gt;0,"A",""))="A","A",IF(OR(DATE($B$3,4,30)&gt;EOMONTH(DATE($B$3,4,1),0),NETWORKDAYS.INTL(DATE($B$3,4,30),DATE($B$3,4,30),1,'Non-working days'!$A$6:$A$45)=0),"",IF(COUNTIFS('Leave log'!$A$7:$A$306,Employees!$A$10,'Leave log'!$B$7:$B$306,"&lt;="&amp;DATE($B$3,4,30),'Leave log'!$C$7:$C$306,"&gt;="&amp;DATE($B$3,4,30),'Leave log'!$F$7:$F$306,"Pending")&gt;0,"P",""))))</f>
        <v/>
      </c>
      <c r="AF113" s="23" t="str">
        <f>IF(A113="","",IF(IF(OR(DATE($B$3,4,31)&gt;EOMONTH(DATE($B$3,4,1),0),NETWORKDAYS.INTL(DATE($B$3,4,31),DATE($B$3,4,31),1,'Non-working days'!$A$6:$A$45)=0),"",IF(COUNTIFS('Leave log'!$A$7:$A$306,Employees!$A$10,'Leave log'!$B$7:$B$306,"&lt;="&amp;DATE($B$3,4,31),'Leave log'!$C$7:$C$306,"&gt;="&amp;DATE($B$3,4,31),'Leave log'!$F$7:$F$306,"Approved")&gt;0,"A",""))="A","A",IF(OR(DATE($B$3,4,31)&gt;EOMONTH(DATE($B$3,4,1),0),NETWORKDAYS.INTL(DATE($B$3,4,31),DATE($B$3,4,31),1,'Non-working days'!$A$6:$A$45)=0),"",IF(COUNTIFS('Leave log'!$A$7:$A$306,Employees!$A$10,'Leave log'!$B$7:$B$306,"&lt;="&amp;DATE($B$3,4,31),'Leave log'!$C$7:$C$306,"&gt;="&amp;DATE($B$3,4,31),'Leave log'!$F$7:$F$306,"Pending")&gt;0,"P",""))))</f>
        <v/>
      </c>
    </row>
    <row r="114" spans="1:32" ht="18" customHeight="1" x14ac:dyDescent="0.3">
      <c r="A114" s="22" t="str">
        <f>IF(Employees!F11="Yes",Employees!B11,"")</f>
        <v/>
      </c>
      <c r="B114" s="23" t="str">
        <f>IF(A114="","",IF(IF(OR(DATE($B$3,4,1)&gt;EOMONTH(DATE($B$3,4,1),0),NETWORKDAYS.INTL(DATE($B$3,4,1),DATE($B$3,4,1),1,'Non-working days'!$A$6:$A$45)=0),"",IF(COUNTIFS('Leave log'!$A$7:$A$306,Employees!$A$11,'Leave log'!$B$7:$B$306,"&lt;="&amp;DATE($B$3,4,1),'Leave log'!$C$7:$C$306,"&gt;="&amp;DATE($B$3,4,1),'Leave log'!$F$7:$F$306,"Approved")&gt;0,"A",""))="A","A",IF(OR(DATE($B$3,4,1)&gt;EOMONTH(DATE($B$3,4,1),0),NETWORKDAYS.INTL(DATE($B$3,4,1),DATE($B$3,4,1),1,'Non-working days'!$A$6:$A$45)=0),"",IF(COUNTIFS('Leave log'!$A$7:$A$306,Employees!$A$11,'Leave log'!$B$7:$B$306,"&lt;="&amp;DATE($B$3,4,1),'Leave log'!$C$7:$C$306,"&gt;="&amp;DATE($B$3,4,1),'Leave log'!$F$7:$F$306,"Pending")&gt;0,"P",""))))</f>
        <v/>
      </c>
      <c r="C114" s="23" t="str">
        <f>IF(A114="","",IF(IF(OR(DATE($B$3,4,2)&gt;EOMONTH(DATE($B$3,4,1),0),NETWORKDAYS.INTL(DATE($B$3,4,2),DATE($B$3,4,2),1,'Non-working days'!$A$6:$A$45)=0),"",IF(COUNTIFS('Leave log'!$A$7:$A$306,Employees!$A$11,'Leave log'!$B$7:$B$306,"&lt;="&amp;DATE($B$3,4,2),'Leave log'!$C$7:$C$306,"&gt;="&amp;DATE($B$3,4,2),'Leave log'!$F$7:$F$306,"Approved")&gt;0,"A",""))="A","A",IF(OR(DATE($B$3,4,2)&gt;EOMONTH(DATE($B$3,4,1),0),NETWORKDAYS.INTL(DATE($B$3,4,2),DATE($B$3,4,2),1,'Non-working days'!$A$6:$A$45)=0),"",IF(COUNTIFS('Leave log'!$A$7:$A$306,Employees!$A$11,'Leave log'!$B$7:$B$306,"&lt;="&amp;DATE($B$3,4,2),'Leave log'!$C$7:$C$306,"&gt;="&amp;DATE($B$3,4,2),'Leave log'!$F$7:$F$306,"Pending")&gt;0,"P",""))))</f>
        <v/>
      </c>
      <c r="D114" s="23" t="str">
        <f>IF(A114="","",IF(IF(OR(DATE($B$3,4,3)&gt;EOMONTH(DATE($B$3,4,1),0),NETWORKDAYS.INTL(DATE($B$3,4,3),DATE($B$3,4,3),1,'Non-working days'!$A$6:$A$45)=0),"",IF(COUNTIFS('Leave log'!$A$7:$A$306,Employees!$A$11,'Leave log'!$B$7:$B$306,"&lt;="&amp;DATE($B$3,4,3),'Leave log'!$C$7:$C$306,"&gt;="&amp;DATE($B$3,4,3),'Leave log'!$F$7:$F$306,"Approved")&gt;0,"A",""))="A","A",IF(OR(DATE($B$3,4,3)&gt;EOMONTH(DATE($B$3,4,1),0),NETWORKDAYS.INTL(DATE($B$3,4,3),DATE($B$3,4,3),1,'Non-working days'!$A$6:$A$45)=0),"",IF(COUNTIFS('Leave log'!$A$7:$A$306,Employees!$A$11,'Leave log'!$B$7:$B$306,"&lt;="&amp;DATE($B$3,4,3),'Leave log'!$C$7:$C$306,"&gt;="&amp;DATE($B$3,4,3),'Leave log'!$F$7:$F$306,"Pending")&gt;0,"P",""))))</f>
        <v/>
      </c>
      <c r="E114" s="23" t="str">
        <f>IF(A114="","",IF(IF(OR(DATE($B$3,4,4)&gt;EOMONTH(DATE($B$3,4,1),0),NETWORKDAYS.INTL(DATE($B$3,4,4),DATE($B$3,4,4),1,'Non-working days'!$A$6:$A$45)=0),"",IF(COUNTIFS('Leave log'!$A$7:$A$306,Employees!$A$11,'Leave log'!$B$7:$B$306,"&lt;="&amp;DATE($B$3,4,4),'Leave log'!$C$7:$C$306,"&gt;="&amp;DATE($B$3,4,4),'Leave log'!$F$7:$F$306,"Approved")&gt;0,"A",""))="A","A",IF(OR(DATE($B$3,4,4)&gt;EOMONTH(DATE($B$3,4,1),0),NETWORKDAYS.INTL(DATE($B$3,4,4),DATE($B$3,4,4),1,'Non-working days'!$A$6:$A$45)=0),"",IF(COUNTIFS('Leave log'!$A$7:$A$306,Employees!$A$11,'Leave log'!$B$7:$B$306,"&lt;="&amp;DATE($B$3,4,4),'Leave log'!$C$7:$C$306,"&gt;="&amp;DATE($B$3,4,4),'Leave log'!$F$7:$F$306,"Pending")&gt;0,"P",""))))</f>
        <v/>
      </c>
      <c r="F114" s="23" t="str">
        <f>IF(A114="","",IF(IF(OR(DATE($B$3,4,5)&gt;EOMONTH(DATE($B$3,4,1),0),NETWORKDAYS.INTL(DATE($B$3,4,5),DATE($B$3,4,5),1,'Non-working days'!$A$6:$A$45)=0),"",IF(COUNTIFS('Leave log'!$A$7:$A$306,Employees!$A$11,'Leave log'!$B$7:$B$306,"&lt;="&amp;DATE($B$3,4,5),'Leave log'!$C$7:$C$306,"&gt;="&amp;DATE($B$3,4,5),'Leave log'!$F$7:$F$306,"Approved")&gt;0,"A",""))="A","A",IF(OR(DATE($B$3,4,5)&gt;EOMONTH(DATE($B$3,4,1),0),NETWORKDAYS.INTL(DATE($B$3,4,5),DATE($B$3,4,5),1,'Non-working days'!$A$6:$A$45)=0),"",IF(COUNTIFS('Leave log'!$A$7:$A$306,Employees!$A$11,'Leave log'!$B$7:$B$306,"&lt;="&amp;DATE($B$3,4,5),'Leave log'!$C$7:$C$306,"&gt;="&amp;DATE($B$3,4,5),'Leave log'!$F$7:$F$306,"Pending")&gt;0,"P",""))))</f>
        <v/>
      </c>
      <c r="G114" s="23" t="str">
        <f>IF(A114="","",IF(IF(OR(DATE($B$3,4,6)&gt;EOMONTH(DATE($B$3,4,1),0),NETWORKDAYS.INTL(DATE($B$3,4,6),DATE($B$3,4,6),1,'Non-working days'!$A$6:$A$45)=0),"",IF(COUNTIFS('Leave log'!$A$7:$A$306,Employees!$A$11,'Leave log'!$B$7:$B$306,"&lt;="&amp;DATE($B$3,4,6),'Leave log'!$C$7:$C$306,"&gt;="&amp;DATE($B$3,4,6),'Leave log'!$F$7:$F$306,"Approved")&gt;0,"A",""))="A","A",IF(OR(DATE($B$3,4,6)&gt;EOMONTH(DATE($B$3,4,1),0),NETWORKDAYS.INTL(DATE($B$3,4,6),DATE($B$3,4,6),1,'Non-working days'!$A$6:$A$45)=0),"",IF(COUNTIFS('Leave log'!$A$7:$A$306,Employees!$A$11,'Leave log'!$B$7:$B$306,"&lt;="&amp;DATE($B$3,4,6),'Leave log'!$C$7:$C$306,"&gt;="&amp;DATE($B$3,4,6),'Leave log'!$F$7:$F$306,"Pending")&gt;0,"P",""))))</f>
        <v/>
      </c>
      <c r="H114" s="23" t="str">
        <f>IF(A114="","",IF(IF(OR(DATE($B$3,4,7)&gt;EOMONTH(DATE($B$3,4,1),0),NETWORKDAYS.INTL(DATE($B$3,4,7),DATE($B$3,4,7),1,'Non-working days'!$A$6:$A$45)=0),"",IF(COUNTIFS('Leave log'!$A$7:$A$306,Employees!$A$11,'Leave log'!$B$7:$B$306,"&lt;="&amp;DATE($B$3,4,7),'Leave log'!$C$7:$C$306,"&gt;="&amp;DATE($B$3,4,7),'Leave log'!$F$7:$F$306,"Approved")&gt;0,"A",""))="A","A",IF(OR(DATE($B$3,4,7)&gt;EOMONTH(DATE($B$3,4,1),0),NETWORKDAYS.INTL(DATE($B$3,4,7),DATE($B$3,4,7),1,'Non-working days'!$A$6:$A$45)=0),"",IF(COUNTIFS('Leave log'!$A$7:$A$306,Employees!$A$11,'Leave log'!$B$7:$B$306,"&lt;="&amp;DATE($B$3,4,7),'Leave log'!$C$7:$C$306,"&gt;="&amp;DATE($B$3,4,7),'Leave log'!$F$7:$F$306,"Pending")&gt;0,"P",""))))</f>
        <v/>
      </c>
      <c r="I114" s="23" t="str">
        <f>IF(A114="","",IF(IF(OR(DATE($B$3,4,8)&gt;EOMONTH(DATE($B$3,4,1),0),NETWORKDAYS.INTL(DATE($B$3,4,8),DATE($B$3,4,8),1,'Non-working days'!$A$6:$A$45)=0),"",IF(COUNTIFS('Leave log'!$A$7:$A$306,Employees!$A$11,'Leave log'!$B$7:$B$306,"&lt;="&amp;DATE($B$3,4,8),'Leave log'!$C$7:$C$306,"&gt;="&amp;DATE($B$3,4,8),'Leave log'!$F$7:$F$306,"Approved")&gt;0,"A",""))="A","A",IF(OR(DATE($B$3,4,8)&gt;EOMONTH(DATE($B$3,4,1),0),NETWORKDAYS.INTL(DATE($B$3,4,8),DATE($B$3,4,8),1,'Non-working days'!$A$6:$A$45)=0),"",IF(COUNTIFS('Leave log'!$A$7:$A$306,Employees!$A$11,'Leave log'!$B$7:$B$306,"&lt;="&amp;DATE($B$3,4,8),'Leave log'!$C$7:$C$306,"&gt;="&amp;DATE($B$3,4,8),'Leave log'!$F$7:$F$306,"Pending")&gt;0,"P",""))))</f>
        <v/>
      </c>
      <c r="J114" s="23" t="str">
        <f>IF(A114="","",IF(IF(OR(DATE($B$3,4,9)&gt;EOMONTH(DATE($B$3,4,1),0),NETWORKDAYS.INTL(DATE($B$3,4,9),DATE($B$3,4,9),1,'Non-working days'!$A$6:$A$45)=0),"",IF(COUNTIFS('Leave log'!$A$7:$A$306,Employees!$A$11,'Leave log'!$B$7:$B$306,"&lt;="&amp;DATE($B$3,4,9),'Leave log'!$C$7:$C$306,"&gt;="&amp;DATE($B$3,4,9),'Leave log'!$F$7:$F$306,"Approved")&gt;0,"A",""))="A","A",IF(OR(DATE($B$3,4,9)&gt;EOMONTH(DATE($B$3,4,1),0),NETWORKDAYS.INTL(DATE($B$3,4,9),DATE($B$3,4,9),1,'Non-working days'!$A$6:$A$45)=0),"",IF(COUNTIFS('Leave log'!$A$7:$A$306,Employees!$A$11,'Leave log'!$B$7:$B$306,"&lt;="&amp;DATE($B$3,4,9),'Leave log'!$C$7:$C$306,"&gt;="&amp;DATE($B$3,4,9),'Leave log'!$F$7:$F$306,"Pending")&gt;0,"P",""))))</f>
        <v/>
      </c>
      <c r="K114" s="23" t="str">
        <f>IF(A114="","",IF(IF(OR(DATE($B$3,4,10)&gt;EOMONTH(DATE($B$3,4,1),0),NETWORKDAYS.INTL(DATE($B$3,4,10),DATE($B$3,4,10),1,'Non-working days'!$A$6:$A$45)=0),"",IF(COUNTIFS('Leave log'!$A$7:$A$306,Employees!$A$11,'Leave log'!$B$7:$B$306,"&lt;="&amp;DATE($B$3,4,10),'Leave log'!$C$7:$C$306,"&gt;="&amp;DATE($B$3,4,10),'Leave log'!$F$7:$F$306,"Approved")&gt;0,"A",""))="A","A",IF(OR(DATE($B$3,4,10)&gt;EOMONTH(DATE($B$3,4,1),0),NETWORKDAYS.INTL(DATE($B$3,4,10),DATE($B$3,4,10),1,'Non-working days'!$A$6:$A$45)=0),"",IF(COUNTIFS('Leave log'!$A$7:$A$306,Employees!$A$11,'Leave log'!$B$7:$B$306,"&lt;="&amp;DATE($B$3,4,10),'Leave log'!$C$7:$C$306,"&gt;="&amp;DATE($B$3,4,10),'Leave log'!$F$7:$F$306,"Pending")&gt;0,"P",""))))</f>
        <v/>
      </c>
      <c r="L114" s="23" t="str">
        <f>IF(A114="","",IF(IF(OR(DATE($B$3,4,11)&gt;EOMONTH(DATE($B$3,4,1),0),NETWORKDAYS.INTL(DATE($B$3,4,11),DATE($B$3,4,11),1,'Non-working days'!$A$6:$A$45)=0),"",IF(COUNTIFS('Leave log'!$A$7:$A$306,Employees!$A$11,'Leave log'!$B$7:$B$306,"&lt;="&amp;DATE($B$3,4,11),'Leave log'!$C$7:$C$306,"&gt;="&amp;DATE($B$3,4,11),'Leave log'!$F$7:$F$306,"Approved")&gt;0,"A",""))="A","A",IF(OR(DATE($B$3,4,11)&gt;EOMONTH(DATE($B$3,4,1),0),NETWORKDAYS.INTL(DATE($B$3,4,11),DATE($B$3,4,11),1,'Non-working days'!$A$6:$A$45)=0),"",IF(COUNTIFS('Leave log'!$A$7:$A$306,Employees!$A$11,'Leave log'!$B$7:$B$306,"&lt;="&amp;DATE($B$3,4,11),'Leave log'!$C$7:$C$306,"&gt;="&amp;DATE($B$3,4,11),'Leave log'!$F$7:$F$306,"Pending")&gt;0,"P",""))))</f>
        <v/>
      </c>
      <c r="M114" s="23" t="str">
        <f>IF(A114="","",IF(IF(OR(DATE($B$3,4,12)&gt;EOMONTH(DATE($B$3,4,1),0),NETWORKDAYS.INTL(DATE($B$3,4,12),DATE($B$3,4,12),1,'Non-working days'!$A$6:$A$45)=0),"",IF(COUNTIFS('Leave log'!$A$7:$A$306,Employees!$A$11,'Leave log'!$B$7:$B$306,"&lt;="&amp;DATE($B$3,4,12),'Leave log'!$C$7:$C$306,"&gt;="&amp;DATE($B$3,4,12),'Leave log'!$F$7:$F$306,"Approved")&gt;0,"A",""))="A","A",IF(OR(DATE($B$3,4,12)&gt;EOMONTH(DATE($B$3,4,1),0),NETWORKDAYS.INTL(DATE($B$3,4,12),DATE($B$3,4,12),1,'Non-working days'!$A$6:$A$45)=0),"",IF(COUNTIFS('Leave log'!$A$7:$A$306,Employees!$A$11,'Leave log'!$B$7:$B$306,"&lt;="&amp;DATE($B$3,4,12),'Leave log'!$C$7:$C$306,"&gt;="&amp;DATE($B$3,4,12),'Leave log'!$F$7:$F$306,"Pending")&gt;0,"P",""))))</f>
        <v/>
      </c>
      <c r="N114" s="23" t="str">
        <f>IF(A114="","",IF(IF(OR(DATE($B$3,4,13)&gt;EOMONTH(DATE($B$3,4,1),0),NETWORKDAYS.INTL(DATE($B$3,4,13),DATE($B$3,4,13),1,'Non-working days'!$A$6:$A$45)=0),"",IF(COUNTIFS('Leave log'!$A$7:$A$306,Employees!$A$11,'Leave log'!$B$7:$B$306,"&lt;="&amp;DATE($B$3,4,13),'Leave log'!$C$7:$C$306,"&gt;="&amp;DATE($B$3,4,13),'Leave log'!$F$7:$F$306,"Approved")&gt;0,"A",""))="A","A",IF(OR(DATE($B$3,4,13)&gt;EOMONTH(DATE($B$3,4,1),0),NETWORKDAYS.INTL(DATE($B$3,4,13),DATE($B$3,4,13),1,'Non-working days'!$A$6:$A$45)=0),"",IF(COUNTIFS('Leave log'!$A$7:$A$306,Employees!$A$11,'Leave log'!$B$7:$B$306,"&lt;="&amp;DATE($B$3,4,13),'Leave log'!$C$7:$C$306,"&gt;="&amp;DATE($B$3,4,13),'Leave log'!$F$7:$F$306,"Pending")&gt;0,"P",""))))</f>
        <v/>
      </c>
      <c r="O114" s="23" t="str">
        <f>IF(A114="","",IF(IF(OR(DATE($B$3,4,14)&gt;EOMONTH(DATE($B$3,4,1),0),NETWORKDAYS.INTL(DATE($B$3,4,14),DATE($B$3,4,14),1,'Non-working days'!$A$6:$A$45)=0),"",IF(COUNTIFS('Leave log'!$A$7:$A$306,Employees!$A$11,'Leave log'!$B$7:$B$306,"&lt;="&amp;DATE($B$3,4,14),'Leave log'!$C$7:$C$306,"&gt;="&amp;DATE($B$3,4,14),'Leave log'!$F$7:$F$306,"Approved")&gt;0,"A",""))="A","A",IF(OR(DATE($B$3,4,14)&gt;EOMONTH(DATE($B$3,4,1),0),NETWORKDAYS.INTL(DATE($B$3,4,14),DATE($B$3,4,14),1,'Non-working days'!$A$6:$A$45)=0),"",IF(COUNTIFS('Leave log'!$A$7:$A$306,Employees!$A$11,'Leave log'!$B$7:$B$306,"&lt;="&amp;DATE($B$3,4,14),'Leave log'!$C$7:$C$306,"&gt;="&amp;DATE($B$3,4,14),'Leave log'!$F$7:$F$306,"Pending")&gt;0,"P",""))))</f>
        <v/>
      </c>
      <c r="P114" s="23" t="str">
        <f>IF(A114="","",IF(IF(OR(DATE($B$3,4,15)&gt;EOMONTH(DATE($B$3,4,1),0),NETWORKDAYS.INTL(DATE($B$3,4,15),DATE($B$3,4,15),1,'Non-working days'!$A$6:$A$45)=0),"",IF(COUNTIFS('Leave log'!$A$7:$A$306,Employees!$A$11,'Leave log'!$B$7:$B$306,"&lt;="&amp;DATE($B$3,4,15),'Leave log'!$C$7:$C$306,"&gt;="&amp;DATE($B$3,4,15),'Leave log'!$F$7:$F$306,"Approved")&gt;0,"A",""))="A","A",IF(OR(DATE($B$3,4,15)&gt;EOMONTH(DATE($B$3,4,1),0),NETWORKDAYS.INTL(DATE($B$3,4,15),DATE($B$3,4,15),1,'Non-working days'!$A$6:$A$45)=0),"",IF(COUNTIFS('Leave log'!$A$7:$A$306,Employees!$A$11,'Leave log'!$B$7:$B$306,"&lt;="&amp;DATE($B$3,4,15),'Leave log'!$C$7:$C$306,"&gt;="&amp;DATE($B$3,4,15),'Leave log'!$F$7:$F$306,"Pending")&gt;0,"P",""))))</f>
        <v/>
      </c>
      <c r="Q114" s="23" t="str">
        <f>IF(A114="","",IF(IF(OR(DATE($B$3,4,16)&gt;EOMONTH(DATE($B$3,4,1),0),NETWORKDAYS.INTL(DATE($B$3,4,16),DATE($B$3,4,16),1,'Non-working days'!$A$6:$A$45)=0),"",IF(COUNTIFS('Leave log'!$A$7:$A$306,Employees!$A$11,'Leave log'!$B$7:$B$306,"&lt;="&amp;DATE($B$3,4,16),'Leave log'!$C$7:$C$306,"&gt;="&amp;DATE($B$3,4,16),'Leave log'!$F$7:$F$306,"Approved")&gt;0,"A",""))="A","A",IF(OR(DATE($B$3,4,16)&gt;EOMONTH(DATE($B$3,4,1),0),NETWORKDAYS.INTL(DATE($B$3,4,16),DATE($B$3,4,16),1,'Non-working days'!$A$6:$A$45)=0),"",IF(COUNTIFS('Leave log'!$A$7:$A$306,Employees!$A$11,'Leave log'!$B$7:$B$306,"&lt;="&amp;DATE($B$3,4,16),'Leave log'!$C$7:$C$306,"&gt;="&amp;DATE($B$3,4,16),'Leave log'!$F$7:$F$306,"Pending")&gt;0,"P",""))))</f>
        <v/>
      </c>
      <c r="R114" s="23" t="str">
        <f>IF(A114="","",IF(IF(OR(DATE($B$3,4,17)&gt;EOMONTH(DATE($B$3,4,1),0),NETWORKDAYS.INTL(DATE($B$3,4,17),DATE($B$3,4,17),1,'Non-working days'!$A$6:$A$45)=0),"",IF(COUNTIFS('Leave log'!$A$7:$A$306,Employees!$A$11,'Leave log'!$B$7:$B$306,"&lt;="&amp;DATE($B$3,4,17),'Leave log'!$C$7:$C$306,"&gt;="&amp;DATE($B$3,4,17),'Leave log'!$F$7:$F$306,"Approved")&gt;0,"A",""))="A","A",IF(OR(DATE($B$3,4,17)&gt;EOMONTH(DATE($B$3,4,1),0),NETWORKDAYS.INTL(DATE($B$3,4,17),DATE($B$3,4,17),1,'Non-working days'!$A$6:$A$45)=0),"",IF(COUNTIFS('Leave log'!$A$7:$A$306,Employees!$A$11,'Leave log'!$B$7:$B$306,"&lt;="&amp;DATE($B$3,4,17),'Leave log'!$C$7:$C$306,"&gt;="&amp;DATE($B$3,4,17),'Leave log'!$F$7:$F$306,"Pending")&gt;0,"P",""))))</f>
        <v/>
      </c>
      <c r="S114" s="23" t="str">
        <f>IF(A114="","",IF(IF(OR(DATE($B$3,4,18)&gt;EOMONTH(DATE($B$3,4,1),0),NETWORKDAYS.INTL(DATE($B$3,4,18),DATE($B$3,4,18),1,'Non-working days'!$A$6:$A$45)=0),"",IF(COUNTIFS('Leave log'!$A$7:$A$306,Employees!$A$11,'Leave log'!$B$7:$B$306,"&lt;="&amp;DATE($B$3,4,18),'Leave log'!$C$7:$C$306,"&gt;="&amp;DATE($B$3,4,18),'Leave log'!$F$7:$F$306,"Approved")&gt;0,"A",""))="A","A",IF(OR(DATE($B$3,4,18)&gt;EOMONTH(DATE($B$3,4,1),0),NETWORKDAYS.INTL(DATE($B$3,4,18),DATE($B$3,4,18),1,'Non-working days'!$A$6:$A$45)=0),"",IF(COUNTIFS('Leave log'!$A$7:$A$306,Employees!$A$11,'Leave log'!$B$7:$B$306,"&lt;="&amp;DATE($B$3,4,18),'Leave log'!$C$7:$C$306,"&gt;="&amp;DATE($B$3,4,18),'Leave log'!$F$7:$F$306,"Pending")&gt;0,"P",""))))</f>
        <v/>
      </c>
      <c r="T114" s="23" t="str">
        <f>IF(A114="","",IF(IF(OR(DATE($B$3,4,19)&gt;EOMONTH(DATE($B$3,4,1),0),NETWORKDAYS.INTL(DATE($B$3,4,19),DATE($B$3,4,19),1,'Non-working days'!$A$6:$A$45)=0),"",IF(COUNTIFS('Leave log'!$A$7:$A$306,Employees!$A$11,'Leave log'!$B$7:$B$306,"&lt;="&amp;DATE($B$3,4,19),'Leave log'!$C$7:$C$306,"&gt;="&amp;DATE($B$3,4,19),'Leave log'!$F$7:$F$306,"Approved")&gt;0,"A",""))="A","A",IF(OR(DATE($B$3,4,19)&gt;EOMONTH(DATE($B$3,4,1),0),NETWORKDAYS.INTL(DATE($B$3,4,19),DATE($B$3,4,19),1,'Non-working days'!$A$6:$A$45)=0),"",IF(COUNTIFS('Leave log'!$A$7:$A$306,Employees!$A$11,'Leave log'!$B$7:$B$306,"&lt;="&amp;DATE($B$3,4,19),'Leave log'!$C$7:$C$306,"&gt;="&amp;DATE($B$3,4,19),'Leave log'!$F$7:$F$306,"Pending")&gt;0,"P",""))))</f>
        <v/>
      </c>
      <c r="U114" s="23" t="str">
        <f>IF(A114="","",IF(IF(OR(DATE($B$3,4,20)&gt;EOMONTH(DATE($B$3,4,1),0),NETWORKDAYS.INTL(DATE($B$3,4,20),DATE($B$3,4,20),1,'Non-working days'!$A$6:$A$45)=0),"",IF(COUNTIFS('Leave log'!$A$7:$A$306,Employees!$A$11,'Leave log'!$B$7:$B$306,"&lt;="&amp;DATE($B$3,4,20),'Leave log'!$C$7:$C$306,"&gt;="&amp;DATE($B$3,4,20),'Leave log'!$F$7:$F$306,"Approved")&gt;0,"A",""))="A","A",IF(OR(DATE($B$3,4,20)&gt;EOMONTH(DATE($B$3,4,1),0),NETWORKDAYS.INTL(DATE($B$3,4,20),DATE($B$3,4,20),1,'Non-working days'!$A$6:$A$45)=0),"",IF(COUNTIFS('Leave log'!$A$7:$A$306,Employees!$A$11,'Leave log'!$B$7:$B$306,"&lt;="&amp;DATE($B$3,4,20),'Leave log'!$C$7:$C$306,"&gt;="&amp;DATE($B$3,4,20),'Leave log'!$F$7:$F$306,"Pending")&gt;0,"P",""))))</f>
        <v/>
      </c>
      <c r="V114" s="23" t="str">
        <f>IF(A114="","",IF(IF(OR(DATE($B$3,4,21)&gt;EOMONTH(DATE($B$3,4,1),0),NETWORKDAYS.INTL(DATE($B$3,4,21),DATE($B$3,4,21),1,'Non-working days'!$A$6:$A$45)=0),"",IF(COUNTIFS('Leave log'!$A$7:$A$306,Employees!$A$11,'Leave log'!$B$7:$B$306,"&lt;="&amp;DATE($B$3,4,21),'Leave log'!$C$7:$C$306,"&gt;="&amp;DATE($B$3,4,21),'Leave log'!$F$7:$F$306,"Approved")&gt;0,"A",""))="A","A",IF(OR(DATE($B$3,4,21)&gt;EOMONTH(DATE($B$3,4,1),0),NETWORKDAYS.INTL(DATE($B$3,4,21),DATE($B$3,4,21),1,'Non-working days'!$A$6:$A$45)=0),"",IF(COUNTIFS('Leave log'!$A$7:$A$306,Employees!$A$11,'Leave log'!$B$7:$B$306,"&lt;="&amp;DATE($B$3,4,21),'Leave log'!$C$7:$C$306,"&gt;="&amp;DATE($B$3,4,21),'Leave log'!$F$7:$F$306,"Pending")&gt;0,"P",""))))</f>
        <v/>
      </c>
      <c r="W114" s="23" t="str">
        <f>IF(A114="","",IF(IF(OR(DATE($B$3,4,22)&gt;EOMONTH(DATE($B$3,4,1),0),NETWORKDAYS.INTL(DATE($B$3,4,22),DATE($B$3,4,22),1,'Non-working days'!$A$6:$A$45)=0),"",IF(COUNTIFS('Leave log'!$A$7:$A$306,Employees!$A$11,'Leave log'!$B$7:$B$306,"&lt;="&amp;DATE($B$3,4,22),'Leave log'!$C$7:$C$306,"&gt;="&amp;DATE($B$3,4,22),'Leave log'!$F$7:$F$306,"Approved")&gt;0,"A",""))="A","A",IF(OR(DATE($B$3,4,22)&gt;EOMONTH(DATE($B$3,4,1),0),NETWORKDAYS.INTL(DATE($B$3,4,22),DATE($B$3,4,22),1,'Non-working days'!$A$6:$A$45)=0),"",IF(COUNTIFS('Leave log'!$A$7:$A$306,Employees!$A$11,'Leave log'!$B$7:$B$306,"&lt;="&amp;DATE($B$3,4,22),'Leave log'!$C$7:$C$306,"&gt;="&amp;DATE($B$3,4,22),'Leave log'!$F$7:$F$306,"Pending")&gt;0,"P",""))))</f>
        <v/>
      </c>
      <c r="X114" s="23" t="str">
        <f>IF(A114="","",IF(IF(OR(DATE($B$3,4,23)&gt;EOMONTH(DATE($B$3,4,1),0),NETWORKDAYS.INTL(DATE($B$3,4,23),DATE($B$3,4,23),1,'Non-working days'!$A$6:$A$45)=0),"",IF(COUNTIFS('Leave log'!$A$7:$A$306,Employees!$A$11,'Leave log'!$B$7:$B$306,"&lt;="&amp;DATE($B$3,4,23),'Leave log'!$C$7:$C$306,"&gt;="&amp;DATE($B$3,4,23),'Leave log'!$F$7:$F$306,"Approved")&gt;0,"A",""))="A","A",IF(OR(DATE($B$3,4,23)&gt;EOMONTH(DATE($B$3,4,1),0),NETWORKDAYS.INTL(DATE($B$3,4,23),DATE($B$3,4,23),1,'Non-working days'!$A$6:$A$45)=0),"",IF(COUNTIFS('Leave log'!$A$7:$A$306,Employees!$A$11,'Leave log'!$B$7:$B$306,"&lt;="&amp;DATE($B$3,4,23),'Leave log'!$C$7:$C$306,"&gt;="&amp;DATE($B$3,4,23),'Leave log'!$F$7:$F$306,"Pending")&gt;0,"P",""))))</f>
        <v/>
      </c>
      <c r="Y114" s="23" t="str">
        <f>IF(A114="","",IF(IF(OR(DATE($B$3,4,24)&gt;EOMONTH(DATE($B$3,4,1),0),NETWORKDAYS.INTL(DATE($B$3,4,24),DATE($B$3,4,24),1,'Non-working days'!$A$6:$A$45)=0),"",IF(COUNTIFS('Leave log'!$A$7:$A$306,Employees!$A$11,'Leave log'!$B$7:$B$306,"&lt;="&amp;DATE($B$3,4,24),'Leave log'!$C$7:$C$306,"&gt;="&amp;DATE($B$3,4,24),'Leave log'!$F$7:$F$306,"Approved")&gt;0,"A",""))="A","A",IF(OR(DATE($B$3,4,24)&gt;EOMONTH(DATE($B$3,4,1),0),NETWORKDAYS.INTL(DATE($B$3,4,24),DATE($B$3,4,24),1,'Non-working days'!$A$6:$A$45)=0),"",IF(COUNTIFS('Leave log'!$A$7:$A$306,Employees!$A$11,'Leave log'!$B$7:$B$306,"&lt;="&amp;DATE($B$3,4,24),'Leave log'!$C$7:$C$306,"&gt;="&amp;DATE($B$3,4,24),'Leave log'!$F$7:$F$306,"Pending")&gt;0,"P",""))))</f>
        <v/>
      </c>
      <c r="Z114" s="23" t="str">
        <f>IF(A114="","",IF(IF(OR(DATE($B$3,4,25)&gt;EOMONTH(DATE($B$3,4,1),0),NETWORKDAYS.INTL(DATE($B$3,4,25),DATE($B$3,4,25),1,'Non-working days'!$A$6:$A$45)=0),"",IF(COUNTIFS('Leave log'!$A$7:$A$306,Employees!$A$11,'Leave log'!$B$7:$B$306,"&lt;="&amp;DATE($B$3,4,25),'Leave log'!$C$7:$C$306,"&gt;="&amp;DATE($B$3,4,25),'Leave log'!$F$7:$F$306,"Approved")&gt;0,"A",""))="A","A",IF(OR(DATE($B$3,4,25)&gt;EOMONTH(DATE($B$3,4,1),0),NETWORKDAYS.INTL(DATE($B$3,4,25),DATE($B$3,4,25),1,'Non-working days'!$A$6:$A$45)=0),"",IF(COUNTIFS('Leave log'!$A$7:$A$306,Employees!$A$11,'Leave log'!$B$7:$B$306,"&lt;="&amp;DATE($B$3,4,25),'Leave log'!$C$7:$C$306,"&gt;="&amp;DATE($B$3,4,25),'Leave log'!$F$7:$F$306,"Pending")&gt;0,"P",""))))</f>
        <v/>
      </c>
      <c r="AA114" s="23" t="str">
        <f>IF(A114="","",IF(IF(OR(DATE($B$3,4,26)&gt;EOMONTH(DATE($B$3,4,1),0),NETWORKDAYS.INTL(DATE($B$3,4,26),DATE($B$3,4,26),1,'Non-working days'!$A$6:$A$45)=0),"",IF(COUNTIFS('Leave log'!$A$7:$A$306,Employees!$A$11,'Leave log'!$B$7:$B$306,"&lt;="&amp;DATE($B$3,4,26),'Leave log'!$C$7:$C$306,"&gt;="&amp;DATE($B$3,4,26),'Leave log'!$F$7:$F$306,"Approved")&gt;0,"A",""))="A","A",IF(OR(DATE($B$3,4,26)&gt;EOMONTH(DATE($B$3,4,1),0),NETWORKDAYS.INTL(DATE($B$3,4,26),DATE($B$3,4,26),1,'Non-working days'!$A$6:$A$45)=0),"",IF(COUNTIFS('Leave log'!$A$7:$A$306,Employees!$A$11,'Leave log'!$B$7:$B$306,"&lt;="&amp;DATE($B$3,4,26),'Leave log'!$C$7:$C$306,"&gt;="&amp;DATE($B$3,4,26),'Leave log'!$F$7:$F$306,"Pending")&gt;0,"P",""))))</f>
        <v/>
      </c>
      <c r="AB114" s="23" t="str">
        <f>IF(A114="","",IF(IF(OR(DATE($B$3,4,27)&gt;EOMONTH(DATE($B$3,4,1),0),NETWORKDAYS.INTL(DATE($B$3,4,27),DATE($B$3,4,27),1,'Non-working days'!$A$6:$A$45)=0),"",IF(COUNTIFS('Leave log'!$A$7:$A$306,Employees!$A$11,'Leave log'!$B$7:$B$306,"&lt;="&amp;DATE($B$3,4,27),'Leave log'!$C$7:$C$306,"&gt;="&amp;DATE($B$3,4,27),'Leave log'!$F$7:$F$306,"Approved")&gt;0,"A",""))="A","A",IF(OR(DATE($B$3,4,27)&gt;EOMONTH(DATE($B$3,4,1),0),NETWORKDAYS.INTL(DATE($B$3,4,27),DATE($B$3,4,27),1,'Non-working days'!$A$6:$A$45)=0),"",IF(COUNTIFS('Leave log'!$A$7:$A$306,Employees!$A$11,'Leave log'!$B$7:$B$306,"&lt;="&amp;DATE($B$3,4,27),'Leave log'!$C$7:$C$306,"&gt;="&amp;DATE($B$3,4,27),'Leave log'!$F$7:$F$306,"Pending")&gt;0,"P",""))))</f>
        <v/>
      </c>
      <c r="AC114" s="23" t="str">
        <f>IF(A114="","",IF(IF(OR(DATE($B$3,4,28)&gt;EOMONTH(DATE($B$3,4,1),0),NETWORKDAYS.INTL(DATE($B$3,4,28),DATE($B$3,4,28),1,'Non-working days'!$A$6:$A$45)=0),"",IF(COUNTIFS('Leave log'!$A$7:$A$306,Employees!$A$11,'Leave log'!$B$7:$B$306,"&lt;="&amp;DATE($B$3,4,28),'Leave log'!$C$7:$C$306,"&gt;="&amp;DATE($B$3,4,28),'Leave log'!$F$7:$F$306,"Approved")&gt;0,"A",""))="A","A",IF(OR(DATE($B$3,4,28)&gt;EOMONTH(DATE($B$3,4,1),0),NETWORKDAYS.INTL(DATE($B$3,4,28),DATE($B$3,4,28),1,'Non-working days'!$A$6:$A$45)=0),"",IF(COUNTIFS('Leave log'!$A$7:$A$306,Employees!$A$11,'Leave log'!$B$7:$B$306,"&lt;="&amp;DATE($B$3,4,28),'Leave log'!$C$7:$C$306,"&gt;="&amp;DATE($B$3,4,28),'Leave log'!$F$7:$F$306,"Pending")&gt;0,"P",""))))</f>
        <v/>
      </c>
      <c r="AD114" s="23" t="str">
        <f>IF(A114="","",IF(IF(OR(DATE($B$3,4,29)&gt;EOMONTH(DATE($B$3,4,1),0),NETWORKDAYS.INTL(DATE($B$3,4,29),DATE($B$3,4,29),1,'Non-working days'!$A$6:$A$45)=0),"",IF(COUNTIFS('Leave log'!$A$7:$A$306,Employees!$A$11,'Leave log'!$B$7:$B$306,"&lt;="&amp;DATE($B$3,4,29),'Leave log'!$C$7:$C$306,"&gt;="&amp;DATE($B$3,4,29),'Leave log'!$F$7:$F$306,"Approved")&gt;0,"A",""))="A","A",IF(OR(DATE($B$3,4,29)&gt;EOMONTH(DATE($B$3,4,1),0),NETWORKDAYS.INTL(DATE($B$3,4,29),DATE($B$3,4,29),1,'Non-working days'!$A$6:$A$45)=0),"",IF(COUNTIFS('Leave log'!$A$7:$A$306,Employees!$A$11,'Leave log'!$B$7:$B$306,"&lt;="&amp;DATE($B$3,4,29),'Leave log'!$C$7:$C$306,"&gt;="&amp;DATE($B$3,4,29),'Leave log'!$F$7:$F$306,"Pending")&gt;0,"P",""))))</f>
        <v/>
      </c>
      <c r="AE114" s="23" t="str">
        <f>IF(A114="","",IF(IF(OR(DATE($B$3,4,30)&gt;EOMONTH(DATE($B$3,4,1),0),NETWORKDAYS.INTL(DATE($B$3,4,30),DATE($B$3,4,30),1,'Non-working days'!$A$6:$A$45)=0),"",IF(COUNTIFS('Leave log'!$A$7:$A$306,Employees!$A$11,'Leave log'!$B$7:$B$306,"&lt;="&amp;DATE($B$3,4,30),'Leave log'!$C$7:$C$306,"&gt;="&amp;DATE($B$3,4,30),'Leave log'!$F$7:$F$306,"Approved")&gt;0,"A",""))="A","A",IF(OR(DATE($B$3,4,30)&gt;EOMONTH(DATE($B$3,4,1),0),NETWORKDAYS.INTL(DATE($B$3,4,30),DATE($B$3,4,30),1,'Non-working days'!$A$6:$A$45)=0),"",IF(COUNTIFS('Leave log'!$A$7:$A$306,Employees!$A$11,'Leave log'!$B$7:$B$306,"&lt;="&amp;DATE($B$3,4,30),'Leave log'!$C$7:$C$306,"&gt;="&amp;DATE($B$3,4,30),'Leave log'!$F$7:$F$306,"Pending")&gt;0,"P",""))))</f>
        <v/>
      </c>
      <c r="AF114" s="23" t="str">
        <f>IF(A114="","",IF(IF(OR(DATE($B$3,4,31)&gt;EOMONTH(DATE($B$3,4,1),0),NETWORKDAYS.INTL(DATE($B$3,4,31),DATE($B$3,4,31),1,'Non-working days'!$A$6:$A$45)=0),"",IF(COUNTIFS('Leave log'!$A$7:$A$306,Employees!$A$11,'Leave log'!$B$7:$B$306,"&lt;="&amp;DATE($B$3,4,31),'Leave log'!$C$7:$C$306,"&gt;="&amp;DATE($B$3,4,31),'Leave log'!$F$7:$F$306,"Approved")&gt;0,"A",""))="A","A",IF(OR(DATE($B$3,4,31)&gt;EOMONTH(DATE($B$3,4,1),0),NETWORKDAYS.INTL(DATE($B$3,4,31),DATE($B$3,4,31),1,'Non-working days'!$A$6:$A$45)=0),"",IF(COUNTIFS('Leave log'!$A$7:$A$306,Employees!$A$11,'Leave log'!$B$7:$B$306,"&lt;="&amp;DATE($B$3,4,31),'Leave log'!$C$7:$C$306,"&gt;="&amp;DATE($B$3,4,31),'Leave log'!$F$7:$F$306,"Pending")&gt;0,"P",""))))</f>
        <v/>
      </c>
    </row>
    <row r="115" spans="1:32" ht="18" customHeight="1" x14ac:dyDescent="0.3">
      <c r="A115" s="22" t="str">
        <f>IF(Employees!F12="Yes",Employees!B12,"")</f>
        <v/>
      </c>
      <c r="B115" s="23" t="str">
        <f>IF(A115="","",IF(IF(OR(DATE($B$3,4,1)&gt;EOMONTH(DATE($B$3,4,1),0),NETWORKDAYS.INTL(DATE($B$3,4,1),DATE($B$3,4,1),1,'Non-working days'!$A$6:$A$45)=0),"",IF(COUNTIFS('Leave log'!$A$7:$A$306,Employees!$A$12,'Leave log'!$B$7:$B$306,"&lt;="&amp;DATE($B$3,4,1),'Leave log'!$C$7:$C$306,"&gt;="&amp;DATE($B$3,4,1),'Leave log'!$F$7:$F$306,"Approved")&gt;0,"A",""))="A","A",IF(OR(DATE($B$3,4,1)&gt;EOMONTH(DATE($B$3,4,1),0),NETWORKDAYS.INTL(DATE($B$3,4,1),DATE($B$3,4,1),1,'Non-working days'!$A$6:$A$45)=0),"",IF(COUNTIFS('Leave log'!$A$7:$A$306,Employees!$A$12,'Leave log'!$B$7:$B$306,"&lt;="&amp;DATE($B$3,4,1),'Leave log'!$C$7:$C$306,"&gt;="&amp;DATE($B$3,4,1),'Leave log'!$F$7:$F$306,"Pending")&gt;0,"P",""))))</f>
        <v/>
      </c>
      <c r="C115" s="23" t="str">
        <f>IF(A115="","",IF(IF(OR(DATE($B$3,4,2)&gt;EOMONTH(DATE($B$3,4,1),0),NETWORKDAYS.INTL(DATE($B$3,4,2),DATE($B$3,4,2),1,'Non-working days'!$A$6:$A$45)=0),"",IF(COUNTIFS('Leave log'!$A$7:$A$306,Employees!$A$12,'Leave log'!$B$7:$B$306,"&lt;="&amp;DATE($B$3,4,2),'Leave log'!$C$7:$C$306,"&gt;="&amp;DATE($B$3,4,2),'Leave log'!$F$7:$F$306,"Approved")&gt;0,"A",""))="A","A",IF(OR(DATE($B$3,4,2)&gt;EOMONTH(DATE($B$3,4,1),0),NETWORKDAYS.INTL(DATE($B$3,4,2),DATE($B$3,4,2),1,'Non-working days'!$A$6:$A$45)=0),"",IF(COUNTIFS('Leave log'!$A$7:$A$306,Employees!$A$12,'Leave log'!$B$7:$B$306,"&lt;="&amp;DATE($B$3,4,2),'Leave log'!$C$7:$C$306,"&gt;="&amp;DATE($B$3,4,2),'Leave log'!$F$7:$F$306,"Pending")&gt;0,"P",""))))</f>
        <v/>
      </c>
      <c r="D115" s="23" t="str">
        <f>IF(A115="","",IF(IF(OR(DATE($B$3,4,3)&gt;EOMONTH(DATE($B$3,4,1),0),NETWORKDAYS.INTL(DATE($B$3,4,3),DATE($B$3,4,3),1,'Non-working days'!$A$6:$A$45)=0),"",IF(COUNTIFS('Leave log'!$A$7:$A$306,Employees!$A$12,'Leave log'!$B$7:$B$306,"&lt;="&amp;DATE($B$3,4,3),'Leave log'!$C$7:$C$306,"&gt;="&amp;DATE($B$3,4,3),'Leave log'!$F$7:$F$306,"Approved")&gt;0,"A",""))="A","A",IF(OR(DATE($B$3,4,3)&gt;EOMONTH(DATE($B$3,4,1),0),NETWORKDAYS.INTL(DATE($B$3,4,3),DATE($B$3,4,3),1,'Non-working days'!$A$6:$A$45)=0),"",IF(COUNTIFS('Leave log'!$A$7:$A$306,Employees!$A$12,'Leave log'!$B$7:$B$306,"&lt;="&amp;DATE($B$3,4,3),'Leave log'!$C$7:$C$306,"&gt;="&amp;DATE($B$3,4,3),'Leave log'!$F$7:$F$306,"Pending")&gt;0,"P",""))))</f>
        <v/>
      </c>
      <c r="E115" s="23" t="str">
        <f>IF(A115="","",IF(IF(OR(DATE($B$3,4,4)&gt;EOMONTH(DATE($B$3,4,1),0),NETWORKDAYS.INTL(DATE($B$3,4,4),DATE($B$3,4,4),1,'Non-working days'!$A$6:$A$45)=0),"",IF(COUNTIFS('Leave log'!$A$7:$A$306,Employees!$A$12,'Leave log'!$B$7:$B$306,"&lt;="&amp;DATE($B$3,4,4),'Leave log'!$C$7:$C$306,"&gt;="&amp;DATE($B$3,4,4),'Leave log'!$F$7:$F$306,"Approved")&gt;0,"A",""))="A","A",IF(OR(DATE($B$3,4,4)&gt;EOMONTH(DATE($B$3,4,1),0),NETWORKDAYS.INTL(DATE($B$3,4,4),DATE($B$3,4,4),1,'Non-working days'!$A$6:$A$45)=0),"",IF(COUNTIFS('Leave log'!$A$7:$A$306,Employees!$A$12,'Leave log'!$B$7:$B$306,"&lt;="&amp;DATE($B$3,4,4),'Leave log'!$C$7:$C$306,"&gt;="&amp;DATE($B$3,4,4),'Leave log'!$F$7:$F$306,"Pending")&gt;0,"P",""))))</f>
        <v/>
      </c>
      <c r="F115" s="23" t="str">
        <f>IF(A115="","",IF(IF(OR(DATE($B$3,4,5)&gt;EOMONTH(DATE($B$3,4,1),0),NETWORKDAYS.INTL(DATE($B$3,4,5),DATE($B$3,4,5),1,'Non-working days'!$A$6:$A$45)=0),"",IF(COUNTIFS('Leave log'!$A$7:$A$306,Employees!$A$12,'Leave log'!$B$7:$B$306,"&lt;="&amp;DATE($B$3,4,5),'Leave log'!$C$7:$C$306,"&gt;="&amp;DATE($B$3,4,5),'Leave log'!$F$7:$F$306,"Approved")&gt;0,"A",""))="A","A",IF(OR(DATE($B$3,4,5)&gt;EOMONTH(DATE($B$3,4,1),0),NETWORKDAYS.INTL(DATE($B$3,4,5),DATE($B$3,4,5),1,'Non-working days'!$A$6:$A$45)=0),"",IF(COUNTIFS('Leave log'!$A$7:$A$306,Employees!$A$12,'Leave log'!$B$7:$B$306,"&lt;="&amp;DATE($B$3,4,5),'Leave log'!$C$7:$C$306,"&gt;="&amp;DATE($B$3,4,5),'Leave log'!$F$7:$F$306,"Pending")&gt;0,"P",""))))</f>
        <v/>
      </c>
      <c r="G115" s="23" t="str">
        <f>IF(A115="","",IF(IF(OR(DATE($B$3,4,6)&gt;EOMONTH(DATE($B$3,4,1),0),NETWORKDAYS.INTL(DATE($B$3,4,6),DATE($B$3,4,6),1,'Non-working days'!$A$6:$A$45)=0),"",IF(COUNTIFS('Leave log'!$A$7:$A$306,Employees!$A$12,'Leave log'!$B$7:$B$306,"&lt;="&amp;DATE($B$3,4,6),'Leave log'!$C$7:$C$306,"&gt;="&amp;DATE($B$3,4,6),'Leave log'!$F$7:$F$306,"Approved")&gt;0,"A",""))="A","A",IF(OR(DATE($B$3,4,6)&gt;EOMONTH(DATE($B$3,4,1),0),NETWORKDAYS.INTL(DATE($B$3,4,6),DATE($B$3,4,6),1,'Non-working days'!$A$6:$A$45)=0),"",IF(COUNTIFS('Leave log'!$A$7:$A$306,Employees!$A$12,'Leave log'!$B$7:$B$306,"&lt;="&amp;DATE($B$3,4,6),'Leave log'!$C$7:$C$306,"&gt;="&amp;DATE($B$3,4,6),'Leave log'!$F$7:$F$306,"Pending")&gt;0,"P",""))))</f>
        <v/>
      </c>
      <c r="H115" s="23" t="str">
        <f>IF(A115="","",IF(IF(OR(DATE($B$3,4,7)&gt;EOMONTH(DATE($B$3,4,1),0),NETWORKDAYS.INTL(DATE($B$3,4,7),DATE($B$3,4,7),1,'Non-working days'!$A$6:$A$45)=0),"",IF(COUNTIFS('Leave log'!$A$7:$A$306,Employees!$A$12,'Leave log'!$B$7:$B$306,"&lt;="&amp;DATE($B$3,4,7),'Leave log'!$C$7:$C$306,"&gt;="&amp;DATE($B$3,4,7),'Leave log'!$F$7:$F$306,"Approved")&gt;0,"A",""))="A","A",IF(OR(DATE($B$3,4,7)&gt;EOMONTH(DATE($B$3,4,1),0),NETWORKDAYS.INTL(DATE($B$3,4,7),DATE($B$3,4,7),1,'Non-working days'!$A$6:$A$45)=0),"",IF(COUNTIFS('Leave log'!$A$7:$A$306,Employees!$A$12,'Leave log'!$B$7:$B$306,"&lt;="&amp;DATE($B$3,4,7),'Leave log'!$C$7:$C$306,"&gt;="&amp;DATE($B$3,4,7),'Leave log'!$F$7:$F$306,"Pending")&gt;0,"P",""))))</f>
        <v/>
      </c>
      <c r="I115" s="23" t="str">
        <f>IF(A115="","",IF(IF(OR(DATE($B$3,4,8)&gt;EOMONTH(DATE($B$3,4,1),0),NETWORKDAYS.INTL(DATE($B$3,4,8),DATE($B$3,4,8),1,'Non-working days'!$A$6:$A$45)=0),"",IF(COUNTIFS('Leave log'!$A$7:$A$306,Employees!$A$12,'Leave log'!$B$7:$B$306,"&lt;="&amp;DATE($B$3,4,8),'Leave log'!$C$7:$C$306,"&gt;="&amp;DATE($B$3,4,8),'Leave log'!$F$7:$F$306,"Approved")&gt;0,"A",""))="A","A",IF(OR(DATE($B$3,4,8)&gt;EOMONTH(DATE($B$3,4,1),0),NETWORKDAYS.INTL(DATE($B$3,4,8),DATE($B$3,4,8),1,'Non-working days'!$A$6:$A$45)=0),"",IF(COUNTIFS('Leave log'!$A$7:$A$306,Employees!$A$12,'Leave log'!$B$7:$B$306,"&lt;="&amp;DATE($B$3,4,8),'Leave log'!$C$7:$C$306,"&gt;="&amp;DATE($B$3,4,8),'Leave log'!$F$7:$F$306,"Pending")&gt;0,"P",""))))</f>
        <v/>
      </c>
      <c r="J115" s="23" t="str">
        <f>IF(A115="","",IF(IF(OR(DATE($B$3,4,9)&gt;EOMONTH(DATE($B$3,4,1),0),NETWORKDAYS.INTL(DATE($B$3,4,9),DATE($B$3,4,9),1,'Non-working days'!$A$6:$A$45)=0),"",IF(COUNTIFS('Leave log'!$A$7:$A$306,Employees!$A$12,'Leave log'!$B$7:$B$306,"&lt;="&amp;DATE($B$3,4,9),'Leave log'!$C$7:$C$306,"&gt;="&amp;DATE($B$3,4,9),'Leave log'!$F$7:$F$306,"Approved")&gt;0,"A",""))="A","A",IF(OR(DATE($B$3,4,9)&gt;EOMONTH(DATE($B$3,4,1),0),NETWORKDAYS.INTL(DATE($B$3,4,9),DATE($B$3,4,9),1,'Non-working days'!$A$6:$A$45)=0),"",IF(COUNTIFS('Leave log'!$A$7:$A$306,Employees!$A$12,'Leave log'!$B$7:$B$306,"&lt;="&amp;DATE($B$3,4,9),'Leave log'!$C$7:$C$306,"&gt;="&amp;DATE($B$3,4,9),'Leave log'!$F$7:$F$306,"Pending")&gt;0,"P",""))))</f>
        <v/>
      </c>
      <c r="K115" s="23" t="str">
        <f>IF(A115="","",IF(IF(OR(DATE($B$3,4,10)&gt;EOMONTH(DATE($B$3,4,1),0),NETWORKDAYS.INTL(DATE($B$3,4,10),DATE($B$3,4,10),1,'Non-working days'!$A$6:$A$45)=0),"",IF(COUNTIFS('Leave log'!$A$7:$A$306,Employees!$A$12,'Leave log'!$B$7:$B$306,"&lt;="&amp;DATE($B$3,4,10),'Leave log'!$C$7:$C$306,"&gt;="&amp;DATE($B$3,4,10),'Leave log'!$F$7:$F$306,"Approved")&gt;0,"A",""))="A","A",IF(OR(DATE($B$3,4,10)&gt;EOMONTH(DATE($B$3,4,1),0),NETWORKDAYS.INTL(DATE($B$3,4,10),DATE($B$3,4,10),1,'Non-working days'!$A$6:$A$45)=0),"",IF(COUNTIFS('Leave log'!$A$7:$A$306,Employees!$A$12,'Leave log'!$B$7:$B$306,"&lt;="&amp;DATE($B$3,4,10),'Leave log'!$C$7:$C$306,"&gt;="&amp;DATE($B$3,4,10),'Leave log'!$F$7:$F$306,"Pending")&gt;0,"P",""))))</f>
        <v/>
      </c>
      <c r="L115" s="23" t="str">
        <f>IF(A115="","",IF(IF(OR(DATE($B$3,4,11)&gt;EOMONTH(DATE($B$3,4,1),0),NETWORKDAYS.INTL(DATE($B$3,4,11),DATE($B$3,4,11),1,'Non-working days'!$A$6:$A$45)=0),"",IF(COUNTIFS('Leave log'!$A$7:$A$306,Employees!$A$12,'Leave log'!$B$7:$B$306,"&lt;="&amp;DATE($B$3,4,11),'Leave log'!$C$7:$C$306,"&gt;="&amp;DATE($B$3,4,11),'Leave log'!$F$7:$F$306,"Approved")&gt;0,"A",""))="A","A",IF(OR(DATE($B$3,4,11)&gt;EOMONTH(DATE($B$3,4,1),0),NETWORKDAYS.INTL(DATE($B$3,4,11),DATE($B$3,4,11),1,'Non-working days'!$A$6:$A$45)=0),"",IF(COUNTIFS('Leave log'!$A$7:$A$306,Employees!$A$12,'Leave log'!$B$7:$B$306,"&lt;="&amp;DATE($B$3,4,11),'Leave log'!$C$7:$C$306,"&gt;="&amp;DATE($B$3,4,11),'Leave log'!$F$7:$F$306,"Pending")&gt;0,"P",""))))</f>
        <v/>
      </c>
      <c r="M115" s="23" t="str">
        <f>IF(A115="","",IF(IF(OR(DATE($B$3,4,12)&gt;EOMONTH(DATE($B$3,4,1),0),NETWORKDAYS.INTL(DATE($B$3,4,12),DATE($B$3,4,12),1,'Non-working days'!$A$6:$A$45)=0),"",IF(COUNTIFS('Leave log'!$A$7:$A$306,Employees!$A$12,'Leave log'!$B$7:$B$306,"&lt;="&amp;DATE($B$3,4,12),'Leave log'!$C$7:$C$306,"&gt;="&amp;DATE($B$3,4,12),'Leave log'!$F$7:$F$306,"Approved")&gt;0,"A",""))="A","A",IF(OR(DATE($B$3,4,12)&gt;EOMONTH(DATE($B$3,4,1),0),NETWORKDAYS.INTL(DATE($B$3,4,12),DATE($B$3,4,12),1,'Non-working days'!$A$6:$A$45)=0),"",IF(COUNTIFS('Leave log'!$A$7:$A$306,Employees!$A$12,'Leave log'!$B$7:$B$306,"&lt;="&amp;DATE($B$3,4,12),'Leave log'!$C$7:$C$306,"&gt;="&amp;DATE($B$3,4,12),'Leave log'!$F$7:$F$306,"Pending")&gt;0,"P",""))))</f>
        <v/>
      </c>
      <c r="N115" s="23" t="str">
        <f>IF(A115="","",IF(IF(OR(DATE($B$3,4,13)&gt;EOMONTH(DATE($B$3,4,1),0),NETWORKDAYS.INTL(DATE($B$3,4,13),DATE($B$3,4,13),1,'Non-working days'!$A$6:$A$45)=0),"",IF(COUNTIFS('Leave log'!$A$7:$A$306,Employees!$A$12,'Leave log'!$B$7:$B$306,"&lt;="&amp;DATE($B$3,4,13),'Leave log'!$C$7:$C$306,"&gt;="&amp;DATE($B$3,4,13),'Leave log'!$F$7:$F$306,"Approved")&gt;0,"A",""))="A","A",IF(OR(DATE($B$3,4,13)&gt;EOMONTH(DATE($B$3,4,1),0),NETWORKDAYS.INTL(DATE($B$3,4,13),DATE($B$3,4,13),1,'Non-working days'!$A$6:$A$45)=0),"",IF(COUNTIFS('Leave log'!$A$7:$A$306,Employees!$A$12,'Leave log'!$B$7:$B$306,"&lt;="&amp;DATE($B$3,4,13),'Leave log'!$C$7:$C$306,"&gt;="&amp;DATE($B$3,4,13),'Leave log'!$F$7:$F$306,"Pending")&gt;0,"P",""))))</f>
        <v/>
      </c>
      <c r="O115" s="23" t="str">
        <f>IF(A115="","",IF(IF(OR(DATE($B$3,4,14)&gt;EOMONTH(DATE($B$3,4,1),0),NETWORKDAYS.INTL(DATE($B$3,4,14),DATE($B$3,4,14),1,'Non-working days'!$A$6:$A$45)=0),"",IF(COUNTIFS('Leave log'!$A$7:$A$306,Employees!$A$12,'Leave log'!$B$7:$B$306,"&lt;="&amp;DATE($B$3,4,14),'Leave log'!$C$7:$C$306,"&gt;="&amp;DATE($B$3,4,14),'Leave log'!$F$7:$F$306,"Approved")&gt;0,"A",""))="A","A",IF(OR(DATE($B$3,4,14)&gt;EOMONTH(DATE($B$3,4,1),0),NETWORKDAYS.INTL(DATE($B$3,4,14),DATE($B$3,4,14),1,'Non-working days'!$A$6:$A$45)=0),"",IF(COUNTIFS('Leave log'!$A$7:$A$306,Employees!$A$12,'Leave log'!$B$7:$B$306,"&lt;="&amp;DATE($B$3,4,14),'Leave log'!$C$7:$C$306,"&gt;="&amp;DATE($B$3,4,14),'Leave log'!$F$7:$F$306,"Pending")&gt;0,"P",""))))</f>
        <v/>
      </c>
      <c r="P115" s="23" t="str">
        <f>IF(A115="","",IF(IF(OR(DATE($B$3,4,15)&gt;EOMONTH(DATE($B$3,4,1),0),NETWORKDAYS.INTL(DATE($B$3,4,15),DATE($B$3,4,15),1,'Non-working days'!$A$6:$A$45)=0),"",IF(COUNTIFS('Leave log'!$A$7:$A$306,Employees!$A$12,'Leave log'!$B$7:$B$306,"&lt;="&amp;DATE($B$3,4,15),'Leave log'!$C$7:$C$306,"&gt;="&amp;DATE($B$3,4,15),'Leave log'!$F$7:$F$306,"Approved")&gt;0,"A",""))="A","A",IF(OR(DATE($B$3,4,15)&gt;EOMONTH(DATE($B$3,4,1),0),NETWORKDAYS.INTL(DATE($B$3,4,15),DATE($B$3,4,15),1,'Non-working days'!$A$6:$A$45)=0),"",IF(COUNTIFS('Leave log'!$A$7:$A$306,Employees!$A$12,'Leave log'!$B$7:$B$306,"&lt;="&amp;DATE($B$3,4,15),'Leave log'!$C$7:$C$306,"&gt;="&amp;DATE($B$3,4,15),'Leave log'!$F$7:$F$306,"Pending")&gt;0,"P",""))))</f>
        <v/>
      </c>
      <c r="Q115" s="23" t="str">
        <f>IF(A115="","",IF(IF(OR(DATE($B$3,4,16)&gt;EOMONTH(DATE($B$3,4,1),0),NETWORKDAYS.INTL(DATE($B$3,4,16),DATE($B$3,4,16),1,'Non-working days'!$A$6:$A$45)=0),"",IF(COUNTIFS('Leave log'!$A$7:$A$306,Employees!$A$12,'Leave log'!$B$7:$B$306,"&lt;="&amp;DATE($B$3,4,16),'Leave log'!$C$7:$C$306,"&gt;="&amp;DATE($B$3,4,16),'Leave log'!$F$7:$F$306,"Approved")&gt;0,"A",""))="A","A",IF(OR(DATE($B$3,4,16)&gt;EOMONTH(DATE($B$3,4,1),0),NETWORKDAYS.INTL(DATE($B$3,4,16),DATE($B$3,4,16),1,'Non-working days'!$A$6:$A$45)=0),"",IF(COUNTIFS('Leave log'!$A$7:$A$306,Employees!$A$12,'Leave log'!$B$7:$B$306,"&lt;="&amp;DATE($B$3,4,16),'Leave log'!$C$7:$C$306,"&gt;="&amp;DATE($B$3,4,16),'Leave log'!$F$7:$F$306,"Pending")&gt;0,"P",""))))</f>
        <v/>
      </c>
      <c r="R115" s="23" t="str">
        <f>IF(A115="","",IF(IF(OR(DATE($B$3,4,17)&gt;EOMONTH(DATE($B$3,4,1),0),NETWORKDAYS.INTL(DATE($B$3,4,17),DATE($B$3,4,17),1,'Non-working days'!$A$6:$A$45)=0),"",IF(COUNTIFS('Leave log'!$A$7:$A$306,Employees!$A$12,'Leave log'!$B$7:$B$306,"&lt;="&amp;DATE($B$3,4,17),'Leave log'!$C$7:$C$306,"&gt;="&amp;DATE($B$3,4,17),'Leave log'!$F$7:$F$306,"Approved")&gt;0,"A",""))="A","A",IF(OR(DATE($B$3,4,17)&gt;EOMONTH(DATE($B$3,4,1),0),NETWORKDAYS.INTL(DATE($B$3,4,17),DATE($B$3,4,17),1,'Non-working days'!$A$6:$A$45)=0),"",IF(COUNTIFS('Leave log'!$A$7:$A$306,Employees!$A$12,'Leave log'!$B$7:$B$306,"&lt;="&amp;DATE($B$3,4,17),'Leave log'!$C$7:$C$306,"&gt;="&amp;DATE($B$3,4,17),'Leave log'!$F$7:$F$306,"Pending")&gt;0,"P",""))))</f>
        <v/>
      </c>
      <c r="S115" s="23" t="str">
        <f>IF(A115="","",IF(IF(OR(DATE($B$3,4,18)&gt;EOMONTH(DATE($B$3,4,1),0),NETWORKDAYS.INTL(DATE($B$3,4,18),DATE($B$3,4,18),1,'Non-working days'!$A$6:$A$45)=0),"",IF(COUNTIFS('Leave log'!$A$7:$A$306,Employees!$A$12,'Leave log'!$B$7:$B$306,"&lt;="&amp;DATE($B$3,4,18),'Leave log'!$C$7:$C$306,"&gt;="&amp;DATE($B$3,4,18),'Leave log'!$F$7:$F$306,"Approved")&gt;0,"A",""))="A","A",IF(OR(DATE($B$3,4,18)&gt;EOMONTH(DATE($B$3,4,1),0),NETWORKDAYS.INTL(DATE($B$3,4,18),DATE($B$3,4,18),1,'Non-working days'!$A$6:$A$45)=0),"",IF(COUNTIFS('Leave log'!$A$7:$A$306,Employees!$A$12,'Leave log'!$B$7:$B$306,"&lt;="&amp;DATE($B$3,4,18),'Leave log'!$C$7:$C$306,"&gt;="&amp;DATE($B$3,4,18),'Leave log'!$F$7:$F$306,"Pending")&gt;0,"P",""))))</f>
        <v/>
      </c>
      <c r="T115" s="23" t="str">
        <f>IF(A115="","",IF(IF(OR(DATE($B$3,4,19)&gt;EOMONTH(DATE($B$3,4,1),0),NETWORKDAYS.INTL(DATE($B$3,4,19),DATE($B$3,4,19),1,'Non-working days'!$A$6:$A$45)=0),"",IF(COUNTIFS('Leave log'!$A$7:$A$306,Employees!$A$12,'Leave log'!$B$7:$B$306,"&lt;="&amp;DATE($B$3,4,19),'Leave log'!$C$7:$C$306,"&gt;="&amp;DATE($B$3,4,19),'Leave log'!$F$7:$F$306,"Approved")&gt;0,"A",""))="A","A",IF(OR(DATE($B$3,4,19)&gt;EOMONTH(DATE($B$3,4,1),0),NETWORKDAYS.INTL(DATE($B$3,4,19),DATE($B$3,4,19),1,'Non-working days'!$A$6:$A$45)=0),"",IF(COUNTIFS('Leave log'!$A$7:$A$306,Employees!$A$12,'Leave log'!$B$7:$B$306,"&lt;="&amp;DATE($B$3,4,19),'Leave log'!$C$7:$C$306,"&gt;="&amp;DATE($B$3,4,19),'Leave log'!$F$7:$F$306,"Pending")&gt;0,"P",""))))</f>
        <v/>
      </c>
      <c r="U115" s="23" t="str">
        <f>IF(A115="","",IF(IF(OR(DATE($B$3,4,20)&gt;EOMONTH(DATE($B$3,4,1),0),NETWORKDAYS.INTL(DATE($B$3,4,20),DATE($B$3,4,20),1,'Non-working days'!$A$6:$A$45)=0),"",IF(COUNTIFS('Leave log'!$A$7:$A$306,Employees!$A$12,'Leave log'!$B$7:$B$306,"&lt;="&amp;DATE($B$3,4,20),'Leave log'!$C$7:$C$306,"&gt;="&amp;DATE($B$3,4,20),'Leave log'!$F$7:$F$306,"Approved")&gt;0,"A",""))="A","A",IF(OR(DATE($B$3,4,20)&gt;EOMONTH(DATE($B$3,4,1),0),NETWORKDAYS.INTL(DATE($B$3,4,20),DATE($B$3,4,20),1,'Non-working days'!$A$6:$A$45)=0),"",IF(COUNTIFS('Leave log'!$A$7:$A$306,Employees!$A$12,'Leave log'!$B$7:$B$306,"&lt;="&amp;DATE($B$3,4,20),'Leave log'!$C$7:$C$306,"&gt;="&amp;DATE($B$3,4,20),'Leave log'!$F$7:$F$306,"Pending")&gt;0,"P",""))))</f>
        <v/>
      </c>
      <c r="V115" s="23" t="str">
        <f>IF(A115="","",IF(IF(OR(DATE($B$3,4,21)&gt;EOMONTH(DATE($B$3,4,1),0),NETWORKDAYS.INTL(DATE($B$3,4,21),DATE($B$3,4,21),1,'Non-working days'!$A$6:$A$45)=0),"",IF(COUNTIFS('Leave log'!$A$7:$A$306,Employees!$A$12,'Leave log'!$B$7:$B$306,"&lt;="&amp;DATE($B$3,4,21),'Leave log'!$C$7:$C$306,"&gt;="&amp;DATE($B$3,4,21),'Leave log'!$F$7:$F$306,"Approved")&gt;0,"A",""))="A","A",IF(OR(DATE($B$3,4,21)&gt;EOMONTH(DATE($B$3,4,1),0),NETWORKDAYS.INTL(DATE($B$3,4,21),DATE($B$3,4,21),1,'Non-working days'!$A$6:$A$45)=0),"",IF(COUNTIFS('Leave log'!$A$7:$A$306,Employees!$A$12,'Leave log'!$B$7:$B$306,"&lt;="&amp;DATE($B$3,4,21),'Leave log'!$C$7:$C$306,"&gt;="&amp;DATE($B$3,4,21),'Leave log'!$F$7:$F$306,"Pending")&gt;0,"P",""))))</f>
        <v/>
      </c>
      <c r="W115" s="23" t="str">
        <f>IF(A115="","",IF(IF(OR(DATE($B$3,4,22)&gt;EOMONTH(DATE($B$3,4,1),0),NETWORKDAYS.INTL(DATE($B$3,4,22),DATE($B$3,4,22),1,'Non-working days'!$A$6:$A$45)=0),"",IF(COUNTIFS('Leave log'!$A$7:$A$306,Employees!$A$12,'Leave log'!$B$7:$B$306,"&lt;="&amp;DATE($B$3,4,22),'Leave log'!$C$7:$C$306,"&gt;="&amp;DATE($B$3,4,22),'Leave log'!$F$7:$F$306,"Approved")&gt;0,"A",""))="A","A",IF(OR(DATE($B$3,4,22)&gt;EOMONTH(DATE($B$3,4,1),0),NETWORKDAYS.INTL(DATE($B$3,4,22),DATE($B$3,4,22),1,'Non-working days'!$A$6:$A$45)=0),"",IF(COUNTIFS('Leave log'!$A$7:$A$306,Employees!$A$12,'Leave log'!$B$7:$B$306,"&lt;="&amp;DATE($B$3,4,22),'Leave log'!$C$7:$C$306,"&gt;="&amp;DATE($B$3,4,22),'Leave log'!$F$7:$F$306,"Pending")&gt;0,"P",""))))</f>
        <v/>
      </c>
      <c r="X115" s="23" t="str">
        <f>IF(A115="","",IF(IF(OR(DATE($B$3,4,23)&gt;EOMONTH(DATE($B$3,4,1),0),NETWORKDAYS.INTL(DATE($B$3,4,23),DATE($B$3,4,23),1,'Non-working days'!$A$6:$A$45)=0),"",IF(COUNTIFS('Leave log'!$A$7:$A$306,Employees!$A$12,'Leave log'!$B$7:$B$306,"&lt;="&amp;DATE($B$3,4,23),'Leave log'!$C$7:$C$306,"&gt;="&amp;DATE($B$3,4,23),'Leave log'!$F$7:$F$306,"Approved")&gt;0,"A",""))="A","A",IF(OR(DATE($B$3,4,23)&gt;EOMONTH(DATE($B$3,4,1),0),NETWORKDAYS.INTL(DATE($B$3,4,23),DATE($B$3,4,23),1,'Non-working days'!$A$6:$A$45)=0),"",IF(COUNTIFS('Leave log'!$A$7:$A$306,Employees!$A$12,'Leave log'!$B$7:$B$306,"&lt;="&amp;DATE($B$3,4,23),'Leave log'!$C$7:$C$306,"&gt;="&amp;DATE($B$3,4,23),'Leave log'!$F$7:$F$306,"Pending")&gt;0,"P",""))))</f>
        <v/>
      </c>
      <c r="Y115" s="23" t="str">
        <f>IF(A115="","",IF(IF(OR(DATE($B$3,4,24)&gt;EOMONTH(DATE($B$3,4,1),0),NETWORKDAYS.INTL(DATE($B$3,4,24),DATE($B$3,4,24),1,'Non-working days'!$A$6:$A$45)=0),"",IF(COUNTIFS('Leave log'!$A$7:$A$306,Employees!$A$12,'Leave log'!$B$7:$B$306,"&lt;="&amp;DATE($B$3,4,24),'Leave log'!$C$7:$C$306,"&gt;="&amp;DATE($B$3,4,24),'Leave log'!$F$7:$F$306,"Approved")&gt;0,"A",""))="A","A",IF(OR(DATE($B$3,4,24)&gt;EOMONTH(DATE($B$3,4,1),0),NETWORKDAYS.INTL(DATE($B$3,4,24),DATE($B$3,4,24),1,'Non-working days'!$A$6:$A$45)=0),"",IF(COUNTIFS('Leave log'!$A$7:$A$306,Employees!$A$12,'Leave log'!$B$7:$B$306,"&lt;="&amp;DATE($B$3,4,24),'Leave log'!$C$7:$C$306,"&gt;="&amp;DATE($B$3,4,24),'Leave log'!$F$7:$F$306,"Pending")&gt;0,"P",""))))</f>
        <v/>
      </c>
      <c r="Z115" s="23" t="str">
        <f>IF(A115="","",IF(IF(OR(DATE($B$3,4,25)&gt;EOMONTH(DATE($B$3,4,1),0),NETWORKDAYS.INTL(DATE($B$3,4,25),DATE($B$3,4,25),1,'Non-working days'!$A$6:$A$45)=0),"",IF(COUNTIFS('Leave log'!$A$7:$A$306,Employees!$A$12,'Leave log'!$B$7:$B$306,"&lt;="&amp;DATE($B$3,4,25),'Leave log'!$C$7:$C$306,"&gt;="&amp;DATE($B$3,4,25),'Leave log'!$F$7:$F$306,"Approved")&gt;0,"A",""))="A","A",IF(OR(DATE($B$3,4,25)&gt;EOMONTH(DATE($B$3,4,1),0),NETWORKDAYS.INTL(DATE($B$3,4,25),DATE($B$3,4,25),1,'Non-working days'!$A$6:$A$45)=0),"",IF(COUNTIFS('Leave log'!$A$7:$A$306,Employees!$A$12,'Leave log'!$B$7:$B$306,"&lt;="&amp;DATE($B$3,4,25),'Leave log'!$C$7:$C$306,"&gt;="&amp;DATE($B$3,4,25),'Leave log'!$F$7:$F$306,"Pending")&gt;0,"P",""))))</f>
        <v/>
      </c>
      <c r="AA115" s="23" t="str">
        <f>IF(A115="","",IF(IF(OR(DATE($B$3,4,26)&gt;EOMONTH(DATE($B$3,4,1),0),NETWORKDAYS.INTL(DATE($B$3,4,26),DATE($B$3,4,26),1,'Non-working days'!$A$6:$A$45)=0),"",IF(COUNTIFS('Leave log'!$A$7:$A$306,Employees!$A$12,'Leave log'!$B$7:$B$306,"&lt;="&amp;DATE($B$3,4,26),'Leave log'!$C$7:$C$306,"&gt;="&amp;DATE($B$3,4,26),'Leave log'!$F$7:$F$306,"Approved")&gt;0,"A",""))="A","A",IF(OR(DATE($B$3,4,26)&gt;EOMONTH(DATE($B$3,4,1),0),NETWORKDAYS.INTL(DATE($B$3,4,26),DATE($B$3,4,26),1,'Non-working days'!$A$6:$A$45)=0),"",IF(COUNTIFS('Leave log'!$A$7:$A$306,Employees!$A$12,'Leave log'!$B$7:$B$306,"&lt;="&amp;DATE($B$3,4,26),'Leave log'!$C$7:$C$306,"&gt;="&amp;DATE($B$3,4,26),'Leave log'!$F$7:$F$306,"Pending")&gt;0,"P",""))))</f>
        <v/>
      </c>
      <c r="AB115" s="23" t="str">
        <f>IF(A115="","",IF(IF(OR(DATE($B$3,4,27)&gt;EOMONTH(DATE($B$3,4,1),0),NETWORKDAYS.INTL(DATE($B$3,4,27),DATE($B$3,4,27),1,'Non-working days'!$A$6:$A$45)=0),"",IF(COUNTIFS('Leave log'!$A$7:$A$306,Employees!$A$12,'Leave log'!$B$7:$B$306,"&lt;="&amp;DATE($B$3,4,27),'Leave log'!$C$7:$C$306,"&gt;="&amp;DATE($B$3,4,27),'Leave log'!$F$7:$F$306,"Approved")&gt;0,"A",""))="A","A",IF(OR(DATE($B$3,4,27)&gt;EOMONTH(DATE($B$3,4,1),0),NETWORKDAYS.INTL(DATE($B$3,4,27),DATE($B$3,4,27),1,'Non-working days'!$A$6:$A$45)=0),"",IF(COUNTIFS('Leave log'!$A$7:$A$306,Employees!$A$12,'Leave log'!$B$7:$B$306,"&lt;="&amp;DATE($B$3,4,27),'Leave log'!$C$7:$C$306,"&gt;="&amp;DATE($B$3,4,27),'Leave log'!$F$7:$F$306,"Pending")&gt;0,"P",""))))</f>
        <v/>
      </c>
      <c r="AC115" s="23" t="str">
        <f>IF(A115="","",IF(IF(OR(DATE($B$3,4,28)&gt;EOMONTH(DATE($B$3,4,1),0),NETWORKDAYS.INTL(DATE($B$3,4,28),DATE($B$3,4,28),1,'Non-working days'!$A$6:$A$45)=0),"",IF(COUNTIFS('Leave log'!$A$7:$A$306,Employees!$A$12,'Leave log'!$B$7:$B$306,"&lt;="&amp;DATE($B$3,4,28),'Leave log'!$C$7:$C$306,"&gt;="&amp;DATE($B$3,4,28),'Leave log'!$F$7:$F$306,"Approved")&gt;0,"A",""))="A","A",IF(OR(DATE($B$3,4,28)&gt;EOMONTH(DATE($B$3,4,1),0),NETWORKDAYS.INTL(DATE($B$3,4,28),DATE($B$3,4,28),1,'Non-working days'!$A$6:$A$45)=0),"",IF(COUNTIFS('Leave log'!$A$7:$A$306,Employees!$A$12,'Leave log'!$B$7:$B$306,"&lt;="&amp;DATE($B$3,4,28),'Leave log'!$C$7:$C$306,"&gt;="&amp;DATE($B$3,4,28),'Leave log'!$F$7:$F$306,"Pending")&gt;0,"P",""))))</f>
        <v/>
      </c>
      <c r="AD115" s="23" t="str">
        <f>IF(A115="","",IF(IF(OR(DATE($B$3,4,29)&gt;EOMONTH(DATE($B$3,4,1),0),NETWORKDAYS.INTL(DATE($B$3,4,29),DATE($B$3,4,29),1,'Non-working days'!$A$6:$A$45)=0),"",IF(COUNTIFS('Leave log'!$A$7:$A$306,Employees!$A$12,'Leave log'!$B$7:$B$306,"&lt;="&amp;DATE($B$3,4,29),'Leave log'!$C$7:$C$306,"&gt;="&amp;DATE($B$3,4,29),'Leave log'!$F$7:$F$306,"Approved")&gt;0,"A",""))="A","A",IF(OR(DATE($B$3,4,29)&gt;EOMONTH(DATE($B$3,4,1),0),NETWORKDAYS.INTL(DATE($B$3,4,29),DATE($B$3,4,29),1,'Non-working days'!$A$6:$A$45)=0),"",IF(COUNTIFS('Leave log'!$A$7:$A$306,Employees!$A$12,'Leave log'!$B$7:$B$306,"&lt;="&amp;DATE($B$3,4,29),'Leave log'!$C$7:$C$306,"&gt;="&amp;DATE($B$3,4,29),'Leave log'!$F$7:$F$306,"Pending")&gt;0,"P",""))))</f>
        <v/>
      </c>
      <c r="AE115" s="23" t="str">
        <f>IF(A115="","",IF(IF(OR(DATE($B$3,4,30)&gt;EOMONTH(DATE($B$3,4,1),0),NETWORKDAYS.INTL(DATE($B$3,4,30),DATE($B$3,4,30),1,'Non-working days'!$A$6:$A$45)=0),"",IF(COUNTIFS('Leave log'!$A$7:$A$306,Employees!$A$12,'Leave log'!$B$7:$B$306,"&lt;="&amp;DATE($B$3,4,30),'Leave log'!$C$7:$C$306,"&gt;="&amp;DATE($B$3,4,30),'Leave log'!$F$7:$F$306,"Approved")&gt;0,"A",""))="A","A",IF(OR(DATE($B$3,4,30)&gt;EOMONTH(DATE($B$3,4,1),0),NETWORKDAYS.INTL(DATE($B$3,4,30),DATE($B$3,4,30),1,'Non-working days'!$A$6:$A$45)=0),"",IF(COUNTIFS('Leave log'!$A$7:$A$306,Employees!$A$12,'Leave log'!$B$7:$B$306,"&lt;="&amp;DATE($B$3,4,30),'Leave log'!$C$7:$C$306,"&gt;="&amp;DATE($B$3,4,30),'Leave log'!$F$7:$F$306,"Pending")&gt;0,"P",""))))</f>
        <v/>
      </c>
      <c r="AF115" s="23" t="str">
        <f>IF(A115="","",IF(IF(OR(DATE($B$3,4,31)&gt;EOMONTH(DATE($B$3,4,1),0),NETWORKDAYS.INTL(DATE($B$3,4,31),DATE($B$3,4,31),1,'Non-working days'!$A$6:$A$45)=0),"",IF(COUNTIFS('Leave log'!$A$7:$A$306,Employees!$A$12,'Leave log'!$B$7:$B$306,"&lt;="&amp;DATE($B$3,4,31),'Leave log'!$C$7:$C$306,"&gt;="&amp;DATE($B$3,4,31),'Leave log'!$F$7:$F$306,"Approved")&gt;0,"A",""))="A","A",IF(OR(DATE($B$3,4,31)&gt;EOMONTH(DATE($B$3,4,1),0),NETWORKDAYS.INTL(DATE($B$3,4,31),DATE($B$3,4,31),1,'Non-working days'!$A$6:$A$45)=0),"",IF(COUNTIFS('Leave log'!$A$7:$A$306,Employees!$A$12,'Leave log'!$B$7:$B$306,"&lt;="&amp;DATE($B$3,4,31),'Leave log'!$C$7:$C$306,"&gt;="&amp;DATE($B$3,4,31),'Leave log'!$F$7:$F$306,"Pending")&gt;0,"P",""))))</f>
        <v/>
      </c>
    </row>
    <row r="116" spans="1:32" ht="18" customHeight="1" x14ac:dyDescent="0.3">
      <c r="A116" s="22" t="str">
        <f>IF(Employees!F13="Yes",Employees!B13,"")</f>
        <v/>
      </c>
      <c r="B116" s="23" t="str">
        <f>IF(A116="","",IF(IF(OR(DATE($B$3,4,1)&gt;EOMONTH(DATE($B$3,4,1),0),NETWORKDAYS.INTL(DATE($B$3,4,1),DATE($B$3,4,1),1,'Non-working days'!$A$6:$A$45)=0),"",IF(COUNTIFS('Leave log'!$A$7:$A$306,Employees!$A$13,'Leave log'!$B$7:$B$306,"&lt;="&amp;DATE($B$3,4,1),'Leave log'!$C$7:$C$306,"&gt;="&amp;DATE($B$3,4,1),'Leave log'!$F$7:$F$306,"Approved")&gt;0,"A",""))="A","A",IF(OR(DATE($B$3,4,1)&gt;EOMONTH(DATE($B$3,4,1),0),NETWORKDAYS.INTL(DATE($B$3,4,1),DATE($B$3,4,1),1,'Non-working days'!$A$6:$A$45)=0),"",IF(COUNTIFS('Leave log'!$A$7:$A$306,Employees!$A$13,'Leave log'!$B$7:$B$306,"&lt;="&amp;DATE($B$3,4,1),'Leave log'!$C$7:$C$306,"&gt;="&amp;DATE($B$3,4,1),'Leave log'!$F$7:$F$306,"Pending")&gt;0,"P",""))))</f>
        <v/>
      </c>
      <c r="C116" s="23" t="str">
        <f>IF(A116="","",IF(IF(OR(DATE($B$3,4,2)&gt;EOMONTH(DATE($B$3,4,1),0),NETWORKDAYS.INTL(DATE($B$3,4,2),DATE($B$3,4,2),1,'Non-working days'!$A$6:$A$45)=0),"",IF(COUNTIFS('Leave log'!$A$7:$A$306,Employees!$A$13,'Leave log'!$B$7:$B$306,"&lt;="&amp;DATE($B$3,4,2),'Leave log'!$C$7:$C$306,"&gt;="&amp;DATE($B$3,4,2),'Leave log'!$F$7:$F$306,"Approved")&gt;0,"A",""))="A","A",IF(OR(DATE($B$3,4,2)&gt;EOMONTH(DATE($B$3,4,1),0),NETWORKDAYS.INTL(DATE($B$3,4,2),DATE($B$3,4,2),1,'Non-working days'!$A$6:$A$45)=0),"",IF(COUNTIFS('Leave log'!$A$7:$A$306,Employees!$A$13,'Leave log'!$B$7:$B$306,"&lt;="&amp;DATE($B$3,4,2),'Leave log'!$C$7:$C$306,"&gt;="&amp;DATE($B$3,4,2),'Leave log'!$F$7:$F$306,"Pending")&gt;0,"P",""))))</f>
        <v/>
      </c>
      <c r="D116" s="23" t="str">
        <f>IF(A116="","",IF(IF(OR(DATE($B$3,4,3)&gt;EOMONTH(DATE($B$3,4,1),0),NETWORKDAYS.INTL(DATE($B$3,4,3),DATE($B$3,4,3),1,'Non-working days'!$A$6:$A$45)=0),"",IF(COUNTIFS('Leave log'!$A$7:$A$306,Employees!$A$13,'Leave log'!$B$7:$B$306,"&lt;="&amp;DATE($B$3,4,3),'Leave log'!$C$7:$C$306,"&gt;="&amp;DATE($B$3,4,3),'Leave log'!$F$7:$F$306,"Approved")&gt;0,"A",""))="A","A",IF(OR(DATE($B$3,4,3)&gt;EOMONTH(DATE($B$3,4,1),0),NETWORKDAYS.INTL(DATE($B$3,4,3),DATE($B$3,4,3),1,'Non-working days'!$A$6:$A$45)=0),"",IF(COUNTIFS('Leave log'!$A$7:$A$306,Employees!$A$13,'Leave log'!$B$7:$B$306,"&lt;="&amp;DATE($B$3,4,3),'Leave log'!$C$7:$C$306,"&gt;="&amp;DATE($B$3,4,3),'Leave log'!$F$7:$F$306,"Pending")&gt;0,"P",""))))</f>
        <v/>
      </c>
      <c r="E116" s="23" t="str">
        <f>IF(A116="","",IF(IF(OR(DATE($B$3,4,4)&gt;EOMONTH(DATE($B$3,4,1),0),NETWORKDAYS.INTL(DATE($B$3,4,4),DATE($B$3,4,4),1,'Non-working days'!$A$6:$A$45)=0),"",IF(COUNTIFS('Leave log'!$A$7:$A$306,Employees!$A$13,'Leave log'!$B$7:$B$306,"&lt;="&amp;DATE($B$3,4,4),'Leave log'!$C$7:$C$306,"&gt;="&amp;DATE($B$3,4,4),'Leave log'!$F$7:$F$306,"Approved")&gt;0,"A",""))="A","A",IF(OR(DATE($B$3,4,4)&gt;EOMONTH(DATE($B$3,4,1),0),NETWORKDAYS.INTL(DATE($B$3,4,4),DATE($B$3,4,4),1,'Non-working days'!$A$6:$A$45)=0),"",IF(COUNTIFS('Leave log'!$A$7:$A$306,Employees!$A$13,'Leave log'!$B$7:$B$306,"&lt;="&amp;DATE($B$3,4,4),'Leave log'!$C$7:$C$306,"&gt;="&amp;DATE($B$3,4,4),'Leave log'!$F$7:$F$306,"Pending")&gt;0,"P",""))))</f>
        <v/>
      </c>
      <c r="F116" s="23" t="str">
        <f>IF(A116="","",IF(IF(OR(DATE($B$3,4,5)&gt;EOMONTH(DATE($B$3,4,1),0),NETWORKDAYS.INTL(DATE($B$3,4,5),DATE($B$3,4,5),1,'Non-working days'!$A$6:$A$45)=0),"",IF(COUNTIFS('Leave log'!$A$7:$A$306,Employees!$A$13,'Leave log'!$B$7:$B$306,"&lt;="&amp;DATE($B$3,4,5),'Leave log'!$C$7:$C$306,"&gt;="&amp;DATE($B$3,4,5),'Leave log'!$F$7:$F$306,"Approved")&gt;0,"A",""))="A","A",IF(OR(DATE($B$3,4,5)&gt;EOMONTH(DATE($B$3,4,1),0),NETWORKDAYS.INTL(DATE($B$3,4,5),DATE($B$3,4,5),1,'Non-working days'!$A$6:$A$45)=0),"",IF(COUNTIFS('Leave log'!$A$7:$A$306,Employees!$A$13,'Leave log'!$B$7:$B$306,"&lt;="&amp;DATE($B$3,4,5),'Leave log'!$C$7:$C$306,"&gt;="&amp;DATE($B$3,4,5),'Leave log'!$F$7:$F$306,"Pending")&gt;0,"P",""))))</f>
        <v/>
      </c>
      <c r="G116" s="23" t="str">
        <f>IF(A116="","",IF(IF(OR(DATE($B$3,4,6)&gt;EOMONTH(DATE($B$3,4,1),0),NETWORKDAYS.INTL(DATE($B$3,4,6),DATE($B$3,4,6),1,'Non-working days'!$A$6:$A$45)=0),"",IF(COUNTIFS('Leave log'!$A$7:$A$306,Employees!$A$13,'Leave log'!$B$7:$B$306,"&lt;="&amp;DATE($B$3,4,6),'Leave log'!$C$7:$C$306,"&gt;="&amp;DATE($B$3,4,6),'Leave log'!$F$7:$F$306,"Approved")&gt;0,"A",""))="A","A",IF(OR(DATE($B$3,4,6)&gt;EOMONTH(DATE($B$3,4,1),0),NETWORKDAYS.INTL(DATE($B$3,4,6),DATE($B$3,4,6),1,'Non-working days'!$A$6:$A$45)=0),"",IF(COUNTIFS('Leave log'!$A$7:$A$306,Employees!$A$13,'Leave log'!$B$7:$B$306,"&lt;="&amp;DATE($B$3,4,6),'Leave log'!$C$7:$C$306,"&gt;="&amp;DATE($B$3,4,6),'Leave log'!$F$7:$F$306,"Pending")&gt;0,"P",""))))</f>
        <v/>
      </c>
      <c r="H116" s="23" t="str">
        <f>IF(A116="","",IF(IF(OR(DATE($B$3,4,7)&gt;EOMONTH(DATE($B$3,4,1),0),NETWORKDAYS.INTL(DATE($B$3,4,7),DATE($B$3,4,7),1,'Non-working days'!$A$6:$A$45)=0),"",IF(COUNTIFS('Leave log'!$A$7:$A$306,Employees!$A$13,'Leave log'!$B$7:$B$306,"&lt;="&amp;DATE($B$3,4,7),'Leave log'!$C$7:$C$306,"&gt;="&amp;DATE($B$3,4,7),'Leave log'!$F$7:$F$306,"Approved")&gt;0,"A",""))="A","A",IF(OR(DATE($B$3,4,7)&gt;EOMONTH(DATE($B$3,4,1),0),NETWORKDAYS.INTL(DATE($B$3,4,7),DATE($B$3,4,7),1,'Non-working days'!$A$6:$A$45)=0),"",IF(COUNTIFS('Leave log'!$A$7:$A$306,Employees!$A$13,'Leave log'!$B$7:$B$306,"&lt;="&amp;DATE($B$3,4,7),'Leave log'!$C$7:$C$306,"&gt;="&amp;DATE($B$3,4,7),'Leave log'!$F$7:$F$306,"Pending")&gt;0,"P",""))))</f>
        <v/>
      </c>
      <c r="I116" s="23" t="str">
        <f>IF(A116="","",IF(IF(OR(DATE($B$3,4,8)&gt;EOMONTH(DATE($B$3,4,1),0),NETWORKDAYS.INTL(DATE($B$3,4,8),DATE($B$3,4,8),1,'Non-working days'!$A$6:$A$45)=0),"",IF(COUNTIFS('Leave log'!$A$7:$A$306,Employees!$A$13,'Leave log'!$B$7:$B$306,"&lt;="&amp;DATE($B$3,4,8),'Leave log'!$C$7:$C$306,"&gt;="&amp;DATE($B$3,4,8),'Leave log'!$F$7:$F$306,"Approved")&gt;0,"A",""))="A","A",IF(OR(DATE($B$3,4,8)&gt;EOMONTH(DATE($B$3,4,1),0),NETWORKDAYS.INTL(DATE($B$3,4,8),DATE($B$3,4,8),1,'Non-working days'!$A$6:$A$45)=0),"",IF(COUNTIFS('Leave log'!$A$7:$A$306,Employees!$A$13,'Leave log'!$B$7:$B$306,"&lt;="&amp;DATE($B$3,4,8),'Leave log'!$C$7:$C$306,"&gt;="&amp;DATE($B$3,4,8),'Leave log'!$F$7:$F$306,"Pending")&gt;0,"P",""))))</f>
        <v/>
      </c>
      <c r="J116" s="23" t="str">
        <f>IF(A116="","",IF(IF(OR(DATE($B$3,4,9)&gt;EOMONTH(DATE($B$3,4,1),0),NETWORKDAYS.INTL(DATE($B$3,4,9),DATE($B$3,4,9),1,'Non-working days'!$A$6:$A$45)=0),"",IF(COUNTIFS('Leave log'!$A$7:$A$306,Employees!$A$13,'Leave log'!$B$7:$B$306,"&lt;="&amp;DATE($B$3,4,9),'Leave log'!$C$7:$C$306,"&gt;="&amp;DATE($B$3,4,9),'Leave log'!$F$7:$F$306,"Approved")&gt;0,"A",""))="A","A",IF(OR(DATE($B$3,4,9)&gt;EOMONTH(DATE($B$3,4,1),0),NETWORKDAYS.INTL(DATE($B$3,4,9),DATE($B$3,4,9),1,'Non-working days'!$A$6:$A$45)=0),"",IF(COUNTIFS('Leave log'!$A$7:$A$306,Employees!$A$13,'Leave log'!$B$7:$B$306,"&lt;="&amp;DATE($B$3,4,9),'Leave log'!$C$7:$C$306,"&gt;="&amp;DATE($B$3,4,9),'Leave log'!$F$7:$F$306,"Pending")&gt;0,"P",""))))</f>
        <v/>
      </c>
      <c r="K116" s="23" t="str">
        <f>IF(A116="","",IF(IF(OR(DATE($B$3,4,10)&gt;EOMONTH(DATE($B$3,4,1),0),NETWORKDAYS.INTL(DATE($B$3,4,10),DATE($B$3,4,10),1,'Non-working days'!$A$6:$A$45)=0),"",IF(COUNTIFS('Leave log'!$A$7:$A$306,Employees!$A$13,'Leave log'!$B$7:$B$306,"&lt;="&amp;DATE($B$3,4,10),'Leave log'!$C$7:$C$306,"&gt;="&amp;DATE($B$3,4,10),'Leave log'!$F$7:$F$306,"Approved")&gt;0,"A",""))="A","A",IF(OR(DATE($B$3,4,10)&gt;EOMONTH(DATE($B$3,4,1),0),NETWORKDAYS.INTL(DATE($B$3,4,10),DATE($B$3,4,10),1,'Non-working days'!$A$6:$A$45)=0),"",IF(COUNTIFS('Leave log'!$A$7:$A$306,Employees!$A$13,'Leave log'!$B$7:$B$306,"&lt;="&amp;DATE($B$3,4,10),'Leave log'!$C$7:$C$306,"&gt;="&amp;DATE($B$3,4,10),'Leave log'!$F$7:$F$306,"Pending")&gt;0,"P",""))))</f>
        <v/>
      </c>
      <c r="L116" s="23" t="str">
        <f>IF(A116="","",IF(IF(OR(DATE($B$3,4,11)&gt;EOMONTH(DATE($B$3,4,1),0),NETWORKDAYS.INTL(DATE($B$3,4,11),DATE($B$3,4,11),1,'Non-working days'!$A$6:$A$45)=0),"",IF(COUNTIFS('Leave log'!$A$7:$A$306,Employees!$A$13,'Leave log'!$B$7:$B$306,"&lt;="&amp;DATE($B$3,4,11),'Leave log'!$C$7:$C$306,"&gt;="&amp;DATE($B$3,4,11),'Leave log'!$F$7:$F$306,"Approved")&gt;0,"A",""))="A","A",IF(OR(DATE($B$3,4,11)&gt;EOMONTH(DATE($B$3,4,1),0),NETWORKDAYS.INTL(DATE($B$3,4,11),DATE($B$3,4,11),1,'Non-working days'!$A$6:$A$45)=0),"",IF(COUNTIFS('Leave log'!$A$7:$A$306,Employees!$A$13,'Leave log'!$B$7:$B$306,"&lt;="&amp;DATE($B$3,4,11),'Leave log'!$C$7:$C$306,"&gt;="&amp;DATE($B$3,4,11),'Leave log'!$F$7:$F$306,"Pending")&gt;0,"P",""))))</f>
        <v/>
      </c>
      <c r="M116" s="23" t="str">
        <f>IF(A116="","",IF(IF(OR(DATE($B$3,4,12)&gt;EOMONTH(DATE($B$3,4,1),0),NETWORKDAYS.INTL(DATE($B$3,4,12),DATE($B$3,4,12),1,'Non-working days'!$A$6:$A$45)=0),"",IF(COUNTIFS('Leave log'!$A$7:$A$306,Employees!$A$13,'Leave log'!$B$7:$B$306,"&lt;="&amp;DATE($B$3,4,12),'Leave log'!$C$7:$C$306,"&gt;="&amp;DATE($B$3,4,12),'Leave log'!$F$7:$F$306,"Approved")&gt;0,"A",""))="A","A",IF(OR(DATE($B$3,4,12)&gt;EOMONTH(DATE($B$3,4,1),0),NETWORKDAYS.INTL(DATE($B$3,4,12),DATE($B$3,4,12),1,'Non-working days'!$A$6:$A$45)=0),"",IF(COUNTIFS('Leave log'!$A$7:$A$306,Employees!$A$13,'Leave log'!$B$7:$B$306,"&lt;="&amp;DATE($B$3,4,12),'Leave log'!$C$7:$C$306,"&gt;="&amp;DATE($B$3,4,12),'Leave log'!$F$7:$F$306,"Pending")&gt;0,"P",""))))</f>
        <v/>
      </c>
      <c r="N116" s="23" t="str">
        <f>IF(A116="","",IF(IF(OR(DATE($B$3,4,13)&gt;EOMONTH(DATE($B$3,4,1),0),NETWORKDAYS.INTL(DATE($B$3,4,13),DATE($B$3,4,13),1,'Non-working days'!$A$6:$A$45)=0),"",IF(COUNTIFS('Leave log'!$A$7:$A$306,Employees!$A$13,'Leave log'!$B$7:$B$306,"&lt;="&amp;DATE($B$3,4,13),'Leave log'!$C$7:$C$306,"&gt;="&amp;DATE($B$3,4,13),'Leave log'!$F$7:$F$306,"Approved")&gt;0,"A",""))="A","A",IF(OR(DATE($B$3,4,13)&gt;EOMONTH(DATE($B$3,4,1),0),NETWORKDAYS.INTL(DATE($B$3,4,13),DATE($B$3,4,13),1,'Non-working days'!$A$6:$A$45)=0),"",IF(COUNTIFS('Leave log'!$A$7:$A$306,Employees!$A$13,'Leave log'!$B$7:$B$306,"&lt;="&amp;DATE($B$3,4,13),'Leave log'!$C$7:$C$306,"&gt;="&amp;DATE($B$3,4,13),'Leave log'!$F$7:$F$306,"Pending")&gt;0,"P",""))))</f>
        <v/>
      </c>
      <c r="O116" s="23" t="str">
        <f>IF(A116="","",IF(IF(OR(DATE($B$3,4,14)&gt;EOMONTH(DATE($B$3,4,1),0),NETWORKDAYS.INTL(DATE($B$3,4,14),DATE($B$3,4,14),1,'Non-working days'!$A$6:$A$45)=0),"",IF(COUNTIFS('Leave log'!$A$7:$A$306,Employees!$A$13,'Leave log'!$B$7:$B$306,"&lt;="&amp;DATE($B$3,4,14),'Leave log'!$C$7:$C$306,"&gt;="&amp;DATE($B$3,4,14),'Leave log'!$F$7:$F$306,"Approved")&gt;0,"A",""))="A","A",IF(OR(DATE($B$3,4,14)&gt;EOMONTH(DATE($B$3,4,1),0),NETWORKDAYS.INTL(DATE($B$3,4,14),DATE($B$3,4,14),1,'Non-working days'!$A$6:$A$45)=0),"",IF(COUNTIFS('Leave log'!$A$7:$A$306,Employees!$A$13,'Leave log'!$B$7:$B$306,"&lt;="&amp;DATE($B$3,4,14),'Leave log'!$C$7:$C$306,"&gt;="&amp;DATE($B$3,4,14),'Leave log'!$F$7:$F$306,"Pending")&gt;0,"P",""))))</f>
        <v/>
      </c>
      <c r="P116" s="23" t="str">
        <f>IF(A116="","",IF(IF(OR(DATE($B$3,4,15)&gt;EOMONTH(DATE($B$3,4,1),0),NETWORKDAYS.INTL(DATE($B$3,4,15),DATE($B$3,4,15),1,'Non-working days'!$A$6:$A$45)=0),"",IF(COUNTIFS('Leave log'!$A$7:$A$306,Employees!$A$13,'Leave log'!$B$7:$B$306,"&lt;="&amp;DATE($B$3,4,15),'Leave log'!$C$7:$C$306,"&gt;="&amp;DATE($B$3,4,15),'Leave log'!$F$7:$F$306,"Approved")&gt;0,"A",""))="A","A",IF(OR(DATE($B$3,4,15)&gt;EOMONTH(DATE($B$3,4,1),0),NETWORKDAYS.INTL(DATE($B$3,4,15),DATE($B$3,4,15),1,'Non-working days'!$A$6:$A$45)=0),"",IF(COUNTIFS('Leave log'!$A$7:$A$306,Employees!$A$13,'Leave log'!$B$7:$B$306,"&lt;="&amp;DATE($B$3,4,15),'Leave log'!$C$7:$C$306,"&gt;="&amp;DATE($B$3,4,15),'Leave log'!$F$7:$F$306,"Pending")&gt;0,"P",""))))</f>
        <v/>
      </c>
      <c r="Q116" s="23" t="str">
        <f>IF(A116="","",IF(IF(OR(DATE($B$3,4,16)&gt;EOMONTH(DATE($B$3,4,1),0),NETWORKDAYS.INTL(DATE($B$3,4,16),DATE($B$3,4,16),1,'Non-working days'!$A$6:$A$45)=0),"",IF(COUNTIFS('Leave log'!$A$7:$A$306,Employees!$A$13,'Leave log'!$B$7:$B$306,"&lt;="&amp;DATE($B$3,4,16),'Leave log'!$C$7:$C$306,"&gt;="&amp;DATE($B$3,4,16),'Leave log'!$F$7:$F$306,"Approved")&gt;0,"A",""))="A","A",IF(OR(DATE($B$3,4,16)&gt;EOMONTH(DATE($B$3,4,1),0),NETWORKDAYS.INTL(DATE($B$3,4,16),DATE($B$3,4,16),1,'Non-working days'!$A$6:$A$45)=0),"",IF(COUNTIFS('Leave log'!$A$7:$A$306,Employees!$A$13,'Leave log'!$B$7:$B$306,"&lt;="&amp;DATE($B$3,4,16),'Leave log'!$C$7:$C$306,"&gt;="&amp;DATE($B$3,4,16),'Leave log'!$F$7:$F$306,"Pending")&gt;0,"P",""))))</f>
        <v/>
      </c>
      <c r="R116" s="23" t="str">
        <f>IF(A116="","",IF(IF(OR(DATE($B$3,4,17)&gt;EOMONTH(DATE($B$3,4,1),0),NETWORKDAYS.INTL(DATE($B$3,4,17),DATE($B$3,4,17),1,'Non-working days'!$A$6:$A$45)=0),"",IF(COUNTIFS('Leave log'!$A$7:$A$306,Employees!$A$13,'Leave log'!$B$7:$B$306,"&lt;="&amp;DATE($B$3,4,17),'Leave log'!$C$7:$C$306,"&gt;="&amp;DATE($B$3,4,17),'Leave log'!$F$7:$F$306,"Approved")&gt;0,"A",""))="A","A",IF(OR(DATE($B$3,4,17)&gt;EOMONTH(DATE($B$3,4,1),0),NETWORKDAYS.INTL(DATE($B$3,4,17),DATE($B$3,4,17),1,'Non-working days'!$A$6:$A$45)=0),"",IF(COUNTIFS('Leave log'!$A$7:$A$306,Employees!$A$13,'Leave log'!$B$7:$B$306,"&lt;="&amp;DATE($B$3,4,17),'Leave log'!$C$7:$C$306,"&gt;="&amp;DATE($B$3,4,17),'Leave log'!$F$7:$F$306,"Pending")&gt;0,"P",""))))</f>
        <v/>
      </c>
      <c r="S116" s="23" t="str">
        <f>IF(A116="","",IF(IF(OR(DATE($B$3,4,18)&gt;EOMONTH(DATE($B$3,4,1),0),NETWORKDAYS.INTL(DATE($B$3,4,18),DATE($B$3,4,18),1,'Non-working days'!$A$6:$A$45)=0),"",IF(COUNTIFS('Leave log'!$A$7:$A$306,Employees!$A$13,'Leave log'!$B$7:$B$306,"&lt;="&amp;DATE($B$3,4,18),'Leave log'!$C$7:$C$306,"&gt;="&amp;DATE($B$3,4,18),'Leave log'!$F$7:$F$306,"Approved")&gt;0,"A",""))="A","A",IF(OR(DATE($B$3,4,18)&gt;EOMONTH(DATE($B$3,4,1),0),NETWORKDAYS.INTL(DATE($B$3,4,18),DATE($B$3,4,18),1,'Non-working days'!$A$6:$A$45)=0),"",IF(COUNTIFS('Leave log'!$A$7:$A$306,Employees!$A$13,'Leave log'!$B$7:$B$306,"&lt;="&amp;DATE($B$3,4,18),'Leave log'!$C$7:$C$306,"&gt;="&amp;DATE($B$3,4,18),'Leave log'!$F$7:$F$306,"Pending")&gt;0,"P",""))))</f>
        <v/>
      </c>
      <c r="T116" s="23" t="str">
        <f>IF(A116="","",IF(IF(OR(DATE($B$3,4,19)&gt;EOMONTH(DATE($B$3,4,1),0),NETWORKDAYS.INTL(DATE($B$3,4,19),DATE($B$3,4,19),1,'Non-working days'!$A$6:$A$45)=0),"",IF(COUNTIFS('Leave log'!$A$7:$A$306,Employees!$A$13,'Leave log'!$B$7:$B$306,"&lt;="&amp;DATE($B$3,4,19),'Leave log'!$C$7:$C$306,"&gt;="&amp;DATE($B$3,4,19),'Leave log'!$F$7:$F$306,"Approved")&gt;0,"A",""))="A","A",IF(OR(DATE($B$3,4,19)&gt;EOMONTH(DATE($B$3,4,1),0),NETWORKDAYS.INTL(DATE($B$3,4,19),DATE($B$3,4,19),1,'Non-working days'!$A$6:$A$45)=0),"",IF(COUNTIFS('Leave log'!$A$7:$A$306,Employees!$A$13,'Leave log'!$B$7:$B$306,"&lt;="&amp;DATE($B$3,4,19),'Leave log'!$C$7:$C$306,"&gt;="&amp;DATE($B$3,4,19),'Leave log'!$F$7:$F$306,"Pending")&gt;0,"P",""))))</f>
        <v/>
      </c>
      <c r="U116" s="23" t="str">
        <f>IF(A116="","",IF(IF(OR(DATE($B$3,4,20)&gt;EOMONTH(DATE($B$3,4,1),0),NETWORKDAYS.INTL(DATE($B$3,4,20),DATE($B$3,4,20),1,'Non-working days'!$A$6:$A$45)=0),"",IF(COUNTIFS('Leave log'!$A$7:$A$306,Employees!$A$13,'Leave log'!$B$7:$B$306,"&lt;="&amp;DATE($B$3,4,20),'Leave log'!$C$7:$C$306,"&gt;="&amp;DATE($B$3,4,20),'Leave log'!$F$7:$F$306,"Approved")&gt;0,"A",""))="A","A",IF(OR(DATE($B$3,4,20)&gt;EOMONTH(DATE($B$3,4,1),0),NETWORKDAYS.INTL(DATE($B$3,4,20),DATE($B$3,4,20),1,'Non-working days'!$A$6:$A$45)=0),"",IF(COUNTIFS('Leave log'!$A$7:$A$306,Employees!$A$13,'Leave log'!$B$7:$B$306,"&lt;="&amp;DATE($B$3,4,20),'Leave log'!$C$7:$C$306,"&gt;="&amp;DATE($B$3,4,20),'Leave log'!$F$7:$F$306,"Pending")&gt;0,"P",""))))</f>
        <v/>
      </c>
      <c r="V116" s="23" t="str">
        <f>IF(A116="","",IF(IF(OR(DATE($B$3,4,21)&gt;EOMONTH(DATE($B$3,4,1),0),NETWORKDAYS.INTL(DATE($B$3,4,21),DATE($B$3,4,21),1,'Non-working days'!$A$6:$A$45)=0),"",IF(COUNTIFS('Leave log'!$A$7:$A$306,Employees!$A$13,'Leave log'!$B$7:$B$306,"&lt;="&amp;DATE($B$3,4,21),'Leave log'!$C$7:$C$306,"&gt;="&amp;DATE($B$3,4,21),'Leave log'!$F$7:$F$306,"Approved")&gt;0,"A",""))="A","A",IF(OR(DATE($B$3,4,21)&gt;EOMONTH(DATE($B$3,4,1),0),NETWORKDAYS.INTL(DATE($B$3,4,21),DATE($B$3,4,21),1,'Non-working days'!$A$6:$A$45)=0),"",IF(COUNTIFS('Leave log'!$A$7:$A$306,Employees!$A$13,'Leave log'!$B$7:$B$306,"&lt;="&amp;DATE($B$3,4,21),'Leave log'!$C$7:$C$306,"&gt;="&amp;DATE($B$3,4,21),'Leave log'!$F$7:$F$306,"Pending")&gt;0,"P",""))))</f>
        <v/>
      </c>
      <c r="W116" s="23" t="str">
        <f>IF(A116="","",IF(IF(OR(DATE($B$3,4,22)&gt;EOMONTH(DATE($B$3,4,1),0),NETWORKDAYS.INTL(DATE($B$3,4,22),DATE($B$3,4,22),1,'Non-working days'!$A$6:$A$45)=0),"",IF(COUNTIFS('Leave log'!$A$7:$A$306,Employees!$A$13,'Leave log'!$B$7:$B$306,"&lt;="&amp;DATE($B$3,4,22),'Leave log'!$C$7:$C$306,"&gt;="&amp;DATE($B$3,4,22),'Leave log'!$F$7:$F$306,"Approved")&gt;0,"A",""))="A","A",IF(OR(DATE($B$3,4,22)&gt;EOMONTH(DATE($B$3,4,1),0),NETWORKDAYS.INTL(DATE($B$3,4,22),DATE($B$3,4,22),1,'Non-working days'!$A$6:$A$45)=0),"",IF(COUNTIFS('Leave log'!$A$7:$A$306,Employees!$A$13,'Leave log'!$B$7:$B$306,"&lt;="&amp;DATE($B$3,4,22),'Leave log'!$C$7:$C$306,"&gt;="&amp;DATE($B$3,4,22),'Leave log'!$F$7:$F$306,"Pending")&gt;0,"P",""))))</f>
        <v/>
      </c>
      <c r="X116" s="23" t="str">
        <f>IF(A116="","",IF(IF(OR(DATE($B$3,4,23)&gt;EOMONTH(DATE($B$3,4,1),0),NETWORKDAYS.INTL(DATE($B$3,4,23),DATE($B$3,4,23),1,'Non-working days'!$A$6:$A$45)=0),"",IF(COUNTIFS('Leave log'!$A$7:$A$306,Employees!$A$13,'Leave log'!$B$7:$B$306,"&lt;="&amp;DATE($B$3,4,23),'Leave log'!$C$7:$C$306,"&gt;="&amp;DATE($B$3,4,23),'Leave log'!$F$7:$F$306,"Approved")&gt;0,"A",""))="A","A",IF(OR(DATE($B$3,4,23)&gt;EOMONTH(DATE($B$3,4,1),0),NETWORKDAYS.INTL(DATE($B$3,4,23),DATE($B$3,4,23),1,'Non-working days'!$A$6:$A$45)=0),"",IF(COUNTIFS('Leave log'!$A$7:$A$306,Employees!$A$13,'Leave log'!$B$7:$B$306,"&lt;="&amp;DATE($B$3,4,23),'Leave log'!$C$7:$C$306,"&gt;="&amp;DATE($B$3,4,23),'Leave log'!$F$7:$F$306,"Pending")&gt;0,"P",""))))</f>
        <v/>
      </c>
      <c r="Y116" s="23" t="str">
        <f>IF(A116="","",IF(IF(OR(DATE($B$3,4,24)&gt;EOMONTH(DATE($B$3,4,1),0),NETWORKDAYS.INTL(DATE($B$3,4,24),DATE($B$3,4,24),1,'Non-working days'!$A$6:$A$45)=0),"",IF(COUNTIFS('Leave log'!$A$7:$A$306,Employees!$A$13,'Leave log'!$B$7:$B$306,"&lt;="&amp;DATE($B$3,4,24),'Leave log'!$C$7:$C$306,"&gt;="&amp;DATE($B$3,4,24),'Leave log'!$F$7:$F$306,"Approved")&gt;0,"A",""))="A","A",IF(OR(DATE($B$3,4,24)&gt;EOMONTH(DATE($B$3,4,1),0),NETWORKDAYS.INTL(DATE($B$3,4,24),DATE($B$3,4,24),1,'Non-working days'!$A$6:$A$45)=0),"",IF(COUNTIFS('Leave log'!$A$7:$A$306,Employees!$A$13,'Leave log'!$B$7:$B$306,"&lt;="&amp;DATE($B$3,4,24),'Leave log'!$C$7:$C$306,"&gt;="&amp;DATE($B$3,4,24),'Leave log'!$F$7:$F$306,"Pending")&gt;0,"P",""))))</f>
        <v/>
      </c>
      <c r="Z116" s="23" t="str">
        <f>IF(A116="","",IF(IF(OR(DATE($B$3,4,25)&gt;EOMONTH(DATE($B$3,4,1),0),NETWORKDAYS.INTL(DATE($B$3,4,25),DATE($B$3,4,25),1,'Non-working days'!$A$6:$A$45)=0),"",IF(COUNTIFS('Leave log'!$A$7:$A$306,Employees!$A$13,'Leave log'!$B$7:$B$306,"&lt;="&amp;DATE($B$3,4,25),'Leave log'!$C$7:$C$306,"&gt;="&amp;DATE($B$3,4,25),'Leave log'!$F$7:$F$306,"Approved")&gt;0,"A",""))="A","A",IF(OR(DATE($B$3,4,25)&gt;EOMONTH(DATE($B$3,4,1),0),NETWORKDAYS.INTL(DATE($B$3,4,25),DATE($B$3,4,25),1,'Non-working days'!$A$6:$A$45)=0),"",IF(COUNTIFS('Leave log'!$A$7:$A$306,Employees!$A$13,'Leave log'!$B$7:$B$306,"&lt;="&amp;DATE($B$3,4,25),'Leave log'!$C$7:$C$306,"&gt;="&amp;DATE($B$3,4,25),'Leave log'!$F$7:$F$306,"Pending")&gt;0,"P",""))))</f>
        <v/>
      </c>
      <c r="AA116" s="23" t="str">
        <f>IF(A116="","",IF(IF(OR(DATE($B$3,4,26)&gt;EOMONTH(DATE($B$3,4,1),0),NETWORKDAYS.INTL(DATE($B$3,4,26),DATE($B$3,4,26),1,'Non-working days'!$A$6:$A$45)=0),"",IF(COUNTIFS('Leave log'!$A$7:$A$306,Employees!$A$13,'Leave log'!$B$7:$B$306,"&lt;="&amp;DATE($B$3,4,26),'Leave log'!$C$7:$C$306,"&gt;="&amp;DATE($B$3,4,26),'Leave log'!$F$7:$F$306,"Approved")&gt;0,"A",""))="A","A",IF(OR(DATE($B$3,4,26)&gt;EOMONTH(DATE($B$3,4,1),0),NETWORKDAYS.INTL(DATE($B$3,4,26),DATE($B$3,4,26),1,'Non-working days'!$A$6:$A$45)=0),"",IF(COUNTIFS('Leave log'!$A$7:$A$306,Employees!$A$13,'Leave log'!$B$7:$B$306,"&lt;="&amp;DATE($B$3,4,26),'Leave log'!$C$7:$C$306,"&gt;="&amp;DATE($B$3,4,26),'Leave log'!$F$7:$F$306,"Pending")&gt;0,"P",""))))</f>
        <v/>
      </c>
      <c r="AB116" s="23" t="str">
        <f>IF(A116="","",IF(IF(OR(DATE($B$3,4,27)&gt;EOMONTH(DATE($B$3,4,1),0),NETWORKDAYS.INTL(DATE($B$3,4,27),DATE($B$3,4,27),1,'Non-working days'!$A$6:$A$45)=0),"",IF(COUNTIFS('Leave log'!$A$7:$A$306,Employees!$A$13,'Leave log'!$B$7:$B$306,"&lt;="&amp;DATE($B$3,4,27),'Leave log'!$C$7:$C$306,"&gt;="&amp;DATE($B$3,4,27),'Leave log'!$F$7:$F$306,"Approved")&gt;0,"A",""))="A","A",IF(OR(DATE($B$3,4,27)&gt;EOMONTH(DATE($B$3,4,1),0),NETWORKDAYS.INTL(DATE($B$3,4,27),DATE($B$3,4,27),1,'Non-working days'!$A$6:$A$45)=0),"",IF(COUNTIFS('Leave log'!$A$7:$A$306,Employees!$A$13,'Leave log'!$B$7:$B$306,"&lt;="&amp;DATE($B$3,4,27),'Leave log'!$C$7:$C$306,"&gt;="&amp;DATE($B$3,4,27),'Leave log'!$F$7:$F$306,"Pending")&gt;0,"P",""))))</f>
        <v/>
      </c>
      <c r="AC116" s="23" t="str">
        <f>IF(A116="","",IF(IF(OR(DATE($B$3,4,28)&gt;EOMONTH(DATE($B$3,4,1),0),NETWORKDAYS.INTL(DATE($B$3,4,28),DATE($B$3,4,28),1,'Non-working days'!$A$6:$A$45)=0),"",IF(COUNTIFS('Leave log'!$A$7:$A$306,Employees!$A$13,'Leave log'!$B$7:$B$306,"&lt;="&amp;DATE($B$3,4,28),'Leave log'!$C$7:$C$306,"&gt;="&amp;DATE($B$3,4,28),'Leave log'!$F$7:$F$306,"Approved")&gt;0,"A",""))="A","A",IF(OR(DATE($B$3,4,28)&gt;EOMONTH(DATE($B$3,4,1),0),NETWORKDAYS.INTL(DATE($B$3,4,28),DATE($B$3,4,28),1,'Non-working days'!$A$6:$A$45)=0),"",IF(COUNTIFS('Leave log'!$A$7:$A$306,Employees!$A$13,'Leave log'!$B$7:$B$306,"&lt;="&amp;DATE($B$3,4,28),'Leave log'!$C$7:$C$306,"&gt;="&amp;DATE($B$3,4,28),'Leave log'!$F$7:$F$306,"Pending")&gt;0,"P",""))))</f>
        <v/>
      </c>
      <c r="AD116" s="23" t="str">
        <f>IF(A116="","",IF(IF(OR(DATE($B$3,4,29)&gt;EOMONTH(DATE($B$3,4,1),0),NETWORKDAYS.INTL(DATE($B$3,4,29),DATE($B$3,4,29),1,'Non-working days'!$A$6:$A$45)=0),"",IF(COUNTIFS('Leave log'!$A$7:$A$306,Employees!$A$13,'Leave log'!$B$7:$B$306,"&lt;="&amp;DATE($B$3,4,29),'Leave log'!$C$7:$C$306,"&gt;="&amp;DATE($B$3,4,29),'Leave log'!$F$7:$F$306,"Approved")&gt;0,"A",""))="A","A",IF(OR(DATE($B$3,4,29)&gt;EOMONTH(DATE($B$3,4,1),0),NETWORKDAYS.INTL(DATE($B$3,4,29),DATE($B$3,4,29),1,'Non-working days'!$A$6:$A$45)=0),"",IF(COUNTIFS('Leave log'!$A$7:$A$306,Employees!$A$13,'Leave log'!$B$7:$B$306,"&lt;="&amp;DATE($B$3,4,29),'Leave log'!$C$7:$C$306,"&gt;="&amp;DATE($B$3,4,29),'Leave log'!$F$7:$F$306,"Pending")&gt;0,"P",""))))</f>
        <v/>
      </c>
      <c r="AE116" s="23" t="str">
        <f>IF(A116="","",IF(IF(OR(DATE($B$3,4,30)&gt;EOMONTH(DATE($B$3,4,1),0),NETWORKDAYS.INTL(DATE($B$3,4,30),DATE($B$3,4,30),1,'Non-working days'!$A$6:$A$45)=0),"",IF(COUNTIFS('Leave log'!$A$7:$A$306,Employees!$A$13,'Leave log'!$B$7:$B$306,"&lt;="&amp;DATE($B$3,4,30),'Leave log'!$C$7:$C$306,"&gt;="&amp;DATE($B$3,4,30),'Leave log'!$F$7:$F$306,"Approved")&gt;0,"A",""))="A","A",IF(OR(DATE($B$3,4,30)&gt;EOMONTH(DATE($B$3,4,1),0),NETWORKDAYS.INTL(DATE($B$3,4,30),DATE($B$3,4,30),1,'Non-working days'!$A$6:$A$45)=0),"",IF(COUNTIFS('Leave log'!$A$7:$A$306,Employees!$A$13,'Leave log'!$B$7:$B$306,"&lt;="&amp;DATE($B$3,4,30),'Leave log'!$C$7:$C$306,"&gt;="&amp;DATE($B$3,4,30),'Leave log'!$F$7:$F$306,"Pending")&gt;0,"P",""))))</f>
        <v/>
      </c>
      <c r="AF116" s="23" t="str">
        <f>IF(A116="","",IF(IF(OR(DATE($B$3,4,31)&gt;EOMONTH(DATE($B$3,4,1),0),NETWORKDAYS.INTL(DATE($B$3,4,31),DATE($B$3,4,31),1,'Non-working days'!$A$6:$A$45)=0),"",IF(COUNTIFS('Leave log'!$A$7:$A$306,Employees!$A$13,'Leave log'!$B$7:$B$306,"&lt;="&amp;DATE($B$3,4,31),'Leave log'!$C$7:$C$306,"&gt;="&amp;DATE($B$3,4,31),'Leave log'!$F$7:$F$306,"Approved")&gt;0,"A",""))="A","A",IF(OR(DATE($B$3,4,31)&gt;EOMONTH(DATE($B$3,4,1),0),NETWORKDAYS.INTL(DATE($B$3,4,31),DATE($B$3,4,31),1,'Non-working days'!$A$6:$A$45)=0),"",IF(COUNTIFS('Leave log'!$A$7:$A$306,Employees!$A$13,'Leave log'!$B$7:$B$306,"&lt;="&amp;DATE($B$3,4,31),'Leave log'!$C$7:$C$306,"&gt;="&amp;DATE($B$3,4,31),'Leave log'!$F$7:$F$306,"Pending")&gt;0,"P",""))))</f>
        <v/>
      </c>
    </row>
    <row r="117" spans="1:32" ht="18" customHeight="1" x14ac:dyDescent="0.3">
      <c r="A117" s="22" t="str">
        <f>IF(Employees!F14="Yes",Employees!B14,"")</f>
        <v/>
      </c>
      <c r="B117" s="23" t="str">
        <f>IF(A117="","",IF(IF(OR(DATE($B$3,4,1)&gt;EOMONTH(DATE($B$3,4,1),0),NETWORKDAYS.INTL(DATE($B$3,4,1),DATE($B$3,4,1),1,'Non-working days'!$A$6:$A$45)=0),"",IF(COUNTIFS('Leave log'!$A$7:$A$306,Employees!$A$14,'Leave log'!$B$7:$B$306,"&lt;="&amp;DATE($B$3,4,1),'Leave log'!$C$7:$C$306,"&gt;="&amp;DATE($B$3,4,1),'Leave log'!$F$7:$F$306,"Approved")&gt;0,"A",""))="A","A",IF(OR(DATE($B$3,4,1)&gt;EOMONTH(DATE($B$3,4,1),0),NETWORKDAYS.INTL(DATE($B$3,4,1),DATE($B$3,4,1),1,'Non-working days'!$A$6:$A$45)=0),"",IF(COUNTIFS('Leave log'!$A$7:$A$306,Employees!$A$14,'Leave log'!$B$7:$B$306,"&lt;="&amp;DATE($B$3,4,1),'Leave log'!$C$7:$C$306,"&gt;="&amp;DATE($B$3,4,1),'Leave log'!$F$7:$F$306,"Pending")&gt;0,"P",""))))</f>
        <v/>
      </c>
      <c r="C117" s="23" t="str">
        <f>IF(A117="","",IF(IF(OR(DATE($B$3,4,2)&gt;EOMONTH(DATE($B$3,4,1),0),NETWORKDAYS.INTL(DATE($B$3,4,2),DATE($B$3,4,2),1,'Non-working days'!$A$6:$A$45)=0),"",IF(COUNTIFS('Leave log'!$A$7:$A$306,Employees!$A$14,'Leave log'!$B$7:$B$306,"&lt;="&amp;DATE($B$3,4,2),'Leave log'!$C$7:$C$306,"&gt;="&amp;DATE($B$3,4,2),'Leave log'!$F$7:$F$306,"Approved")&gt;0,"A",""))="A","A",IF(OR(DATE($B$3,4,2)&gt;EOMONTH(DATE($B$3,4,1),0),NETWORKDAYS.INTL(DATE($B$3,4,2),DATE($B$3,4,2),1,'Non-working days'!$A$6:$A$45)=0),"",IF(COUNTIFS('Leave log'!$A$7:$A$306,Employees!$A$14,'Leave log'!$B$7:$B$306,"&lt;="&amp;DATE($B$3,4,2),'Leave log'!$C$7:$C$306,"&gt;="&amp;DATE($B$3,4,2),'Leave log'!$F$7:$F$306,"Pending")&gt;0,"P",""))))</f>
        <v/>
      </c>
      <c r="D117" s="23" t="str">
        <f>IF(A117="","",IF(IF(OR(DATE($B$3,4,3)&gt;EOMONTH(DATE($B$3,4,1),0),NETWORKDAYS.INTL(DATE($B$3,4,3),DATE($B$3,4,3),1,'Non-working days'!$A$6:$A$45)=0),"",IF(COUNTIFS('Leave log'!$A$7:$A$306,Employees!$A$14,'Leave log'!$B$7:$B$306,"&lt;="&amp;DATE($B$3,4,3),'Leave log'!$C$7:$C$306,"&gt;="&amp;DATE($B$3,4,3),'Leave log'!$F$7:$F$306,"Approved")&gt;0,"A",""))="A","A",IF(OR(DATE($B$3,4,3)&gt;EOMONTH(DATE($B$3,4,1),0),NETWORKDAYS.INTL(DATE($B$3,4,3),DATE($B$3,4,3),1,'Non-working days'!$A$6:$A$45)=0),"",IF(COUNTIFS('Leave log'!$A$7:$A$306,Employees!$A$14,'Leave log'!$B$7:$B$306,"&lt;="&amp;DATE($B$3,4,3),'Leave log'!$C$7:$C$306,"&gt;="&amp;DATE($B$3,4,3),'Leave log'!$F$7:$F$306,"Pending")&gt;0,"P",""))))</f>
        <v/>
      </c>
      <c r="E117" s="23" t="str">
        <f>IF(A117="","",IF(IF(OR(DATE($B$3,4,4)&gt;EOMONTH(DATE($B$3,4,1),0),NETWORKDAYS.INTL(DATE($B$3,4,4),DATE($B$3,4,4),1,'Non-working days'!$A$6:$A$45)=0),"",IF(COUNTIFS('Leave log'!$A$7:$A$306,Employees!$A$14,'Leave log'!$B$7:$B$306,"&lt;="&amp;DATE($B$3,4,4),'Leave log'!$C$7:$C$306,"&gt;="&amp;DATE($B$3,4,4),'Leave log'!$F$7:$F$306,"Approved")&gt;0,"A",""))="A","A",IF(OR(DATE($B$3,4,4)&gt;EOMONTH(DATE($B$3,4,1),0),NETWORKDAYS.INTL(DATE($B$3,4,4),DATE($B$3,4,4),1,'Non-working days'!$A$6:$A$45)=0),"",IF(COUNTIFS('Leave log'!$A$7:$A$306,Employees!$A$14,'Leave log'!$B$7:$B$306,"&lt;="&amp;DATE($B$3,4,4),'Leave log'!$C$7:$C$306,"&gt;="&amp;DATE($B$3,4,4),'Leave log'!$F$7:$F$306,"Pending")&gt;0,"P",""))))</f>
        <v/>
      </c>
      <c r="F117" s="23" t="str">
        <f>IF(A117="","",IF(IF(OR(DATE($B$3,4,5)&gt;EOMONTH(DATE($B$3,4,1),0),NETWORKDAYS.INTL(DATE($B$3,4,5),DATE($B$3,4,5),1,'Non-working days'!$A$6:$A$45)=0),"",IF(COUNTIFS('Leave log'!$A$7:$A$306,Employees!$A$14,'Leave log'!$B$7:$B$306,"&lt;="&amp;DATE($B$3,4,5),'Leave log'!$C$7:$C$306,"&gt;="&amp;DATE($B$3,4,5),'Leave log'!$F$7:$F$306,"Approved")&gt;0,"A",""))="A","A",IF(OR(DATE($B$3,4,5)&gt;EOMONTH(DATE($B$3,4,1),0),NETWORKDAYS.INTL(DATE($B$3,4,5),DATE($B$3,4,5),1,'Non-working days'!$A$6:$A$45)=0),"",IF(COUNTIFS('Leave log'!$A$7:$A$306,Employees!$A$14,'Leave log'!$B$7:$B$306,"&lt;="&amp;DATE($B$3,4,5),'Leave log'!$C$7:$C$306,"&gt;="&amp;DATE($B$3,4,5),'Leave log'!$F$7:$F$306,"Pending")&gt;0,"P",""))))</f>
        <v/>
      </c>
      <c r="G117" s="23" t="str">
        <f>IF(A117="","",IF(IF(OR(DATE($B$3,4,6)&gt;EOMONTH(DATE($B$3,4,1),0),NETWORKDAYS.INTL(DATE($B$3,4,6),DATE($B$3,4,6),1,'Non-working days'!$A$6:$A$45)=0),"",IF(COUNTIFS('Leave log'!$A$7:$A$306,Employees!$A$14,'Leave log'!$B$7:$B$306,"&lt;="&amp;DATE($B$3,4,6),'Leave log'!$C$7:$C$306,"&gt;="&amp;DATE($B$3,4,6),'Leave log'!$F$7:$F$306,"Approved")&gt;0,"A",""))="A","A",IF(OR(DATE($B$3,4,6)&gt;EOMONTH(DATE($B$3,4,1),0),NETWORKDAYS.INTL(DATE($B$3,4,6),DATE($B$3,4,6),1,'Non-working days'!$A$6:$A$45)=0),"",IF(COUNTIFS('Leave log'!$A$7:$A$306,Employees!$A$14,'Leave log'!$B$7:$B$306,"&lt;="&amp;DATE($B$3,4,6),'Leave log'!$C$7:$C$306,"&gt;="&amp;DATE($B$3,4,6),'Leave log'!$F$7:$F$306,"Pending")&gt;0,"P",""))))</f>
        <v/>
      </c>
      <c r="H117" s="23" t="str">
        <f>IF(A117="","",IF(IF(OR(DATE($B$3,4,7)&gt;EOMONTH(DATE($B$3,4,1),0),NETWORKDAYS.INTL(DATE($B$3,4,7),DATE($B$3,4,7),1,'Non-working days'!$A$6:$A$45)=0),"",IF(COUNTIFS('Leave log'!$A$7:$A$306,Employees!$A$14,'Leave log'!$B$7:$B$306,"&lt;="&amp;DATE($B$3,4,7),'Leave log'!$C$7:$C$306,"&gt;="&amp;DATE($B$3,4,7),'Leave log'!$F$7:$F$306,"Approved")&gt;0,"A",""))="A","A",IF(OR(DATE($B$3,4,7)&gt;EOMONTH(DATE($B$3,4,1),0),NETWORKDAYS.INTL(DATE($B$3,4,7),DATE($B$3,4,7),1,'Non-working days'!$A$6:$A$45)=0),"",IF(COUNTIFS('Leave log'!$A$7:$A$306,Employees!$A$14,'Leave log'!$B$7:$B$306,"&lt;="&amp;DATE($B$3,4,7),'Leave log'!$C$7:$C$306,"&gt;="&amp;DATE($B$3,4,7),'Leave log'!$F$7:$F$306,"Pending")&gt;0,"P",""))))</f>
        <v/>
      </c>
      <c r="I117" s="23" t="str">
        <f>IF(A117="","",IF(IF(OR(DATE($B$3,4,8)&gt;EOMONTH(DATE($B$3,4,1),0),NETWORKDAYS.INTL(DATE($B$3,4,8),DATE($B$3,4,8),1,'Non-working days'!$A$6:$A$45)=0),"",IF(COUNTIFS('Leave log'!$A$7:$A$306,Employees!$A$14,'Leave log'!$B$7:$B$306,"&lt;="&amp;DATE($B$3,4,8),'Leave log'!$C$7:$C$306,"&gt;="&amp;DATE($B$3,4,8),'Leave log'!$F$7:$F$306,"Approved")&gt;0,"A",""))="A","A",IF(OR(DATE($B$3,4,8)&gt;EOMONTH(DATE($B$3,4,1),0),NETWORKDAYS.INTL(DATE($B$3,4,8),DATE($B$3,4,8),1,'Non-working days'!$A$6:$A$45)=0),"",IF(COUNTIFS('Leave log'!$A$7:$A$306,Employees!$A$14,'Leave log'!$B$7:$B$306,"&lt;="&amp;DATE($B$3,4,8),'Leave log'!$C$7:$C$306,"&gt;="&amp;DATE($B$3,4,8),'Leave log'!$F$7:$F$306,"Pending")&gt;0,"P",""))))</f>
        <v/>
      </c>
      <c r="J117" s="23" t="str">
        <f>IF(A117="","",IF(IF(OR(DATE($B$3,4,9)&gt;EOMONTH(DATE($B$3,4,1),0),NETWORKDAYS.INTL(DATE($B$3,4,9),DATE($B$3,4,9),1,'Non-working days'!$A$6:$A$45)=0),"",IF(COUNTIFS('Leave log'!$A$7:$A$306,Employees!$A$14,'Leave log'!$B$7:$B$306,"&lt;="&amp;DATE($B$3,4,9),'Leave log'!$C$7:$C$306,"&gt;="&amp;DATE($B$3,4,9),'Leave log'!$F$7:$F$306,"Approved")&gt;0,"A",""))="A","A",IF(OR(DATE($B$3,4,9)&gt;EOMONTH(DATE($B$3,4,1),0),NETWORKDAYS.INTL(DATE($B$3,4,9),DATE($B$3,4,9),1,'Non-working days'!$A$6:$A$45)=0),"",IF(COUNTIFS('Leave log'!$A$7:$A$306,Employees!$A$14,'Leave log'!$B$7:$B$306,"&lt;="&amp;DATE($B$3,4,9),'Leave log'!$C$7:$C$306,"&gt;="&amp;DATE($B$3,4,9),'Leave log'!$F$7:$F$306,"Pending")&gt;0,"P",""))))</f>
        <v/>
      </c>
      <c r="K117" s="23" t="str">
        <f>IF(A117="","",IF(IF(OR(DATE($B$3,4,10)&gt;EOMONTH(DATE($B$3,4,1),0),NETWORKDAYS.INTL(DATE($B$3,4,10),DATE($B$3,4,10),1,'Non-working days'!$A$6:$A$45)=0),"",IF(COUNTIFS('Leave log'!$A$7:$A$306,Employees!$A$14,'Leave log'!$B$7:$B$306,"&lt;="&amp;DATE($B$3,4,10),'Leave log'!$C$7:$C$306,"&gt;="&amp;DATE($B$3,4,10),'Leave log'!$F$7:$F$306,"Approved")&gt;0,"A",""))="A","A",IF(OR(DATE($B$3,4,10)&gt;EOMONTH(DATE($B$3,4,1),0),NETWORKDAYS.INTL(DATE($B$3,4,10),DATE($B$3,4,10),1,'Non-working days'!$A$6:$A$45)=0),"",IF(COUNTIFS('Leave log'!$A$7:$A$306,Employees!$A$14,'Leave log'!$B$7:$B$306,"&lt;="&amp;DATE($B$3,4,10),'Leave log'!$C$7:$C$306,"&gt;="&amp;DATE($B$3,4,10),'Leave log'!$F$7:$F$306,"Pending")&gt;0,"P",""))))</f>
        <v/>
      </c>
      <c r="L117" s="23" t="str">
        <f>IF(A117="","",IF(IF(OR(DATE($B$3,4,11)&gt;EOMONTH(DATE($B$3,4,1),0),NETWORKDAYS.INTL(DATE($B$3,4,11),DATE($B$3,4,11),1,'Non-working days'!$A$6:$A$45)=0),"",IF(COUNTIFS('Leave log'!$A$7:$A$306,Employees!$A$14,'Leave log'!$B$7:$B$306,"&lt;="&amp;DATE($B$3,4,11),'Leave log'!$C$7:$C$306,"&gt;="&amp;DATE($B$3,4,11),'Leave log'!$F$7:$F$306,"Approved")&gt;0,"A",""))="A","A",IF(OR(DATE($B$3,4,11)&gt;EOMONTH(DATE($B$3,4,1),0),NETWORKDAYS.INTL(DATE($B$3,4,11),DATE($B$3,4,11),1,'Non-working days'!$A$6:$A$45)=0),"",IF(COUNTIFS('Leave log'!$A$7:$A$306,Employees!$A$14,'Leave log'!$B$7:$B$306,"&lt;="&amp;DATE($B$3,4,11),'Leave log'!$C$7:$C$306,"&gt;="&amp;DATE($B$3,4,11),'Leave log'!$F$7:$F$306,"Pending")&gt;0,"P",""))))</f>
        <v/>
      </c>
      <c r="M117" s="23" t="str">
        <f>IF(A117="","",IF(IF(OR(DATE($B$3,4,12)&gt;EOMONTH(DATE($B$3,4,1),0),NETWORKDAYS.INTL(DATE($B$3,4,12),DATE($B$3,4,12),1,'Non-working days'!$A$6:$A$45)=0),"",IF(COUNTIFS('Leave log'!$A$7:$A$306,Employees!$A$14,'Leave log'!$B$7:$B$306,"&lt;="&amp;DATE($B$3,4,12),'Leave log'!$C$7:$C$306,"&gt;="&amp;DATE($B$3,4,12),'Leave log'!$F$7:$F$306,"Approved")&gt;0,"A",""))="A","A",IF(OR(DATE($B$3,4,12)&gt;EOMONTH(DATE($B$3,4,1),0),NETWORKDAYS.INTL(DATE($B$3,4,12),DATE($B$3,4,12),1,'Non-working days'!$A$6:$A$45)=0),"",IF(COUNTIFS('Leave log'!$A$7:$A$306,Employees!$A$14,'Leave log'!$B$7:$B$306,"&lt;="&amp;DATE($B$3,4,12),'Leave log'!$C$7:$C$306,"&gt;="&amp;DATE($B$3,4,12),'Leave log'!$F$7:$F$306,"Pending")&gt;0,"P",""))))</f>
        <v/>
      </c>
      <c r="N117" s="23" t="str">
        <f>IF(A117="","",IF(IF(OR(DATE($B$3,4,13)&gt;EOMONTH(DATE($B$3,4,1),0),NETWORKDAYS.INTL(DATE($B$3,4,13),DATE($B$3,4,13),1,'Non-working days'!$A$6:$A$45)=0),"",IF(COUNTIFS('Leave log'!$A$7:$A$306,Employees!$A$14,'Leave log'!$B$7:$B$306,"&lt;="&amp;DATE($B$3,4,13),'Leave log'!$C$7:$C$306,"&gt;="&amp;DATE($B$3,4,13),'Leave log'!$F$7:$F$306,"Approved")&gt;0,"A",""))="A","A",IF(OR(DATE($B$3,4,13)&gt;EOMONTH(DATE($B$3,4,1),0),NETWORKDAYS.INTL(DATE($B$3,4,13),DATE($B$3,4,13),1,'Non-working days'!$A$6:$A$45)=0),"",IF(COUNTIFS('Leave log'!$A$7:$A$306,Employees!$A$14,'Leave log'!$B$7:$B$306,"&lt;="&amp;DATE($B$3,4,13),'Leave log'!$C$7:$C$306,"&gt;="&amp;DATE($B$3,4,13),'Leave log'!$F$7:$F$306,"Pending")&gt;0,"P",""))))</f>
        <v/>
      </c>
      <c r="O117" s="23" t="str">
        <f>IF(A117="","",IF(IF(OR(DATE($B$3,4,14)&gt;EOMONTH(DATE($B$3,4,1),0),NETWORKDAYS.INTL(DATE($B$3,4,14),DATE($B$3,4,14),1,'Non-working days'!$A$6:$A$45)=0),"",IF(COUNTIFS('Leave log'!$A$7:$A$306,Employees!$A$14,'Leave log'!$B$7:$B$306,"&lt;="&amp;DATE($B$3,4,14),'Leave log'!$C$7:$C$306,"&gt;="&amp;DATE($B$3,4,14),'Leave log'!$F$7:$F$306,"Approved")&gt;0,"A",""))="A","A",IF(OR(DATE($B$3,4,14)&gt;EOMONTH(DATE($B$3,4,1),0),NETWORKDAYS.INTL(DATE($B$3,4,14),DATE($B$3,4,14),1,'Non-working days'!$A$6:$A$45)=0),"",IF(COUNTIFS('Leave log'!$A$7:$A$306,Employees!$A$14,'Leave log'!$B$7:$B$306,"&lt;="&amp;DATE($B$3,4,14),'Leave log'!$C$7:$C$306,"&gt;="&amp;DATE($B$3,4,14),'Leave log'!$F$7:$F$306,"Pending")&gt;0,"P",""))))</f>
        <v/>
      </c>
      <c r="P117" s="23" t="str">
        <f>IF(A117="","",IF(IF(OR(DATE($B$3,4,15)&gt;EOMONTH(DATE($B$3,4,1),0),NETWORKDAYS.INTL(DATE($B$3,4,15),DATE($B$3,4,15),1,'Non-working days'!$A$6:$A$45)=0),"",IF(COUNTIFS('Leave log'!$A$7:$A$306,Employees!$A$14,'Leave log'!$B$7:$B$306,"&lt;="&amp;DATE($B$3,4,15),'Leave log'!$C$7:$C$306,"&gt;="&amp;DATE($B$3,4,15),'Leave log'!$F$7:$F$306,"Approved")&gt;0,"A",""))="A","A",IF(OR(DATE($B$3,4,15)&gt;EOMONTH(DATE($B$3,4,1),0),NETWORKDAYS.INTL(DATE($B$3,4,15),DATE($B$3,4,15),1,'Non-working days'!$A$6:$A$45)=0),"",IF(COUNTIFS('Leave log'!$A$7:$A$306,Employees!$A$14,'Leave log'!$B$7:$B$306,"&lt;="&amp;DATE($B$3,4,15),'Leave log'!$C$7:$C$306,"&gt;="&amp;DATE($B$3,4,15),'Leave log'!$F$7:$F$306,"Pending")&gt;0,"P",""))))</f>
        <v/>
      </c>
      <c r="Q117" s="23" t="str">
        <f>IF(A117="","",IF(IF(OR(DATE($B$3,4,16)&gt;EOMONTH(DATE($B$3,4,1),0),NETWORKDAYS.INTL(DATE($B$3,4,16),DATE($B$3,4,16),1,'Non-working days'!$A$6:$A$45)=0),"",IF(COUNTIFS('Leave log'!$A$7:$A$306,Employees!$A$14,'Leave log'!$B$7:$B$306,"&lt;="&amp;DATE($B$3,4,16),'Leave log'!$C$7:$C$306,"&gt;="&amp;DATE($B$3,4,16),'Leave log'!$F$7:$F$306,"Approved")&gt;0,"A",""))="A","A",IF(OR(DATE($B$3,4,16)&gt;EOMONTH(DATE($B$3,4,1),0),NETWORKDAYS.INTL(DATE($B$3,4,16),DATE($B$3,4,16),1,'Non-working days'!$A$6:$A$45)=0),"",IF(COUNTIFS('Leave log'!$A$7:$A$306,Employees!$A$14,'Leave log'!$B$7:$B$306,"&lt;="&amp;DATE($B$3,4,16),'Leave log'!$C$7:$C$306,"&gt;="&amp;DATE($B$3,4,16),'Leave log'!$F$7:$F$306,"Pending")&gt;0,"P",""))))</f>
        <v/>
      </c>
      <c r="R117" s="23" t="str">
        <f>IF(A117="","",IF(IF(OR(DATE($B$3,4,17)&gt;EOMONTH(DATE($B$3,4,1),0),NETWORKDAYS.INTL(DATE($B$3,4,17),DATE($B$3,4,17),1,'Non-working days'!$A$6:$A$45)=0),"",IF(COUNTIFS('Leave log'!$A$7:$A$306,Employees!$A$14,'Leave log'!$B$7:$B$306,"&lt;="&amp;DATE($B$3,4,17),'Leave log'!$C$7:$C$306,"&gt;="&amp;DATE($B$3,4,17),'Leave log'!$F$7:$F$306,"Approved")&gt;0,"A",""))="A","A",IF(OR(DATE($B$3,4,17)&gt;EOMONTH(DATE($B$3,4,1),0),NETWORKDAYS.INTL(DATE($B$3,4,17),DATE($B$3,4,17),1,'Non-working days'!$A$6:$A$45)=0),"",IF(COUNTIFS('Leave log'!$A$7:$A$306,Employees!$A$14,'Leave log'!$B$7:$B$306,"&lt;="&amp;DATE($B$3,4,17),'Leave log'!$C$7:$C$306,"&gt;="&amp;DATE($B$3,4,17),'Leave log'!$F$7:$F$306,"Pending")&gt;0,"P",""))))</f>
        <v/>
      </c>
      <c r="S117" s="23" t="str">
        <f>IF(A117="","",IF(IF(OR(DATE($B$3,4,18)&gt;EOMONTH(DATE($B$3,4,1),0),NETWORKDAYS.INTL(DATE($B$3,4,18),DATE($B$3,4,18),1,'Non-working days'!$A$6:$A$45)=0),"",IF(COUNTIFS('Leave log'!$A$7:$A$306,Employees!$A$14,'Leave log'!$B$7:$B$306,"&lt;="&amp;DATE($B$3,4,18),'Leave log'!$C$7:$C$306,"&gt;="&amp;DATE($B$3,4,18),'Leave log'!$F$7:$F$306,"Approved")&gt;0,"A",""))="A","A",IF(OR(DATE($B$3,4,18)&gt;EOMONTH(DATE($B$3,4,1),0),NETWORKDAYS.INTL(DATE($B$3,4,18),DATE($B$3,4,18),1,'Non-working days'!$A$6:$A$45)=0),"",IF(COUNTIFS('Leave log'!$A$7:$A$306,Employees!$A$14,'Leave log'!$B$7:$B$306,"&lt;="&amp;DATE($B$3,4,18),'Leave log'!$C$7:$C$306,"&gt;="&amp;DATE($B$3,4,18),'Leave log'!$F$7:$F$306,"Pending")&gt;0,"P",""))))</f>
        <v/>
      </c>
      <c r="T117" s="23" t="str">
        <f>IF(A117="","",IF(IF(OR(DATE($B$3,4,19)&gt;EOMONTH(DATE($B$3,4,1),0),NETWORKDAYS.INTL(DATE($B$3,4,19),DATE($B$3,4,19),1,'Non-working days'!$A$6:$A$45)=0),"",IF(COUNTIFS('Leave log'!$A$7:$A$306,Employees!$A$14,'Leave log'!$B$7:$B$306,"&lt;="&amp;DATE($B$3,4,19),'Leave log'!$C$7:$C$306,"&gt;="&amp;DATE($B$3,4,19),'Leave log'!$F$7:$F$306,"Approved")&gt;0,"A",""))="A","A",IF(OR(DATE($B$3,4,19)&gt;EOMONTH(DATE($B$3,4,1),0),NETWORKDAYS.INTL(DATE($B$3,4,19),DATE($B$3,4,19),1,'Non-working days'!$A$6:$A$45)=0),"",IF(COUNTIFS('Leave log'!$A$7:$A$306,Employees!$A$14,'Leave log'!$B$7:$B$306,"&lt;="&amp;DATE($B$3,4,19),'Leave log'!$C$7:$C$306,"&gt;="&amp;DATE($B$3,4,19),'Leave log'!$F$7:$F$306,"Pending")&gt;0,"P",""))))</f>
        <v/>
      </c>
      <c r="U117" s="23" t="str">
        <f>IF(A117="","",IF(IF(OR(DATE($B$3,4,20)&gt;EOMONTH(DATE($B$3,4,1),0),NETWORKDAYS.INTL(DATE($B$3,4,20),DATE($B$3,4,20),1,'Non-working days'!$A$6:$A$45)=0),"",IF(COUNTIFS('Leave log'!$A$7:$A$306,Employees!$A$14,'Leave log'!$B$7:$B$306,"&lt;="&amp;DATE($B$3,4,20),'Leave log'!$C$7:$C$306,"&gt;="&amp;DATE($B$3,4,20),'Leave log'!$F$7:$F$306,"Approved")&gt;0,"A",""))="A","A",IF(OR(DATE($B$3,4,20)&gt;EOMONTH(DATE($B$3,4,1),0),NETWORKDAYS.INTL(DATE($B$3,4,20),DATE($B$3,4,20),1,'Non-working days'!$A$6:$A$45)=0),"",IF(COUNTIFS('Leave log'!$A$7:$A$306,Employees!$A$14,'Leave log'!$B$7:$B$306,"&lt;="&amp;DATE($B$3,4,20),'Leave log'!$C$7:$C$306,"&gt;="&amp;DATE($B$3,4,20),'Leave log'!$F$7:$F$306,"Pending")&gt;0,"P",""))))</f>
        <v/>
      </c>
      <c r="V117" s="23" t="str">
        <f>IF(A117="","",IF(IF(OR(DATE($B$3,4,21)&gt;EOMONTH(DATE($B$3,4,1),0),NETWORKDAYS.INTL(DATE($B$3,4,21),DATE($B$3,4,21),1,'Non-working days'!$A$6:$A$45)=0),"",IF(COUNTIFS('Leave log'!$A$7:$A$306,Employees!$A$14,'Leave log'!$B$7:$B$306,"&lt;="&amp;DATE($B$3,4,21),'Leave log'!$C$7:$C$306,"&gt;="&amp;DATE($B$3,4,21),'Leave log'!$F$7:$F$306,"Approved")&gt;0,"A",""))="A","A",IF(OR(DATE($B$3,4,21)&gt;EOMONTH(DATE($B$3,4,1),0),NETWORKDAYS.INTL(DATE($B$3,4,21),DATE($B$3,4,21),1,'Non-working days'!$A$6:$A$45)=0),"",IF(COUNTIFS('Leave log'!$A$7:$A$306,Employees!$A$14,'Leave log'!$B$7:$B$306,"&lt;="&amp;DATE($B$3,4,21),'Leave log'!$C$7:$C$306,"&gt;="&amp;DATE($B$3,4,21),'Leave log'!$F$7:$F$306,"Pending")&gt;0,"P",""))))</f>
        <v/>
      </c>
      <c r="W117" s="23" t="str">
        <f>IF(A117="","",IF(IF(OR(DATE($B$3,4,22)&gt;EOMONTH(DATE($B$3,4,1),0),NETWORKDAYS.INTL(DATE($B$3,4,22),DATE($B$3,4,22),1,'Non-working days'!$A$6:$A$45)=0),"",IF(COUNTIFS('Leave log'!$A$7:$A$306,Employees!$A$14,'Leave log'!$B$7:$B$306,"&lt;="&amp;DATE($B$3,4,22),'Leave log'!$C$7:$C$306,"&gt;="&amp;DATE($B$3,4,22),'Leave log'!$F$7:$F$306,"Approved")&gt;0,"A",""))="A","A",IF(OR(DATE($B$3,4,22)&gt;EOMONTH(DATE($B$3,4,1),0),NETWORKDAYS.INTL(DATE($B$3,4,22),DATE($B$3,4,22),1,'Non-working days'!$A$6:$A$45)=0),"",IF(COUNTIFS('Leave log'!$A$7:$A$306,Employees!$A$14,'Leave log'!$B$7:$B$306,"&lt;="&amp;DATE($B$3,4,22),'Leave log'!$C$7:$C$306,"&gt;="&amp;DATE($B$3,4,22),'Leave log'!$F$7:$F$306,"Pending")&gt;0,"P",""))))</f>
        <v/>
      </c>
      <c r="X117" s="23" t="str">
        <f>IF(A117="","",IF(IF(OR(DATE($B$3,4,23)&gt;EOMONTH(DATE($B$3,4,1),0),NETWORKDAYS.INTL(DATE($B$3,4,23),DATE($B$3,4,23),1,'Non-working days'!$A$6:$A$45)=0),"",IF(COUNTIFS('Leave log'!$A$7:$A$306,Employees!$A$14,'Leave log'!$B$7:$B$306,"&lt;="&amp;DATE($B$3,4,23),'Leave log'!$C$7:$C$306,"&gt;="&amp;DATE($B$3,4,23),'Leave log'!$F$7:$F$306,"Approved")&gt;0,"A",""))="A","A",IF(OR(DATE($B$3,4,23)&gt;EOMONTH(DATE($B$3,4,1),0),NETWORKDAYS.INTL(DATE($B$3,4,23),DATE($B$3,4,23),1,'Non-working days'!$A$6:$A$45)=0),"",IF(COUNTIFS('Leave log'!$A$7:$A$306,Employees!$A$14,'Leave log'!$B$7:$B$306,"&lt;="&amp;DATE($B$3,4,23),'Leave log'!$C$7:$C$306,"&gt;="&amp;DATE($B$3,4,23),'Leave log'!$F$7:$F$306,"Pending")&gt;0,"P",""))))</f>
        <v/>
      </c>
      <c r="Y117" s="23" t="str">
        <f>IF(A117="","",IF(IF(OR(DATE($B$3,4,24)&gt;EOMONTH(DATE($B$3,4,1),0),NETWORKDAYS.INTL(DATE($B$3,4,24),DATE($B$3,4,24),1,'Non-working days'!$A$6:$A$45)=0),"",IF(COUNTIFS('Leave log'!$A$7:$A$306,Employees!$A$14,'Leave log'!$B$7:$B$306,"&lt;="&amp;DATE($B$3,4,24),'Leave log'!$C$7:$C$306,"&gt;="&amp;DATE($B$3,4,24),'Leave log'!$F$7:$F$306,"Approved")&gt;0,"A",""))="A","A",IF(OR(DATE($B$3,4,24)&gt;EOMONTH(DATE($B$3,4,1),0),NETWORKDAYS.INTL(DATE($B$3,4,24),DATE($B$3,4,24),1,'Non-working days'!$A$6:$A$45)=0),"",IF(COUNTIFS('Leave log'!$A$7:$A$306,Employees!$A$14,'Leave log'!$B$7:$B$306,"&lt;="&amp;DATE($B$3,4,24),'Leave log'!$C$7:$C$306,"&gt;="&amp;DATE($B$3,4,24),'Leave log'!$F$7:$F$306,"Pending")&gt;0,"P",""))))</f>
        <v/>
      </c>
      <c r="Z117" s="23" t="str">
        <f>IF(A117="","",IF(IF(OR(DATE($B$3,4,25)&gt;EOMONTH(DATE($B$3,4,1),0),NETWORKDAYS.INTL(DATE($B$3,4,25),DATE($B$3,4,25),1,'Non-working days'!$A$6:$A$45)=0),"",IF(COUNTIFS('Leave log'!$A$7:$A$306,Employees!$A$14,'Leave log'!$B$7:$B$306,"&lt;="&amp;DATE($B$3,4,25),'Leave log'!$C$7:$C$306,"&gt;="&amp;DATE($B$3,4,25),'Leave log'!$F$7:$F$306,"Approved")&gt;0,"A",""))="A","A",IF(OR(DATE($B$3,4,25)&gt;EOMONTH(DATE($B$3,4,1),0),NETWORKDAYS.INTL(DATE($B$3,4,25),DATE($B$3,4,25),1,'Non-working days'!$A$6:$A$45)=0),"",IF(COUNTIFS('Leave log'!$A$7:$A$306,Employees!$A$14,'Leave log'!$B$7:$B$306,"&lt;="&amp;DATE($B$3,4,25),'Leave log'!$C$7:$C$306,"&gt;="&amp;DATE($B$3,4,25),'Leave log'!$F$7:$F$306,"Pending")&gt;0,"P",""))))</f>
        <v/>
      </c>
      <c r="AA117" s="23" t="str">
        <f>IF(A117="","",IF(IF(OR(DATE($B$3,4,26)&gt;EOMONTH(DATE($B$3,4,1),0),NETWORKDAYS.INTL(DATE($B$3,4,26),DATE($B$3,4,26),1,'Non-working days'!$A$6:$A$45)=0),"",IF(COUNTIFS('Leave log'!$A$7:$A$306,Employees!$A$14,'Leave log'!$B$7:$B$306,"&lt;="&amp;DATE($B$3,4,26),'Leave log'!$C$7:$C$306,"&gt;="&amp;DATE($B$3,4,26),'Leave log'!$F$7:$F$306,"Approved")&gt;0,"A",""))="A","A",IF(OR(DATE($B$3,4,26)&gt;EOMONTH(DATE($B$3,4,1),0),NETWORKDAYS.INTL(DATE($B$3,4,26),DATE($B$3,4,26),1,'Non-working days'!$A$6:$A$45)=0),"",IF(COUNTIFS('Leave log'!$A$7:$A$306,Employees!$A$14,'Leave log'!$B$7:$B$306,"&lt;="&amp;DATE($B$3,4,26),'Leave log'!$C$7:$C$306,"&gt;="&amp;DATE($B$3,4,26),'Leave log'!$F$7:$F$306,"Pending")&gt;0,"P",""))))</f>
        <v/>
      </c>
      <c r="AB117" s="23" t="str">
        <f>IF(A117="","",IF(IF(OR(DATE($B$3,4,27)&gt;EOMONTH(DATE($B$3,4,1),0),NETWORKDAYS.INTL(DATE($B$3,4,27),DATE($B$3,4,27),1,'Non-working days'!$A$6:$A$45)=0),"",IF(COUNTIFS('Leave log'!$A$7:$A$306,Employees!$A$14,'Leave log'!$B$7:$B$306,"&lt;="&amp;DATE($B$3,4,27),'Leave log'!$C$7:$C$306,"&gt;="&amp;DATE($B$3,4,27),'Leave log'!$F$7:$F$306,"Approved")&gt;0,"A",""))="A","A",IF(OR(DATE($B$3,4,27)&gt;EOMONTH(DATE($B$3,4,1),0),NETWORKDAYS.INTL(DATE($B$3,4,27),DATE($B$3,4,27),1,'Non-working days'!$A$6:$A$45)=0),"",IF(COUNTIFS('Leave log'!$A$7:$A$306,Employees!$A$14,'Leave log'!$B$7:$B$306,"&lt;="&amp;DATE($B$3,4,27),'Leave log'!$C$7:$C$306,"&gt;="&amp;DATE($B$3,4,27),'Leave log'!$F$7:$F$306,"Pending")&gt;0,"P",""))))</f>
        <v/>
      </c>
      <c r="AC117" s="23" t="str">
        <f>IF(A117="","",IF(IF(OR(DATE($B$3,4,28)&gt;EOMONTH(DATE($B$3,4,1),0),NETWORKDAYS.INTL(DATE($B$3,4,28),DATE($B$3,4,28),1,'Non-working days'!$A$6:$A$45)=0),"",IF(COUNTIFS('Leave log'!$A$7:$A$306,Employees!$A$14,'Leave log'!$B$7:$B$306,"&lt;="&amp;DATE($B$3,4,28),'Leave log'!$C$7:$C$306,"&gt;="&amp;DATE($B$3,4,28),'Leave log'!$F$7:$F$306,"Approved")&gt;0,"A",""))="A","A",IF(OR(DATE($B$3,4,28)&gt;EOMONTH(DATE($B$3,4,1),0),NETWORKDAYS.INTL(DATE($B$3,4,28),DATE($B$3,4,28),1,'Non-working days'!$A$6:$A$45)=0),"",IF(COUNTIFS('Leave log'!$A$7:$A$306,Employees!$A$14,'Leave log'!$B$7:$B$306,"&lt;="&amp;DATE($B$3,4,28),'Leave log'!$C$7:$C$306,"&gt;="&amp;DATE($B$3,4,28),'Leave log'!$F$7:$F$306,"Pending")&gt;0,"P",""))))</f>
        <v/>
      </c>
      <c r="AD117" s="23" t="str">
        <f>IF(A117="","",IF(IF(OR(DATE($B$3,4,29)&gt;EOMONTH(DATE($B$3,4,1),0),NETWORKDAYS.INTL(DATE($B$3,4,29),DATE($B$3,4,29),1,'Non-working days'!$A$6:$A$45)=0),"",IF(COUNTIFS('Leave log'!$A$7:$A$306,Employees!$A$14,'Leave log'!$B$7:$B$306,"&lt;="&amp;DATE($B$3,4,29),'Leave log'!$C$7:$C$306,"&gt;="&amp;DATE($B$3,4,29),'Leave log'!$F$7:$F$306,"Approved")&gt;0,"A",""))="A","A",IF(OR(DATE($B$3,4,29)&gt;EOMONTH(DATE($B$3,4,1),0),NETWORKDAYS.INTL(DATE($B$3,4,29),DATE($B$3,4,29),1,'Non-working days'!$A$6:$A$45)=0),"",IF(COUNTIFS('Leave log'!$A$7:$A$306,Employees!$A$14,'Leave log'!$B$7:$B$306,"&lt;="&amp;DATE($B$3,4,29),'Leave log'!$C$7:$C$306,"&gt;="&amp;DATE($B$3,4,29),'Leave log'!$F$7:$F$306,"Pending")&gt;0,"P",""))))</f>
        <v/>
      </c>
      <c r="AE117" s="23" t="str">
        <f>IF(A117="","",IF(IF(OR(DATE($B$3,4,30)&gt;EOMONTH(DATE($B$3,4,1),0),NETWORKDAYS.INTL(DATE($B$3,4,30),DATE($B$3,4,30),1,'Non-working days'!$A$6:$A$45)=0),"",IF(COUNTIFS('Leave log'!$A$7:$A$306,Employees!$A$14,'Leave log'!$B$7:$B$306,"&lt;="&amp;DATE($B$3,4,30),'Leave log'!$C$7:$C$306,"&gt;="&amp;DATE($B$3,4,30),'Leave log'!$F$7:$F$306,"Approved")&gt;0,"A",""))="A","A",IF(OR(DATE($B$3,4,30)&gt;EOMONTH(DATE($B$3,4,1),0),NETWORKDAYS.INTL(DATE($B$3,4,30),DATE($B$3,4,30),1,'Non-working days'!$A$6:$A$45)=0),"",IF(COUNTIFS('Leave log'!$A$7:$A$306,Employees!$A$14,'Leave log'!$B$7:$B$306,"&lt;="&amp;DATE($B$3,4,30),'Leave log'!$C$7:$C$306,"&gt;="&amp;DATE($B$3,4,30),'Leave log'!$F$7:$F$306,"Pending")&gt;0,"P",""))))</f>
        <v/>
      </c>
      <c r="AF117" s="23" t="str">
        <f>IF(A117="","",IF(IF(OR(DATE($B$3,4,31)&gt;EOMONTH(DATE($B$3,4,1),0),NETWORKDAYS.INTL(DATE($B$3,4,31),DATE($B$3,4,31),1,'Non-working days'!$A$6:$A$45)=0),"",IF(COUNTIFS('Leave log'!$A$7:$A$306,Employees!$A$14,'Leave log'!$B$7:$B$306,"&lt;="&amp;DATE($B$3,4,31),'Leave log'!$C$7:$C$306,"&gt;="&amp;DATE($B$3,4,31),'Leave log'!$F$7:$F$306,"Approved")&gt;0,"A",""))="A","A",IF(OR(DATE($B$3,4,31)&gt;EOMONTH(DATE($B$3,4,1),0),NETWORKDAYS.INTL(DATE($B$3,4,31),DATE($B$3,4,31),1,'Non-working days'!$A$6:$A$45)=0),"",IF(COUNTIFS('Leave log'!$A$7:$A$306,Employees!$A$14,'Leave log'!$B$7:$B$306,"&lt;="&amp;DATE($B$3,4,31),'Leave log'!$C$7:$C$306,"&gt;="&amp;DATE($B$3,4,31),'Leave log'!$F$7:$F$306,"Pending")&gt;0,"P",""))))</f>
        <v/>
      </c>
    </row>
    <row r="118" spans="1:32" ht="18" customHeight="1" x14ac:dyDescent="0.3">
      <c r="A118" s="22" t="str">
        <f>IF(Employees!F15="Yes",Employees!B15,"")</f>
        <v/>
      </c>
      <c r="B118" s="23" t="str">
        <f>IF(A118="","",IF(IF(OR(DATE($B$3,4,1)&gt;EOMONTH(DATE($B$3,4,1),0),NETWORKDAYS.INTL(DATE($B$3,4,1),DATE($B$3,4,1),1,'Non-working days'!$A$6:$A$45)=0),"",IF(COUNTIFS('Leave log'!$A$7:$A$306,Employees!$A$15,'Leave log'!$B$7:$B$306,"&lt;="&amp;DATE($B$3,4,1),'Leave log'!$C$7:$C$306,"&gt;="&amp;DATE($B$3,4,1),'Leave log'!$F$7:$F$306,"Approved")&gt;0,"A",""))="A","A",IF(OR(DATE($B$3,4,1)&gt;EOMONTH(DATE($B$3,4,1),0),NETWORKDAYS.INTL(DATE($B$3,4,1),DATE($B$3,4,1),1,'Non-working days'!$A$6:$A$45)=0),"",IF(COUNTIFS('Leave log'!$A$7:$A$306,Employees!$A$15,'Leave log'!$B$7:$B$306,"&lt;="&amp;DATE($B$3,4,1),'Leave log'!$C$7:$C$306,"&gt;="&amp;DATE($B$3,4,1),'Leave log'!$F$7:$F$306,"Pending")&gt;0,"P",""))))</f>
        <v/>
      </c>
      <c r="C118" s="23" t="str">
        <f>IF(A118="","",IF(IF(OR(DATE($B$3,4,2)&gt;EOMONTH(DATE($B$3,4,1),0),NETWORKDAYS.INTL(DATE($B$3,4,2),DATE($B$3,4,2),1,'Non-working days'!$A$6:$A$45)=0),"",IF(COUNTIFS('Leave log'!$A$7:$A$306,Employees!$A$15,'Leave log'!$B$7:$B$306,"&lt;="&amp;DATE($B$3,4,2),'Leave log'!$C$7:$C$306,"&gt;="&amp;DATE($B$3,4,2),'Leave log'!$F$7:$F$306,"Approved")&gt;0,"A",""))="A","A",IF(OR(DATE($B$3,4,2)&gt;EOMONTH(DATE($B$3,4,1),0),NETWORKDAYS.INTL(DATE($B$3,4,2),DATE($B$3,4,2),1,'Non-working days'!$A$6:$A$45)=0),"",IF(COUNTIFS('Leave log'!$A$7:$A$306,Employees!$A$15,'Leave log'!$B$7:$B$306,"&lt;="&amp;DATE($B$3,4,2),'Leave log'!$C$7:$C$306,"&gt;="&amp;DATE($B$3,4,2),'Leave log'!$F$7:$F$306,"Pending")&gt;0,"P",""))))</f>
        <v/>
      </c>
      <c r="D118" s="23" t="str">
        <f>IF(A118="","",IF(IF(OR(DATE($B$3,4,3)&gt;EOMONTH(DATE($B$3,4,1),0),NETWORKDAYS.INTL(DATE($B$3,4,3),DATE($B$3,4,3),1,'Non-working days'!$A$6:$A$45)=0),"",IF(COUNTIFS('Leave log'!$A$7:$A$306,Employees!$A$15,'Leave log'!$B$7:$B$306,"&lt;="&amp;DATE($B$3,4,3),'Leave log'!$C$7:$C$306,"&gt;="&amp;DATE($B$3,4,3),'Leave log'!$F$7:$F$306,"Approved")&gt;0,"A",""))="A","A",IF(OR(DATE($B$3,4,3)&gt;EOMONTH(DATE($B$3,4,1),0),NETWORKDAYS.INTL(DATE($B$3,4,3),DATE($B$3,4,3),1,'Non-working days'!$A$6:$A$45)=0),"",IF(COUNTIFS('Leave log'!$A$7:$A$306,Employees!$A$15,'Leave log'!$B$7:$B$306,"&lt;="&amp;DATE($B$3,4,3),'Leave log'!$C$7:$C$306,"&gt;="&amp;DATE($B$3,4,3),'Leave log'!$F$7:$F$306,"Pending")&gt;0,"P",""))))</f>
        <v/>
      </c>
      <c r="E118" s="23" t="str">
        <f>IF(A118="","",IF(IF(OR(DATE($B$3,4,4)&gt;EOMONTH(DATE($B$3,4,1),0),NETWORKDAYS.INTL(DATE($B$3,4,4),DATE($B$3,4,4),1,'Non-working days'!$A$6:$A$45)=0),"",IF(COUNTIFS('Leave log'!$A$7:$A$306,Employees!$A$15,'Leave log'!$B$7:$B$306,"&lt;="&amp;DATE($B$3,4,4),'Leave log'!$C$7:$C$306,"&gt;="&amp;DATE($B$3,4,4),'Leave log'!$F$7:$F$306,"Approved")&gt;0,"A",""))="A","A",IF(OR(DATE($B$3,4,4)&gt;EOMONTH(DATE($B$3,4,1),0),NETWORKDAYS.INTL(DATE($B$3,4,4),DATE($B$3,4,4),1,'Non-working days'!$A$6:$A$45)=0),"",IF(COUNTIFS('Leave log'!$A$7:$A$306,Employees!$A$15,'Leave log'!$B$7:$B$306,"&lt;="&amp;DATE($B$3,4,4),'Leave log'!$C$7:$C$306,"&gt;="&amp;DATE($B$3,4,4),'Leave log'!$F$7:$F$306,"Pending")&gt;0,"P",""))))</f>
        <v/>
      </c>
      <c r="F118" s="23" t="str">
        <f>IF(A118="","",IF(IF(OR(DATE($B$3,4,5)&gt;EOMONTH(DATE($B$3,4,1),0),NETWORKDAYS.INTL(DATE($B$3,4,5),DATE($B$3,4,5),1,'Non-working days'!$A$6:$A$45)=0),"",IF(COUNTIFS('Leave log'!$A$7:$A$306,Employees!$A$15,'Leave log'!$B$7:$B$306,"&lt;="&amp;DATE($B$3,4,5),'Leave log'!$C$7:$C$306,"&gt;="&amp;DATE($B$3,4,5),'Leave log'!$F$7:$F$306,"Approved")&gt;0,"A",""))="A","A",IF(OR(DATE($B$3,4,5)&gt;EOMONTH(DATE($B$3,4,1),0),NETWORKDAYS.INTL(DATE($B$3,4,5),DATE($B$3,4,5),1,'Non-working days'!$A$6:$A$45)=0),"",IF(COUNTIFS('Leave log'!$A$7:$A$306,Employees!$A$15,'Leave log'!$B$7:$B$306,"&lt;="&amp;DATE($B$3,4,5),'Leave log'!$C$7:$C$306,"&gt;="&amp;DATE($B$3,4,5),'Leave log'!$F$7:$F$306,"Pending")&gt;0,"P",""))))</f>
        <v/>
      </c>
      <c r="G118" s="23" t="str">
        <f>IF(A118="","",IF(IF(OR(DATE($B$3,4,6)&gt;EOMONTH(DATE($B$3,4,1),0),NETWORKDAYS.INTL(DATE($B$3,4,6),DATE($B$3,4,6),1,'Non-working days'!$A$6:$A$45)=0),"",IF(COUNTIFS('Leave log'!$A$7:$A$306,Employees!$A$15,'Leave log'!$B$7:$B$306,"&lt;="&amp;DATE($B$3,4,6),'Leave log'!$C$7:$C$306,"&gt;="&amp;DATE($B$3,4,6),'Leave log'!$F$7:$F$306,"Approved")&gt;0,"A",""))="A","A",IF(OR(DATE($B$3,4,6)&gt;EOMONTH(DATE($B$3,4,1),0),NETWORKDAYS.INTL(DATE($B$3,4,6),DATE($B$3,4,6),1,'Non-working days'!$A$6:$A$45)=0),"",IF(COUNTIFS('Leave log'!$A$7:$A$306,Employees!$A$15,'Leave log'!$B$7:$B$306,"&lt;="&amp;DATE($B$3,4,6),'Leave log'!$C$7:$C$306,"&gt;="&amp;DATE($B$3,4,6),'Leave log'!$F$7:$F$306,"Pending")&gt;0,"P",""))))</f>
        <v/>
      </c>
      <c r="H118" s="23" t="str">
        <f>IF(A118="","",IF(IF(OR(DATE($B$3,4,7)&gt;EOMONTH(DATE($B$3,4,1),0),NETWORKDAYS.INTL(DATE($B$3,4,7),DATE($B$3,4,7),1,'Non-working days'!$A$6:$A$45)=0),"",IF(COUNTIFS('Leave log'!$A$7:$A$306,Employees!$A$15,'Leave log'!$B$7:$B$306,"&lt;="&amp;DATE($B$3,4,7),'Leave log'!$C$7:$C$306,"&gt;="&amp;DATE($B$3,4,7),'Leave log'!$F$7:$F$306,"Approved")&gt;0,"A",""))="A","A",IF(OR(DATE($B$3,4,7)&gt;EOMONTH(DATE($B$3,4,1),0),NETWORKDAYS.INTL(DATE($B$3,4,7),DATE($B$3,4,7),1,'Non-working days'!$A$6:$A$45)=0),"",IF(COUNTIFS('Leave log'!$A$7:$A$306,Employees!$A$15,'Leave log'!$B$7:$B$306,"&lt;="&amp;DATE($B$3,4,7),'Leave log'!$C$7:$C$306,"&gt;="&amp;DATE($B$3,4,7),'Leave log'!$F$7:$F$306,"Pending")&gt;0,"P",""))))</f>
        <v/>
      </c>
      <c r="I118" s="23" t="str">
        <f>IF(A118="","",IF(IF(OR(DATE($B$3,4,8)&gt;EOMONTH(DATE($B$3,4,1),0),NETWORKDAYS.INTL(DATE($B$3,4,8),DATE($B$3,4,8),1,'Non-working days'!$A$6:$A$45)=0),"",IF(COUNTIFS('Leave log'!$A$7:$A$306,Employees!$A$15,'Leave log'!$B$7:$B$306,"&lt;="&amp;DATE($B$3,4,8),'Leave log'!$C$7:$C$306,"&gt;="&amp;DATE($B$3,4,8),'Leave log'!$F$7:$F$306,"Approved")&gt;0,"A",""))="A","A",IF(OR(DATE($B$3,4,8)&gt;EOMONTH(DATE($B$3,4,1),0),NETWORKDAYS.INTL(DATE($B$3,4,8),DATE($B$3,4,8),1,'Non-working days'!$A$6:$A$45)=0),"",IF(COUNTIFS('Leave log'!$A$7:$A$306,Employees!$A$15,'Leave log'!$B$7:$B$306,"&lt;="&amp;DATE($B$3,4,8),'Leave log'!$C$7:$C$306,"&gt;="&amp;DATE($B$3,4,8),'Leave log'!$F$7:$F$306,"Pending")&gt;0,"P",""))))</f>
        <v/>
      </c>
      <c r="J118" s="23" t="str">
        <f>IF(A118="","",IF(IF(OR(DATE($B$3,4,9)&gt;EOMONTH(DATE($B$3,4,1),0),NETWORKDAYS.INTL(DATE($B$3,4,9),DATE($B$3,4,9),1,'Non-working days'!$A$6:$A$45)=0),"",IF(COUNTIFS('Leave log'!$A$7:$A$306,Employees!$A$15,'Leave log'!$B$7:$B$306,"&lt;="&amp;DATE($B$3,4,9),'Leave log'!$C$7:$C$306,"&gt;="&amp;DATE($B$3,4,9),'Leave log'!$F$7:$F$306,"Approved")&gt;0,"A",""))="A","A",IF(OR(DATE($B$3,4,9)&gt;EOMONTH(DATE($B$3,4,1),0),NETWORKDAYS.INTL(DATE($B$3,4,9),DATE($B$3,4,9),1,'Non-working days'!$A$6:$A$45)=0),"",IF(COUNTIFS('Leave log'!$A$7:$A$306,Employees!$A$15,'Leave log'!$B$7:$B$306,"&lt;="&amp;DATE($B$3,4,9),'Leave log'!$C$7:$C$306,"&gt;="&amp;DATE($B$3,4,9),'Leave log'!$F$7:$F$306,"Pending")&gt;0,"P",""))))</f>
        <v/>
      </c>
      <c r="K118" s="23" t="str">
        <f>IF(A118="","",IF(IF(OR(DATE($B$3,4,10)&gt;EOMONTH(DATE($B$3,4,1),0),NETWORKDAYS.INTL(DATE($B$3,4,10),DATE($B$3,4,10),1,'Non-working days'!$A$6:$A$45)=0),"",IF(COUNTIFS('Leave log'!$A$7:$A$306,Employees!$A$15,'Leave log'!$B$7:$B$306,"&lt;="&amp;DATE($B$3,4,10),'Leave log'!$C$7:$C$306,"&gt;="&amp;DATE($B$3,4,10),'Leave log'!$F$7:$F$306,"Approved")&gt;0,"A",""))="A","A",IF(OR(DATE($B$3,4,10)&gt;EOMONTH(DATE($B$3,4,1),0),NETWORKDAYS.INTL(DATE($B$3,4,10),DATE($B$3,4,10),1,'Non-working days'!$A$6:$A$45)=0),"",IF(COUNTIFS('Leave log'!$A$7:$A$306,Employees!$A$15,'Leave log'!$B$7:$B$306,"&lt;="&amp;DATE($B$3,4,10),'Leave log'!$C$7:$C$306,"&gt;="&amp;DATE($B$3,4,10),'Leave log'!$F$7:$F$306,"Pending")&gt;0,"P",""))))</f>
        <v/>
      </c>
      <c r="L118" s="23" t="str">
        <f>IF(A118="","",IF(IF(OR(DATE($B$3,4,11)&gt;EOMONTH(DATE($B$3,4,1),0),NETWORKDAYS.INTL(DATE($B$3,4,11),DATE($B$3,4,11),1,'Non-working days'!$A$6:$A$45)=0),"",IF(COUNTIFS('Leave log'!$A$7:$A$306,Employees!$A$15,'Leave log'!$B$7:$B$306,"&lt;="&amp;DATE($B$3,4,11),'Leave log'!$C$7:$C$306,"&gt;="&amp;DATE($B$3,4,11),'Leave log'!$F$7:$F$306,"Approved")&gt;0,"A",""))="A","A",IF(OR(DATE($B$3,4,11)&gt;EOMONTH(DATE($B$3,4,1),0),NETWORKDAYS.INTL(DATE($B$3,4,11),DATE($B$3,4,11),1,'Non-working days'!$A$6:$A$45)=0),"",IF(COUNTIFS('Leave log'!$A$7:$A$306,Employees!$A$15,'Leave log'!$B$7:$B$306,"&lt;="&amp;DATE($B$3,4,11),'Leave log'!$C$7:$C$306,"&gt;="&amp;DATE($B$3,4,11),'Leave log'!$F$7:$F$306,"Pending")&gt;0,"P",""))))</f>
        <v/>
      </c>
      <c r="M118" s="23" t="str">
        <f>IF(A118="","",IF(IF(OR(DATE($B$3,4,12)&gt;EOMONTH(DATE($B$3,4,1),0),NETWORKDAYS.INTL(DATE($B$3,4,12),DATE($B$3,4,12),1,'Non-working days'!$A$6:$A$45)=0),"",IF(COUNTIFS('Leave log'!$A$7:$A$306,Employees!$A$15,'Leave log'!$B$7:$B$306,"&lt;="&amp;DATE($B$3,4,12),'Leave log'!$C$7:$C$306,"&gt;="&amp;DATE($B$3,4,12),'Leave log'!$F$7:$F$306,"Approved")&gt;0,"A",""))="A","A",IF(OR(DATE($B$3,4,12)&gt;EOMONTH(DATE($B$3,4,1),0),NETWORKDAYS.INTL(DATE($B$3,4,12),DATE($B$3,4,12),1,'Non-working days'!$A$6:$A$45)=0),"",IF(COUNTIFS('Leave log'!$A$7:$A$306,Employees!$A$15,'Leave log'!$B$7:$B$306,"&lt;="&amp;DATE($B$3,4,12),'Leave log'!$C$7:$C$306,"&gt;="&amp;DATE($B$3,4,12),'Leave log'!$F$7:$F$306,"Pending")&gt;0,"P",""))))</f>
        <v/>
      </c>
      <c r="N118" s="23" t="str">
        <f>IF(A118="","",IF(IF(OR(DATE($B$3,4,13)&gt;EOMONTH(DATE($B$3,4,1),0),NETWORKDAYS.INTL(DATE($B$3,4,13),DATE($B$3,4,13),1,'Non-working days'!$A$6:$A$45)=0),"",IF(COUNTIFS('Leave log'!$A$7:$A$306,Employees!$A$15,'Leave log'!$B$7:$B$306,"&lt;="&amp;DATE($B$3,4,13),'Leave log'!$C$7:$C$306,"&gt;="&amp;DATE($B$3,4,13),'Leave log'!$F$7:$F$306,"Approved")&gt;0,"A",""))="A","A",IF(OR(DATE($B$3,4,13)&gt;EOMONTH(DATE($B$3,4,1),0),NETWORKDAYS.INTL(DATE($B$3,4,13),DATE($B$3,4,13),1,'Non-working days'!$A$6:$A$45)=0),"",IF(COUNTIFS('Leave log'!$A$7:$A$306,Employees!$A$15,'Leave log'!$B$7:$B$306,"&lt;="&amp;DATE($B$3,4,13),'Leave log'!$C$7:$C$306,"&gt;="&amp;DATE($B$3,4,13),'Leave log'!$F$7:$F$306,"Pending")&gt;0,"P",""))))</f>
        <v/>
      </c>
      <c r="O118" s="23" t="str">
        <f>IF(A118="","",IF(IF(OR(DATE($B$3,4,14)&gt;EOMONTH(DATE($B$3,4,1),0),NETWORKDAYS.INTL(DATE($B$3,4,14),DATE($B$3,4,14),1,'Non-working days'!$A$6:$A$45)=0),"",IF(COUNTIFS('Leave log'!$A$7:$A$306,Employees!$A$15,'Leave log'!$B$7:$B$306,"&lt;="&amp;DATE($B$3,4,14),'Leave log'!$C$7:$C$306,"&gt;="&amp;DATE($B$3,4,14),'Leave log'!$F$7:$F$306,"Approved")&gt;0,"A",""))="A","A",IF(OR(DATE($B$3,4,14)&gt;EOMONTH(DATE($B$3,4,1),0),NETWORKDAYS.INTL(DATE($B$3,4,14),DATE($B$3,4,14),1,'Non-working days'!$A$6:$A$45)=0),"",IF(COUNTIFS('Leave log'!$A$7:$A$306,Employees!$A$15,'Leave log'!$B$7:$B$306,"&lt;="&amp;DATE($B$3,4,14),'Leave log'!$C$7:$C$306,"&gt;="&amp;DATE($B$3,4,14),'Leave log'!$F$7:$F$306,"Pending")&gt;0,"P",""))))</f>
        <v/>
      </c>
      <c r="P118" s="23" t="str">
        <f>IF(A118="","",IF(IF(OR(DATE($B$3,4,15)&gt;EOMONTH(DATE($B$3,4,1),0),NETWORKDAYS.INTL(DATE($B$3,4,15),DATE($B$3,4,15),1,'Non-working days'!$A$6:$A$45)=0),"",IF(COUNTIFS('Leave log'!$A$7:$A$306,Employees!$A$15,'Leave log'!$B$7:$B$306,"&lt;="&amp;DATE($B$3,4,15),'Leave log'!$C$7:$C$306,"&gt;="&amp;DATE($B$3,4,15),'Leave log'!$F$7:$F$306,"Approved")&gt;0,"A",""))="A","A",IF(OR(DATE($B$3,4,15)&gt;EOMONTH(DATE($B$3,4,1),0),NETWORKDAYS.INTL(DATE($B$3,4,15),DATE($B$3,4,15),1,'Non-working days'!$A$6:$A$45)=0),"",IF(COUNTIFS('Leave log'!$A$7:$A$306,Employees!$A$15,'Leave log'!$B$7:$B$306,"&lt;="&amp;DATE($B$3,4,15),'Leave log'!$C$7:$C$306,"&gt;="&amp;DATE($B$3,4,15),'Leave log'!$F$7:$F$306,"Pending")&gt;0,"P",""))))</f>
        <v/>
      </c>
      <c r="Q118" s="23" t="str">
        <f>IF(A118="","",IF(IF(OR(DATE($B$3,4,16)&gt;EOMONTH(DATE($B$3,4,1),0),NETWORKDAYS.INTL(DATE($B$3,4,16),DATE($B$3,4,16),1,'Non-working days'!$A$6:$A$45)=0),"",IF(COUNTIFS('Leave log'!$A$7:$A$306,Employees!$A$15,'Leave log'!$B$7:$B$306,"&lt;="&amp;DATE($B$3,4,16),'Leave log'!$C$7:$C$306,"&gt;="&amp;DATE($B$3,4,16),'Leave log'!$F$7:$F$306,"Approved")&gt;0,"A",""))="A","A",IF(OR(DATE($B$3,4,16)&gt;EOMONTH(DATE($B$3,4,1),0),NETWORKDAYS.INTL(DATE($B$3,4,16),DATE($B$3,4,16),1,'Non-working days'!$A$6:$A$45)=0),"",IF(COUNTIFS('Leave log'!$A$7:$A$306,Employees!$A$15,'Leave log'!$B$7:$B$306,"&lt;="&amp;DATE($B$3,4,16),'Leave log'!$C$7:$C$306,"&gt;="&amp;DATE($B$3,4,16),'Leave log'!$F$7:$F$306,"Pending")&gt;0,"P",""))))</f>
        <v/>
      </c>
      <c r="R118" s="23" t="str">
        <f>IF(A118="","",IF(IF(OR(DATE($B$3,4,17)&gt;EOMONTH(DATE($B$3,4,1),0),NETWORKDAYS.INTL(DATE($B$3,4,17),DATE($B$3,4,17),1,'Non-working days'!$A$6:$A$45)=0),"",IF(COUNTIFS('Leave log'!$A$7:$A$306,Employees!$A$15,'Leave log'!$B$7:$B$306,"&lt;="&amp;DATE($B$3,4,17),'Leave log'!$C$7:$C$306,"&gt;="&amp;DATE($B$3,4,17),'Leave log'!$F$7:$F$306,"Approved")&gt;0,"A",""))="A","A",IF(OR(DATE($B$3,4,17)&gt;EOMONTH(DATE($B$3,4,1),0),NETWORKDAYS.INTL(DATE($B$3,4,17),DATE($B$3,4,17),1,'Non-working days'!$A$6:$A$45)=0),"",IF(COUNTIFS('Leave log'!$A$7:$A$306,Employees!$A$15,'Leave log'!$B$7:$B$306,"&lt;="&amp;DATE($B$3,4,17),'Leave log'!$C$7:$C$306,"&gt;="&amp;DATE($B$3,4,17),'Leave log'!$F$7:$F$306,"Pending")&gt;0,"P",""))))</f>
        <v/>
      </c>
      <c r="S118" s="23" t="str">
        <f>IF(A118="","",IF(IF(OR(DATE($B$3,4,18)&gt;EOMONTH(DATE($B$3,4,1),0),NETWORKDAYS.INTL(DATE($B$3,4,18),DATE($B$3,4,18),1,'Non-working days'!$A$6:$A$45)=0),"",IF(COUNTIFS('Leave log'!$A$7:$A$306,Employees!$A$15,'Leave log'!$B$7:$B$306,"&lt;="&amp;DATE($B$3,4,18),'Leave log'!$C$7:$C$306,"&gt;="&amp;DATE($B$3,4,18),'Leave log'!$F$7:$F$306,"Approved")&gt;0,"A",""))="A","A",IF(OR(DATE($B$3,4,18)&gt;EOMONTH(DATE($B$3,4,1),0),NETWORKDAYS.INTL(DATE($B$3,4,18),DATE($B$3,4,18),1,'Non-working days'!$A$6:$A$45)=0),"",IF(COUNTIFS('Leave log'!$A$7:$A$306,Employees!$A$15,'Leave log'!$B$7:$B$306,"&lt;="&amp;DATE($B$3,4,18),'Leave log'!$C$7:$C$306,"&gt;="&amp;DATE($B$3,4,18),'Leave log'!$F$7:$F$306,"Pending")&gt;0,"P",""))))</f>
        <v/>
      </c>
      <c r="T118" s="23" t="str">
        <f>IF(A118="","",IF(IF(OR(DATE($B$3,4,19)&gt;EOMONTH(DATE($B$3,4,1),0),NETWORKDAYS.INTL(DATE($B$3,4,19),DATE($B$3,4,19),1,'Non-working days'!$A$6:$A$45)=0),"",IF(COUNTIFS('Leave log'!$A$7:$A$306,Employees!$A$15,'Leave log'!$B$7:$B$306,"&lt;="&amp;DATE($B$3,4,19),'Leave log'!$C$7:$C$306,"&gt;="&amp;DATE($B$3,4,19),'Leave log'!$F$7:$F$306,"Approved")&gt;0,"A",""))="A","A",IF(OR(DATE($B$3,4,19)&gt;EOMONTH(DATE($B$3,4,1),0),NETWORKDAYS.INTL(DATE($B$3,4,19),DATE($B$3,4,19),1,'Non-working days'!$A$6:$A$45)=0),"",IF(COUNTIFS('Leave log'!$A$7:$A$306,Employees!$A$15,'Leave log'!$B$7:$B$306,"&lt;="&amp;DATE($B$3,4,19),'Leave log'!$C$7:$C$306,"&gt;="&amp;DATE($B$3,4,19),'Leave log'!$F$7:$F$306,"Pending")&gt;0,"P",""))))</f>
        <v/>
      </c>
      <c r="U118" s="23" t="str">
        <f>IF(A118="","",IF(IF(OR(DATE($B$3,4,20)&gt;EOMONTH(DATE($B$3,4,1),0),NETWORKDAYS.INTL(DATE($B$3,4,20),DATE($B$3,4,20),1,'Non-working days'!$A$6:$A$45)=0),"",IF(COUNTIFS('Leave log'!$A$7:$A$306,Employees!$A$15,'Leave log'!$B$7:$B$306,"&lt;="&amp;DATE($B$3,4,20),'Leave log'!$C$7:$C$306,"&gt;="&amp;DATE($B$3,4,20),'Leave log'!$F$7:$F$306,"Approved")&gt;0,"A",""))="A","A",IF(OR(DATE($B$3,4,20)&gt;EOMONTH(DATE($B$3,4,1),0),NETWORKDAYS.INTL(DATE($B$3,4,20),DATE($B$3,4,20),1,'Non-working days'!$A$6:$A$45)=0),"",IF(COUNTIFS('Leave log'!$A$7:$A$306,Employees!$A$15,'Leave log'!$B$7:$B$306,"&lt;="&amp;DATE($B$3,4,20),'Leave log'!$C$7:$C$306,"&gt;="&amp;DATE($B$3,4,20),'Leave log'!$F$7:$F$306,"Pending")&gt;0,"P",""))))</f>
        <v/>
      </c>
      <c r="V118" s="23" t="str">
        <f>IF(A118="","",IF(IF(OR(DATE($B$3,4,21)&gt;EOMONTH(DATE($B$3,4,1),0),NETWORKDAYS.INTL(DATE($B$3,4,21),DATE($B$3,4,21),1,'Non-working days'!$A$6:$A$45)=0),"",IF(COUNTIFS('Leave log'!$A$7:$A$306,Employees!$A$15,'Leave log'!$B$7:$B$306,"&lt;="&amp;DATE($B$3,4,21),'Leave log'!$C$7:$C$306,"&gt;="&amp;DATE($B$3,4,21),'Leave log'!$F$7:$F$306,"Approved")&gt;0,"A",""))="A","A",IF(OR(DATE($B$3,4,21)&gt;EOMONTH(DATE($B$3,4,1),0),NETWORKDAYS.INTL(DATE($B$3,4,21),DATE($B$3,4,21),1,'Non-working days'!$A$6:$A$45)=0),"",IF(COUNTIFS('Leave log'!$A$7:$A$306,Employees!$A$15,'Leave log'!$B$7:$B$306,"&lt;="&amp;DATE($B$3,4,21),'Leave log'!$C$7:$C$306,"&gt;="&amp;DATE($B$3,4,21),'Leave log'!$F$7:$F$306,"Pending")&gt;0,"P",""))))</f>
        <v/>
      </c>
      <c r="W118" s="23" t="str">
        <f>IF(A118="","",IF(IF(OR(DATE($B$3,4,22)&gt;EOMONTH(DATE($B$3,4,1),0),NETWORKDAYS.INTL(DATE($B$3,4,22),DATE($B$3,4,22),1,'Non-working days'!$A$6:$A$45)=0),"",IF(COUNTIFS('Leave log'!$A$7:$A$306,Employees!$A$15,'Leave log'!$B$7:$B$306,"&lt;="&amp;DATE($B$3,4,22),'Leave log'!$C$7:$C$306,"&gt;="&amp;DATE($B$3,4,22),'Leave log'!$F$7:$F$306,"Approved")&gt;0,"A",""))="A","A",IF(OR(DATE($B$3,4,22)&gt;EOMONTH(DATE($B$3,4,1),0),NETWORKDAYS.INTL(DATE($B$3,4,22),DATE($B$3,4,22),1,'Non-working days'!$A$6:$A$45)=0),"",IF(COUNTIFS('Leave log'!$A$7:$A$306,Employees!$A$15,'Leave log'!$B$7:$B$306,"&lt;="&amp;DATE($B$3,4,22),'Leave log'!$C$7:$C$306,"&gt;="&amp;DATE($B$3,4,22),'Leave log'!$F$7:$F$306,"Pending")&gt;0,"P",""))))</f>
        <v/>
      </c>
      <c r="X118" s="23" t="str">
        <f>IF(A118="","",IF(IF(OR(DATE($B$3,4,23)&gt;EOMONTH(DATE($B$3,4,1),0),NETWORKDAYS.INTL(DATE($B$3,4,23),DATE($B$3,4,23),1,'Non-working days'!$A$6:$A$45)=0),"",IF(COUNTIFS('Leave log'!$A$7:$A$306,Employees!$A$15,'Leave log'!$B$7:$B$306,"&lt;="&amp;DATE($B$3,4,23),'Leave log'!$C$7:$C$306,"&gt;="&amp;DATE($B$3,4,23),'Leave log'!$F$7:$F$306,"Approved")&gt;0,"A",""))="A","A",IF(OR(DATE($B$3,4,23)&gt;EOMONTH(DATE($B$3,4,1),0),NETWORKDAYS.INTL(DATE($B$3,4,23),DATE($B$3,4,23),1,'Non-working days'!$A$6:$A$45)=0),"",IF(COUNTIFS('Leave log'!$A$7:$A$306,Employees!$A$15,'Leave log'!$B$7:$B$306,"&lt;="&amp;DATE($B$3,4,23),'Leave log'!$C$7:$C$306,"&gt;="&amp;DATE($B$3,4,23),'Leave log'!$F$7:$F$306,"Pending")&gt;0,"P",""))))</f>
        <v/>
      </c>
      <c r="Y118" s="23" t="str">
        <f>IF(A118="","",IF(IF(OR(DATE($B$3,4,24)&gt;EOMONTH(DATE($B$3,4,1),0),NETWORKDAYS.INTL(DATE($B$3,4,24),DATE($B$3,4,24),1,'Non-working days'!$A$6:$A$45)=0),"",IF(COUNTIFS('Leave log'!$A$7:$A$306,Employees!$A$15,'Leave log'!$B$7:$B$306,"&lt;="&amp;DATE($B$3,4,24),'Leave log'!$C$7:$C$306,"&gt;="&amp;DATE($B$3,4,24),'Leave log'!$F$7:$F$306,"Approved")&gt;0,"A",""))="A","A",IF(OR(DATE($B$3,4,24)&gt;EOMONTH(DATE($B$3,4,1),0),NETWORKDAYS.INTL(DATE($B$3,4,24),DATE($B$3,4,24),1,'Non-working days'!$A$6:$A$45)=0),"",IF(COUNTIFS('Leave log'!$A$7:$A$306,Employees!$A$15,'Leave log'!$B$7:$B$306,"&lt;="&amp;DATE($B$3,4,24),'Leave log'!$C$7:$C$306,"&gt;="&amp;DATE($B$3,4,24),'Leave log'!$F$7:$F$306,"Pending")&gt;0,"P",""))))</f>
        <v/>
      </c>
      <c r="Z118" s="23" t="str">
        <f>IF(A118="","",IF(IF(OR(DATE($B$3,4,25)&gt;EOMONTH(DATE($B$3,4,1),0),NETWORKDAYS.INTL(DATE($B$3,4,25),DATE($B$3,4,25),1,'Non-working days'!$A$6:$A$45)=0),"",IF(COUNTIFS('Leave log'!$A$7:$A$306,Employees!$A$15,'Leave log'!$B$7:$B$306,"&lt;="&amp;DATE($B$3,4,25),'Leave log'!$C$7:$C$306,"&gt;="&amp;DATE($B$3,4,25),'Leave log'!$F$7:$F$306,"Approved")&gt;0,"A",""))="A","A",IF(OR(DATE($B$3,4,25)&gt;EOMONTH(DATE($B$3,4,1),0),NETWORKDAYS.INTL(DATE($B$3,4,25),DATE($B$3,4,25),1,'Non-working days'!$A$6:$A$45)=0),"",IF(COUNTIFS('Leave log'!$A$7:$A$306,Employees!$A$15,'Leave log'!$B$7:$B$306,"&lt;="&amp;DATE($B$3,4,25),'Leave log'!$C$7:$C$306,"&gt;="&amp;DATE($B$3,4,25),'Leave log'!$F$7:$F$306,"Pending")&gt;0,"P",""))))</f>
        <v/>
      </c>
      <c r="AA118" s="23" t="str">
        <f>IF(A118="","",IF(IF(OR(DATE($B$3,4,26)&gt;EOMONTH(DATE($B$3,4,1),0),NETWORKDAYS.INTL(DATE($B$3,4,26),DATE($B$3,4,26),1,'Non-working days'!$A$6:$A$45)=0),"",IF(COUNTIFS('Leave log'!$A$7:$A$306,Employees!$A$15,'Leave log'!$B$7:$B$306,"&lt;="&amp;DATE($B$3,4,26),'Leave log'!$C$7:$C$306,"&gt;="&amp;DATE($B$3,4,26),'Leave log'!$F$7:$F$306,"Approved")&gt;0,"A",""))="A","A",IF(OR(DATE($B$3,4,26)&gt;EOMONTH(DATE($B$3,4,1),0),NETWORKDAYS.INTL(DATE($B$3,4,26),DATE($B$3,4,26),1,'Non-working days'!$A$6:$A$45)=0),"",IF(COUNTIFS('Leave log'!$A$7:$A$306,Employees!$A$15,'Leave log'!$B$7:$B$306,"&lt;="&amp;DATE($B$3,4,26),'Leave log'!$C$7:$C$306,"&gt;="&amp;DATE($B$3,4,26),'Leave log'!$F$7:$F$306,"Pending")&gt;0,"P",""))))</f>
        <v/>
      </c>
      <c r="AB118" s="23" t="str">
        <f>IF(A118="","",IF(IF(OR(DATE($B$3,4,27)&gt;EOMONTH(DATE($B$3,4,1),0),NETWORKDAYS.INTL(DATE($B$3,4,27),DATE($B$3,4,27),1,'Non-working days'!$A$6:$A$45)=0),"",IF(COUNTIFS('Leave log'!$A$7:$A$306,Employees!$A$15,'Leave log'!$B$7:$B$306,"&lt;="&amp;DATE($B$3,4,27),'Leave log'!$C$7:$C$306,"&gt;="&amp;DATE($B$3,4,27),'Leave log'!$F$7:$F$306,"Approved")&gt;0,"A",""))="A","A",IF(OR(DATE($B$3,4,27)&gt;EOMONTH(DATE($B$3,4,1),0),NETWORKDAYS.INTL(DATE($B$3,4,27),DATE($B$3,4,27),1,'Non-working days'!$A$6:$A$45)=0),"",IF(COUNTIFS('Leave log'!$A$7:$A$306,Employees!$A$15,'Leave log'!$B$7:$B$306,"&lt;="&amp;DATE($B$3,4,27),'Leave log'!$C$7:$C$306,"&gt;="&amp;DATE($B$3,4,27),'Leave log'!$F$7:$F$306,"Pending")&gt;0,"P",""))))</f>
        <v/>
      </c>
      <c r="AC118" s="23" t="str">
        <f>IF(A118="","",IF(IF(OR(DATE($B$3,4,28)&gt;EOMONTH(DATE($B$3,4,1),0),NETWORKDAYS.INTL(DATE($B$3,4,28),DATE($B$3,4,28),1,'Non-working days'!$A$6:$A$45)=0),"",IF(COUNTIFS('Leave log'!$A$7:$A$306,Employees!$A$15,'Leave log'!$B$7:$B$306,"&lt;="&amp;DATE($B$3,4,28),'Leave log'!$C$7:$C$306,"&gt;="&amp;DATE($B$3,4,28),'Leave log'!$F$7:$F$306,"Approved")&gt;0,"A",""))="A","A",IF(OR(DATE($B$3,4,28)&gt;EOMONTH(DATE($B$3,4,1),0),NETWORKDAYS.INTL(DATE($B$3,4,28),DATE($B$3,4,28),1,'Non-working days'!$A$6:$A$45)=0),"",IF(COUNTIFS('Leave log'!$A$7:$A$306,Employees!$A$15,'Leave log'!$B$7:$B$306,"&lt;="&amp;DATE($B$3,4,28),'Leave log'!$C$7:$C$306,"&gt;="&amp;DATE($B$3,4,28),'Leave log'!$F$7:$F$306,"Pending")&gt;0,"P",""))))</f>
        <v/>
      </c>
      <c r="AD118" s="23" t="str">
        <f>IF(A118="","",IF(IF(OR(DATE($B$3,4,29)&gt;EOMONTH(DATE($B$3,4,1),0),NETWORKDAYS.INTL(DATE($B$3,4,29),DATE($B$3,4,29),1,'Non-working days'!$A$6:$A$45)=0),"",IF(COUNTIFS('Leave log'!$A$7:$A$306,Employees!$A$15,'Leave log'!$B$7:$B$306,"&lt;="&amp;DATE($B$3,4,29),'Leave log'!$C$7:$C$306,"&gt;="&amp;DATE($B$3,4,29),'Leave log'!$F$7:$F$306,"Approved")&gt;0,"A",""))="A","A",IF(OR(DATE($B$3,4,29)&gt;EOMONTH(DATE($B$3,4,1),0),NETWORKDAYS.INTL(DATE($B$3,4,29),DATE($B$3,4,29),1,'Non-working days'!$A$6:$A$45)=0),"",IF(COUNTIFS('Leave log'!$A$7:$A$306,Employees!$A$15,'Leave log'!$B$7:$B$306,"&lt;="&amp;DATE($B$3,4,29),'Leave log'!$C$7:$C$306,"&gt;="&amp;DATE($B$3,4,29),'Leave log'!$F$7:$F$306,"Pending")&gt;0,"P",""))))</f>
        <v/>
      </c>
      <c r="AE118" s="23" t="str">
        <f>IF(A118="","",IF(IF(OR(DATE($B$3,4,30)&gt;EOMONTH(DATE($B$3,4,1),0),NETWORKDAYS.INTL(DATE($B$3,4,30),DATE($B$3,4,30),1,'Non-working days'!$A$6:$A$45)=0),"",IF(COUNTIFS('Leave log'!$A$7:$A$306,Employees!$A$15,'Leave log'!$B$7:$B$306,"&lt;="&amp;DATE($B$3,4,30),'Leave log'!$C$7:$C$306,"&gt;="&amp;DATE($B$3,4,30),'Leave log'!$F$7:$F$306,"Approved")&gt;0,"A",""))="A","A",IF(OR(DATE($B$3,4,30)&gt;EOMONTH(DATE($B$3,4,1),0),NETWORKDAYS.INTL(DATE($B$3,4,30),DATE($B$3,4,30),1,'Non-working days'!$A$6:$A$45)=0),"",IF(COUNTIFS('Leave log'!$A$7:$A$306,Employees!$A$15,'Leave log'!$B$7:$B$306,"&lt;="&amp;DATE($B$3,4,30),'Leave log'!$C$7:$C$306,"&gt;="&amp;DATE($B$3,4,30),'Leave log'!$F$7:$F$306,"Pending")&gt;0,"P",""))))</f>
        <v/>
      </c>
      <c r="AF118" s="23" t="str">
        <f>IF(A118="","",IF(IF(OR(DATE($B$3,4,31)&gt;EOMONTH(DATE($B$3,4,1),0),NETWORKDAYS.INTL(DATE($B$3,4,31),DATE($B$3,4,31),1,'Non-working days'!$A$6:$A$45)=0),"",IF(COUNTIFS('Leave log'!$A$7:$A$306,Employees!$A$15,'Leave log'!$B$7:$B$306,"&lt;="&amp;DATE($B$3,4,31),'Leave log'!$C$7:$C$306,"&gt;="&amp;DATE($B$3,4,31),'Leave log'!$F$7:$F$306,"Approved")&gt;0,"A",""))="A","A",IF(OR(DATE($B$3,4,31)&gt;EOMONTH(DATE($B$3,4,1),0),NETWORKDAYS.INTL(DATE($B$3,4,31),DATE($B$3,4,31),1,'Non-working days'!$A$6:$A$45)=0),"",IF(COUNTIFS('Leave log'!$A$7:$A$306,Employees!$A$15,'Leave log'!$B$7:$B$306,"&lt;="&amp;DATE($B$3,4,31),'Leave log'!$C$7:$C$306,"&gt;="&amp;DATE($B$3,4,31),'Leave log'!$F$7:$F$306,"Pending")&gt;0,"P",""))))</f>
        <v/>
      </c>
    </row>
    <row r="119" spans="1:32" ht="18" customHeight="1" x14ac:dyDescent="0.3">
      <c r="A119" s="22" t="str">
        <f>IF(Employees!F16="Yes",Employees!B16,"")</f>
        <v/>
      </c>
      <c r="B119" s="23" t="str">
        <f>IF(A119="","",IF(IF(OR(DATE($B$3,4,1)&gt;EOMONTH(DATE($B$3,4,1),0),NETWORKDAYS.INTL(DATE($B$3,4,1),DATE($B$3,4,1),1,'Non-working days'!$A$6:$A$45)=0),"",IF(COUNTIFS('Leave log'!$A$7:$A$306,Employees!$A$16,'Leave log'!$B$7:$B$306,"&lt;="&amp;DATE($B$3,4,1),'Leave log'!$C$7:$C$306,"&gt;="&amp;DATE($B$3,4,1),'Leave log'!$F$7:$F$306,"Approved")&gt;0,"A",""))="A","A",IF(OR(DATE($B$3,4,1)&gt;EOMONTH(DATE($B$3,4,1),0),NETWORKDAYS.INTL(DATE($B$3,4,1),DATE($B$3,4,1),1,'Non-working days'!$A$6:$A$45)=0),"",IF(COUNTIFS('Leave log'!$A$7:$A$306,Employees!$A$16,'Leave log'!$B$7:$B$306,"&lt;="&amp;DATE($B$3,4,1),'Leave log'!$C$7:$C$306,"&gt;="&amp;DATE($B$3,4,1),'Leave log'!$F$7:$F$306,"Pending")&gt;0,"P",""))))</f>
        <v/>
      </c>
      <c r="C119" s="23" t="str">
        <f>IF(A119="","",IF(IF(OR(DATE($B$3,4,2)&gt;EOMONTH(DATE($B$3,4,1),0),NETWORKDAYS.INTL(DATE($B$3,4,2),DATE($B$3,4,2),1,'Non-working days'!$A$6:$A$45)=0),"",IF(COUNTIFS('Leave log'!$A$7:$A$306,Employees!$A$16,'Leave log'!$B$7:$B$306,"&lt;="&amp;DATE($B$3,4,2),'Leave log'!$C$7:$C$306,"&gt;="&amp;DATE($B$3,4,2),'Leave log'!$F$7:$F$306,"Approved")&gt;0,"A",""))="A","A",IF(OR(DATE($B$3,4,2)&gt;EOMONTH(DATE($B$3,4,1),0),NETWORKDAYS.INTL(DATE($B$3,4,2),DATE($B$3,4,2),1,'Non-working days'!$A$6:$A$45)=0),"",IF(COUNTIFS('Leave log'!$A$7:$A$306,Employees!$A$16,'Leave log'!$B$7:$B$306,"&lt;="&amp;DATE($B$3,4,2),'Leave log'!$C$7:$C$306,"&gt;="&amp;DATE($B$3,4,2),'Leave log'!$F$7:$F$306,"Pending")&gt;0,"P",""))))</f>
        <v/>
      </c>
      <c r="D119" s="23" t="str">
        <f>IF(A119="","",IF(IF(OR(DATE($B$3,4,3)&gt;EOMONTH(DATE($B$3,4,1),0),NETWORKDAYS.INTL(DATE($B$3,4,3),DATE($B$3,4,3),1,'Non-working days'!$A$6:$A$45)=0),"",IF(COUNTIFS('Leave log'!$A$7:$A$306,Employees!$A$16,'Leave log'!$B$7:$B$306,"&lt;="&amp;DATE($B$3,4,3),'Leave log'!$C$7:$C$306,"&gt;="&amp;DATE($B$3,4,3),'Leave log'!$F$7:$F$306,"Approved")&gt;0,"A",""))="A","A",IF(OR(DATE($B$3,4,3)&gt;EOMONTH(DATE($B$3,4,1),0),NETWORKDAYS.INTL(DATE($B$3,4,3),DATE($B$3,4,3),1,'Non-working days'!$A$6:$A$45)=0),"",IF(COUNTIFS('Leave log'!$A$7:$A$306,Employees!$A$16,'Leave log'!$B$7:$B$306,"&lt;="&amp;DATE($B$3,4,3),'Leave log'!$C$7:$C$306,"&gt;="&amp;DATE($B$3,4,3),'Leave log'!$F$7:$F$306,"Pending")&gt;0,"P",""))))</f>
        <v/>
      </c>
      <c r="E119" s="23" t="str">
        <f>IF(A119="","",IF(IF(OR(DATE($B$3,4,4)&gt;EOMONTH(DATE($B$3,4,1),0),NETWORKDAYS.INTL(DATE($B$3,4,4),DATE($B$3,4,4),1,'Non-working days'!$A$6:$A$45)=0),"",IF(COUNTIFS('Leave log'!$A$7:$A$306,Employees!$A$16,'Leave log'!$B$7:$B$306,"&lt;="&amp;DATE($B$3,4,4),'Leave log'!$C$7:$C$306,"&gt;="&amp;DATE($B$3,4,4),'Leave log'!$F$7:$F$306,"Approved")&gt;0,"A",""))="A","A",IF(OR(DATE($B$3,4,4)&gt;EOMONTH(DATE($B$3,4,1),0),NETWORKDAYS.INTL(DATE($B$3,4,4),DATE($B$3,4,4),1,'Non-working days'!$A$6:$A$45)=0),"",IF(COUNTIFS('Leave log'!$A$7:$A$306,Employees!$A$16,'Leave log'!$B$7:$B$306,"&lt;="&amp;DATE($B$3,4,4),'Leave log'!$C$7:$C$306,"&gt;="&amp;DATE($B$3,4,4),'Leave log'!$F$7:$F$306,"Pending")&gt;0,"P",""))))</f>
        <v/>
      </c>
      <c r="F119" s="23" t="str">
        <f>IF(A119="","",IF(IF(OR(DATE($B$3,4,5)&gt;EOMONTH(DATE($B$3,4,1),0),NETWORKDAYS.INTL(DATE($B$3,4,5),DATE($B$3,4,5),1,'Non-working days'!$A$6:$A$45)=0),"",IF(COUNTIFS('Leave log'!$A$7:$A$306,Employees!$A$16,'Leave log'!$B$7:$B$306,"&lt;="&amp;DATE($B$3,4,5),'Leave log'!$C$7:$C$306,"&gt;="&amp;DATE($B$3,4,5),'Leave log'!$F$7:$F$306,"Approved")&gt;0,"A",""))="A","A",IF(OR(DATE($B$3,4,5)&gt;EOMONTH(DATE($B$3,4,1),0),NETWORKDAYS.INTL(DATE($B$3,4,5),DATE($B$3,4,5),1,'Non-working days'!$A$6:$A$45)=0),"",IF(COUNTIFS('Leave log'!$A$7:$A$306,Employees!$A$16,'Leave log'!$B$7:$B$306,"&lt;="&amp;DATE($B$3,4,5),'Leave log'!$C$7:$C$306,"&gt;="&amp;DATE($B$3,4,5),'Leave log'!$F$7:$F$306,"Pending")&gt;0,"P",""))))</f>
        <v/>
      </c>
      <c r="G119" s="23" t="str">
        <f>IF(A119="","",IF(IF(OR(DATE($B$3,4,6)&gt;EOMONTH(DATE($B$3,4,1),0),NETWORKDAYS.INTL(DATE($B$3,4,6),DATE($B$3,4,6),1,'Non-working days'!$A$6:$A$45)=0),"",IF(COUNTIFS('Leave log'!$A$7:$A$306,Employees!$A$16,'Leave log'!$B$7:$B$306,"&lt;="&amp;DATE($B$3,4,6),'Leave log'!$C$7:$C$306,"&gt;="&amp;DATE($B$3,4,6),'Leave log'!$F$7:$F$306,"Approved")&gt;0,"A",""))="A","A",IF(OR(DATE($B$3,4,6)&gt;EOMONTH(DATE($B$3,4,1),0),NETWORKDAYS.INTL(DATE($B$3,4,6),DATE($B$3,4,6),1,'Non-working days'!$A$6:$A$45)=0),"",IF(COUNTIFS('Leave log'!$A$7:$A$306,Employees!$A$16,'Leave log'!$B$7:$B$306,"&lt;="&amp;DATE($B$3,4,6),'Leave log'!$C$7:$C$306,"&gt;="&amp;DATE($B$3,4,6),'Leave log'!$F$7:$F$306,"Pending")&gt;0,"P",""))))</f>
        <v/>
      </c>
      <c r="H119" s="23" t="str">
        <f>IF(A119="","",IF(IF(OR(DATE($B$3,4,7)&gt;EOMONTH(DATE($B$3,4,1),0),NETWORKDAYS.INTL(DATE($B$3,4,7),DATE($B$3,4,7),1,'Non-working days'!$A$6:$A$45)=0),"",IF(COUNTIFS('Leave log'!$A$7:$A$306,Employees!$A$16,'Leave log'!$B$7:$B$306,"&lt;="&amp;DATE($B$3,4,7),'Leave log'!$C$7:$C$306,"&gt;="&amp;DATE($B$3,4,7),'Leave log'!$F$7:$F$306,"Approved")&gt;0,"A",""))="A","A",IF(OR(DATE($B$3,4,7)&gt;EOMONTH(DATE($B$3,4,1),0),NETWORKDAYS.INTL(DATE($B$3,4,7),DATE($B$3,4,7),1,'Non-working days'!$A$6:$A$45)=0),"",IF(COUNTIFS('Leave log'!$A$7:$A$306,Employees!$A$16,'Leave log'!$B$7:$B$306,"&lt;="&amp;DATE($B$3,4,7),'Leave log'!$C$7:$C$306,"&gt;="&amp;DATE($B$3,4,7),'Leave log'!$F$7:$F$306,"Pending")&gt;0,"P",""))))</f>
        <v/>
      </c>
      <c r="I119" s="23" t="str">
        <f>IF(A119="","",IF(IF(OR(DATE($B$3,4,8)&gt;EOMONTH(DATE($B$3,4,1),0),NETWORKDAYS.INTL(DATE($B$3,4,8),DATE($B$3,4,8),1,'Non-working days'!$A$6:$A$45)=0),"",IF(COUNTIFS('Leave log'!$A$7:$A$306,Employees!$A$16,'Leave log'!$B$7:$B$306,"&lt;="&amp;DATE($B$3,4,8),'Leave log'!$C$7:$C$306,"&gt;="&amp;DATE($B$3,4,8),'Leave log'!$F$7:$F$306,"Approved")&gt;0,"A",""))="A","A",IF(OR(DATE($B$3,4,8)&gt;EOMONTH(DATE($B$3,4,1),0),NETWORKDAYS.INTL(DATE($B$3,4,8),DATE($B$3,4,8),1,'Non-working days'!$A$6:$A$45)=0),"",IF(COUNTIFS('Leave log'!$A$7:$A$306,Employees!$A$16,'Leave log'!$B$7:$B$306,"&lt;="&amp;DATE($B$3,4,8),'Leave log'!$C$7:$C$306,"&gt;="&amp;DATE($B$3,4,8),'Leave log'!$F$7:$F$306,"Pending")&gt;0,"P",""))))</f>
        <v/>
      </c>
      <c r="J119" s="23" t="str">
        <f>IF(A119="","",IF(IF(OR(DATE($B$3,4,9)&gt;EOMONTH(DATE($B$3,4,1),0),NETWORKDAYS.INTL(DATE($B$3,4,9),DATE($B$3,4,9),1,'Non-working days'!$A$6:$A$45)=0),"",IF(COUNTIFS('Leave log'!$A$7:$A$306,Employees!$A$16,'Leave log'!$B$7:$B$306,"&lt;="&amp;DATE($B$3,4,9),'Leave log'!$C$7:$C$306,"&gt;="&amp;DATE($B$3,4,9),'Leave log'!$F$7:$F$306,"Approved")&gt;0,"A",""))="A","A",IF(OR(DATE($B$3,4,9)&gt;EOMONTH(DATE($B$3,4,1),0),NETWORKDAYS.INTL(DATE($B$3,4,9),DATE($B$3,4,9),1,'Non-working days'!$A$6:$A$45)=0),"",IF(COUNTIFS('Leave log'!$A$7:$A$306,Employees!$A$16,'Leave log'!$B$7:$B$306,"&lt;="&amp;DATE($B$3,4,9),'Leave log'!$C$7:$C$306,"&gt;="&amp;DATE($B$3,4,9),'Leave log'!$F$7:$F$306,"Pending")&gt;0,"P",""))))</f>
        <v/>
      </c>
      <c r="K119" s="23" t="str">
        <f>IF(A119="","",IF(IF(OR(DATE($B$3,4,10)&gt;EOMONTH(DATE($B$3,4,1),0),NETWORKDAYS.INTL(DATE($B$3,4,10),DATE($B$3,4,10),1,'Non-working days'!$A$6:$A$45)=0),"",IF(COUNTIFS('Leave log'!$A$7:$A$306,Employees!$A$16,'Leave log'!$B$7:$B$306,"&lt;="&amp;DATE($B$3,4,10),'Leave log'!$C$7:$C$306,"&gt;="&amp;DATE($B$3,4,10),'Leave log'!$F$7:$F$306,"Approved")&gt;0,"A",""))="A","A",IF(OR(DATE($B$3,4,10)&gt;EOMONTH(DATE($B$3,4,1),0),NETWORKDAYS.INTL(DATE($B$3,4,10),DATE($B$3,4,10),1,'Non-working days'!$A$6:$A$45)=0),"",IF(COUNTIFS('Leave log'!$A$7:$A$306,Employees!$A$16,'Leave log'!$B$7:$B$306,"&lt;="&amp;DATE($B$3,4,10),'Leave log'!$C$7:$C$306,"&gt;="&amp;DATE($B$3,4,10),'Leave log'!$F$7:$F$306,"Pending")&gt;0,"P",""))))</f>
        <v/>
      </c>
      <c r="L119" s="23" t="str">
        <f>IF(A119="","",IF(IF(OR(DATE($B$3,4,11)&gt;EOMONTH(DATE($B$3,4,1),0),NETWORKDAYS.INTL(DATE($B$3,4,11),DATE($B$3,4,11),1,'Non-working days'!$A$6:$A$45)=0),"",IF(COUNTIFS('Leave log'!$A$7:$A$306,Employees!$A$16,'Leave log'!$B$7:$B$306,"&lt;="&amp;DATE($B$3,4,11),'Leave log'!$C$7:$C$306,"&gt;="&amp;DATE($B$3,4,11),'Leave log'!$F$7:$F$306,"Approved")&gt;0,"A",""))="A","A",IF(OR(DATE($B$3,4,11)&gt;EOMONTH(DATE($B$3,4,1),0),NETWORKDAYS.INTL(DATE($B$3,4,11),DATE($B$3,4,11),1,'Non-working days'!$A$6:$A$45)=0),"",IF(COUNTIFS('Leave log'!$A$7:$A$306,Employees!$A$16,'Leave log'!$B$7:$B$306,"&lt;="&amp;DATE($B$3,4,11),'Leave log'!$C$7:$C$306,"&gt;="&amp;DATE($B$3,4,11),'Leave log'!$F$7:$F$306,"Pending")&gt;0,"P",""))))</f>
        <v/>
      </c>
      <c r="M119" s="23" t="str">
        <f>IF(A119="","",IF(IF(OR(DATE($B$3,4,12)&gt;EOMONTH(DATE($B$3,4,1),0),NETWORKDAYS.INTL(DATE($B$3,4,12),DATE($B$3,4,12),1,'Non-working days'!$A$6:$A$45)=0),"",IF(COUNTIFS('Leave log'!$A$7:$A$306,Employees!$A$16,'Leave log'!$B$7:$B$306,"&lt;="&amp;DATE($B$3,4,12),'Leave log'!$C$7:$C$306,"&gt;="&amp;DATE($B$3,4,12),'Leave log'!$F$7:$F$306,"Approved")&gt;0,"A",""))="A","A",IF(OR(DATE($B$3,4,12)&gt;EOMONTH(DATE($B$3,4,1),0),NETWORKDAYS.INTL(DATE($B$3,4,12),DATE($B$3,4,12),1,'Non-working days'!$A$6:$A$45)=0),"",IF(COUNTIFS('Leave log'!$A$7:$A$306,Employees!$A$16,'Leave log'!$B$7:$B$306,"&lt;="&amp;DATE($B$3,4,12),'Leave log'!$C$7:$C$306,"&gt;="&amp;DATE($B$3,4,12),'Leave log'!$F$7:$F$306,"Pending")&gt;0,"P",""))))</f>
        <v/>
      </c>
      <c r="N119" s="23" t="str">
        <f>IF(A119="","",IF(IF(OR(DATE($B$3,4,13)&gt;EOMONTH(DATE($B$3,4,1),0),NETWORKDAYS.INTL(DATE($B$3,4,13),DATE($B$3,4,13),1,'Non-working days'!$A$6:$A$45)=0),"",IF(COUNTIFS('Leave log'!$A$7:$A$306,Employees!$A$16,'Leave log'!$B$7:$B$306,"&lt;="&amp;DATE($B$3,4,13),'Leave log'!$C$7:$C$306,"&gt;="&amp;DATE($B$3,4,13),'Leave log'!$F$7:$F$306,"Approved")&gt;0,"A",""))="A","A",IF(OR(DATE($B$3,4,13)&gt;EOMONTH(DATE($B$3,4,1),0),NETWORKDAYS.INTL(DATE($B$3,4,13),DATE($B$3,4,13),1,'Non-working days'!$A$6:$A$45)=0),"",IF(COUNTIFS('Leave log'!$A$7:$A$306,Employees!$A$16,'Leave log'!$B$7:$B$306,"&lt;="&amp;DATE($B$3,4,13),'Leave log'!$C$7:$C$306,"&gt;="&amp;DATE($B$3,4,13),'Leave log'!$F$7:$F$306,"Pending")&gt;0,"P",""))))</f>
        <v/>
      </c>
      <c r="O119" s="23" t="str">
        <f>IF(A119="","",IF(IF(OR(DATE($B$3,4,14)&gt;EOMONTH(DATE($B$3,4,1),0),NETWORKDAYS.INTL(DATE($B$3,4,14),DATE($B$3,4,14),1,'Non-working days'!$A$6:$A$45)=0),"",IF(COUNTIFS('Leave log'!$A$7:$A$306,Employees!$A$16,'Leave log'!$B$7:$B$306,"&lt;="&amp;DATE($B$3,4,14),'Leave log'!$C$7:$C$306,"&gt;="&amp;DATE($B$3,4,14),'Leave log'!$F$7:$F$306,"Approved")&gt;0,"A",""))="A","A",IF(OR(DATE($B$3,4,14)&gt;EOMONTH(DATE($B$3,4,1),0),NETWORKDAYS.INTL(DATE($B$3,4,14),DATE($B$3,4,14),1,'Non-working days'!$A$6:$A$45)=0),"",IF(COUNTIFS('Leave log'!$A$7:$A$306,Employees!$A$16,'Leave log'!$B$7:$B$306,"&lt;="&amp;DATE($B$3,4,14),'Leave log'!$C$7:$C$306,"&gt;="&amp;DATE($B$3,4,14),'Leave log'!$F$7:$F$306,"Pending")&gt;0,"P",""))))</f>
        <v/>
      </c>
      <c r="P119" s="23" t="str">
        <f>IF(A119="","",IF(IF(OR(DATE($B$3,4,15)&gt;EOMONTH(DATE($B$3,4,1),0),NETWORKDAYS.INTL(DATE($B$3,4,15),DATE($B$3,4,15),1,'Non-working days'!$A$6:$A$45)=0),"",IF(COUNTIFS('Leave log'!$A$7:$A$306,Employees!$A$16,'Leave log'!$B$7:$B$306,"&lt;="&amp;DATE($B$3,4,15),'Leave log'!$C$7:$C$306,"&gt;="&amp;DATE($B$3,4,15),'Leave log'!$F$7:$F$306,"Approved")&gt;0,"A",""))="A","A",IF(OR(DATE($B$3,4,15)&gt;EOMONTH(DATE($B$3,4,1),0),NETWORKDAYS.INTL(DATE($B$3,4,15),DATE($B$3,4,15),1,'Non-working days'!$A$6:$A$45)=0),"",IF(COUNTIFS('Leave log'!$A$7:$A$306,Employees!$A$16,'Leave log'!$B$7:$B$306,"&lt;="&amp;DATE($B$3,4,15),'Leave log'!$C$7:$C$306,"&gt;="&amp;DATE($B$3,4,15),'Leave log'!$F$7:$F$306,"Pending")&gt;0,"P",""))))</f>
        <v/>
      </c>
      <c r="Q119" s="23" t="str">
        <f>IF(A119="","",IF(IF(OR(DATE($B$3,4,16)&gt;EOMONTH(DATE($B$3,4,1),0),NETWORKDAYS.INTL(DATE($B$3,4,16),DATE($B$3,4,16),1,'Non-working days'!$A$6:$A$45)=0),"",IF(COUNTIFS('Leave log'!$A$7:$A$306,Employees!$A$16,'Leave log'!$B$7:$B$306,"&lt;="&amp;DATE($B$3,4,16),'Leave log'!$C$7:$C$306,"&gt;="&amp;DATE($B$3,4,16),'Leave log'!$F$7:$F$306,"Approved")&gt;0,"A",""))="A","A",IF(OR(DATE($B$3,4,16)&gt;EOMONTH(DATE($B$3,4,1),0),NETWORKDAYS.INTL(DATE($B$3,4,16),DATE($B$3,4,16),1,'Non-working days'!$A$6:$A$45)=0),"",IF(COUNTIFS('Leave log'!$A$7:$A$306,Employees!$A$16,'Leave log'!$B$7:$B$306,"&lt;="&amp;DATE($B$3,4,16),'Leave log'!$C$7:$C$306,"&gt;="&amp;DATE($B$3,4,16),'Leave log'!$F$7:$F$306,"Pending")&gt;0,"P",""))))</f>
        <v/>
      </c>
      <c r="R119" s="23" t="str">
        <f>IF(A119="","",IF(IF(OR(DATE($B$3,4,17)&gt;EOMONTH(DATE($B$3,4,1),0),NETWORKDAYS.INTL(DATE($B$3,4,17),DATE($B$3,4,17),1,'Non-working days'!$A$6:$A$45)=0),"",IF(COUNTIFS('Leave log'!$A$7:$A$306,Employees!$A$16,'Leave log'!$B$7:$B$306,"&lt;="&amp;DATE($B$3,4,17),'Leave log'!$C$7:$C$306,"&gt;="&amp;DATE($B$3,4,17),'Leave log'!$F$7:$F$306,"Approved")&gt;0,"A",""))="A","A",IF(OR(DATE($B$3,4,17)&gt;EOMONTH(DATE($B$3,4,1),0),NETWORKDAYS.INTL(DATE($B$3,4,17),DATE($B$3,4,17),1,'Non-working days'!$A$6:$A$45)=0),"",IF(COUNTIFS('Leave log'!$A$7:$A$306,Employees!$A$16,'Leave log'!$B$7:$B$306,"&lt;="&amp;DATE($B$3,4,17),'Leave log'!$C$7:$C$306,"&gt;="&amp;DATE($B$3,4,17),'Leave log'!$F$7:$F$306,"Pending")&gt;0,"P",""))))</f>
        <v/>
      </c>
      <c r="S119" s="23" t="str">
        <f>IF(A119="","",IF(IF(OR(DATE($B$3,4,18)&gt;EOMONTH(DATE($B$3,4,1),0),NETWORKDAYS.INTL(DATE($B$3,4,18),DATE($B$3,4,18),1,'Non-working days'!$A$6:$A$45)=0),"",IF(COUNTIFS('Leave log'!$A$7:$A$306,Employees!$A$16,'Leave log'!$B$7:$B$306,"&lt;="&amp;DATE($B$3,4,18),'Leave log'!$C$7:$C$306,"&gt;="&amp;DATE($B$3,4,18),'Leave log'!$F$7:$F$306,"Approved")&gt;0,"A",""))="A","A",IF(OR(DATE($B$3,4,18)&gt;EOMONTH(DATE($B$3,4,1),0),NETWORKDAYS.INTL(DATE($B$3,4,18),DATE($B$3,4,18),1,'Non-working days'!$A$6:$A$45)=0),"",IF(COUNTIFS('Leave log'!$A$7:$A$306,Employees!$A$16,'Leave log'!$B$7:$B$306,"&lt;="&amp;DATE($B$3,4,18),'Leave log'!$C$7:$C$306,"&gt;="&amp;DATE($B$3,4,18),'Leave log'!$F$7:$F$306,"Pending")&gt;0,"P",""))))</f>
        <v/>
      </c>
      <c r="T119" s="23" t="str">
        <f>IF(A119="","",IF(IF(OR(DATE($B$3,4,19)&gt;EOMONTH(DATE($B$3,4,1),0),NETWORKDAYS.INTL(DATE($B$3,4,19),DATE($B$3,4,19),1,'Non-working days'!$A$6:$A$45)=0),"",IF(COUNTIFS('Leave log'!$A$7:$A$306,Employees!$A$16,'Leave log'!$B$7:$B$306,"&lt;="&amp;DATE($B$3,4,19),'Leave log'!$C$7:$C$306,"&gt;="&amp;DATE($B$3,4,19),'Leave log'!$F$7:$F$306,"Approved")&gt;0,"A",""))="A","A",IF(OR(DATE($B$3,4,19)&gt;EOMONTH(DATE($B$3,4,1),0),NETWORKDAYS.INTL(DATE($B$3,4,19),DATE($B$3,4,19),1,'Non-working days'!$A$6:$A$45)=0),"",IF(COUNTIFS('Leave log'!$A$7:$A$306,Employees!$A$16,'Leave log'!$B$7:$B$306,"&lt;="&amp;DATE($B$3,4,19),'Leave log'!$C$7:$C$306,"&gt;="&amp;DATE($B$3,4,19),'Leave log'!$F$7:$F$306,"Pending")&gt;0,"P",""))))</f>
        <v/>
      </c>
      <c r="U119" s="23" t="str">
        <f>IF(A119="","",IF(IF(OR(DATE($B$3,4,20)&gt;EOMONTH(DATE($B$3,4,1),0),NETWORKDAYS.INTL(DATE($B$3,4,20),DATE($B$3,4,20),1,'Non-working days'!$A$6:$A$45)=0),"",IF(COUNTIFS('Leave log'!$A$7:$A$306,Employees!$A$16,'Leave log'!$B$7:$B$306,"&lt;="&amp;DATE($B$3,4,20),'Leave log'!$C$7:$C$306,"&gt;="&amp;DATE($B$3,4,20),'Leave log'!$F$7:$F$306,"Approved")&gt;0,"A",""))="A","A",IF(OR(DATE($B$3,4,20)&gt;EOMONTH(DATE($B$3,4,1),0),NETWORKDAYS.INTL(DATE($B$3,4,20),DATE($B$3,4,20),1,'Non-working days'!$A$6:$A$45)=0),"",IF(COUNTIFS('Leave log'!$A$7:$A$306,Employees!$A$16,'Leave log'!$B$7:$B$306,"&lt;="&amp;DATE($B$3,4,20),'Leave log'!$C$7:$C$306,"&gt;="&amp;DATE($B$3,4,20),'Leave log'!$F$7:$F$306,"Pending")&gt;0,"P",""))))</f>
        <v/>
      </c>
      <c r="V119" s="23" t="str">
        <f>IF(A119="","",IF(IF(OR(DATE($B$3,4,21)&gt;EOMONTH(DATE($B$3,4,1),0),NETWORKDAYS.INTL(DATE($B$3,4,21),DATE($B$3,4,21),1,'Non-working days'!$A$6:$A$45)=0),"",IF(COUNTIFS('Leave log'!$A$7:$A$306,Employees!$A$16,'Leave log'!$B$7:$B$306,"&lt;="&amp;DATE($B$3,4,21),'Leave log'!$C$7:$C$306,"&gt;="&amp;DATE($B$3,4,21),'Leave log'!$F$7:$F$306,"Approved")&gt;0,"A",""))="A","A",IF(OR(DATE($B$3,4,21)&gt;EOMONTH(DATE($B$3,4,1),0),NETWORKDAYS.INTL(DATE($B$3,4,21),DATE($B$3,4,21),1,'Non-working days'!$A$6:$A$45)=0),"",IF(COUNTIFS('Leave log'!$A$7:$A$306,Employees!$A$16,'Leave log'!$B$7:$B$306,"&lt;="&amp;DATE($B$3,4,21),'Leave log'!$C$7:$C$306,"&gt;="&amp;DATE($B$3,4,21),'Leave log'!$F$7:$F$306,"Pending")&gt;0,"P",""))))</f>
        <v/>
      </c>
      <c r="W119" s="23" t="str">
        <f>IF(A119="","",IF(IF(OR(DATE($B$3,4,22)&gt;EOMONTH(DATE($B$3,4,1),0),NETWORKDAYS.INTL(DATE($B$3,4,22),DATE($B$3,4,22),1,'Non-working days'!$A$6:$A$45)=0),"",IF(COUNTIFS('Leave log'!$A$7:$A$306,Employees!$A$16,'Leave log'!$B$7:$B$306,"&lt;="&amp;DATE($B$3,4,22),'Leave log'!$C$7:$C$306,"&gt;="&amp;DATE($B$3,4,22),'Leave log'!$F$7:$F$306,"Approved")&gt;0,"A",""))="A","A",IF(OR(DATE($B$3,4,22)&gt;EOMONTH(DATE($B$3,4,1),0),NETWORKDAYS.INTL(DATE($B$3,4,22),DATE($B$3,4,22),1,'Non-working days'!$A$6:$A$45)=0),"",IF(COUNTIFS('Leave log'!$A$7:$A$306,Employees!$A$16,'Leave log'!$B$7:$B$306,"&lt;="&amp;DATE($B$3,4,22),'Leave log'!$C$7:$C$306,"&gt;="&amp;DATE($B$3,4,22),'Leave log'!$F$7:$F$306,"Pending")&gt;0,"P",""))))</f>
        <v/>
      </c>
      <c r="X119" s="23" t="str">
        <f>IF(A119="","",IF(IF(OR(DATE($B$3,4,23)&gt;EOMONTH(DATE($B$3,4,1),0),NETWORKDAYS.INTL(DATE($B$3,4,23),DATE($B$3,4,23),1,'Non-working days'!$A$6:$A$45)=0),"",IF(COUNTIFS('Leave log'!$A$7:$A$306,Employees!$A$16,'Leave log'!$B$7:$B$306,"&lt;="&amp;DATE($B$3,4,23),'Leave log'!$C$7:$C$306,"&gt;="&amp;DATE($B$3,4,23),'Leave log'!$F$7:$F$306,"Approved")&gt;0,"A",""))="A","A",IF(OR(DATE($B$3,4,23)&gt;EOMONTH(DATE($B$3,4,1),0),NETWORKDAYS.INTL(DATE($B$3,4,23),DATE($B$3,4,23),1,'Non-working days'!$A$6:$A$45)=0),"",IF(COUNTIFS('Leave log'!$A$7:$A$306,Employees!$A$16,'Leave log'!$B$7:$B$306,"&lt;="&amp;DATE($B$3,4,23),'Leave log'!$C$7:$C$306,"&gt;="&amp;DATE($B$3,4,23),'Leave log'!$F$7:$F$306,"Pending")&gt;0,"P",""))))</f>
        <v/>
      </c>
      <c r="Y119" s="23" t="str">
        <f>IF(A119="","",IF(IF(OR(DATE($B$3,4,24)&gt;EOMONTH(DATE($B$3,4,1),0),NETWORKDAYS.INTL(DATE($B$3,4,24),DATE($B$3,4,24),1,'Non-working days'!$A$6:$A$45)=0),"",IF(COUNTIFS('Leave log'!$A$7:$A$306,Employees!$A$16,'Leave log'!$B$7:$B$306,"&lt;="&amp;DATE($B$3,4,24),'Leave log'!$C$7:$C$306,"&gt;="&amp;DATE($B$3,4,24),'Leave log'!$F$7:$F$306,"Approved")&gt;0,"A",""))="A","A",IF(OR(DATE($B$3,4,24)&gt;EOMONTH(DATE($B$3,4,1),0),NETWORKDAYS.INTL(DATE($B$3,4,24),DATE($B$3,4,24),1,'Non-working days'!$A$6:$A$45)=0),"",IF(COUNTIFS('Leave log'!$A$7:$A$306,Employees!$A$16,'Leave log'!$B$7:$B$306,"&lt;="&amp;DATE($B$3,4,24),'Leave log'!$C$7:$C$306,"&gt;="&amp;DATE($B$3,4,24),'Leave log'!$F$7:$F$306,"Pending")&gt;0,"P",""))))</f>
        <v/>
      </c>
      <c r="Z119" s="23" t="str">
        <f>IF(A119="","",IF(IF(OR(DATE($B$3,4,25)&gt;EOMONTH(DATE($B$3,4,1),0),NETWORKDAYS.INTL(DATE($B$3,4,25),DATE($B$3,4,25),1,'Non-working days'!$A$6:$A$45)=0),"",IF(COUNTIFS('Leave log'!$A$7:$A$306,Employees!$A$16,'Leave log'!$B$7:$B$306,"&lt;="&amp;DATE($B$3,4,25),'Leave log'!$C$7:$C$306,"&gt;="&amp;DATE($B$3,4,25),'Leave log'!$F$7:$F$306,"Approved")&gt;0,"A",""))="A","A",IF(OR(DATE($B$3,4,25)&gt;EOMONTH(DATE($B$3,4,1),0),NETWORKDAYS.INTL(DATE($B$3,4,25),DATE($B$3,4,25),1,'Non-working days'!$A$6:$A$45)=0),"",IF(COUNTIFS('Leave log'!$A$7:$A$306,Employees!$A$16,'Leave log'!$B$7:$B$306,"&lt;="&amp;DATE($B$3,4,25),'Leave log'!$C$7:$C$306,"&gt;="&amp;DATE($B$3,4,25),'Leave log'!$F$7:$F$306,"Pending")&gt;0,"P",""))))</f>
        <v/>
      </c>
      <c r="AA119" s="23" t="str">
        <f>IF(A119="","",IF(IF(OR(DATE($B$3,4,26)&gt;EOMONTH(DATE($B$3,4,1),0),NETWORKDAYS.INTL(DATE($B$3,4,26),DATE($B$3,4,26),1,'Non-working days'!$A$6:$A$45)=0),"",IF(COUNTIFS('Leave log'!$A$7:$A$306,Employees!$A$16,'Leave log'!$B$7:$B$306,"&lt;="&amp;DATE($B$3,4,26),'Leave log'!$C$7:$C$306,"&gt;="&amp;DATE($B$3,4,26),'Leave log'!$F$7:$F$306,"Approved")&gt;0,"A",""))="A","A",IF(OR(DATE($B$3,4,26)&gt;EOMONTH(DATE($B$3,4,1),0),NETWORKDAYS.INTL(DATE($B$3,4,26),DATE($B$3,4,26),1,'Non-working days'!$A$6:$A$45)=0),"",IF(COUNTIFS('Leave log'!$A$7:$A$306,Employees!$A$16,'Leave log'!$B$7:$B$306,"&lt;="&amp;DATE($B$3,4,26),'Leave log'!$C$7:$C$306,"&gt;="&amp;DATE($B$3,4,26),'Leave log'!$F$7:$F$306,"Pending")&gt;0,"P",""))))</f>
        <v/>
      </c>
      <c r="AB119" s="23" t="str">
        <f>IF(A119="","",IF(IF(OR(DATE($B$3,4,27)&gt;EOMONTH(DATE($B$3,4,1),0),NETWORKDAYS.INTL(DATE($B$3,4,27),DATE($B$3,4,27),1,'Non-working days'!$A$6:$A$45)=0),"",IF(COUNTIFS('Leave log'!$A$7:$A$306,Employees!$A$16,'Leave log'!$B$7:$B$306,"&lt;="&amp;DATE($B$3,4,27),'Leave log'!$C$7:$C$306,"&gt;="&amp;DATE($B$3,4,27),'Leave log'!$F$7:$F$306,"Approved")&gt;0,"A",""))="A","A",IF(OR(DATE($B$3,4,27)&gt;EOMONTH(DATE($B$3,4,1),0),NETWORKDAYS.INTL(DATE($B$3,4,27),DATE($B$3,4,27),1,'Non-working days'!$A$6:$A$45)=0),"",IF(COUNTIFS('Leave log'!$A$7:$A$306,Employees!$A$16,'Leave log'!$B$7:$B$306,"&lt;="&amp;DATE($B$3,4,27),'Leave log'!$C$7:$C$306,"&gt;="&amp;DATE($B$3,4,27),'Leave log'!$F$7:$F$306,"Pending")&gt;0,"P",""))))</f>
        <v/>
      </c>
      <c r="AC119" s="23" t="str">
        <f>IF(A119="","",IF(IF(OR(DATE($B$3,4,28)&gt;EOMONTH(DATE($B$3,4,1),0),NETWORKDAYS.INTL(DATE($B$3,4,28),DATE($B$3,4,28),1,'Non-working days'!$A$6:$A$45)=0),"",IF(COUNTIFS('Leave log'!$A$7:$A$306,Employees!$A$16,'Leave log'!$B$7:$B$306,"&lt;="&amp;DATE($B$3,4,28),'Leave log'!$C$7:$C$306,"&gt;="&amp;DATE($B$3,4,28),'Leave log'!$F$7:$F$306,"Approved")&gt;0,"A",""))="A","A",IF(OR(DATE($B$3,4,28)&gt;EOMONTH(DATE($B$3,4,1),0),NETWORKDAYS.INTL(DATE($B$3,4,28),DATE($B$3,4,28),1,'Non-working days'!$A$6:$A$45)=0),"",IF(COUNTIFS('Leave log'!$A$7:$A$306,Employees!$A$16,'Leave log'!$B$7:$B$306,"&lt;="&amp;DATE($B$3,4,28),'Leave log'!$C$7:$C$306,"&gt;="&amp;DATE($B$3,4,28),'Leave log'!$F$7:$F$306,"Pending")&gt;0,"P",""))))</f>
        <v/>
      </c>
      <c r="AD119" s="23" t="str">
        <f>IF(A119="","",IF(IF(OR(DATE($B$3,4,29)&gt;EOMONTH(DATE($B$3,4,1),0),NETWORKDAYS.INTL(DATE($B$3,4,29),DATE($B$3,4,29),1,'Non-working days'!$A$6:$A$45)=0),"",IF(COUNTIFS('Leave log'!$A$7:$A$306,Employees!$A$16,'Leave log'!$B$7:$B$306,"&lt;="&amp;DATE($B$3,4,29),'Leave log'!$C$7:$C$306,"&gt;="&amp;DATE($B$3,4,29),'Leave log'!$F$7:$F$306,"Approved")&gt;0,"A",""))="A","A",IF(OR(DATE($B$3,4,29)&gt;EOMONTH(DATE($B$3,4,1),0),NETWORKDAYS.INTL(DATE($B$3,4,29),DATE($B$3,4,29),1,'Non-working days'!$A$6:$A$45)=0),"",IF(COUNTIFS('Leave log'!$A$7:$A$306,Employees!$A$16,'Leave log'!$B$7:$B$306,"&lt;="&amp;DATE($B$3,4,29),'Leave log'!$C$7:$C$306,"&gt;="&amp;DATE($B$3,4,29),'Leave log'!$F$7:$F$306,"Pending")&gt;0,"P",""))))</f>
        <v/>
      </c>
      <c r="AE119" s="23" t="str">
        <f>IF(A119="","",IF(IF(OR(DATE($B$3,4,30)&gt;EOMONTH(DATE($B$3,4,1),0),NETWORKDAYS.INTL(DATE($B$3,4,30),DATE($B$3,4,30),1,'Non-working days'!$A$6:$A$45)=0),"",IF(COUNTIFS('Leave log'!$A$7:$A$306,Employees!$A$16,'Leave log'!$B$7:$B$306,"&lt;="&amp;DATE($B$3,4,30),'Leave log'!$C$7:$C$306,"&gt;="&amp;DATE($B$3,4,30),'Leave log'!$F$7:$F$306,"Approved")&gt;0,"A",""))="A","A",IF(OR(DATE($B$3,4,30)&gt;EOMONTH(DATE($B$3,4,1),0),NETWORKDAYS.INTL(DATE($B$3,4,30),DATE($B$3,4,30),1,'Non-working days'!$A$6:$A$45)=0),"",IF(COUNTIFS('Leave log'!$A$7:$A$306,Employees!$A$16,'Leave log'!$B$7:$B$306,"&lt;="&amp;DATE($B$3,4,30),'Leave log'!$C$7:$C$306,"&gt;="&amp;DATE($B$3,4,30),'Leave log'!$F$7:$F$306,"Pending")&gt;0,"P",""))))</f>
        <v/>
      </c>
      <c r="AF119" s="23" t="str">
        <f>IF(A119="","",IF(IF(OR(DATE($B$3,4,31)&gt;EOMONTH(DATE($B$3,4,1),0),NETWORKDAYS.INTL(DATE($B$3,4,31),DATE($B$3,4,31),1,'Non-working days'!$A$6:$A$45)=0),"",IF(COUNTIFS('Leave log'!$A$7:$A$306,Employees!$A$16,'Leave log'!$B$7:$B$306,"&lt;="&amp;DATE($B$3,4,31),'Leave log'!$C$7:$C$306,"&gt;="&amp;DATE($B$3,4,31),'Leave log'!$F$7:$F$306,"Approved")&gt;0,"A",""))="A","A",IF(OR(DATE($B$3,4,31)&gt;EOMONTH(DATE($B$3,4,1),0),NETWORKDAYS.INTL(DATE($B$3,4,31),DATE($B$3,4,31),1,'Non-working days'!$A$6:$A$45)=0),"",IF(COUNTIFS('Leave log'!$A$7:$A$306,Employees!$A$16,'Leave log'!$B$7:$B$306,"&lt;="&amp;DATE($B$3,4,31),'Leave log'!$C$7:$C$306,"&gt;="&amp;DATE($B$3,4,31),'Leave log'!$F$7:$F$306,"Pending")&gt;0,"P",""))))</f>
        <v/>
      </c>
    </row>
    <row r="120" spans="1:32" ht="18" customHeight="1" x14ac:dyDescent="0.3">
      <c r="A120" s="22" t="str">
        <f>IF(Employees!F17="Yes",Employees!B17,"")</f>
        <v/>
      </c>
      <c r="B120" s="23" t="str">
        <f>IF(A120="","",IF(IF(OR(DATE($B$3,4,1)&gt;EOMONTH(DATE($B$3,4,1),0),NETWORKDAYS.INTL(DATE($B$3,4,1),DATE($B$3,4,1),1,'Non-working days'!$A$6:$A$45)=0),"",IF(COUNTIFS('Leave log'!$A$7:$A$306,Employees!$A$17,'Leave log'!$B$7:$B$306,"&lt;="&amp;DATE($B$3,4,1),'Leave log'!$C$7:$C$306,"&gt;="&amp;DATE($B$3,4,1),'Leave log'!$F$7:$F$306,"Approved")&gt;0,"A",""))="A","A",IF(OR(DATE($B$3,4,1)&gt;EOMONTH(DATE($B$3,4,1),0),NETWORKDAYS.INTL(DATE($B$3,4,1),DATE($B$3,4,1),1,'Non-working days'!$A$6:$A$45)=0),"",IF(COUNTIFS('Leave log'!$A$7:$A$306,Employees!$A$17,'Leave log'!$B$7:$B$306,"&lt;="&amp;DATE($B$3,4,1),'Leave log'!$C$7:$C$306,"&gt;="&amp;DATE($B$3,4,1),'Leave log'!$F$7:$F$306,"Pending")&gt;0,"P",""))))</f>
        <v/>
      </c>
      <c r="C120" s="23" t="str">
        <f>IF(A120="","",IF(IF(OR(DATE($B$3,4,2)&gt;EOMONTH(DATE($B$3,4,1),0),NETWORKDAYS.INTL(DATE($B$3,4,2),DATE($B$3,4,2),1,'Non-working days'!$A$6:$A$45)=0),"",IF(COUNTIFS('Leave log'!$A$7:$A$306,Employees!$A$17,'Leave log'!$B$7:$B$306,"&lt;="&amp;DATE($B$3,4,2),'Leave log'!$C$7:$C$306,"&gt;="&amp;DATE($B$3,4,2),'Leave log'!$F$7:$F$306,"Approved")&gt;0,"A",""))="A","A",IF(OR(DATE($B$3,4,2)&gt;EOMONTH(DATE($B$3,4,1),0),NETWORKDAYS.INTL(DATE($B$3,4,2),DATE($B$3,4,2),1,'Non-working days'!$A$6:$A$45)=0),"",IF(COUNTIFS('Leave log'!$A$7:$A$306,Employees!$A$17,'Leave log'!$B$7:$B$306,"&lt;="&amp;DATE($B$3,4,2),'Leave log'!$C$7:$C$306,"&gt;="&amp;DATE($B$3,4,2),'Leave log'!$F$7:$F$306,"Pending")&gt;0,"P",""))))</f>
        <v/>
      </c>
      <c r="D120" s="23" t="str">
        <f>IF(A120="","",IF(IF(OR(DATE($B$3,4,3)&gt;EOMONTH(DATE($B$3,4,1),0),NETWORKDAYS.INTL(DATE($B$3,4,3),DATE($B$3,4,3),1,'Non-working days'!$A$6:$A$45)=0),"",IF(COUNTIFS('Leave log'!$A$7:$A$306,Employees!$A$17,'Leave log'!$B$7:$B$306,"&lt;="&amp;DATE($B$3,4,3),'Leave log'!$C$7:$C$306,"&gt;="&amp;DATE($B$3,4,3),'Leave log'!$F$7:$F$306,"Approved")&gt;0,"A",""))="A","A",IF(OR(DATE($B$3,4,3)&gt;EOMONTH(DATE($B$3,4,1),0),NETWORKDAYS.INTL(DATE($B$3,4,3),DATE($B$3,4,3),1,'Non-working days'!$A$6:$A$45)=0),"",IF(COUNTIFS('Leave log'!$A$7:$A$306,Employees!$A$17,'Leave log'!$B$7:$B$306,"&lt;="&amp;DATE($B$3,4,3),'Leave log'!$C$7:$C$306,"&gt;="&amp;DATE($B$3,4,3),'Leave log'!$F$7:$F$306,"Pending")&gt;0,"P",""))))</f>
        <v/>
      </c>
      <c r="E120" s="23" t="str">
        <f>IF(A120="","",IF(IF(OR(DATE($B$3,4,4)&gt;EOMONTH(DATE($B$3,4,1),0),NETWORKDAYS.INTL(DATE($B$3,4,4),DATE($B$3,4,4),1,'Non-working days'!$A$6:$A$45)=0),"",IF(COUNTIFS('Leave log'!$A$7:$A$306,Employees!$A$17,'Leave log'!$B$7:$B$306,"&lt;="&amp;DATE($B$3,4,4),'Leave log'!$C$7:$C$306,"&gt;="&amp;DATE($B$3,4,4),'Leave log'!$F$7:$F$306,"Approved")&gt;0,"A",""))="A","A",IF(OR(DATE($B$3,4,4)&gt;EOMONTH(DATE($B$3,4,1),0),NETWORKDAYS.INTL(DATE($B$3,4,4),DATE($B$3,4,4),1,'Non-working days'!$A$6:$A$45)=0),"",IF(COUNTIFS('Leave log'!$A$7:$A$306,Employees!$A$17,'Leave log'!$B$7:$B$306,"&lt;="&amp;DATE($B$3,4,4),'Leave log'!$C$7:$C$306,"&gt;="&amp;DATE($B$3,4,4),'Leave log'!$F$7:$F$306,"Pending")&gt;0,"P",""))))</f>
        <v/>
      </c>
      <c r="F120" s="23" t="str">
        <f>IF(A120="","",IF(IF(OR(DATE($B$3,4,5)&gt;EOMONTH(DATE($B$3,4,1),0),NETWORKDAYS.INTL(DATE($B$3,4,5),DATE($B$3,4,5),1,'Non-working days'!$A$6:$A$45)=0),"",IF(COUNTIFS('Leave log'!$A$7:$A$306,Employees!$A$17,'Leave log'!$B$7:$B$306,"&lt;="&amp;DATE($B$3,4,5),'Leave log'!$C$7:$C$306,"&gt;="&amp;DATE($B$3,4,5),'Leave log'!$F$7:$F$306,"Approved")&gt;0,"A",""))="A","A",IF(OR(DATE($B$3,4,5)&gt;EOMONTH(DATE($B$3,4,1),0),NETWORKDAYS.INTL(DATE($B$3,4,5),DATE($B$3,4,5),1,'Non-working days'!$A$6:$A$45)=0),"",IF(COUNTIFS('Leave log'!$A$7:$A$306,Employees!$A$17,'Leave log'!$B$7:$B$306,"&lt;="&amp;DATE($B$3,4,5),'Leave log'!$C$7:$C$306,"&gt;="&amp;DATE($B$3,4,5),'Leave log'!$F$7:$F$306,"Pending")&gt;0,"P",""))))</f>
        <v/>
      </c>
      <c r="G120" s="23" t="str">
        <f>IF(A120="","",IF(IF(OR(DATE($B$3,4,6)&gt;EOMONTH(DATE($B$3,4,1),0),NETWORKDAYS.INTL(DATE($B$3,4,6),DATE($B$3,4,6),1,'Non-working days'!$A$6:$A$45)=0),"",IF(COUNTIFS('Leave log'!$A$7:$A$306,Employees!$A$17,'Leave log'!$B$7:$B$306,"&lt;="&amp;DATE($B$3,4,6),'Leave log'!$C$7:$C$306,"&gt;="&amp;DATE($B$3,4,6),'Leave log'!$F$7:$F$306,"Approved")&gt;0,"A",""))="A","A",IF(OR(DATE($B$3,4,6)&gt;EOMONTH(DATE($B$3,4,1),0),NETWORKDAYS.INTL(DATE($B$3,4,6),DATE($B$3,4,6),1,'Non-working days'!$A$6:$A$45)=0),"",IF(COUNTIFS('Leave log'!$A$7:$A$306,Employees!$A$17,'Leave log'!$B$7:$B$306,"&lt;="&amp;DATE($B$3,4,6),'Leave log'!$C$7:$C$306,"&gt;="&amp;DATE($B$3,4,6),'Leave log'!$F$7:$F$306,"Pending")&gt;0,"P",""))))</f>
        <v/>
      </c>
      <c r="H120" s="23" t="str">
        <f>IF(A120="","",IF(IF(OR(DATE($B$3,4,7)&gt;EOMONTH(DATE($B$3,4,1),0),NETWORKDAYS.INTL(DATE($B$3,4,7),DATE($B$3,4,7),1,'Non-working days'!$A$6:$A$45)=0),"",IF(COUNTIFS('Leave log'!$A$7:$A$306,Employees!$A$17,'Leave log'!$B$7:$B$306,"&lt;="&amp;DATE($B$3,4,7),'Leave log'!$C$7:$C$306,"&gt;="&amp;DATE($B$3,4,7),'Leave log'!$F$7:$F$306,"Approved")&gt;0,"A",""))="A","A",IF(OR(DATE($B$3,4,7)&gt;EOMONTH(DATE($B$3,4,1),0),NETWORKDAYS.INTL(DATE($B$3,4,7),DATE($B$3,4,7),1,'Non-working days'!$A$6:$A$45)=0),"",IF(COUNTIFS('Leave log'!$A$7:$A$306,Employees!$A$17,'Leave log'!$B$7:$B$306,"&lt;="&amp;DATE($B$3,4,7),'Leave log'!$C$7:$C$306,"&gt;="&amp;DATE($B$3,4,7),'Leave log'!$F$7:$F$306,"Pending")&gt;0,"P",""))))</f>
        <v/>
      </c>
      <c r="I120" s="23" t="str">
        <f>IF(A120="","",IF(IF(OR(DATE($B$3,4,8)&gt;EOMONTH(DATE($B$3,4,1),0),NETWORKDAYS.INTL(DATE($B$3,4,8),DATE($B$3,4,8),1,'Non-working days'!$A$6:$A$45)=0),"",IF(COUNTIFS('Leave log'!$A$7:$A$306,Employees!$A$17,'Leave log'!$B$7:$B$306,"&lt;="&amp;DATE($B$3,4,8),'Leave log'!$C$7:$C$306,"&gt;="&amp;DATE($B$3,4,8),'Leave log'!$F$7:$F$306,"Approved")&gt;0,"A",""))="A","A",IF(OR(DATE($B$3,4,8)&gt;EOMONTH(DATE($B$3,4,1),0),NETWORKDAYS.INTL(DATE($B$3,4,8),DATE($B$3,4,8),1,'Non-working days'!$A$6:$A$45)=0),"",IF(COUNTIFS('Leave log'!$A$7:$A$306,Employees!$A$17,'Leave log'!$B$7:$B$306,"&lt;="&amp;DATE($B$3,4,8),'Leave log'!$C$7:$C$306,"&gt;="&amp;DATE($B$3,4,8),'Leave log'!$F$7:$F$306,"Pending")&gt;0,"P",""))))</f>
        <v/>
      </c>
      <c r="J120" s="23" t="str">
        <f>IF(A120="","",IF(IF(OR(DATE($B$3,4,9)&gt;EOMONTH(DATE($B$3,4,1),0),NETWORKDAYS.INTL(DATE($B$3,4,9),DATE($B$3,4,9),1,'Non-working days'!$A$6:$A$45)=0),"",IF(COUNTIFS('Leave log'!$A$7:$A$306,Employees!$A$17,'Leave log'!$B$7:$B$306,"&lt;="&amp;DATE($B$3,4,9),'Leave log'!$C$7:$C$306,"&gt;="&amp;DATE($B$3,4,9),'Leave log'!$F$7:$F$306,"Approved")&gt;0,"A",""))="A","A",IF(OR(DATE($B$3,4,9)&gt;EOMONTH(DATE($B$3,4,1),0),NETWORKDAYS.INTL(DATE($B$3,4,9),DATE($B$3,4,9),1,'Non-working days'!$A$6:$A$45)=0),"",IF(COUNTIFS('Leave log'!$A$7:$A$306,Employees!$A$17,'Leave log'!$B$7:$B$306,"&lt;="&amp;DATE($B$3,4,9),'Leave log'!$C$7:$C$306,"&gt;="&amp;DATE($B$3,4,9),'Leave log'!$F$7:$F$306,"Pending")&gt;0,"P",""))))</f>
        <v/>
      </c>
      <c r="K120" s="23" t="str">
        <f>IF(A120="","",IF(IF(OR(DATE($B$3,4,10)&gt;EOMONTH(DATE($B$3,4,1),0),NETWORKDAYS.INTL(DATE($B$3,4,10),DATE($B$3,4,10),1,'Non-working days'!$A$6:$A$45)=0),"",IF(COUNTIFS('Leave log'!$A$7:$A$306,Employees!$A$17,'Leave log'!$B$7:$B$306,"&lt;="&amp;DATE($B$3,4,10),'Leave log'!$C$7:$C$306,"&gt;="&amp;DATE($B$3,4,10),'Leave log'!$F$7:$F$306,"Approved")&gt;0,"A",""))="A","A",IF(OR(DATE($B$3,4,10)&gt;EOMONTH(DATE($B$3,4,1),0),NETWORKDAYS.INTL(DATE($B$3,4,10),DATE($B$3,4,10),1,'Non-working days'!$A$6:$A$45)=0),"",IF(COUNTIFS('Leave log'!$A$7:$A$306,Employees!$A$17,'Leave log'!$B$7:$B$306,"&lt;="&amp;DATE($B$3,4,10),'Leave log'!$C$7:$C$306,"&gt;="&amp;DATE($B$3,4,10),'Leave log'!$F$7:$F$306,"Pending")&gt;0,"P",""))))</f>
        <v/>
      </c>
      <c r="L120" s="23" t="str">
        <f>IF(A120="","",IF(IF(OR(DATE($B$3,4,11)&gt;EOMONTH(DATE($B$3,4,1),0),NETWORKDAYS.INTL(DATE($B$3,4,11),DATE($B$3,4,11),1,'Non-working days'!$A$6:$A$45)=0),"",IF(COUNTIFS('Leave log'!$A$7:$A$306,Employees!$A$17,'Leave log'!$B$7:$B$306,"&lt;="&amp;DATE($B$3,4,11),'Leave log'!$C$7:$C$306,"&gt;="&amp;DATE($B$3,4,11),'Leave log'!$F$7:$F$306,"Approved")&gt;0,"A",""))="A","A",IF(OR(DATE($B$3,4,11)&gt;EOMONTH(DATE($B$3,4,1),0),NETWORKDAYS.INTL(DATE($B$3,4,11),DATE($B$3,4,11),1,'Non-working days'!$A$6:$A$45)=0),"",IF(COUNTIFS('Leave log'!$A$7:$A$306,Employees!$A$17,'Leave log'!$B$7:$B$306,"&lt;="&amp;DATE($B$3,4,11),'Leave log'!$C$7:$C$306,"&gt;="&amp;DATE($B$3,4,11),'Leave log'!$F$7:$F$306,"Pending")&gt;0,"P",""))))</f>
        <v/>
      </c>
      <c r="M120" s="23" t="str">
        <f>IF(A120="","",IF(IF(OR(DATE($B$3,4,12)&gt;EOMONTH(DATE($B$3,4,1),0),NETWORKDAYS.INTL(DATE($B$3,4,12),DATE($B$3,4,12),1,'Non-working days'!$A$6:$A$45)=0),"",IF(COUNTIFS('Leave log'!$A$7:$A$306,Employees!$A$17,'Leave log'!$B$7:$B$306,"&lt;="&amp;DATE($B$3,4,12),'Leave log'!$C$7:$C$306,"&gt;="&amp;DATE($B$3,4,12),'Leave log'!$F$7:$F$306,"Approved")&gt;0,"A",""))="A","A",IF(OR(DATE($B$3,4,12)&gt;EOMONTH(DATE($B$3,4,1),0),NETWORKDAYS.INTL(DATE($B$3,4,12),DATE($B$3,4,12),1,'Non-working days'!$A$6:$A$45)=0),"",IF(COUNTIFS('Leave log'!$A$7:$A$306,Employees!$A$17,'Leave log'!$B$7:$B$306,"&lt;="&amp;DATE($B$3,4,12),'Leave log'!$C$7:$C$306,"&gt;="&amp;DATE($B$3,4,12),'Leave log'!$F$7:$F$306,"Pending")&gt;0,"P",""))))</f>
        <v/>
      </c>
      <c r="N120" s="23" t="str">
        <f>IF(A120="","",IF(IF(OR(DATE($B$3,4,13)&gt;EOMONTH(DATE($B$3,4,1),0),NETWORKDAYS.INTL(DATE($B$3,4,13),DATE($B$3,4,13),1,'Non-working days'!$A$6:$A$45)=0),"",IF(COUNTIFS('Leave log'!$A$7:$A$306,Employees!$A$17,'Leave log'!$B$7:$B$306,"&lt;="&amp;DATE($B$3,4,13),'Leave log'!$C$7:$C$306,"&gt;="&amp;DATE($B$3,4,13),'Leave log'!$F$7:$F$306,"Approved")&gt;0,"A",""))="A","A",IF(OR(DATE($B$3,4,13)&gt;EOMONTH(DATE($B$3,4,1),0),NETWORKDAYS.INTL(DATE($B$3,4,13),DATE($B$3,4,13),1,'Non-working days'!$A$6:$A$45)=0),"",IF(COUNTIFS('Leave log'!$A$7:$A$306,Employees!$A$17,'Leave log'!$B$7:$B$306,"&lt;="&amp;DATE($B$3,4,13),'Leave log'!$C$7:$C$306,"&gt;="&amp;DATE($B$3,4,13),'Leave log'!$F$7:$F$306,"Pending")&gt;0,"P",""))))</f>
        <v/>
      </c>
      <c r="O120" s="23" t="str">
        <f>IF(A120="","",IF(IF(OR(DATE($B$3,4,14)&gt;EOMONTH(DATE($B$3,4,1),0),NETWORKDAYS.INTL(DATE($B$3,4,14),DATE($B$3,4,14),1,'Non-working days'!$A$6:$A$45)=0),"",IF(COUNTIFS('Leave log'!$A$7:$A$306,Employees!$A$17,'Leave log'!$B$7:$B$306,"&lt;="&amp;DATE($B$3,4,14),'Leave log'!$C$7:$C$306,"&gt;="&amp;DATE($B$3,4,14),'Leave log'!$F$7:$F$306,"Approved")&gt;0,"A",""))="A","A",IF(OR(DATE($B$3,4,14)&gt;EOMONTH(DATE($B$3,4,1),0),NETWORKDAYS.INTL(DATE($B$3,4,14),DATE($B$3,4,14),1,'Non-working days'!$A$6:$A$45)=0),"",IF(COUNTIFS('Leave log'!$A$7:$A$306,Employees!$A$17,'Leave log'!$B$7:$B$306,"&lt;="&amp;DATE($B$3,4,14),'Leave log'!$C$7:$C$306,"&gt;="&amp;DATE($B$3,4,14),'Leave log'!$F$7:$F$306,"Pending")&gt;0,"P",""))))</f>
        <v/>
      </c>
      <c r="P120" s="23" t="str">
        <f>IF(A120="","",IF(IF(OR(DATE($B$3,4,15)&gt;EOMONTH(DATE($B$3,4,1),0),NETWORKDAYS.INTL(DATE($B$3,4,15),DATE($B$3,4,15),1,'Non-working days'!$A$6:$A$45)=0),"",IF(COUNTIFS('Leave log'!$A$7:$A$306,Employees!$A$17,'Leave log'!$B$7:$B$306,"&lt;="&amp;DATE($B$3,4,15),'Leave log'!$C$7:$C$306,"&gt;="&amp;DATE($B$3,4,15),'Leave log'!$F$7:$F$306,"Approved")&gt;0,"A",""))="A","A",IF(OR(DATE($B$3,4,15)&gt;EOMONTH(DATE($B$3,4,1),0),NETWORKDAYS.INTL(DATE($B$3,4,15),DATE($B$3,4,15),1,'Non-working days'!$A$6:$A$45)=0),"",IF(COUNTIFS('Leave log'!$A$7:$A$306,Employees!$A$17,'Leave log'!$B$7:$B$306,"&lt;="&amp;DATE($B$3,4,15),'Leave log'!$C$7:$C$306,"&gt;="&amp;DATE($B$3,4,15),'Leave log'!$F$7:$F$306,"Pending")&gt;0,"P",""))))</f>
        <v/>
      </c>
      <c r="Q120" s="23" t="str">
        <f>IF(A120="","",IF(IF(OR(DATE($B$3,4,16)&gt;EOMONTH(DATE($B$3,4,1),0),NETWORKDAYS.INTL(DATE($B$3,4,16),DATE($B$3,4,16),1,'Non-working days'!$A$6:$A$45)=0),"",IF(COUNTIFS('Leave log'!$A$7:$A$306,Employees!$A$17,'Leave log'!$B$7:$B$306,"&lt;="&amp;DATE($B$3,4,16),'Leave log'!$C$7:$C$306,"&gt;="&amp;DATE($B$3,4,16),'Leave log'!$F$7:$F$306,"Approved")&gt;0,"A",""))="A","A",IF(OR(DATE($B$3,4,16)&gt;EOMONTH(DATE($B$3,4,1),0),NETWORKDAYS.INTL(DATE($B$3,4,16),DATE($B$3,4,16),1,'Non-working days'!$A$6:$A$45)=0),"",IF(COUNTIFS('Leave log'!$A$7:$A$306,Employees!$A$17,'Leave log'!$B$7:$B$306,"&lt;="&amp;DATE($B$3,4,16),'Leave log'!$C$7:$C$306,"&gt;="&amp;DATE($B$3,4,16),'Leave log'!$F$7:$F$306,"Pending")&gt;0,"P",""))))</f>
        <v/>
      </c>
      <c r="R120" s="23" t="str">
        <f>IF(A120="","",IF(IF(OR(DATE($B$3,4,17)&gt;EOMONTH(DATE($B$3,4,1),0),NETWORKDAYS.INTL(DATE($B$3,4,17),DATE($B$3,4,17),1,'Non-working days'!$A$6:$A$45)=0),"",IF(COUNTIFS('Leave log'!$A$7:$A$306,Employees!$A$17,'Leave log'!$B$7:$B$306,"&lt;="&amp;DATE($B$3,4,17),'Leave log'!$C$7:$C$306,"&gt;="&amp;DATE($B$3,4,17),'Leave log'!$F$7:$F$306,"Approved")&gt;0,"A",""))="A","A",IF(OR(DATE($B$3,4,17)&gt;EOMONTH(DATE($B$3,4,1),0),NETWORKDAYS.INTL(DATE($B$3,4,17),DATE($B$3,4,17),1,'Non-working days'!$A$6:$A$45)=0),"",IF(COUNTIFS('Leave log'!$A$7:$A$306,Employees!$A$17,'Leave log'!$B$7:$B$306,"&lt;="&amp;DATE($B$3,4,17),'Leave log'!$C$7:$C$306,"&gt;="&amp;DATE($B$3,4,17),'Leave log'!$F$7:$F$306,"Pending")&gt;0,"P",""))))</f>
        <v/>
      </c>
      <c r="S120" s="23" t="str">
        <f>IF(A120="","",IF(IF(OR(DATE($B$3,4,18)&gt;EOMONTH(DATE($B$3,4,1),0),NETWORKDAYS.INTL(DATE($B$3,4,18),DATE($B$3,4,18),1,'Non-working days'!$A$6:$A$45)=0),"",IF(COUNTIFS('Leave log'!$A$7:$A$306,Employees!$A$17,'Leave log'!$B$7:$B$306,"&lt;="&amp;DATE($B$3,4,18),'Leave log'!$C$7:$C$306,"&gt;="&amp;DATE($B$3,4,18),'Leave log'!$F$7:$F$306,"Approved")&gt;0,"A",""))="A","A",IF(OR(DATE($B$3,4,18)&gt;EOMONTH(DATE($B$3,4,1),0),NETWORKDAYS.INTL(DATE($B$3,4,18),DATE($B$3,4,18),1,'Non-working days'!$A$6:$A$45)=0),"",IF(COUNTIFS('Leave log'!$A$7:$A$306,Employees!$A$17,'Leave log'!$B$7:$B$306,"&lt;="&amp;DATE($B$3,4,18),'Leave log'!$C$7:$C$306,"&gt;="&amp;DATE($B$3,4,18),'Leave log'!$F$7:$F$306,"Pending")&gt;0,"P",""))))</f>
        <v/>
      </c>
      <c r="T120" s="23" t="str">
        <f>IF(A120="","",IF(IF(OR(DATE($B$3,4,19)&gt;EOMONTH(DATE($B$3,4,1),0),NETWORKDAYS.INTL(DATE($B$3,4,19),DATE($B$3,4,19),1,'Non-working days'!$A$6:$A$45)=0),"",IF(COUNTIFS('Leave log'!$A$7:$A$306,Employees!$A$17,'Leave log'!$B$7:$B$306,"&lt;="&amp;DATE($B$3,4,19),'Leave log'!$C$7:$C$306,"&gt;="&amp;DATE($B$3,4,19),'Leave log'!$F$7:$F$306,"Approved")&gt;0,"A",""))="A","A",IF(OR(DATE($B$3,4,19)&gt;EOMONTH(DATE($B$3,4,1),0),NETWORKDAYS.INTL(DATE($B$3,4,19),DATE($B$3,4,19),1,'Non-working days'!$A$6:$A$45)=0),"",IF(COUNTIFS('Leave log'!$A$7:$A$306,Employees!$A$17,'Leave log'!$B$7:$B$306,"&lt;="&amp;DATE($B$3,4,19),'Leave log'!$C$7:$C$306,"&gt;="&amp;DATE($B$3,4,19),'Leave log'!$F$7:$F$306,"Pending")&gt;0,"P",""))))</f>
        <v/>
      </c>
      <c r="U120" s="23" t="str">
        <f>IF(A120="","",IF(IF(OR(DATE($B$3,4,20)&gt;EOMONTH(DATE($B$3,4,1),0),NETWORKDAYS.INTL(DATE($B$3,4,20),DATE($B$3,4,20),1,'Non-working days'!$A$6:$A$45)=0),"",IF(COUNTIFS('Leave log'!$A$7:$A$306,Employees!$A$17,'Leave log'!$B$7:$B$306,"&lt;="&amp;DATE($B$3,4,20),'Leave log'!$C$7:$C$306,"&gt;="&amp;DATE($B$3,4,20),'Leave log'!$F$7:$F$306,"Approved")&gt;0,"A",""))="A","A",IF(OR(DATE($B$3,4,20)&gt;EOMONTH(DATE($B$3,4,1),0),NETWORKDAYS.INTL(DATE($B$3,4,20),DATE($B$3,4,20),1,'Non-working days'!$A$6:$A$45)=0),"",IF(COUNTIFS('Leave log'!$A$7:$A$306,Employees!$A$17,'Leave log'!$B$7:$B$306,"&lt;="&amp;DATE($B$3,4,20),'Leave log'!$C$7:$C$306,"&gt;="&amp;DATE($B$3,4,20),'Leave log'!$F$7:$F$306,"Pending")&gt;0,"P",""))))</f>
        <v/>
      </c>
      <c r="V120" s="23" t="str">
        <f>IF(A120="","",IF(IF(OR(DATE($B$3,4,21)&gt;EOMONTH(DATE($B$3,4,1),0),NETWORKDAYS.INTL(DATE($B$3,4,21),DATE($B$3,4,21),1,'Non-working days'!$A$6:$A$45)=0),"",IF(COUNTIFS('Leave log'!$A$7:$A$306,Employees!$A$17,'Leave log'!$B$7:$B$306,"&lt;="&amp;DATE($B$3,4,21),'Leave log'!$C$7:$C$306,"&gt;="&amp;DATE($B$3,4,21),'Leave log'!$F$7:$F$306,"Approved")&gt;0,"A",""))="A","A",IF(OR(DATE($B$3,4,21)&gt;EOMONTH(DATE($B$3,4,1),0),NETWORKDAYS.INTL(DATE($B$3,4,21),DATE($B$3,4,21),1,'Non-working days'!$A$6:$A$45)=0),"",IF(COUNTIFS('Leave log'!$A$7:$A$306,Employees!$A$17,'Leave log'!$B$7:$B$306,"&lt;="&amp;DATE($B$3,4,21),'Leave log'!$C$7:$C$306,"&gt;="&amp;DATE($B$3,4,21),'Leave log'!$F$7:$F$306,"Pending")&gt;0,"P",""))))</f>
        <v/>
      </c>
      <c r="W120" s="23" t="str">
        <f>IF(A120="","",IF(IF(OR(DATE($B$3,4,22)&gt;EOMONTH(DATE($B$3,4,1),0),NETWORKDAYS.INTL(DATE($B$3,4,22),DATE($B$3,4,22),1,'Non-working days'!$A$6:$A$45)=0),"",IF(COUNTIFS('Leave log'!$A$7:$A$306,Employees!$A$17,'Leave log'!$B$7:$B$306,"&lt;="&amp;DATE($B$3,4,22),'Leave log'!$C$7:$C$306,"&gt;="&amp;DATE($B$3,4,22),'Leave log'!$F$7:$F$306,"Approved")&gt;0,"A",""))="A","A",IF(OR(DATE($B$3,4,22)&gt;EOMONTH(DATE($B$3,4,1),0),NETWORKDAYS.INTL(DATE($B$3,4,22),DATE($B$3,4,22),1,'Non-working days'!$A$6:$A$45)=0),"",IF(COUNTIFS('Leave log'!$A$7:$A$306,Employees!$A$17,'Leave log'!$B$7:$B$306,"&lt;="&amp;DATE($B$3,4,22),'Leave log'!$C$7:$C$306,"&gt;="&amp;DATE($B$3,4,22),'Leave log'!$F$7:$F$306,"Pending")&gt;0,"P",""))))</f>
        <v/>
      </c>
      <c r="X120" s="23" t="str">
        <f>IF(A120="","",IF(IF(OR(DATE($B$3,4,23)&gt;EOMONTH(DATE($B$3,4,1),0),NETWORKDAYS.INTL(DATE($B$3,4,23),DATE($B$3,4,23),1,'Non-working days'!$A$6:$A$45)=0),"",IF(COUNTIFS('Leave log'!$A$7:$A$306,Employees!$A$17,'Leave log'!$B$7:$B$306,"&lt;="&amp;DATE($B$3,4,23),'Leave log'!$C$7:$C$306,"&gt;="&amp;DATE($B$3,4,23),'Leave log'!$F$7:$F$306,"Approved")&gt;0,"A",""))="A","A",IF(OR(DATE($B$3,4,23)&gt;EOMONTH(DATE($B$3,4,1),0),NETWORKDAYS.INTL(DATE($B$3,4,23),DATE($B$3,4,23),1,'Non-working days'!$A$6:$A$45)=0),"",IF(COUNTIFS('Leave log'!$A$7:$A$306,Employees!$A$17,'Leave log'!$B$7:$B$306,"&lt;="&amp;DATE($B$3,4,23),'Leave log'!$C$7:$C$306,"&gt;="&amp;DATE($B$3,4,23),'Leave log'!$F$7:$F$306,"Pending")&gt;0,"P",""))))</f>
        <v/>
      </c>
      <c r="Y120" s="23" t="str">
        <f>IF(A120="","",IF(IF(OR(DATE($B$3,4,24)&gt;EOMONTH(DATE($B$3,4,1),0),NETWORKDAYS.INTL(DATE($B$3,4,24),DATE($B$3,4,24),1,'Non-working days'!$A$6:$A$45)=0),"",IF(COUNTIFS('Leave log'!$A$7:$A$306,Employees!$A$17,'Leave log'!$B$7:$B$306,"&lt;="&amp;DATE($B$3,4,24),'Leave log'!$C$7:$C$306,"&gt;="&amp;DATE($B$3,4,24),'Leave log'!$F$7:$F$306,"Approved")&gt;0,"A",""))="A","A",IF(OR(DATE($B$3,4,24)&gt;EOMONTH(DATE($B$3,4,1),0),NETWORKDAYS.INTL(DATE($B$3,4,24),DATE($B$3,4,24),1,'Non-working days'!$A$6:$A$45)=0),"",IF(COUNTIFS('Leave log'!$A$7:$A$306,Employees!$A$17,'Leave log'!$B$7:$B$306,"&lt;="&amp;DATE($B$3,4,24),'Leave log'!$C$7:$C$306,"&gt;="&amp;DATE($B$3,4,24),'Leave log'!$F$7:$F$306,"Pending")&gt;0,"P",""))))</f>
        <v/>
      </c>
      <c r="Z120" s="23" t="str">
        <f>IF(A120="","",IF(IF(OR(DATE($B$3,4,25)&gt;EOMONTH(DATE($B$3,4,1),0),NETWORKDAYS.INTL(DATE($B$3,4,25),DATE($B$3,4,25),1,'Non-working days'!$A$6:$A$45)=0),"",IF(COUNTIFS('Leave log'!$A$7:$A$306,Employees!$A$17,'Leave log'!$B$7:$B$306,"&lt;="&amp;DATE($B$3,4,25),'Leave log'!$C$7:$C$306,"&gt;="&amp;DATE($B$3,4,25),'Leave log'!$F$7:$F$306,"Approved")&gt;0,"A",""))="A","A",IF(OR(DATE($B$3,4,25)&gt;EOMONTH(DATE($B$3,4,1),0),NETWORKDAYS.INTL(DATE($B$3,4,25),DATE($B$3,4,25),1,'Non-working days'!$A$6:$A$45)=0),"",IF(COUNTIFS('Leave log'!$A$7:$A$306,Employees!$A$17,'Leave log'!$B$7:$B$306,"&lt;="&amp;DATE($B$3,4,25),'Leave log'!$C$7:$C$306,"&gt;="&amp;DATE($B$3,4,25),'Leave log'!$F$7:$F$306,"Pending")&gt;0,"P",""))))</f>
        <v/>
      </c>
      <c r="AA120" s="23" t="str">
        <f>IF(A120="","",IF(IF(OR(DATE($B$3,4,26)&gt;EOMONTH(DATE($B$3,4,1),0),NETWORKDAYS.INTL(DATE($B$3,4,26),DATE($B$3,4,26),1,'Non-working days'!$A$6:$A$45)=0),"",IF(COUNTIFS('Leave log'!$A$7:$A$306,Employees!$A$17,'Leave log'!$B$7:$B$306,"&lt;="&amp;DATE($B$3,4,26),'Leave log'!$C$7:$C$306,"&gt;="&amp;DATE($B$3,4,26),'Leave log'!$F$7:$F$306,"Approved")&gt;0,"A",""))="A","A",IF(OR(DATE($B$3,4,26)&gt;EOMONTH(DATE($B$3,4,1),0),NETWORKDAYS.INTL(DATE($B$3,4,26),DATE($B$3,4,26),1,'Non-working days'!$A$6:$A$45)=0),"",IF(COUNTIFS('Leave log'!$A$7:$A$306,Employees!$A$17,'Leave log'!$B$7:$B$306,"&lt;="&amp;DATE($B$3,4,26),'Leave log'!$C$7:$C$306,"&gt;="&amp;DATE($B$3,4,26),'Leave log'!$F$7:$F$306,"Pending")&gt;0,"P",""))))</f>
        <v/>
      </c>
      <c r="AB120" s="23" t="str">
        <f>IF(A120="","",IF(IF(OR(DATE($B$3,4,27)&gt;EOMONTH(DATE($B$3,4,1),0),NETWORKDAYS.INTL(DATE($B$3,4,27),DATE($B$3,4,27),1,'Non-working days'!$A$6:$A$45)=0),"",IF(COUNTIFS('Leave log'!$A$7:$A$306,Employees!$A$17,'Leave log'!$B$7:$B$306,"&lt;="&amp;DATE($B$3,4,27),'Leave log'!$C$7:$C$306,"&gt;="&amp;DATE($B$3,4,27),'Leave log'!$F$7:$F$306,"Approved")&gt;0,"A",""))="A","A",IF(OR(DATE($B$3,4,27)&gt;EOMONTH(DATE($B$3,4,1),0),NETWORKDAYS.INTL(DATE($B$3,4,27),DATE($B$3,4,27),1,'Non-working days'!$A$6:$A$45)=0),"",IF(COUNTIFS('Leave log'!$A$7:$A$306,Employees!$A$17,'Leave log'!$B$7:$B$306,"&lt;="&amp;DATE($B$3,4,27),'Leave log'!$C$7:$C$306,"&gt;="&amp;DATE($B$3,4,27),'Leave log'!$F$7:$F$306,"Pending")&gt;0,"P",""))))</f>
        <v/>
      </c>
      <c r="AC120" s="23" t="str">
        <f>IF(A120="","",IF(IF(OR(DATE($B$3,4,28)&gt;EOMONTH(DATE($B$3,4,1),0),NETWORKDAYS.INTL(DATE($B$3,4,28),DATE($B$3,4,28),1,'Non-working days'!$A$6:$A$45)=0),"",IF(COUNTIFS('Leave log'!$A$7:$A$306,Employees!$A$17,'Leave log'!$B$7:$B$306,"&lt;="&amp;DATE($B$3,4,28),'Leave log'!$C$7:$C$306,"&gt;="&amp;DATE($B$3,4,28),'Leave log'!$F$7:$F$306,"Approved")&gt;0,"A",""))="A","A",IF(OR(DATE($B$3,4,28)&gt;EOMONTH(DATE($B$3,4,1),0),NETWORKDAYS.INTL(DATE($B$3,4,28),DATE($B$3,4,28),1,'Non-working days'!$A$6:$A$45)=0),"",IF(COUNTIFS('Leave log'!$A$7:$A$306,Employees!$A$17,'Leave log'!$B$7:$B$306,"&lt;="&amp;DATE($B$3,4,28),'Leave log'!$C$7:$C$306,"&gt;="&amp;DATE($B$3,4,28),'Leave log'!$F$7:$F$306,"Pending")&gt;0,"P",""))))</f>
        <v/>
      </c>
      <c r="AD120" s="23" t="str">
        <f>IF(A120="","",IF(IF(OR(DATE($B$3,4,29)&gt;EOMONTH(DATE($B$3,4,1),0),NETWORKDAYS.INTL(DATE($B$3,4,29),DATE($B$3,4,29),1,'Non-working days'!$A$6:$A$45)=0),"",IF(COUNTIFS('Leave log'!$A$7:$A$306,Employees!$A$17,'Leave log'!$B$7:$B$306,"&lt;="&amp;DATE($B$3,4,29),'Leave log'!$C$7:$C$306,"&gt;="&amp;DATE($B$3,4,29),'Leave log'!$F$7:$F$306,"Approved")&gt;0,"A",""))="A","A",IF(OR(DATE($B$3,4,29)&gt;EOMONTH(DATE($B$3,4,1),0),NETWORKDAYS.INTL(DATE($B$3,4,29),DATE($B$3,4,29),1,'Non-working days'!$A$6:$A$45)=0),"",IF(COUNTIFS('Leave log'!$A$7:$A$306,Employees!$A$17,'Leave log'!$B$7:$B$306,"&lt;="&amp;DATE($B$3,4,29),'Leave log'!$C$7:$C$306,"&gt;="&amp;DATE($B$3,4,29),'Leave log'!$F$7:$F$306,"Pending")&gt;0,"P",""))))</f>
        <v/>
      </c>
      <c r="AE120" s="23" t="str">
        <f>IF(A120="","",IF(IF(OR(DATE($B$3,4,30)&gt;EOMONTH(DATE($B$3,4,1),0),NETWORKDAYS.INTL(DATE($B$3,4,30),DATE($B$3,4,30),1,'Non-working days'!$A$6:$A$45)=0),"",IF(COUNTIFS('Leave log'!$A$7:$A$306,Employees!$A$17,'Leave log'!$B$7:$B$306,"&lt;="&amp;DATE($B$3,4,30),'Leave log'!$C$7:$C$306,"&gt;="&amp;DATE($B$3,4,30),'Leave log'!$F$7:$F$306,"Approved")&gt;0,"A",""))="A","A",IF(OR(DATE($B$3,4,30)&gt;EOMONTH(DATE($B$3,4,1),0),NETWORKDAYS.INTL(DATE($B$3,4,30),DATE($B$3,4,30),1,'Non-working days'!$A$6:$A$45)=0),"",IF(COUNTIFS('Leave log'!$A$7:$A$306,Employees!$A$17,'Leave log'!$B$7:$B$306,"&lt;="&amp;DATE($B$3,4,30),'Leave log'!$C$7:$C$306,"&gt;="&amp;DATE($B$3,4,30),'Leave log'!$F$7:$F$306,"Pending")&gt;0,"P",""))))</f>
        <v/>
      </c>
      <c r="AF120" s="23" t="str">
        <f>IF(A120="","",IF(IF(OR(DATE($B$3,4,31)&gt;EOMONTH(DATE($B$3,4,1),0),NETWORKDAYS.INTL(DATE($B$3,4,31),DATE($B$3,4,31),1,'Non-working days'!$A$6:$A$45)=0),"",IF(COUNTIFS('Leave log'!$A$7:$A$306,Employees!$A$17,'Leave log'!$B$7:$B$306,"&lt;="&amp;DATE($B$3,4,31),'Leave log'!$C$7:$C$306,"&gt;="&amp;DATE($B$3,4,31),'Leave log'!$F$7:$F$306,"Approved")&gt;0,"A",""))="A","A",IF(OR(DATE($B$3,4,31)&gt;EOMONTH(DATE($B$3,4,1),0),NETWORKDAYS.INTL(DATE($B$3,4,31),DATE($B$3,4,31),1,'Non-working days'!$A$6:$A$45)=0),"",IF(COUNTIFS('Leave log'!$A$7:$A$306,Employees!$A$17,'Leave log'!$B$7:$B$306,"&lt;="&amp;DATE($B$3,4,31),'Leave log'!$C$7:$C$306,"&gt;="&amp;DATE($B$3,4,31),'Leave log'!$F$7:$F$306,"Pending")&gt;0,"P",""))))</f>
        <v/>
      </c>
    </row>
    <row r="121" spans="1:32" ht="18" customHeight="1" x14ac:dyDescent="0.3">
      <c r="A121" s="22" t="str">
        <f>IF(Employees!F18="Yes",Employees!B18,"")</f>
        <v/>
      </c>
      <c r="B121" s="23" t="str">
        <f>IF(A121="","",IF(IF(OR(DATE($B$3,4,1)&gt;EOMONTH(DATE($B$3,4,1),0),NETWORKDAYS.INTL(DATE($B$3,4,1),DATE($B$3,4,1),1,'Non-working days'!$A$6:$A$45)=0),"",IF(COUNTIFS('Leave log'!$A$7:$A$306,Employees!$A$18,'Leave log'!$B$7:$B$306,"&lt;="&amp;DATE($B$3,4,1),'Leave log'!$C$7:$C$306,"&gt;="&amp;DATE($B$3,4,1),'Leave log'!$F$7:$F$306,"Approved")&gt;0,"A",""))="A","A",IF(OR(DATE($B$3,4,1)&gt;EOMONTH(DATE($B$3,4,1),0),NETWORKDAYS.INTL(DATE($B$3,4,1),DATE($B$3,4,1),1,'Non-working days'!$A$6:$A$45)=0),"",IF(COUNTIFS('Leave log'!$A$7:$A$306,Employees!$A$18,'Leave log'!$B$7:$B$306,"&lt;="&amp;DATE($B$3,4,1),'Leave log'!$C$7:$C$306,"&gt;="&amp;DATE($B$3,4,1),'Leave log'!$F$7:$F$306,"Pending")&gt;0,"P",""))))</f>
        <v/>
      </c>
      <c r="C121" s="23" t="str">
        <f>IF(A121="","",IF(IF(OR(DATE($B$3,4,2)&gt;EOMONTH(DATE($B$3,4,1),0),NETWORKDAYS.INTL(DATE($B$3,4,2),DATE($B$3,4,2),1,'Non-working days'!$A$6:$A$45)=0),"",IF(COUNTIFS('Leave log'!$A$7:$A$306,Employees!$A$18,'Leave log'!$B$7:$B$306,"&lt;="&amp;DATE($B$3,4,2),'Leave log'!$C$7:$C$306,"&gt;="&amp;DATE($B$3,4,2),'Leave log'!$F$7:$F$306,"Approved")&gt;0,"A",""))="A","A",IF(OR(DATE($B$3,4,2)&gt;EOMONTH(DATE($B$3,4,1),0),NETWORKDAYS.INTL(DATE($B$3,4,2),DATE($B$3,4,2),1,'Non-working days'!$A$6:$A$45)=0),"",IF(COUNTIFS('Leave log'!$A$7:$A$306,Employees!$A$18,'Leave log'!$B$7:$B$306,"&lt;="&amp;DATE($B$3,4,2),'Leave log'!$C$7:$C$306,"&gt;="&amp;DATE($B$3,4,2),'Leave log'!$F$7:$F$306,"Pending")&gt;0,"P",""))))</f>
        <v/>
      </c>
      <c r="D121" s="23" t="str">
        <f>IF(A121="","",IF(IF(OR(DATE($B$3,4,3)&gt;EOMONTH(DATE($B$3,4,1),0),NETWORKDAYS.INTL(DATE($B$3,4,3),DATE($B$3,4,3),1,'Non-working days'!$A$6:$A$45)=0),"",IF(COUNTIFS('Leave log'!$A$7:$A$306,Employees!$A$18,'Leave log'!$B$7:$B$306,"&lt;="&amp;DATE($B$3,4,3),'Leave log'!$C$7:$C$306,"&gt;="&amp;DATE($B$3,4,3),'Leave log'!$F$7:$F$306,"Approved")&gt;0,"A",""))="A","A",IF(OR(DATE($B$3,4,3)&gt;EOMONTH(DATE($B$3,4,1),0),NETWORKDAYS.INTL(DATE($B$3,4,3),DATE($B$3,4,3),1,'Non-working days'!$A$6:$A$45)=0),"",IF(COUNTIFS('Leave log'!$A$7:$A$306,Employees!$A$18,'Leave log'!$B$7:$B$306,"&lt;="&amp;DATE($B$3,4,3),'Leave log'!$C$7:$C$306,"&gt;="&amp;DATE($B$3,4,3),'Leave log'!$F$7:$F$306,"Pending")&gt;0,"P",""))))</f>
        <v/>
      </c>
      <c r="E121" s="23" t="str">
        <f>IF(A121="","",IF(IF(OR(DATE($B$3,4,4)&gt;EOMONTH(DATE($B$3,4,1),0),NETWORKDAYS.INTL(DATE($B$3,4,4),DATE($B$3,4,4),1,'Non-working days'!$A$6:$A$45)=0),"",IF(COUNTIFS('Leave log'!$A$7:$A$306,Employees!$A$18,'Leave log'!$B$7:$B$306,"&lt;="&amp;DATE($B$3,4,4),'Leave log'!$C$7:$C$306,"&gt;="&amp;DATE($B$3,4,4),'Leave log'!$F$7:$F$306,"Approved")&gt;0,"A",""))="A","A",IF(OR(DATE($B$3,4,4)&gt;EOMONTH(DATE($B$3,4,1),0),NETWORKDAYS.INTL(DATE($B$3,4,4),DATE($B$3,4,4),1,'Non-working days'!$A$6:$A$45)=0),"",IF(COUNTIFS('Leave log'!$A$7:$A$306,Employees!$A$18,'Leave log'!$B$7:$B$306,"&lt;="&amp;DATE($B$3,4,4),'Leave log'!$C$7:$C$306,"&gt;="&amp;DATE($B$3,4,4),'Leave log'!$F$7:$F$306,"Pending")&gt;0,"P",""))))</f>
        <v/>
      </c>
      <c r="F121" s="23" t="str">
        <f>IF(A121="","",IF(IF(OR(DATE($B$3,4,5)&gt;EOMONTH(DATE($B$3,4,1),0),NETWORKDAYS.INTL(DATE($B$3,4,5),DATE($B$3,4,5),1,'Non-working days'!$A$6:$A$45)=0),"",IF(COUNTIFS('Leave log'!$A$7:$A$306,Employees!$A$18,'Leave log'!$B$7:$B$306,"&lt;="&amp;DATE($B$3,4,5),'Leave log'!$C$7:$C$306,"&gt;="&amp;DATE($B$3,4,5),'Leave log'!$F$7:$F$306,"Approved")&gt;0,"A",""))="A","A",IF(OR(DATE($B$3,4,5)&gt;EOMONTH(DATE($B$3,4,1),0),NETWORKDAYS.INTL(DATE($B$3,4,5),DATE($B$3,4,5),1,'Non-working days'!$A$6:$A$45)=0),"",IF(COUNTIFS('Leave log'!$A$7:$A$306,Employees!$A$18,'Leave log'!$B$7:$B$306,"&lt;="&amp;DATE($B$3,4,5),'Leave log'!$C$7:$C$306,"&gt;="&amp;DATE($B$3,4,5),'Leave log'!$F$7:$F$306,"Pending")&gt;0,"P",""))))</f>
        <v/>
      </c>
      <c r="G121" s="23" t="str">
        <f>IF(A121="","",IF(IF(OR(DATE($B$3,4,6)&gt;EOMONTH(DATE($B$3,4,1),0),NETWORKDAYS.INTL(DATE($B$3,4,6),DATE($B$3,4,6),1,'Non-working days'!$A$6:$A$45)=0),"",IF(COUNTIFS('Leave log'!$A$7:$A$306,Employees!$A$18,'Leave log'!$B$7:$B$306,"&lt;="&amp;DATE($B$3,4,6),'Leave log'!$C$7:$C$306,"&gt;="&amp;DATE($B$3,4,6),'Leave log'!$F$7:$F$306,"Approved")&gt;0,"A",""))="A","A",IF(OR(DATE($B$3,4,6)&gt;EOMONTH(DATE($B$3,4,1),0),NETWORKDAYS.INTL(DATE($B$3,4,6),DATE($B$3,4,6),1,'Non-working days'!$A$6:$A$45)=0),"",IF(COUNTIFS('Leave log'!$A$7:$A$306,Employees!$A$18,'Leave log'!$B$7:$B$306,"&lt;="&amp;DATE($B$3,4,6),'Leave log'!$C$7:$C$306,"&gt;="&amp;DATE($B$3,4,6),'Leave log'!$F$7:$F$306,"Pending")&gt;0,"P",""))))</f>
        <v/>
      </c>
      <c r="H121" s="23" t="str">
        <f>IF(A121="","",IF(IF(OR(DATE($B$3,4,7)&gt;EOMONTH(DATE($B$3,4,1),0),NETWORKDAYS.INTL(DATE($B$3,4,7),DATE($B$3,4,7),1,'Non-working days'!$A$6:$A$45)=0),"",IF(COUNTIFS('Leave log'!$A$7:$A$306,Employees!$A$18,'Leave log'!$B$7:$B$306,"&lt;="&amp;DATE($B$3,4,7),'Leave log'!$C$7:$C$306,"&gt;="&amp;DATE($B$3,4,7),'Leave log'!$F$7:$F$306,"Approved")&gt;0,"A",""))="A","A",IF(OR(DATE($B$3,4,7)&gt;EOMONTH(DATE($B$3,4,1),0),NETWORKDAYS.INTL(DATE($B$3,4,7),DATE($B$3,4,7),1,'Non-working days'!$A$6:$A$45)=0),"",IF(COUNTIFS('Leave log'!$A$7:$A$306,Employees!$A$18,'Leave log'!$B$7:$B$306,"&lt;="&amp;DATE($B$3,4,7),'Leave log'!$C$7:$C$306,"&gt;="&amp;DATE($B$3,4,7),'Leave log'!$F$7:$F$306,"Pending")&gt;0,"P",""))))</f>
        <v/>
      </c>
      <c r="I121" s="23" t="str">
        <f>IF(A121="","",IF(IF(OR(DATE($B$3,4,8)&gt;EOMONTH(DATE($B$3,4,1),0),NETWORKDAYS.INTL(DATE($B$3,4,8),DATE($B$3,4,8),1,'Non-working days'!$A$6:$A$45)=0),"",IF(COUNTIFS('Leave log'!$A$7:$A$306,Employees!$A$18,'Leave log'!$B$7:$B$306,"&lt;="&amp;DATE($B$3,4,8),'Leave log'!$C$7:$C$306,"&gt;="&amp;DATE($B$3,4,8),'Leave log'!$F$7:$F$306,"Approved")&gt;0,"A",""))="A","A",IF(OR(DATE($B$3,4,8)&gt;EOMONTH(DATE($B$3,4,1),0),NETWORKDAYS.INTL(DATE($B$3,4,8),DATE($B$3,4,8),1,'Non-working days'!$A$6:$A$45)=0),"",IF(COUNTIFS('Leave log'!$A$7:$A$306,Employees!$A$18,'Leave log'!$B$7:$B$306,"&lt;="&amp;DATE($B$3,4,8),'Leave log'!$C$7:$C$306,"&gt;="&amp;DATE($B$3,4,8),'Leave log'!$F$7:$F$306,"Pending")&gt;0,"P",""))))</f>
        <v/>
      </c>
      <c r="J121" s="23" t="str">
        <f>IF(A121="","",IF(IF(OR(DATE($B$3,4,9)&gt;EOMONTH(DATE($B$3,4,1),0),NETWORKDAYS.INTL(DATE($B$3,4,9),DATE($B$3,4,9),1,'Non-working days'!$A$6:$A$45)=0),"",IF(COUNTIFS('Leave log'!$A$7:$A$306,Employees!$A$18,'Leave log'!$B$7:$B$306,"&lt;="&amp;DATE($B$3,4,9),'Leave log'!$C$7:$C$306,"&gt;="&amp;DATE($B$3,4,9),'Leave log'!$F$7:$F$306,"Approved")&gt;0,"A",""))="A","A",IF(OR(DATE($B$3,4,9)&gt;EOMONTH(DATE($B$3,4,1),0),NETWORKDAYS.INTL(DATE($B$3,4,9),DATE($B$3,4,9),1,'Non-working days'!$A$6:$A$45)=0),"",IF(COUNTIFS('Leave log'!$A$7:$A$306,Employees!$A$18,'Leave log'!$B$7:$B$306,"&lt;="&amp;DATE($B$3,4,9),'Leave log'!$C$7:$C$306,"&gt;="&amp;DATE($B$3,4,9),'Leave log'!$F$7:$F$306,"Pending")&gt;0,"P",""))))</f>
        <v/>
      </c>
      <c r="K121" s="23" t="str">
        <f>IF(A121="","",IF(IF(OR(DATE($B$3,4,10)&gt;EOMONTH(DATE($B$3,4,1),0),NETWORKDAYS.INTL(DATE($B$3,4,10),DATE($B$3,4,10),1,'Non-working days'!$A$6:$A$45)=0),"",IF(COUNTIFS('Leave log'!$A$7:$A$306,Employees!$A$18,'Leave log'!$B$7:$B$306,"&lt;="&amp;DATE($B$3,4,10),'Leave log'!$C$7:$C$306,"&gt;="&amp;DATE($B$3,4,10),'Leave log'!$F$7:$F$306,"Approved")&gt;0,"A",""))="A","A",IF(OR(DATE($B$3,4,10)&gt;EOMONTH(DATE($B$3,4,1),0),NETWORKDAYS.INTL(DATE($B$3,4,10),DATE($B$3,4,10),1,'Non-working days'!$A$6:$A$45)=0),"",IF(COUNTIFS('Leave log'!$A$7:$A$306,Employees!$A$18,'Leave log'!$B$7:$B$306,"&lt;="&amp;DATE($B$3,4,10),'Leave log'!$C$7:$C$306,"&gt;="&amp;DATE($B$3,4,10),'Leave log'!$F$7:$F$306,"Pending")&gt;0,"P",""))))</f>
        <v/>
      </c>
      <c r="L121" s="23" t="str">
        <f>IF(A121="","",IF(IF(OR(DATE($B$3,4,11)&gt;EOMONTH(DATE($B$3,4,1),0),NETWORKDAYS.INTL(DATE($B$3,4,11),DATE($B$3,4,11),1,'Non-working days'!$A$6:$A$45)=0),"",IF(COUNTIFS('Leave log'!$A$7:$A$306,Employees!$A$18,'Leave log'!$B$7:$B$306,"&lt;="&amp;DATE($B$3,4,11),'Leave log'!$C$7:$C$306,"&gt;="&amp;DATE($B$3,4,11),'Leave log'!$F$7:$F$306,"Approved")&gt;0,"A",""))="A","A",IF(OR(DATE($B$3,4,11)&gt;EOMONTH(DATE($B$3,4,1),0),NETWORKDAYS.INTL(DATE($B$3,4,11),DATE($B$3,4,11),1,'Non-working days'!$A$6:$A$45)=0),"",IF(COUNTIFS('Leave log'!$A$7:$A$306,Employees!$A$18,'Leave log'!$B$7:$B$306,"&lt;="&amp;DATE($B$3,4,11),'Leave log'!$C$7:$C$306,"&gt;="&amp;DATE($B$3,4,11),'Leave log'!$F$7:$F$306,"Pending")&gt;0,"P",""))))</f>
        <v/>
      </c>
      <c r="M121" s="23" t="str">
        <f>IF(A121="","",IF(IF(OR(DATE($B$3,4,12)&gt;EOMONTH(DATE($B$3,4,1),0),NETWORKDAYS.INTL(DATE($B$3,4,12),DATE($B$3,4,12),1,'Non-working days'!$A$6:$A$45)=0),"",IF(COUNTIFS('Leave log'!$A$7:$A$306,Employees!$A$18,'Leave log'!$B$7:$B$306,"&lt;="&amp;DATE($B$3,4,12),'Leave log'!$C$7:$C$306,"&gt;="&amp;DATE($B$3,4,12),'Leave log'!$F$7:$F$306,"Approved")&gt;0,"A",""))="A","A",IF(OR(DATE($B$3,4,12)&gt;EOMONTH(DATE($B$3,4,1),0),NETWORKDAYS.INTL(DATE($B$3,4,12),DATE($B$3,4,12),1,'Non-working days'!$A$6:$A$45)=0),"",IF(COUNTIFS('Leave log'!$A$7:$A$306,Employees!$A$18,'Leave log'!$B$7:$B$306,"&lt;="&amp;DATE($B$3,4,12),'Leave log'!$C$7:$C$306,"&gt;="&amp;DATE($B$3,4,12),'Leave log'!$F$7:$F$306,"Pending")&gt;0,"P",""))))</f>
        <v/>
      </c>
      <c r="N121" s="23" t="str">
        <f>IF(A121="","",IF(IF(OR(DATE($B$3,4,13)&gt;EOMONTH(DATE($B$3,4,1),0),NETWORKDAYS.INTL(DATE($B$3,4,13),DATE($B$3,4,13),1,'Non-working days'!$A$6:$A$45)=0),"",IF(COUNTIFS('Leave log'!$A$7:$A$306,Employees!$A$18,'Leave log'!$B$7:$B$306,"&lt;="&amp;DATE($B$3,4,13),'Leave log'!$C$7:$C$306,"&gt;="&amp;DATE($B$3,4,13),'Leave log'!$F$7:$F$306,"Approved")&gt;0,"A",""))="A","A",IF(OR(DATE($B$3,4,13)&gt;EOMONTH(DATE($B$3,4,1),0),NETWORKDAYS.INTL(DATE($B$3,4,13),DATE($B$3,4,13),1,'Non-working days'!$A$6:$A$45)=0),"",IF(COUNTIFS('Leave log'!$A$7:$A$306,Employees!$A$18,'Leave log'!$B$7:$B$306,"&lt;="&amp;DATE($B$3,4,13),'Leave log'!$C$7:$C$306,"&gt;="&amp;DATE($B$3,4,13),'Leave log'!$F$7:$F$306,"Pending")&gt;0,"P",""))))</f>
        <v/>
      </c>
      <c r="O121" s="23" t="str">
        <f>IF(A121="","",IF(IF(OR(DATE($B$3,4,14)&gt;EOMONTH(DATE($B$3,4,1),0),NETWORKDAYS.INTL(DATE($B$3,4,14),DATE($B$3,4,14),1,'Non-working days'!$A$6:$A$45)=0),"",IF(COUNTIFS('Leave log'!$A$7:$A$306,Employees!$A$18,'Leave log'!$B$7:$B$306,"&lt;="&amp;DATE($B$3,4,14),'Leave log'!$C$7:$C$306,"&gt;="&amp;DATE($B$3,4,14),'Leave log'!$F$7:$F$306,"Approved")&gt;0,"A",""))="A","A",IF(OR(DATE($B$3,4,14)&gt;EOMONTH(DATE($B$3,4,1),0),NETWORKDAYS.INTL(DATE($B$3,4,14),DATE($B$3,4,14),1,'Non-working days'!$A$6:$A$45)=0),"",IF(COUNTIFS('Leave log'!$A$7:$A$306,Employees!$A$18,'Leave log'!$B$7:$B$306,"&lt;="&amp;DATE($B$3,4,14),'Leave log'!$C$7:$C$306,"&gt;="&amp;DATE($B$3,4,14),'Leave log'!$F$7:$F$306,"Pending")&gt;0,"P",""))))</f>
        <v/>
      </c>
      <c r="P121" s="23" t="str">
        <f>IF(A121="","",IF(IF(OR(DATE($B$3,4,15)&gt;EOMONTH(DATE($B$3,4,1),0),NETWORKDAYS.INTL(DATE($B$3,4,15),DATE($B$3,4,15),1,'Non-working days'!$A$6:$A$45)=0),"",IF(COUNTIFS('Leave log'!$A$7:$A$306,Employees!$A$18,'Leave log'!$B$7:$B$306,"&lt;="&amp;DATE($B$3,4,15),'Leave log'!$C$7:$C$306,"&gt;="&amp;DATE($B$3,4,15),'Leave log'!$F$7:$F$306,"Approved")&gt;0,"A",""))="A","A",IF(OR(DATE($B$3,4,15)&gt;EOMONTH(DATE($B$3,4,1),0),NETWORKDAYS.INTL(DATE($B$3,4,15),DATE($B$3,4,15),1,'Non-working days'!$A$6:$A$45)=0),"",IF(COUNTIFS('Leave log'!$A$7:$A$306,Employees!$A$18,'Leave log'!$B$7:$B$306,"&lt;="&amp;DATE($B$3,4,15),'Leave log'!$C$7:$C$306,"&gt;="&amp;DATE($B$3,4,15),'Leave log'!$F$7:$F$306,"Pending")&gt;0,"P",""))))</f>
        <v/>
      </c>
      <c r="Q121" s="23" t="str">
        <f>IF(A121="","",IF(IF(OR(DATE($B$3,4,16)&gt;EOMONTH(DATE($B$3,4,1),0),NETWORKDAYS.INTL(DATE($B$3,4,16),DATE($B$3,4,16),1,'Non-working days'!$A$6:$A$45)=0),"",IF(COUNTIFS('Leave log'!$A$7:$A$306,Employees!$A$18,'Leave log'!$B$7:$B$306,"&lt;="&amp;DATE($B$3,4,16),'Leave log'!$C$7:$C$306,"&gt;="&amp;DATE($B$3,4,16),'Leave log'!$F$7:$F$306,"Approved")&gt;0,"A",""))="A","A",IF(OR(DATE($B$3,4,16)&gt;EOMONTH(DATE($B$3,4,1),0),NETWORKDAYS.INTL(DATE($B$3,4,16),DATE($B$3,4,16),1,'Non-working days'!$A$6:$A$45)=0),"",IF(COUNTIFS('Leave log'!$A$7:$A$306,Employees!$A$18,'Leave log'!$B$7:$B$306,"&lt;="&amp;DATE($B$3,4,16),'Leave log'!$C$7:$C$306,"&gt;="&amp;DATE($B$3,4,16),'Leave log'!$F$7:$F$306,"Pending")&gt;0,"P",""))))</f>
        <v/>
      </c>
      <c r="R121" s="23" t="str">
        <f>IF(A121="","",IF(IF(OR(DATE($B$3,4,17)&gt;EOMONTH(DATE($B$3,4,1),0),NETWORKDAYS.INTL(DATE($B$3,4,17),DATE($B$3,4,17),1,'Non-working days'!$A$6:$A$45)=0),"",IF(COUNTIFS('Leave log'!$A$7:$A$306,Employees!$A$18,'Leave log'!$B$7:$B$306,"&lt;="&amp;DATE($B$3,4,17),'Leave log'!$C$7:$C$306,"&gt;="&amp;DATE($B$3,4,17),'Leave log'!$F$7:$F$306,"Approved")&gt;0,"A",""))="A","A",IF(OR(DATE($B$3,4,17)&gt;EOMONTH(DATE($B$3,4,1),0),NETWORKDAYS.INTL(DATE($B$3,4,17),DATE($B$3,4,17),1,'Non-working days'!$A$6:$A$45)=0),"",IF(COUNTIFS('Leave log'!$A$7:$A$306,Employees!$A$18,'Leave log'!$B$7:$B$306,"&lt;="&amp;DATE($B$3,4,17),'Leave log'!$C$7:$C$306,"&gt;="&amp;DATE($B$3,4,17),'Leave log'!$F$7:$F$306,"Pending")&gt;0,"P",""))))</f>
        <v/>
      </c>
      <c r="S121" s="23" t="str">
        <f>IF(A121="","",IF(IF(OR(DATE($B$3,4,18)&gt;EOMONTH(DATE($B$3,4,1),0),NETWORKDAYS.INTL(DATE($B$3,4,18),DATE($B$3,4,18),1,'Non-working days'!$A$6:$A$45)=0),"",IF(COUNTIFS('Leave log'!$A$7:$A$306,Employees!$A$18,'Leave log'!$B$7:$B$306,"&lt;="&amp;DATE($B$3,4,18),'Leave log'!$C$7:$C$306,"&gt;="&amp;DATE($B$3,4,18),'Leave log'!$F$7:$F$306,"Approved")&gt;0,"A",""))="A","A",IF(OR(DATE($B$3,4,18)&gt;EOMONTH(DATE($B$3,4,1),0),NETWORKDAYS.INTL(DATE($B$3,4,18),DATE($B$3,4,18),1,'Non-working days'!$A$6:$A$45)=0),"",IF(COUNTIFS('Leave log'!$A$7:$A$306,Employees!$A$18,'Leave log'!$B$7:$B$306,"&lt;="&amp;DATE($B$3,4,18),'Leave log'!$C$7:$C$306,"&gt;="&amp;DATE($B$3,4,18),'Leave log'!$F$7:$F$306,"Pending")&gt;0,"P",""))))</f>
        <v/>
      </c>
      <c r="T121" s="23" t="str">
        <f>IF(A121="","",IF(IF(OR(DATE($B$3,4,19)&gt;EOMONTH(DATE($B$3,4,1),0),NETWORKDAYS.INTL(DATE($B$3,4,19),DATE($B$3,4,19),1,'Non-working days'!$A$6:$A$45)=0),"",IF(COUNTIFS('Leave log'!$A$7:$A$306,Employees!$A$18,'Leave log'!$B$7:$B$306,"&lt;="&amp;DATE($B$3,4,19),'Leave log'!$C$7:$C$306,"&gt;="&amp;DATE($B$3,4,19),'Leave log'!$F$7:$F$306,"Approved")&gt;0,"A",""))="A","A",IF(OR(DATE($B$3,4,19)&gt;EOMONTH(DATE($B$3,4,1),0),NETWORKDAYS.INTL(DATE($B$3,4,19),DATE($B$3,4,19),1,'Non-working days'!$A$6:$A$45)=0),"",IF(COUNTIFS('Leave log'!$A$7:$A$306,Employees!$A$18,'Leave log'!$B$7:$B$306,"&lt;="&amp;DATE($B$3,4,19),'Leave log'!$C$7:$C$306,"&gt;="&amp;DATE($B$3,4,19),'Leave log'!$F$7:$F$306,"Pending")&gt;0,"P",""))))</f>
        <v/>
      </c>
      <c r="U121" s="23" t="str">
        <f>IF(A121="","",IF(IF(OR(DATE($B$3,4,20)&gt;EOMONTH(DATE($B$3,4,1),0),NETWORKDAYS.INTL(DATE($B$3,4,20),DATE($B$3,4,20),1,'Non-working days'!$A$6:$A$45)=0),"",IF(COUNTIFS('Leave log'!$A$7:$A$306,Employees!$A$18,'Leave log'!$B$7:$B$306,"&lt;="&amp;DATE($B$3,4,20),'Leave log'!$C$7:$C$306,"&gt;="&amp;DATE($B$3,4,20),'Leave log'!$F$7:$F$306,"Approved")&gt;0,"A",""))="A","A",IF(OR(DATE($B$3,4,20)&gt;EOMONTH(DATE($B$3,4,1),0),NETWORKDAYS.INTL(DATE($B$3,4,20),DATE($B$3,4,20),1,'Non-working days'!$A$6:$A$45)=0),"",IF(COUNTIFS('Leave log'!$A$7:$A$306,Employees!$A$18,'Leave log'!$B$7:$B$306,"&lt;="&amp;DATE($B$3,4,20),'Leave log'!$C$7:$C$306,"&gt;="&amp;DATE($B$3,4,20),'Leave log'!$F$7:$F$306,"Pending")&gt;0,"P",""))))</f>
        <v/>
      </c>
      <c r="V121" s="23" t="str">
        <f>IF(A121="","",IF(IF(OR(DATE($B$3,4,21)&gt;EOMONTH(DATE($B$3,4,1),0),NETWORKDAYS.INTL(DATE($B$3,4,21),DATE($B$3,4,21),1,'Non-working days'!$A$6:$A$45)=0),"",IF(COUNTIFS('Leave log'!$A$7:$A$306,Employees!$A$18,'Leave log'!$B$7:$B$306,"&lt;="&amp;DATE($B$3,4,21),'Leave log'!$C$7:$C$306,"&gt;="&amp;DATE($B$3,4,21),'Leave log'!$F$7:$F$306,"Approved")&gt;0,"A",""))="A","A",IF(OR(DATE($B$3,4,21)&gt;EOMONTH(DATE($B$3,4,1),0),NETWORKDAYS.INTL(DATE($B$3,4,21),DATE($B$3,4,21),1,'Non-working days'!$A$6:$A$45)=0),"",IF(COUNTIFS('Leave log'!$A$7:$A$306,Employees!$A$18,'Leave log'!$B$7:$B$306,"&lt;="&amp;DATE($B$3,4,21),'Leave log'!$C$7:$C$306,"&gt;="&amp;DATE($B$3,4,21),'Leave log'!$F$7:$F$306,"Pending")&gt;0,"P",""))))</f>
        <v/>
      </c>
      <c r="W121" s="23" t="str">
        <f>IF(A121="","",IF(IF(OR(DATE($B$3,4,22)&gt;EOMONTH(DATE($B$3,4,1),0),NETWORKDAYS.INTL(DATE($B$3,4,22),DATE($B$3,4,22),1,'Non-working days'!$A$6:$A$45)=0),"",IF(COUNTIFS('Leave log'!$A$7:$A$306,Employees!$A$18,'Leave log'!$B$7:$B$306,"&lt;="&amp;DATE($B$3,4,22),'Leave log'!$C$7:$C$306,"&gt;="&amp;DATE($B$3,4,22),'Leave log'!$F$7:$F$306,"Approved")&gt;0,"A",""))="A","A",IF(OR(DATE($B$3,4,22)&gt;EOMONTH(DATE($B$3,4,1),0),NETWORKDAYS.INTL(DATE($B$3,4,22),DATE($B$3,4,22),1,'Non-working days'!$A$6:$A$45)=0),"",IF(COUNTIFS('Leave log'!$A$7:$A$306,Employees!$A$18,'Leave log'!$B$7:$B$306,"&lt;="&amp;DATE($B$3,4,22),'Leave log'!$C$7:$C$306,"&gt;="&amp;DATE($B$3,4,22),'Leave log'!$F$7:$F$306,"Pending")&gt;0,"P",""))))</f>
        <v/>
      </c>
      <c r="X121" s="23" t="str">
        <f>IF(A121="","",IF(IF(OR(DATE($B$3,4,23)&gt;EOMONTH(DATE($B$3,4,1),0),NETWORKDAYS.INTL(DATE($B$3,4,23),DATE($B$3,4,23),1,'Non-working days'!$A$6:$A$45)=0),"",IF(COUNTIFS('Leave log'!$A$7:$A$306,Employees!$A$18,'Leave log'!$B$7:$B$306,"&lt;="&amp;DATE($B$3,4,23),'Leave log'!$C$7:$C$306,"&gt;="&amp;DATE($B$3,4,23),'Leave log'!$F$7:$F$306,"Approved")&gt;0,"A",""))="A","A",IF(OR(DATE($B$3,4,23)&gt;EOMONTH(DATE($B$3,4,1),0),NETWORKDAYS.INTL(DATE($B$3,4,23),DATE($B$3,4,23),1,'Non-working days'!$A$6:$A$45)=0),"",IF(COUNTIFS('Leave log'!$A$7:$A$306,Employees!$A$18,'Leave log'!$B$7:$B$306,"&lt;="&amp;DATE($B$3,4,23),'Leave log'!$C$7:$C$306,"&gt;="&amp;DATE($B$3,4,23),'Leave log'!$F$7:$F$306,"Pending")&gt;0,"P",""))))</f>
        <v/>
      </c>
      <c r="Y121" s="23" t="str">
        <f>IF(A121="","",IF(IF(OR(DATE($B$3,4,24)&gt;EOMONTH(DATE($B$3,4,1),0),NETWORKDAYS.INTL(DATE($B$3,4,24),DATE($B$3,4,24),1,'Non-working days'!$A$6:$A$45)=0),"",IF(COUNTIFS('Leave log'!$A$7:$A$306,Employees!$A$18,'Leave log'!$B$7:$B$306,"&lt;="&amp;DATE($B$3,4,24),'Leave log'!$C$7:$C$306,"&gt;="&amp;DATE($B$3,4,24),'Leave log'!$F$7:$F$306,"Approved")&gt;0,"A",""))="A","A",IF(OR(DATE($B$3,4,24)&gt;EOMONTH(DATE($B$3,4,1),0),NETWORKDAYS.INTL(DATE($B$3,4,24),DATE($B$3,4,24),1,'Non-working days'!$A$6:$A$45)=0),"",IF(COUNTIFS('Leave log'!$A$7:$A$306,Employees!$A$18,'Leave log'!$B$7:$B$306,"&lt;="&amp;DATE($B$3,4,24),'Leave log'!$C$7:$C$306,"&gt;="&amp;DATE($B$3,4,24),'Leave log'!$F$7:$F$306,"Pending")&gt;0,"P",""))))</f>
        <v/>
      </c>
      <c r="Z121" s="23" t="str">
        <f>IF(A121="","",IF(IF(OR(DATE($B$3,4,25)&gt;EOMONTH(DATE($B$3,4,1),0),NETWORKDAYS.INTL(DATE($B$3,4,25),DATE($B$3,4,25),1,'Non-working days'!$A$6:$A$45)=0),"",IF(COUNTIFS('Leave log'!$A$7:$A$306,Employees!$A$18,'Leave log'!$B$7:$B$306,"&lt;="&amp;DATE($B$3,4,25),'Leave log'!$C$7:$C$306,"&gt;="&amp;DATE($B$3,4,25),'Leave log'!$F$7:$F$306,"Approved")&gt;0,"A",""))="A","A",IF(OR(DATE($B$3,4,25)&gt;EOMONTH(DATE($B$3,4,1),0),NETWORKDAYS.INTL(DATE($B$3,4,25),DATE($B$3,4,25),1,'Non-working days'!$A$6:$A$45)=0),"",IF(COUNTIFS('Leave log'!$A$7:$A$306,Employees!$A$18,'Leave log'!$B$7:$B$306,"&lt;="&amp;DATE($B$3,4,25),'Leave log'!$C$7:$C$306,"&gt;="&amp;DATE($B$3,4,25),'Leave log'!$F$7:$F$306,"Pending")&gt;0,"P",""))))</f>
        <v/>
      </c>
      <c r="AA121" s="23" t="str">
        <f>IF(A121="","",IF(IF(OR(DATE($B$3,4,26)&gt;EOMONTH(DATE($B$3,4,1),0),NETWORKDAYS.INTL(DATE($B$3,4,26),DATE($B$3,4,26),1,'Non-working days'!$A$6:$A$45)=0),"",IF(COUNTIFS('Leave log'!$A$7:$A$306,Employees!$A$18,'Leave log'!$B$7:$B$306,"&lt;="&amp;DATE($B$3,4,26),'Leave log'!$C$7:$C$306,"&gt;="&amp;DATE($B$3,4,26),'Leave log'!$F$7:$F$306,"Approved")&gt;0,"A",""))="A","A",IF(OR(DATE($B$3,4,26)&gt;EOMONTH(DATE($B$3,4,1),0),NETWORKDAYS.INTL(DATE($B$3,4,26),DATE($B$3,4,26),1,'Non-working days'!$A$6:$A$45)=0),"",IF(COUNTIFS('Leave log'!$A$7:$A$306,Employees!$A$18,'Leave log'!$B$7:$B$306,"&lt;="&amp;DATE($B$3,4,26),'Leave log'!$C$7:$C$306,"&gt;="&amp;DATE($B$3,4,26),'Leave log'!$F$7:$F$306,"Pending")&gt;0,"P",""))))</f>
        <v/>
      </c>
      <c r="AB121" s="23" t="str">
        <f>IF(A121="","",IF(IF(OR(DATE($B$3,4,27)&gt;EOMONTH(DATE($B$3,4,1),0),NETWORKDAYS.INTL(DATE($B$3,4,27),DATE($B$3,4,27),1,'Non-working days'!$A$6:$A$45)=0),"",IF(COUNTIFS('Leave log'!$A$7:$A$306,Employees!$A$18,'Leave log'!$B$7:$B$306,"&lt;="&amp;DATE($B$3,4,27),'Leave log'!$C$7:$C$306,"&gt;="&amp;DATE($B$3,4,27),'Leave log'!$F$7:$F$306,"Approved")&gt;0,"A",""))="A","A",IF(OR(DATE($B$3,4,27)&gt;EOMONTH(DATE($B$3,4,1),0),NETWORKDAYS.INTL(DATE($B$3,4,27),DATE($B$3,4,27),1,'Non-working days'!$A$6:$A$45)=0),"",IF(COUNTIFS('Leave log'!$A$7:$A$306,Employees!$A$18,'Leave log'!$B$7:$B$306,"&lt;="&amp;DATE($B$3,4,27),'Leave log'!$C$7:$C$306,"&gt;="&amp;DATE($B$3,4,27),'Leave log'!$F$7:$F$306,"Pending")&gt;0,"P",""))))</f>
        <v/>
      </c>
      <c r="AC121" s="23" t="str">
        <f>IF(A121="","",IF(IF(OR(DATE($B$3,4,28)&gt;EOMONTH(DATE($B$3,4,1),0),NETWORKDAYS.INTL(DATE($B$3,4,28),DATE($B$3,4,28),1,'Non-working days'!$A$6:$A$45)=0),"",IF(COUNTIFS('Leave log'!$A$7:$A$306,Employees!$A$18,'Leave log'!$B$7:$B$306,"&lt;="&amp;DATE($B$3,4,28),'Leave log'!$C$7:$C$306,"&gt;="&amp;DATE($B$3,4,28),'Leave log'!$F$7:$F$306,"Approved")&gt;0,"A",""))="A","A",IF(OR(DATE($B$3,4,28)&gt;EOMONTH(DATE($B$3,4,1),0),NETWORKDAYS.INTL(DATE($B$3,4,28),DATE($B$3,4,28),1,'Non-working days'!$A$6:$A$45)=0),"",IF(COUNTIFS('Leave log'!$A$7:$A$306,Employees!$A$18,'Leave log'!$B$7:$B$306,"&lt;="&amp;DATE($B$3,4,28),'Leave log'!$C$7:$C$306,"&gt;="&amp;DATE($B$3,4,28),'Leave log'!$F$7:$F$306,"Pending")&gt;0,"P",""))))</f>
        <v/>
      </c>
      <c r="AD121" s="23" t="str">
        <f>IF(A121="","",IF(IF(OR(DATE($B$3,4,29)&gt;EOMONTH(DATE($B$3,4,1),0),NETWORKDAYS.INTL(DATE($B$3,4,29),DATE($B$3,4,29),1,'Non-working days'!$A$6:$A$45)=0),"",IF(COUNTIFS('Leave log'!$A$7:$A$306,Employees!$A$18,'Leave log'!$B$7:$B$306,"&lt;="&amp;DATE($B$3,4,29),'Leave log'!$C$7:$C$306,"&gt;="&amp;DATE($B$3,4,29),'Leave log'!$F$7:$F$306,"Approved")&gt;0,"A",""))="A","A",IF(OR(DATE($B$3,4,29)&gt;EOMONTH(DATE($B$3,4,1),0),NETWORKDAYS.INTL(DATE($B$3,4,29),DATE($B$3,4,29),1,'Non-working days'!$A$6:$A$45)=0),"",IF(COUNTIFS('Leave log'!$A$7:$A$306,Employees!$A$18,'Leave log'!$B$7:$B$306,"&lt;="&amp;DATE($B$3,4,29),'Leave log'!$C$7:$C$306,"&gt;="&amp;DATE($B$3,4,29),'Leave log'!$F$7:$F$306,"Pending")&gt;0,"P",""))))</f>
        <v/>
      </c>
      <c r="AE121" s="23" t="str">
        <f>IF(A121="","",IF(IF(OR(DATE($B$3,4,30)&gt;EOMONTH(DATE($B$3,4,1),0),NETWORKDAYS.INTL(DATE($B$3,4,30),DATE($B$3,4,30),1,'Non-working days'!$A$6:$A$45)=0),"",IF(COUNTIFS('Leave log'!$A$7:$A$306,Employees!$A$18,'Leave log'!$B$7:$B$306,"&lt;="&amp;DATE($B$3,4,30),'Leave log'!$C$7:$C$306,"&gt;="&amp;DATE($B$3,4,30),'Leave log'!$F$7:$F$306,"Approved")&gt;0,"A",""))="A","A",IF(OR(DATE($B$3,4,30)&gt;EOMONTH(DATE($B$3,4,1),0),NETWORKDAYS.INTL(DATE($B$3,4,30),DATE($B$3,4,30),1,'Non-working days'!$A$6:$A$45)=0),"",IF(COUNTIFS('Leave log'!$A$7:$A$306,Employees!$A$18,'Leave log'!$B$7:$B$306,"&lt;="&amp;DATE($B$3,4,30),'Leave log'!$C$7:$C$306,"&gt;="&amp;DATE($B$3,4,30),'Leave log'!$F$7:$F$306,"Pending")&gt;0,"P",""))))</f>
        <v/>
      </c>
      <c r="AF121" s="23" t="str">
        <f>IF(A121="","",IF(IF(OR(DATE($B$3,4,31)&gt;EOMONTH(DATE($B$3,4,1),0),NETWORKDAYS.INTL(DATE($B$3,4,31),DATE($B$3,4,31),1,'Non-working days'!$A$6:$A$45)=0),"",IF(COUNTIFS('Leave log'!$A$7:$A$306,Employees!$A$18,'Leave log'!$B$7:$B$306,"&lt;="&amp;DATE($B$3,4,31),'Leave log'!$C$7:$C$306,"&gt;="&amp;DATE($B$3,4,31),'Leave log'!$F$7:$F$306,"Approved")&gt;0,"A",""))="A","A",IF(OR(DATE($B$3,4,31)&gt;EOMONTH(DATE($B$3,4,1),0),NETWORKDAYS.INTL(DATE($B$3,4,31),DATE($B$3,4,31),1,'Non-working days'!$A$6:$A$45)=0),"",IF(COUNTIFS('Leave log'!$A$7:$A$306,Employees!$A$18,'Leave log'!$B$7:$B$306,"&lt;="&amp;DATE($B$3,4,31),'Leave log'!$C$7:$C$306,"&gt;="&amp;DATE($B$3,4,31),'Leave log'!$F$7:$F$306,"Pending")&gt;0,"P",""))))</f>
        <v/>
      </c>
    </row>
    <row r="122" spans="1:32" ht="18" customHeight="1" x14ac:dyDescent="0.3">
      <c r="A122" s="22" t="str">
        <f>IF(Employees!F19="Yes",Employees!B19,"")</f>
        <v/>
      </c>
      <c r="B122" s="23" t="str">
        <f>IF(A122="","",IF(IF(OR(DATE($B$3,4,1)&gt;EOMONTH(DATE($B$3,4,1),0),NETWORKDAYS.INTL(DATE($B$3,4,1),DATE($B$3,4,1),1,'Non-working days'!$A$6:$A$45)=0),"",IF(COUNTIFS('Leave log'!$A$7:$A$306,Employees!$A$19,'Leave log'!$B$7:$B$306,"&lt;="&amp;DATE($B$3,4,1),'Leave log'!$C$7:$C$306,"&gt;="&amp;DATE($B$3,4,1),'Leave log'!$F$7:$F$306,"Approved")&gt;0,"A",""))="A","A",IF(OR(DATE($B$3,4,1)&gt;EOMONTH(DATE($B$3,4,1),0),NETWORKDAYS.INTL(DATE($B$3,4,1),DATE($B$3,4,1),1,'Non-working days'!$A$6:$A$45)=0),"",IF(COUNTIFS('Leave log'!$A$7:$A$306,Employees!$A$19,'Leave log'!$B$7:$B$306,"&lt;="&amp;DATE($B$3,4,1),'Leave log'!$C$7:$C$306,"&gt;="&amp;DATE($B$3,4,1),'Leave log'!$F$7:$F$306,"Pending")&gt;0,"P",""))))</f>
        <v/>
      </c>
      <c r="C122" s="23" t="str">
        <f>IF(A122="","",IF(IF(OR(DATE($B$3,4,2)&gt;EOMONTH(DATE($B$3,4,1),0),NETWORKDAYS.INTL(DATE($B$3,4,2),DATE($B$3,4,2),1,'Non-working days'!$A$6:$A$45)=0),"",IF(COUNTIFS('Leave log'!$A$7:$A$306,Employees!$A$19,'Leave log'!$B$7:$B$306,"&lt;="&amp;DATE($B$3,4,2),'Leave log'!$C$7:$C$306,"&gt;="&amp;DATE($B$3,4,2),'Leave log'!$F$7:$F$306,"Approved")&gt;0,"A",""))="A","A",IF(OR(DATE($B$3,4,2)&gt;EOMONTH(DATE($B$3,4,1),0),NETWORKDAYS.INTL(DATE($B$3,4,2),DATE($B$3,4,2),1,'Non-working days'!$A$6:$A$45)=0),"",IF(COUNTIFS('Leave log'!$A$7:$A$306,Employees!$A$19,'Leave log'!$B$7:$B$306,"&lt;="&amp;DATE($B$3,4,2),'Leave log'!$C$7:$C$306,"&gt;="&amp;DATE($B$3,4,2),'Leave log'!$F$7:$F$306,"Pending")&gt;0,"P",""))))</f>
        <v/>
      </c>
      <c r="D122" s="23" t="str">
        <f>IF(A122="","",IF(IF(OR(DATE($B$3,4,3)&gt;EOMONTH(DATE($B$3,4,1),0),NETWORKDAYS.INTL(DATE($B$3,4,3),DATE($B$3,4,3),1,'Non-working days'!$A$6:$A$45)=0),"",IF(COUNTIFS('Leave log'!$A$7:$A$306,Employees!$A$19,'Leave log'!$B$7:$B$306,"&lt;="&amp;DATE($B$3,4,3),'Leave log'!$C$7:$C$306,"&gt;="&amp;DATE($B$3,4,3),'Leave log'!$F$7:$F$306,"Approved")&gt;0,"A",""))="A","A",IF(OR(DATE($B$3,4,3)&gt;EOMONTH(DATE($B$3,4,1),0),NETWORKDAYS.INTL(DATE($B$3,4,3),DATE($B$3,4,3),1,'Non-working days'!$A$6:$A$45)=0),"",IF(COUNTIFS('Leave log'!$A$7:$A$306,Employees!$A$19,'Leave log'!$B$7:$B$306,"&lt;="&amp;DATE($B$3,4,3),'Leave log'!$C$7:$C$306,"&gt;="&amp;DATE($B$3,4,3),'Leave log'!$F$7:$F$306,"Pending")&gt;0,"P",""))))</f>
        <v/>
      </c>
      <c r="E122" s="23" t="str">
        <f>IF(A122="","",IF(IF(OR(DATE($B$3,4,4)&gt;EOMONTH(DATE($B$3,4,1),0),NETWORKDAYS.INTL(DATE($B$3,4,4),DATE($B$3,4,4),1,'Non-working days'!$A$6:$A$45)=0),"",IF(COUNTIFS('Leave log'!$A$7:$A$306,Employees!$A$19,'Leave log'!$B$7:$B$306,"&lt;="&amp;DATE($B$3,4,4),'Leave log'!$C$7:$C$306,"&gt;="&amp;DATE($B$3,4,4),'Leave log'!$F$7:$F$306,"Approved")&gt;0,"A",""))="A","A",IF(OR(DATE($B$3,4,4)&gt;EOMONTH(DATE($B$3,4,1),0),NETWORKDAYS.INTL(DATE($B$3,4,4),DATE($B$3,4,4),1,'Non-working days'!$A$6:$A$45)=0),"",IF(COUNTIFS('Leave log'!$A$7:$A$306,Employees!$A$19,'Leave log'!$B$7:$B$306,"&lt;="&amp;DATE($B$3,4,4),'Leave log'!$C$7:$C$306,"&gt;="&amp;DATE($B$3,4,4),'Leave log'!$F$7:$F$306,"Pending")&gt;0,"P",""))))</f>
        <v/>
      </c>
      <c r="F122" s="23" t="str">
        <f>IF(A122="","",IF(IF(OR(DATE($B$3,4,5)&gt;EOMONTH(DATE($B$3,4,1),0),NETWORKDAYS.INTL(DATE($B$3,4,5),DATE($B$3,4,5),1,'Non-working days'!$A$6:$A$45)=0),"",IF(COUNTIFS('Leave log'!$A$7:$A$306,Employees!$A$19,'Leave log'!$B$7:$B$306,"&lt;="&amp;DATE($B$3,4,5),'Leave log'!$C$7:$C$306,"&gt;="&amp;DATE($B$3,4,5),'Leave log'!$F$7:$F$306,"Approved")&gt;0,"A",""))="A","A",IF(OR(DATE($B$3,4,5)&gt;EOMONTH(DATE($B$3,4,1),0),NETWORKDAYS.INTL(DATE($B$3,4,5),DATE($B$3,4,5),1,'Non-working days'!$A$6:$A$45)=0),"",IF(COUNTIFS('Leave log'!$A$7:$A$306,Employees!$A$19,'Leave log'!$B$7:$B$306,"&lt;="&amp;DATE($B$3,4,5),'Leave log'!$C$7:$C$306,"&gt;="&amp;DATE($B$3,4,5),'Leave log'!$F$7:$F$306,"Pending")&gt;0,"P",""))))</f>
        <v/>
      </c>
      <c r="G122" s="23" t="str">
        <f>IF(A122="","",IF(IF(OR(DATE($B$3,4,6)&gt;EOMONTH(DATE($B$3,4,1),0),NETWORKDAYS.INTL(DATE($B$3,4,6),DATE($B$3,4,6),1,'Non-working days'!$A$6:$A$45)=0),"",IF(COUNTIFS('Leave log'!$A$7:$A$306,Employees!$A$19,'Leave log'!$B$7:$B$306,"&lt;="&amp;DATE($B$3,4,6),'Leave log'!$C$7:$C$306,"&gt;="&amp;DATE($B$3,4,6),'Leave log'!$F$7:$F$306,"Approved")&gt;0,"A",""))="A","A",IF(OR(DATE($B$3,4,6)&gt;EOMONTH(DATE($B$3,4,1),0),NETWORKDAYS.INTL(DATE($B$3,4,6),DATE($B$3,4,6),1,'Non-working days'!$A$6:$A$45)=0),"",IF(COUNTIFS('Leave log'!$A$7:$A$306,Employees!$A$19,'Leave log'!$B$7:$B$306,"&lt;="&amp;DATE($B$3,4,6),'Leave log'!$C$7:$C$306,"&gt;="&amp;DATE($B$3,4,6),'Leave log'!$F$7:$F$306,"Pending")&gt;0,"P",""))))</f>
        <v/>
      </c>
      <c r="H122" s="23" t="str">
        <f>IF(A122="","",IF(IF(OR(DATE($B$3,4,7)&gt;EOMONTH(DATE($B$3,4,1),0),NETWORKDAYS.INTL(DATE($B$3,4,7),DATE($B$3,4,7),1,'Non-working days'!$A$6:$A$45)=0),"",IF(COUNTIFS('Leave log'!$A$7:$A$306,Employees!$A$19,'Leave log'!$B$7:$B$306,"&lt;="&amp;DATE($B$3,4,7),'Leave log'!$C$7:$C$306,"&gt;="&amp;DATE($B$3,4,7),'Leave log'!$F$7:$F$306,"Approved")&gt;0,"A",""))="A","A",IF(OR(DATE($B$3,4,7)&gt;EOMONTH(DATE($B$3,4,1),0),NETWORKDAYS.INTL(DATE($B$3,4,7),DATE($B$3,4,7),1,'Non-working days'!$A$6:$A$45)=0),"",IF(COUNTIFS('Leave log'!$A$7:$A$306,Employees!$A$19,'Leave log'!$B$7:$B$306,"&lt;="&amp;DATE($B$3,4,7),'Leave log'!$C$7:$C$306,"&gt;="&amp;DATE($B$3,4,7),'Leave log'!$F$7:$F$306,"Pending")&gt;0,"P",""))))</f>
        <v/>
      </c>
      <c r="I122" s="23" t="str">
        <f>IF(A122="","",IF(IF(OR(DATE($B$3,4,8)&gt;EOMONTH(DATE($B$3,4,1),0),NETWORKDAYS.INTL(DATE($B$3,4,8),DATE($B$3,4,8),1,'Non-working days'!$A$6:$A$45)=0),"",IF(COUNTIFS('Leave log'!$A$7:$A$306,Employees!$A$19,'Leave log'!$B$7:$B$306,"&lt;="&amp;DATE($B$3,4,8),'Leave log'!$C$7:$C$306,"&gt;="&amp;DATE($B$3,4,8),'Leave log'!$F$7:$F$306,"Approved")&gt;0,"A",""))="A","A",IF(OR(DATE($B$3,4,8)&gt;EOMONTH(DATE($B$3,4,1),0),NETWORKDAYS.INTL(DATE($B$3,4,8),DATE($B$3,4,8),1,'Non-working days'!$A$6:$A$45)=0),"",IF(COUNTIFS('Leave log'!$A$7:$A$306,Employees!$A$19,'Leave log'!$B$7:$B$306,"&lt;="&amp;DATE($B$3,4,8),'Leave log'!$C$7:$C$306,"&gt;="&amp;DATE($B$3,4,8),'Leave log'!$F$7:$F$306,"Pending")&gt;0,"P",""))))</f>
        <v/>
      </c>
      <c r="J122" s="23" t="str">
        <f>IF(A122="","",IF(IF(OR(DATE($B$3,4,9)&gt;EOMONTH(DATE($B$3,4,1),0),NETWORKDAYS.INTL(DATE($B$3,4,9),DATE($B$3,4,9),1,'Non-working days'!$A$6:$A$45)=0),"",IF(COUNTIFS('Leave log'!$A$7:$A$306,Employees!$A$19,'Leave log'!$B$7:$B$306,"&lt;="&amp;DATE($B$3,4,9),'Leave log'!$C$7:$C$306,"&gt;="&amp;DATE($B$3,4,9),'Leave log'!$F$7:$F$306,"Approved")&gt;0,"A",""))="A","A",IF(OR(DATE($B$3,4,9)&gt;EOMONTH(DATE($B$3,4,1),0),NETWORKDAYS.INTL(DATE($B$3,4,9),DATE($B$3,4,9),1,'Non-working days'!$A$6:$A$45)=0),"",IF(COUNTIFS('Leave log'!$A$7:$A$306,Employees!$A$19,'Leave log'!$B$7:$B$306,"&lt;="&amp;DATE($B$3,4,9),'Leave log'!$C$7:$C$306,"&gt;="&amp;DATE($B$3,4,9),'Leave log'!$F$7:$F$306,"Pending")&gt;0,"P",""))))</f>
        <v/>
      </c>
      <c r="K122" s="23" t="str">
        <f>IF(A122="","",IF(IF(OR(DATE($B$3,4,10)&gt;EOMONTH(DATE($B$3,4,1),0),NETWORKDAYS.INTL(DATE($B$3,4,10),DATE($B$3,4,10),1,'Non-working days'!$A$6:$A$45)=0),"",IF(COUNTIFS('Leave log'!$A$7:$A$306,Employees!$A$19,'Leave log'!$B$7:$B$306,"&lt;="&amp;DATE($B$3,4,10),'Leave log'!$C$7:$C$306,"&gt;="&amp;DATE($B$3,4,10),'Leave log'!$F$7:$F$306,"Approved")&gt;0,"A",""))="A","A",IF(OR(DATE($B$3,4,10)&gt;EOMONTH(DATE($B$3,4,1),0),NETWORKDAYS.INTL(DATE($B$3,4,10),DATE($B$3,4,10),1,'Non-working days'!$A$6:$A$45)=0),"",IF(COUNTIFS('Leave log'!$A$7:$A$306,Employees!$A$19,'Leave log'!$B$7:$B$306,"&lt;="&amp;DATE($B$3,4,10),'Leave log'!$C$7:$C$306,"&gt;="&amp;DATE($B$3,4,10),'Leave log'!$F$7:$F$306,"Pending")&gt;0,"P",""))))</f>
        <v/>
      </c>
      <c r="L122" s="23" t="str">
        <f>IF(A122="","",IF(IF(OR(DATE($B$3,4,11)&gt;EOMONTH(DATE($B$3,4,1),0),NETWORKDAYS.INTL(DATE($B$3,4,11),DATE($B$3,4,11),1,'Non-working days'!$A$6:$A$45)=0),"",IF(COUNTIFS('Leave log'!$A$7:$A$306,Employees!$A$19,'Leave log'!$B$7:$B$306,"&lt;="&amp;DATE($B$3,4,11),'Leave log'!$C$7:$C$306,"&gt;="&amp;DATE($B$3,4,11),'Leave log'!$F$7:$F$306,"Approved")&gt;0,"A",""))="A","A",IF(OR(DATE($B$3,4,11)&gt;EOMONTH(DATE($B$3,4,1),0),NETWORKDAYS.INTL(DATE($B$3,4,11),DATE($B$3,4,11),1,'Non-working days'!$A$6:$A$45)=0),"",IF(COUNTIFS('Leave log'!$A$7:$A$306,Employees!$A$19,'Leave log'!$B$7:$B$306,"&lt;="&amp;DATE($B$3,4,11),'Leave log'!$C$7:$C$306,"&gt;="&amp;DATE($B$3,4,11),'Leave log'!$F$7:$F$306,"Pending")&gt;0,"P",""))))</f>
        <v/>
      </c>
      <c r="M122" s="23" t="str">
        <f>IF(A122="","",IF(IF(OR(DATE($B$3,4,12)&gt;EOMONTH(DATE($B$3,4,1),0),NETWORKDAYS.INTL(DATE($B$3,4,12),DATE($B$3,4,12),1,'Non-working days'!$A$6:$A$45)=0),"",IF(COUNTIFS('Leave log'!$A$7:$A$306,Employees!$A$19,'Leave log'!$B$7:$B$306,"&lt;="&amp;DATE($B$3,4,12),'Leave log'!$C$7:$C$306,"&gt;="&amp;DATE($B$3,4,12),'Leave log'!$F$7:$F$306,"Approved")&gt;0,"A",""))="A","A",IF(OR(DATE($B$3,4,12)&gt;EOMONTH(DATE($B$3,4,1),0),NETWORKDAYS.INTL(DATE($B$3,4,12),DATE($B$3,4,12),1,'Non-working days'!$A$6:$A$45)=0),"",IF(COUNTIFS('Leave log'!$A$7:$A$306,Employees!$A$19,'Leave log'!$B$7:$B$306,"&lt;="&amp;DATE($B$3,4,12),'Leave log'!$C$7:$C$306,"&gt;="&amp;DATE($B$3,4,12),'Leave log'!$F$7:$F$306,"Pending")&gt;0,"P",""))))</f>
        <v/>
      </c>
      <c r="N122" s="23" t="str">
        <f>IF(A122="","",IF(IF(OR(DATE($B$3,4,13)&gt;EOMONTH(DATE($B$3,4,1),0),NETWORKDAYS.INTL(DATE($B$3,4,13),DATE($B$3,4,13),1,'Non-working days'!$A$6:$A$45)=0),"",IF(COUNTIFS('Leave log'!$A$7:$A$306,Employees!$A$19,'Leave log'!$B$7:$B$306,"&lt;="&amp;DATE($B$3,4,13),'Leave log'!$C$7:$C$306,"&gt;="&amp;DATE($B$3,4,13),'Leave log'!$F$7:$F$306,"Approved")&gt;0,"A",""))="A","A",IF(OR(DATE($B$3,4,13)&gt;EOMONTH(DATE($B$3,4,1),0),NETWORKDAYS.INTL(DATE($B$3,4,13),DATE($B$3,4,13),1,'Non-working days'!$A$6:$A$45)=0),"",IF(COUNTIFS('Leave log'!$A$7:$A$306,Employees!$A$19,'Leave log'!$B$7:$B$306,"&lt;="&amp;DATE($B$3,4,13),'Leave log'!$C$7:$C$306,"&gt;="&amp;DATE($B$3,4,13),'Leave log'!$F$7:$F$306,"Pending")&gt;0,"P",""))))</f>
        <v/>
      </c>
      <c r="O122" s="23" t="str">
        <f>IF(A122="","",IF(IF(OR(DATE($B$3,4,14)&gt;EOMONTH(DATE($B$3,4,1),0),NETWORKDAYS.INTL(DATE($B$3,4,14),DATE($B$3,4,14),1,'Non-working days'!$A$6:$A$45)=0),"",IF(COUNTIFS('Leave log'!$A$7:$A$306,Employees!$A$19,'Leave log'!$B$7:$B$306,"&lt;="&amp;DATE($B$3,4,14),'Leave log'!$C$7:$C$306,"&gt;="&amp;DATE($B$3,4,14),'Leave log'!$F$7:$F$306,"Approved")&gt;0,"A",""))="A","A",IF(OR(DATE($B$3,4,14)&gt;EOMONTH(DATE($B$3,4,1),0),NETWORKDAYS.INTL(DATE($B$3,4,14),DATE($B$3,4,14),1,'Non-working days'!$A$6:$A$45)=0),"",IF(COUNTIFS('Leave log'!$A$7:$A$306,Employees!$A$19,'Leave log'!$B$7:$B$306,"&lt;="&amp;DATE($B$3,4,14),'Leave log'!$C$7:$C$306,"&gt;="&amp;DATE($B$3,4,14),'Leave log'!$F$7:$F$306,"Pending")&gt;0,"P",""))))</f>
        <v/>
      </c>
      <c r="P122" s="23" t="str">
        <f>IF(A122="","",IF(IF(OR(DATE($B$3,4,15)&gt;EOMONTH(DATE($B$3,4,1),0),NETWORKDAYS.INTL(DATE($B$3,4,15),DATE($B$3,4,15),1,'Non-working days'!$A$6:$A$45)=0),"",IF(COUNTIFS('Leave log'!$A$7:$A$306,Employees!$A$19,'Leave log'!$B$7:$B$306,"&lt;="&amp;DATE($B$3,4,15),'Leave log'!$C$7:$C$306,"&gt;="&amp;DATE($B$3,4,15),'Leave log'!$F$7:$F$306,"Approved")&gt;0,"A",""))="A","A",IF(OR(DATE($B$3,4,15)&gt;EOMONTH(DATE($B$3,4,1),0),NETWORKDAYS.INTL(DATE($B$3,4,15),DATE($B$3,4,15),1,'Non-working days'!$A$6:$A$45)=0),"",IF(COUNTIFS('Leave log'!$A$7:$A$306,Employees!$A$19,'Leave log'!$B$7:$B$306,"&lt;="&amp;DATE($B$3,4,15),'Leave log'!$C$7:$C$306,"&gt;="&amp;DATE($B$3,4,15),'Leave log'!$F$7:$F$306,"Pending")&gt;0,"P",""))))</f>
        <v/>
      </c>
      <c r="Q122" s="23" t="str">
        <f>IF(A122="","",IF(IF(OR(DATE($B$3,4,16)&gt;EOMONTH(DATE($B$3,4,1),0),NETWORKDAYS.INTL(DATE($B$3,4,16),DATE($B$3,4,16),1,'Non-working days'!$A$6:$A$45)=0),"",IF(COUNTIFS('Leave log'!$A$7:$A$306,Employees!$A$19,'Leave log'!$B$7:$B$306,"&lt;="&amp;DATE($B$3,4,16),'Leave log'!$C$7:$C$306,"&gt;="&amp;DATE($B$3,4,16),'Leave log'!$F$7:$F$306,"Approved")&gt;0,"A",""))="A","A",IF(OR(DATE($B$3,4,16)&gt;EOMONTH(DATE($B$3,4,1),0),NETWORKDAYS.INTL(DATE($B$3,4,16),DATE($B$3,4,16),1,'Non-working days'!$A$6:$A$45)=0),"",IF(COUNTIFS('Leave log'!$A$7:$A$306,Employees!$A$19,'Leave log'!$B$7:$B$306,"&lt;="&amp;DATE($B$3,4,16),'Leave log'!$C$7:$C$306,"&gt;="&amp;DATE($B$3,4,16),'Leave log'!$F$7:$F$306,"Pending")&gt;0,"P",""))))</f>
        <v/>
      </c>
      <c r="R122" s="23" t="str">
        <f>IF(A122="","",IF(IF(OR(DATE($B$3,4,17)&gt;EOMONTH(DATE($B$3,4,1),0),NETWORKDAYS.INTL(DATE($B$3,4,17),DATE($B$3,4,17),1,'Non-working days'!$A$6:$A$45)=0),"",IF(COUNTIFS('Leave log'!$A$7:$A$306,Employees!$A$19,'Leave log'!$B$7:$B$306,"&lt;="&amp;DATE($B$3,4,17),'Leave log'!$C$7:$C$306,"&gt;="&amp;DATE($B$3,4,17),'Leave log'!$F$7:$F$306,"Approved")&gt;0,"A",""))="A","A",IF(OR(DATE($B$3,4,17)&gt;EOMONTH(DATE($B$3,4,1),0),NETWORKDAYS.INTL(DATE($B$3,4,17),DATE($B$3,4,17),1,'Non-working days'!$A$6:$A$45)=0),"",IF(COUNTIFS('Leave log'!$A$7:$A$306,Employees!$A$19,'Leave log'!$B$7:$B$306,"&lt;="&amp;DATE($B$3,4,17),'Leave log'!$C$7:$C$306,"&gt;="&amp;DATE($B$3,4,17),'Leave log'!$F$7:$F$306,"Pending")&gt;0,"P",""))))</f>
        <v/>
      </c>
      <c r="S122" s="23" t="str">
        <f>IF(A122="","",IF(IF(OR(DATE($B$3,4,18)&gt;EOMONTH(DATE($B$3,4,1),0),NETWORKDAYS.INTL(DATE($B$3,4,18),DATE($B$3,4,18),1,'Non-working days'!$A$6:$A$45)=0),"",IF(COUNTIFS('Leave log'!$A$7:$A$306,Employees!$A$19,'Leave log'!$B$7:$B$306,"&lt;="&amp;DATE($B$3,4,18),'Leave log'!$C$7:$C$306,"&gt;="&amp;DATE($B$3,4,18),'Leave log'!$F$7:$F$306,"Approved")&gt;0,"A",""))="A","A",IF(OR(DATE($B$3,4,18)&gt;EOMONTH(DATE($B$3,4,1),0),NETWORKDAYS.INTL(DATE($B$3,4,18),DATE($B$3,4,18),1,'Non-working days'!$A$6:$A$45)=0),"",IF(COUNTIFS('Leave log'!$A$7:$A$306,Employees!$A$19,'Leave log'!$B$7:$B$306,"&lt;="&amp;DATE($B$3,4,18),'Leave log'!$C$7:$C$306,"&gt;="&amp;DATE($B$3,4,18),'Leave log'!$F$7:$F$306,"Pending")&gt;0,"P",""))))</f>
        <v/>
      </c>
      <c r="T122" s="23" t="str">
        <f>IF(A122="","",IF(IF(OR(DATE($B$3,4,19)&gt;EOMONTH(DATE($B$3,4,1),0),NETWORKDAYS.INTL(DATE($B$3,4,19),DATE($B$3,4,19),1,'Non-working days'!$A$6:$A$45)=0),"",IF(COUNTIFS('Leave log'!$A$7:$A$306,Employees!$A$19,'Leave log'!$B$7:$B$306,"&lt;="&amp;DATE($B$3,4,19),'Leave log'!$C$7:$C$306,"&gt;="&amp;DATE($B$3,4,19),'Leave log'!$F$7:$F$306,"Approved")&gt;0,"A",""))="A","A",IF(OR(DATE($B$3,4,19)&gt;EOMONTH(DATE($B$3,4,1),0),NETWORKDAYS.INTL(DATE($B$3,4,19),DATE($B$3,4,19),1,'Non-working days'!$A$6:$A$45)=0),"",IF(COUNTIFS('Leave log'!$A$7:$A$306,Employees!$A$19,'Leave log'!$B$7:$B$306,"&lt;="&amp;DATE($B$3,4,19),'Leave log'!$C$7:$C$306,"&gt;="&amp;DATE($B$3,4,19),'Leave log'!$F$7:$F$306,"Pending")&gt;0,"P",""))))</f>
        <v/>
      </c>
      <c r="U122" s="23" t="str">
        <f>IF(A122="","",IF(IF(OR(DATE($B$3,4,20)&gt;EOMONTH(DATE($B$3,4,1),0),NETWORKDAYS.INTL(DATE($B$3,4,20),DATE($B$3,4,20),1,'Non-working days'!$A$6:$A$45)=0),"",IF(COUNTIFS('Leave log'!$A$7:$A$306,Employees!$A$19,'Leave log'!$B$7:$B$306,"&lt;="&amp;DATE($B$3,4,20),'Leave log'!$C$7:$C$306,"&gt;="&amp;DATE($B$3,4,20),'Leave log'!$F$7:$F$306,"Approved")&gt;0,"A",""))="A","A",IF(OR(DATE($B$3,4,20)&gt;EOMONTH(DATE($B$3,4,1),0),NETWORKDAYS.INTL(DATE($B$3,4,20),DATE($B$3,4,20),1,'Non-working days'!$A$6:$A$45)=0),"",IF(COUNTIFS('Leave log'!$A$7:$A$306,Employees!$A$19,'Leave log'!$B$7:$B$306,"&lt;="&amp;DATE($B$3,4,20),'Leave log'!$C$7:$C$306,"&gt;="&amp;DATE($B$3,4,20),'Leave log'!$F$7:$F$306,"Pending")&gt;0,"P",""))))</f>
        <v/>
      </c>
      <c r="V122" s="23" t="str">
        <f>IF(A122="","",IF(IF(OR(DATE($B$3,4,21)&gt;EOMONTH(DATE($B$3,4,1),0),NETWORKDAYS.INTL(DATE($B$3,4,21),DATE($B$3,4,21),1,'Non-working days'!$A$6:$A$45)=0),"",IF(COUNTIFS('Leave log'!$A$7:$A$306,Employees!$A$19,'Leave log'!$B$7:$B$306,"&lt;="&amp;DATE($B$3,4,21),'Leave log'!$C$7:$C$306,"&gt;="&amp;DATE($B$3,4,21),'Leave log'!$F$7:$F$306,"Approved")&gt;0,"A",""))="A","A",IF(OR(DATE($B$3,4,21)&gt;EOMONTH(DATE($B$3,4,1),0),NETWORKDAYS.INTL(DATE($B$3,4,21),DATE($B$3,4,21),1,'Non-working days'!$A$6:$A$45)=0),"",IF(COUNTIFS('Leave log'!$A$7:$A$306,Employees!$A$19,'Leave log'!$B$7:$B$306,"&lt;="&amp;DATE($B$3,4,21),'Leave log'!$C$7:$C$306,"&gt;="&amp;DATE($B$3,4,21),'Leave log'!$F$7:$F$306,"Pending")&gt;0,"P",""))))</f>
        <v/>
      </c>
      <c r="W122" s="23" t="str">
        <f>IF(A122="","",IF(IF(OR(DATE($B$3,4,22)&gt;EOMONTH(DATE($B$3,4,1),0),NETWORKDAYS.INTL(DATE($B$3,4,22),DATE($B$3,4,22),1,'Non-working days'!$A$6:$A$45)=0),"",IF(COUNTIFS('Leave log'!$A$7:$A$306,Employees!$A$19,'Leave log'!$B$7:$B$306,"&lt;="&amp;DATE($B$3,4,22),'Leave log'!$C$7:$C$306,"&gt;="&amp;DATE($B$3,4,22),'Leave log'!$F$7:$F$306,"Approved")&gt;0,"A",""))="A","A",IF(OR(DATE($B$3,4,22)&gt;EOMONTH(DATE($B$3,4,1),0),NETWORKDAYS.INTL(DATE($B$3,4,22),DATE($B$3,4,22),1,'Non-working days'!$A$6:$A$45)=0),"",IF(COUNTIFS('Leave log'!$A$7:$A$306,Employees!$A$19,'Leave log'!$B$7:$B$306,"&lt;="&amp;DATE($B$3,4,22),'Leave log'!$C$7:$C$306,"&gt;="&amp;DATE($B$3,4,22),'Leave log'!$F$7:$F$306,"Pending")&gt;0,"P",""))))</f>
        <v/>
      </c>
      <c r="X122" s="23" t="str">
        <f>IF(A122="","",IF(IF(OR(DATE($B$3,4,23)&gt;EOMONTH(DATE($B$3,4,1),0),NETWORKDAYS.INTL(DATE($B$3,4,23),DATE($B$3,4,23),1,'Non-working days'!$A$6:$A$45)=0),"",IF(COUNTIFS('Leave log'!$A$7:$A$306,Employees!$A$19,'Leave log'!$B$7:$B$306,"&lt;="&amp;DATE($B$3,4,23),'Leave log'!$C$7:$C$306,"&gt;="&amp;DATE($B$3,4,23),'Leave log'!$F$7:$F$306,"Approved")&gt;0,"A",""))="A","A",IF(OR(DATE($B$3,4,23)&gt;EOMONTH(DATE($B$3,4,1),0),NETWORKDAYS.INTL(DATE($B$3,4,23),DATE($B$3,4,23),1,'Non-working days'!$A$6:$A$45)=0),"",IF(COUNTIFS('Leave log'!$A$7:$A$306,Employees!$A$19,'Leave log'!$B$7:$B$306,"&lt;="&amp;DATE($B$3,4,23),'Leave log'!$C$7:$C$306,"&gt;="&amp;DATE($B$3,4,23),'Leave log'!$F$7:$F$306,"Pending")&gt;0,"P",""))))</f>
        <v/>
      </c>
      <c r="Y122" s="23" t="str">
        <f>IF(A122="","",IF(IF(OR(DATE($B$3,4,24)&gt;EOMONTH(DATE($B$3,4,1),0),NETWORKDAYS.INTL(DATE($B$3,4,24),DATE($B$3,4,24),1,'Non-working days'!$A$6:$A$45)=0),"",IF(COUNTIFS('Leave log'!$A$7:$A$306,Employees!$A$19,'Leave log'!$B$7:$B$306,"&lt;="&amp;DATE($B$3,4,24),'Leave log'!$C$7:$C$306,"&gt;="&amp;DATE($B$3,4,24),'Leave log'!$F$7:$F$306,"Approved")&gt;0,"A",""))="A","A",IF(OR(DATE($B$3,4,24)&gt;EOMONTH(DATE($B$3,4,1),0),NETWORKDAYS.INTL(DATE($B$3,4,24),DATE($B$3,4,24),1,'Non-working days'!$A$6:$A$45)=0),"",IF(COUNTIFS('Leave log'!$A$7:$A$306,Employees!$A$19,'Leave log'!$B$7:$B$306,"&lt;="&amp;DATE($B$3,4,24),'Leave log'!$C$7:$C$306,"&gt;="&amp;DATE($B$3,4,24),'Leave log'!$F$7:$F$306,"Pending")&gt;0,"P",""))))</f>
        <v/>
      </c>
      <c r="Z122" s="23" t="str">
        <f>IF(A122="","",IF(IF(OR(DATE($B$3,4,25)&gt;EOMONTH(DATE($B$3,4,1),0),NETWORKDAYS.INTL(DATE($B$3,4,25),DATE($B$3,4,25),1,'Non-working days'!$A$6:$A$45)=0),"",IF(COUNTIFS('Leave log'!$A$7:$A$306,Employees!$A$19,'Leave log'!$B$7:$B$306,"&lt;="&amp;DATE($B$3,4,25),'Leave log'!$C$7:$C$306,"&gt;="&amp;DATE($B$3,4,25),'Leave log'!$F$7:$F$306,"Approved")&gt;0,"A",""))="A","A",IF(OR(DATE($B$3,4,25)&gt;EOMONTH(DATE($B$3,4,1),0),NETWORKDAYS.INTL(DATE($B$3,4,25),DATE($B$3,4,25),1,'Non-working days'!$A$6:$A$45)=0),"",IF(COUNTIFS('Leave log'!$A$7:$A$306,Employees!$A$19,'Leave log'!$B$7:$B$306,"&lt;="&amp;DATE($B$3,4,25),'Leave log'!$C$7:$C$306,"&gt;="&amp;DATE($B$3,4,25),'Leave log'!$F$7:$F$306,"Pending")&gt;0,"P",""))))</f>
        <v/>
      </c>
      <c r="AA122" s="23" t="str">
        <f>IF(A122="","",IF(IF(OR(DATE($B$3,4,26)&gt;EOMONTH(DATE($B$3,4,1),0),NETWORKDAYS.INTL(DATE($B$3,4,26),DATE($B$3,4,26),1,'Non-working days'!$A$6:$A$45)=0),"",IF(COUNTIFS('Leave log'!$A$7:$A$306,Employees!$A$19,'Leave log'!$B$7:$B$306,"&lt;="&amp;DATE($B$3,4,26),'Leave log'!$C$7:$C$306,"&gt;="&amp;DATE($B$3,4,26),'Leave log'!$F$7:$F$306,"Approved")&gt;0,"A",""))="A","A",IF(OR(DATE($B$3,4,26)&gt;EOMONTH(DATE($B$3,4,1),0),NETWORKDAYS.INTL(DATE($B$3,4,26),DATE($B$3,4,26),1,'Non-working days'!$A$6:$A$45)=0),"",IF(COUNTIFS('Leave log'!$A$7:$A$306,Employees!$A$19,'Leave log'!$B$7:$B$306,"&lt;="&amp;DATE($B$3,4,26),'Leave log'!$C$7:$C$306,"&gt;="&amp;DATE($B$3,4,26),'Leave log'!$F$7:$F$306,"Pending")&gt;0,"P",""))))</f>
        <v/>
      </c>
      <c r="AB122" s="23" t="str">
        <f>IF(A122="","",IF(IF(OR(DATE($B$3,4,27)&gt;EOMONTH(DATE($B$3,4,1),0),NETWORKDAYS.INTL(DATE($B$3,4,27),DATE($B$3,4,27),1,'Non-working days'!$A$6:$A$45)=0),"",IF(COUNTIFS('Leave log'!$A$7:$A$306,Employees!$A$19,'Leave log'!$B$7:$B$306,"&lt;="&amp;DATE($B$3,4,27),'Leave log'!$C$7:$C$306,"&gt;="&amp;DATE($B$3,4,27),'Leave log'!$F$7:$F$306,"Approved")&gt;0,"A",""))="A","A",IF(OR(DATE($B$3,4,27)&gt;EOMONTH(DATE($B$3,4,1),0),NETWORKDAYS.INTL(DATE($B$3,4,27),DATE($B$3,4,27),1,'Non-working days'!$A$6:$A$45)=0),"",IF(COUNTIFS('Leave log'!$A$7:$A$306,Employees!$A$19,'Leave log'!$B$7:$B$306,"&lt;="&amp;DATE($B$3,4,27),'Leave log'!$C$7:$C$306,"&gt;="&amp;DATE($B$3,4,27),'Leave log'!$F$7:$F$306,"Pending")&gt;0,"P",""))))</f>
        <v/>
      </c>
      <c r="AC122" s="23" t="str">
        <f>IF(A122="","",IF(IF(OR(DATE($B$3,4,28)&gt;EOMONTH(DATE($B$3,4,1),0),NETWORKDAYS.INTL(DATE($B$3,4,28),DATE($B$3,4,28),1,'Non-working days'!$A$6:$A$45)=0),"",IF(COUNTIFS('Leave log'!$A$7:$A$306,Employees!$A$19,'Leave log'!$B$7:$B$306,"&lt;="&amp;DATE($B$3,4,28),'Leave log'!$C$7:$C$306,"&gt;="&amp;DATE($B$3,4,28),'Leave log'!$F$7:$F$306,"Approved")&gt;0,"A",""))="A","A",IF(OR(DATE($B$3,4,28)&gt;EOMONTH(DATE($B$3,4,1),0),NETWORKDAYS.INTL(DATE($B$3,4,28),DATE($B$3,4,28),1,'Non-working days'!$A$6:$A$45)=0),"",IF(COUNTIFS('Leave log'!$A$7:$A$306,Employees!$A$19,'Leave log'!$B$7:$B$306,"&lt;="&amp;DATE($B$3,4,28),'Leave log'!$C$7:$C$306,"&gt;="&amp;DATE($B$3,4,28),'Leave log'!$F$7:$F$306,"Pending")&gt;0,"P",""))))</f>
        <v/>
      </c>
      <c r="AD122" s="23" t="str">
        <f>IF(A122="","",IF(IF(OR(DATE($B$3,4,29)&gt;EOMONTH(DATE($B$3,4,1),0),NETWORKDAYS.INTL(DATE($B$3,4,29),DATE($B$3,4,29),1,'Non-working days'!$A$6:$A$45)=0),"",IF(COUNTIFS('Leave log'!$A$7:$A$306,Employees!$A$19,'Leave log'!$B$7:$B$306,"&lt;="&amp;DATE($B$3,4,29),'Leave log'!$C$7:$C$306,"&gt;="&amp;DATE($B$3,4,29),'Leave log'!$F$7:$F$306,"Approved")&gt;0,"A",""))="A","A",IF(OR(DATE($B$3,4,29)&gt;EOMONTH(DATE($B$3,4,1),0),NETWORKDAYS.INTL(DATE($B$3,4,29),DATE($B$3,4,29),1,'Non-working days'!$A$6:$A$45)=0),"",IF(COUNTIFS('Leave log'!$A$7:$A$306,Employees!$A$19,'Leave log'!$B$7:$B$306,"&lt;="&amp;DATE($B$3,4,29),'Leave log'!$C$7:$C$306,"&gt;="&amp;DATE($B$3,4,29),'Leave log'!$F$7:$F$306,"Pending")&gt;0,"P",""))))</f>
        <v/>
      </c>
      <c r="AE122" s="23" t="str">
        <f>IF(A122="","",IF(IF(OR(DATE($B$3,4,30)&gt;EOMONTH(DATE($B$3,4,1),0),NETWORKDAYS.INTL(DATE($B$3,4,30),DATE($B$3,4,30),1,'Non-working days'!$A$6:$A$45)=0),"",IF(COUNTIFS('Leave log'!$A$7:$A$306,Employees!$A$19,'Leave log'!$B$7:$B$306,"&lt;="&amp;DATE($B$3,4,30),'Leave log'!$C$7:$C$306,"&gt;="&amp;DATE($B$3,4,30),'Leave log'!$F$7:$F$306,"Approved")&gt;0,"A",""))="A","A",IF(OR(DATE($B$3,4,30)&gt;EOMONTH(DATE($B$3,4,1),0),NETWORKDAYS.INTL(DATE($B$3,4,30),DATE($B$3,4,30),1,'Non-working days'!$A$6:$A$45)=0),"",IF(COUNTIFS('Leave log'!$A$7:$A$306,Employees!$A$19,'Leave log'!$B$7:$B$306,"&lt;="&amp;DATE($B$3,4,30),'Leave log'!$C$7:$C$306,"&gt;="&amp;DATE($B$3,4,30),'Leave log'!$F$7:$F$306,"Pending")&gt;0,"P",""))))</f>
        <v/>
      </c>
      <c r="AF122" s="23" t="str">
        <f>IF(A122="","",IF(IF(OR(DATE($B$3,4,31)&gt;EOMONTH(DATE($B$3,4,1),0),NETWORKDAYS.INTL(DATE($B$3,4,31),DATE($B$3,4,31),1,'Non-working days'!$A$6:$A$45)=0),"",IF(COUNTIFS('Leave log'!$A$7:$A$306,Employees!$A$19,'Leave log'!$B$7:$B$306,"&lt;="&amp;DATE($B$3,4,31),'Leave log'!$C$7:$C$306,"&gt;="&amp;DATE($B$3,4,31),'Leave log'!$F$7:$F$306,"Approved")&gt;0,"A",""))="A","A",IF(OR(DATE($B$3,4,31)&gt;EOMONTH(DATE($B$3,4,1),0),NETWORKDAYS.INTL(DATE($B$3,4,31),DATE($B$3,4,31),1,'Non-working days'!$A$6:$A$45)=0),"",IF(COUNTIFS('Leave log'!$A$7:$A$306,Employees!$A$19,'Leave log'!$B$7:$B$306,"&lt;="&amp;DATE($B$3,4,31),'Leave log'!$C$7:$C$306,"&gt;="&amp;DATE($B$3,4,31),'Leave log'!$F$7:$F$306,"Pending")&gt;0,"P",""))))</f>
        <v/>
      </c>
    </row>
    <row r="123" spans="1:32" ht="18" customHeight="1" x14ac:dyDescent="0.3">
      <c r="A123" s="22" t="str">
        <f>IF(Employees!F20="Yes",Employees!B20,"")</f>
        <v/>
      </c>
      <c r="B123" s="23" t="str">
        <f>IF(A123="","",IF(IF(OR(DATE($B$3,4,1)&gt;EOMONTH(DATE($B$3,4,1),0),NETWORKDAYS.INTL(DATE($B$3,4,1),DATE($B$3,4,1),1,'Non-working days'!$A$6:$A$45)=0),"",IF(COUNTIFS('Leave log'!$A$7:$A$306,Employees!$A$20,'Leave log'!$B$7:$B$306,"&lt;="&amp;DATE($B$3,4,1),'Leave log'!$C$7:$C$306,"&gt;="&amp;DATE($B$3,4,1),'Leave log'!$F$7:$F$306,"Approved")&gt;0,"A",""))="A","A",IF(OR(DATE($B$3,4,1)&gt;EOMONTH(DATE($B$3,4,1),0),NETWORKDAYS.INTL(DATE($B$3,4,1),DATE($B$3,4,1),1,'Non-working days'!$A$6:$A$45)=0),"",IF(COUNTIFS('Leave log'!$A$7:$A$306,Employees!$A$20,'Leave log'!$B$7:$B$306,"&lt;="&amp;DATE($B$3,4,1),'Leave log'!$C$7:$C$306,"&gt;="&amp;DATE($B$3,4,1),'Leave log'!$F$7:$F$306,"Pending")&gt;0,"P",""))))</f>
        <v/>
      </c>
      <c r="C123" s="23" t="str">
        <f>IF(A123="","",IF(IF(OR(DATE($B$3,4,2)&gt;EOMONTH(DATE($B$3,4,1),0),NETWORKDAYS.INTL(DATE($B$3,4,2),DATE($B$3,4,2),1,'Non-working days'!$A$6:$A$45)=0),"",IF(COUNTIFS('Leave log'!$A$7:$A$306,Employees!$A$20,'Leave log'!$B$7:$B$306,"&lt;="&amp;DATE($B$3,4,2),'Leave log'!$C$7:$C$306,"&gt;="&amp;DATE($B$3,4,2),'Leave log'!$F$7:$F$306,"Approved")&gt;0,"A",""))="A","A",IF(OR(DATE($B$3,4,2)&gt;EOMONTH(DATE($B$3,4,1),0),NETWORKDAYS.INTL(DATE($B$3,4,2),DATE($B$3,4,2),1,'Non-working days'!$A$6:$A$45)=0),"",IF(COUNTIFS('Leave log'!$A$7:$A$306,Employees!$A$20,'Leave log'!$B$7:$B$306,"&lt;="&amp;DATE($B$3,4,2),'Leave log'!$C$7:$C$306,"&gt;="&amp;DATE($B$3,4,2),'Leave log'!$F$7:$F$306,"Pending")&gt;0,"P",""))))</f>
        <v/>
      </c>
      <c r="D123" s="23" t="str">
        <f>IF(A123="","",IF(IF(OR(DATE($B$3,4,3)&gt;EOMONTH(DATE($B$3,4,1),0),NETWORKDAYS.INTL(DATE($B$3,4,3),DATE($B$3,4,3),1,'Non-working days'!$A$6:$A$45)=0),"",IF(COUNTIFS('Leave log'!$A$7:$A$306,Employees!$A$20,'Leave log'!$B$7:$B$306,"&lt;="&amp;DATE($B$3,4,3),'Leave log'!$C$7:$C$306,"&gt;="&amp;DATE($B$3,4,3),'Leave log'!$F$7:$F$306,"Approved")&gt;0,"A",""))="A","A",IF(OR(DATE($B$3,4,3)&gt;EOMONTH(DATE($B$3,4,1),0),NETWORKDAYS.INTL(DATE($B$3,4,3),DATE($B$3,4,3),1,'Non-working days'!$A$6:$A$45)=0),"",IF(COUNTIFS('Leave log'!$A$7:$A$306,Employees!$A$20,'Leave log'!$B$7:$B$306,"&lt;="&amp;DATE($B$3,4,3),'Leave log'!$C$7:$C$306,"&gt;="&amp;DATE($B$3,4,3),'Leave log'!$F$7:$F$306,"Pending")&gt;0,"P",""))))</f>
        <v/>
      </c>
      <c r="E123" s="23" t="str">
        <f>IF(A123="","",IF(IF(OR(DATE($B$3,4,4)&gt;EOMONTH(DATE($B$3,4,1),0),NETWORKDAYS.INTL(DATE($B$3,4,4),DATE($B$3,4,4),1,'Non-working days'!$A$6:$A$45)=0),"",IF(COUNTIFS('Leave log'!$A$7:$A$306,Employees!$A$20,'Leave log'!$B$7:$B$306,"&lt;="&amp;DATE($B$3,4,4),'Leave log'!$C$7:$C$306,"&gt;="&amp;DATE($B$3,4,4),'Leave log'!$F$7:$F$306,"Approved")&gt;0,"A",""))="A","A",IF(OR(DATE($B$3,4,4)&gt;EOMONTH(DATE($B$3,4,1),0),NETWORKDAYS.INTL(DATE($B$3,4,4),DATE($B$3,4,4),1,'Non-working days'!$A$6:$A$45)=0),"",IF(COUNTIFS('Leave log'!$A$7:$A$306,Employees!$A$20,'Leave log'!$B$7:$B$306,"&lt;="&amp;DATE($B$3,4,4),'Leave log'!$C$7:$C$306,"&gt;="&amp;DATE($B$3,4,4),'Leave log'!$F$7:$F$306,"Pending")&gt;0,"P",""))))</f>
        <v/>
      </c>
      <c r="F123" s="23" t="str">
        <f>IF(A123="","",IF(IF(OR(DATE($B$3,4,5)&gt;EOMONTH(DATE($B$3,4,1),0),NETWORKDAYS.INTL(DATE($B$3,4,5),DATE($B$3,4,5),1,'Non-working days'!$A$6:$A$45)=0),"",IF(COUNTIFS('Leave log'!$A$7:$A$306,Employees!$A$20,'Leave log'!$B$7:$B$306,"&lt;="&amp;DATE($B$3,4,5),'Leave log'!$C$7:$C$306,"&gt;="&amp;DATE($B$3,4,5),'Leave log'!$F$7:$F$306,"Approved")&gt;0,"A",""))="A","A",IF(OR(DATE($B$3,4,5)&gt;EOMONTH(DATE($B$3,4,1),0),NETWORKDAYS.INTL(DATE($B$3,4,5),DATE($B$3,4,5),1,'Non-working days'!$A$6:$A$45)=0),"",IF(COUNTIFS('Leave log'!$A$7:$A$306,Employees!$A$20,'Leave log'!$B$7:$B$306,"&lt;="&amp;DATE($B$3,4,5),'Leave log'!$C$7:$C$306,"&gt;="&amp;DATE($B$3,4,5),'Leave log'!$F$7:$F$306,"Pending")&gt;0,"P",""))))</f>
        <v/>
      </c>
      <c r="G123" s="23" t="str">
        <f>IF(A123="","",IF(IF(OR(DATE($B$3,4,6)&gt;EOMONTH(DATE($B$3,4,1),0),NETWORKDAYS.INTL(DATE($B$3,4,6),DATE($B$3,4,6),1,'Non-working days'!$A$6:$A$45)=0),"",IF(COUNTIFS('Leave log'!$A$7:$A$306,Employees!$A$20,'Leave log'!$B$7:$B$306,"&lt;="&amp;DATE($B$3,4,6),'Leave log'!$C$7:$C$306,"&gt;="&amp;DATE($B$3,4,6),'Leave log'!$F$7:$F$306,"Approved")&gt;0,"A",""))="A","A",IF(OR(DATE($B$3,4,6)&gt;EOMONTH(DATE($B$3,4,1),0),NETWORKDAYS.INTL(DATE($B$3,4,6),DATE($B$3,4,6),1,'Non-working days'!$A$6:$A$45)=0),"",IF(COUNTIFS('Leave log'!$A$7:$A$306,Employees!$A$20,'Leave log'!$B$7:$B$306,"&lt;="&amp;DATE($B$3,4,6),'Leave log'!$C$7:$C$306,"&gt;="&amp;DATE($B$3,4,6),'Leave log'!$F$7:$F$306,"Pending")&gt;0,"P",""))))</f>
        <v/>
      </c>
      <c r="H123" s="23" t="str">
        <f>IF(A123="","",IF(IF(OR(DATE($B$3,4,7)&gt;EOMONTH(DATE($B$3,4,1),0),NETWORKDAYS.INTL(DATE($B$3,4,7),DATE($B$3,4,7),1,'Non-working days'!$A$6:$A$45)=0),"",IF(COUNTIFS('Leave log'!$A$7:$A$306,Employees!$A$20,'Leave log'!$B$7:$B$306,"&lt;="&amp;DATE($B$3,4,7),'Leave log'!$C$7:$C$306,"&gt;="&amp;DATE($B$3,4,7),'Leave log'!$F$7:$F$306,"Approved")&gt;0,"A",""))="A","A",IF(OR(DATE($B$3,4,7)&gt;EOMONTH(DATE($B$3,4,1),0),NETWORKDAYS.INTL(DATE($B$3,4,7),DATE($B$3,4,7),1,'Non-working days'!$A$6:$A$45)=0),"",IF(COUNTIFS('Leave log'!$A$7:$A$306,Employees!$A$20,'Leave log'!$B$7:$B$306,"&lt;="&amp;DATE($B$3,4,7),'Leave log'!$C$7:$C$306,"&gt;="&amp;DATE($B$3,4,7),'Leave log'!$F$7:$F$306,"Pending")&gt;0,"P",""))))</f>
        <v/>
      </c>
      <c r="I123" s="23" t="str">
        <f>IF(A123="","",IF(IF(OR(DATE($B$3,4,8)&gt;EOMONTH(DATE($B$3,4,1),0),NETWORKDAYS.INTL(DATE($B$3,4,8),DATE($B$3,4,8),1,'Non-working days'!$A$6:$A$45)=0),"",IF(COUNTIFS('Leave log'!$A$7:$A$306,Employees!$A$20,'Leave log'!$B$7:$B$306,"&lt;="&amp;DATE($B$3,4,8),'Leave log'!$C$7:$C$306,"&gt;="&amp;DATE($B$3,4,8),'Leave log'!$F$7:$F$306,"Approved")&gt;0,"A",""))="A","A",IF(OR(DATE($B$3,4,8)&gt;EOMONTH(DATE($B$3,4,1),0),NETWORKDAYS.INTL(DATE($B$3,4,8),DATE($B$3,4,8),1,'Non-working days'!$A$6:$A$45)=0),"",IF(COUNTIFS('Leave log'!$A$7:$A$306,Employees!$A$20,'Leave log'!$B$7:$B$306,"&lt;="&amp;DATE($B$3,4,8),'Leave log'!$C$7:$C$306,"&gt;="&amp;DATE($B$3,4,8),'Leave log'!$F$7:$F$306,"Pending")&gt;0,"P",""))))</f>
        <v/>
      </c>
      <c r="J123" s="23" t="str">
        <f>IF(A123="","",IF(IF(OR(DATE($B$3,4,9)&gt;EOMONTH(DATE($B$3,4,1),0),NETWORKDAYS.INTL(DATE($B$3,4,9),DATE($B$3,4,9),1,'Non-working days'!$A$6:$A$45)=0),"",IF(COUNTIFS('Leave log'!$A$7:$A$306,Employees!$A$20,'Leave log'!$B$7:$B$306,"&lt;="&amp;DATE($B$3,4,9),'Leave log'!$C$7:$C$306,"&gt;="&amp;DATE($B$3,4,9),'Leave log'!$F$7:$F$306,"Approved")&gt;0,"A",""))="A","A",IF(OR(DATE($B$3,4,9)&gt;EOMONTH(DATE($B$3,4,1),0),NETWORKDAYS.INTL(DATE($B$3,4,9),DATE($B$3,4,9),1,'Non-working days'!$A$6:$A$45)=0),"",IF(COUNTIFS('Leave log'!$A$7:$A$306,Employees!$A$20,'Leave log'!$B$7:$B$306,"&lt;="&amp;DATE($B$3,4,9),'Leave log'!$C$7:$C$306,"&gt;="&amp;DATE($B$3,4,9),'Leave log'!$F$7:$F$306,"Pending")&gt;0,"P",""))))</f>
        <v/>
      </c>
      <c r="K123" s="23" t="str">
        <f>IF(A123="","",IF(IF(OR(DATE($B$3,4,10)&gt;EOMONTH(DATE($B$3,4,1),0),NETWORKDAYS.INTL(DATE($B$3,4,10),DATE($B$3,4,10),1,'Non-working days'!$A$6:$A$45)=0),"",IF(COUNTIFS('Leave log'!$A$7:$A$306,Employees!$A$20,'Leave log'!$B$7:$B$306,"&lt;="&amp;DATE($B$3,4,10),'Leave log'!$C$7:$C$306,"&gt;="&amp;DATE($B$3,4,10),'Leave log'!$F$7:$F$306,"Approved")&gt;0,"A",""))="A","A",IF(OR(DATE($B$3,4,10)&gt;EOMONTH(DATE($B$3,4,1),0),NETWORKDAYS.INTL(DATE($B$3,4,10),DATE($B$3,4,10),1,'Non-working days'!$A$6:$A$45)=0),"",IF(COUNTIFS('Leave log'!$A$7:$A$306,Employees!$A$20,'Leave log'!$B$7:$B$306,"&lt;="&amp;DATE($B$3,4,10),'Leave log'!$C$7:$C$306,"&gt;="&amp;DATE($B$3,4,10),'Leave log'!$F$7:$F$306,"Pending")&gt;0,"P",""))))</f>
        <v/>
      </c>
      <c r="L123" s="23" t="str">
        <f>IF(A123="","",IF(IF(OR(DATE($B$3,4,11)&gt;EOMONTH(DATE($B$3,4,1),0),NETWORKDAYS.INTL(DATE($B$3,4,11),DATE($B$3,4,11),1,'Non-working days'!$A$6:$A$45)=0),"",IF(COUNTIFS('Leave log'!$A$7:$A$306,Employees!$A$20,'Leave log'!$B$7:$B$306,"&lt;="&amp;DATE($B$3,4,11),'Leave log'!$C$7:$C$306,"&gt;="&amp;DATE($B$3,4,11),'Leave log'!$F$7:$F$306,"Approved")&gt;0,"A",""))="A","A",IF(OR(DATE($B$3,4,11)&gt;EOMONTH(DATE($B$3,4,1),0),NETWORKDAYS.INTL(DATE($B$3,4,11),DATE($B$3,4,11),1,'Non-working days'!$A$6:$A$45)=0),"",IF(COUNTIFS('Leave log'!$A$7:$A$306,Employees!$A$20,'Leave log'!$B$7:$B$306,"&lt;="&amp;DATE($B$3,4,11),'Leave log'!$C$7:$C$306,"&gt;="&amp;DATE($B$3,4,11),'Leave log'!$F$7:$F$306,"Pending")&gt;0,"P",""))))</f>
        <v/>
      </c>
      <c r="M123" s="23" t="str">
        <f>IF(A123="","",IF(IF(OR(DATE($B$3,4,12)&gt;EOMONTH(DATE($B$3,4,1),0),NETWORKDAYS.INTL(DATE($B$3,4,12),DATE($B$3,4,12),1,'Non-working days'!$A$6:$A$45)=0),"",IF(COUNTIFS('Leave log'!$A$7:$A$306,Employees!$A$20,'Leave log'!$B$7:$B$306,"&lt;="&amp;DATE($B$3,4,12),'Leave log'!$C$7:$C$306,"&gt;="&amp;DATE($B$3,4,12),'Leave log'!$F$7:$F$306,"Approved")&gt;0,"A",""))="A","A",IF(OR(DATE($B$3,4,12)&gt;EOMONTH(DATE($B$3,4,1),0),NETWORKDAYS.INTL(DATE($B$3,4,12),DATE($B$3,4,12),1,'Non-working days'!$A$6:$A$45)=0),"",IF(COUNTIFS('Leave log'!$A$7:$A$306,Employees!$A$20,'Leave log'!$B$7:$B$306,"&lt;="&amp;DATE($B$3,4,12),'Leave log'!$C$7:$C$306,"&gt;="&amp;DATE($B$3,4,12),'Leave log'!$F$7:$F$306,"Pending")&gt;0,"P",""))))</f>
        <v/>
      </c>
      <c r="N123" s="23" t="str">
        <f>IF(A123="","",IF(IF(OR(DATE($B$3,4,13)&gt;EOMONTH(DATE($B$3,4,1),0),NETWORKDAYS.INTL(DATE($B$3,4,13),DATE($B$3,4,13),1,'Non-working days'!$A$6:$A$45)=0),"",IF(COUNTIFS('Leave log'!$A$7:$A$306,Employees!$A$20,'Leave log'!$B$7:$B$306,"&lt;="&amp;DATE($B$3,4,13),'Leave log'!$C$7:$C$306,"&gt;="&amp;DATE($B$3,4,13),'Leave log'!$F$7:$F$306,"Approved")&gt;0,"A",""))="A","A",IF(OR(DATE($B$3,4,13)&gt;EOMONTH(DATE($B$3,4,1),0),NETWORKDAYS.INTL(DATE($B$3,4,13),DATE($B$3,4,13),1,'Non-working days'!$A$6:$A$45)=0),"",IF(COUNTIFS('Leave log'!$A$7:$A$306,Employees!$A$20,'Leave log'!$B$7:$B$306,"&lt;="&amp;DATE($B$3,4,13),'Leave log'!$C$7:$C$306,"&gt;="&amp;DATE($B$3,4,13),'Leave log'!$F$7:$F$306,"Pending")&gt;0,"P",""))))</f>
        <v/>
      </c>
      <c r="O123" s="23" t="str">
        <f>IF(A123="","",IF(IF(OR(DATE($B$3,4,14)&gt;EOMONTH(DATE($B$3,4,1),0),NETWORKDAYS.INTL(DATE($B$3,4,14),DATE($B$3,4,14),1,'Non-working days'!$A$6:$A$45)=0),"",IF(COUNTIFS('Leave log'!$A$7:$A$306,Employees!$A$20,'Leave log'!$B$7:$B$306,"&lt;="&amp;DATE($B$3,4,14),'Leave log'!$C$7:$C$306,"&gt;="&amp;DATE($B$3,4,14),'Leave log'!$F$7:$F$306,"Approved")&gt;0,"A",""))="A","A",IF(OR(DATE($B$3,4,14)&gt;EOMONTH(DATE($B$3,4,1),0),NETWORKDAYS.INTL(DATE($B$3,4,14),DATE($B$3,4,14),1,'Non-working days'!$A$6:$A$45)=0),"",IF(COUNTIFS('Leave log'!$A$7:$A$306,Employees!$A$20,'Leave log'!$B$7:$B$306,"&lt;="&amp;DATE($B$3,4,14),'Leave log'!$C$7:$C$306,"&gt;="&amp;DATE($B$3,4,14),'Leave log'!$F$7:$F$306,"Pending")&gt;0,"P",""))))</f>
        <v/>
      </c>
      <c r="P123" s="23" t="str">
        <f>IF(A123="","",IF(IF(OR(DATE($B$3,4,15)&gt;EOMONTH(DATE($B$3,4,1),0),NETWORKDAYS.INTL(DATE($B$3,4,15),DATE($B$3,4,15),1,'Non-working days'!$A$6:$A$45)=0),"",IF(COUNTIFS('Leave log'!$A$7:$A$306,Employees!$A$20,'Leave log'!$B$7:$B$306,"&lt;="&amp;DATE($B$3,4,15),'Leave log'!$C$7:$C$306,"&gt;="&amp;DATE($B$3,4,15),'Leave log'!$F$7:$F$306,"Approved")&gt;0,"A",""))="A","A",IF(OR(DATE($B$3,4,15)&gt;EOMONTH(DATE($B$3,4,1),0),NETWORKDAYS.INTL(DATE($B$3,4,15),DATE($B$3,4,15),1,'Non-working days'!$A$6:$A$45)=0),"",IF(COUNTIFS('Leave log'!$A$7:$A$306,Employees!$A$20,'Leave log'!$B$7:$B$306,"&lt;="&amp;DATE($B$3,4,15),'Leave log'!$C$7:$C$306,"&gt;="&amp;DATE($B$3,4,15),'Leave log'!$F$7:$F$306,"Pending")&gt;0,"P",""))))</f>
        <v/>
      </c>
      <c r="Q123" s="23" t="str">
        <f>IF(A123="","",IF(IF(OR(DATE($B$3,4,16)&gt;EOMONTH(DATE($B$3,4,1),0),NETWORKDAYS.INTL(DATE($B$3,4,16),DATE($B$3,4,16),1,'Non-working days'!$A$6:$A$45)=0),"",IF(COUNTIFS('Leave log'!$A$7:$A$306,Employees!$A$20,'Leave log'!$B$7:$B$306,"&lt;="&amp;DATE($B$3,4,16),'Leave log'!$C$7:$C$306,"&gt;="&amp;DATE($B$3,4,16),'Leave log'!$F$7:$F$306,"Approved")&gt;0,"A",""))="A","A",IF(OR(DATE($B$3,4,16)&gt;EOMONTH(DATE($B$3,4,1),0),NETWORKDAYS.INTL(DATE($B$3,4,16),DATE($B$3,4,16),1,'Non-working days'!$A$6:$A$45)=0),"",IF(COUNTIFS('Leave log'!$A$7:$A$306,Employees!$A$20,'Leave log'!$B$7:$B$306,"&lt;="&amp;DATE($B$3,4,16),'Leave log'!$C$7:$C$306,"&gt;="&amp;DATE($B$3,4,16),'Leave log'!$F$7:$F$306,"Pending")&gt;0,"P",""))))</f>
        <v/>
      </c>
      <c r="R123" s="23" t="str">
        <f>IF(A123="","",IF(IF(OR(DATE($B$3,4,17)&gt;EOMONTH(DATE($B$3,4,1),0),NETWORKDAYS.INTL(DATE($B$3,4,17),DATE($B$3,4,17),1,'Non-working days'!$A$6:$A$45)=0),"",IF(COUNTIFS('Leave log'!$A$7:$A$306,Employees!$A$20,'Leave log'!$B$7:$B$306,"&lt;="&amp;DATE($B$3,4,17),'Leave log'!$C$7:$C$306,"&gt;="&amp;DATE($B$3,4,17),'Leave log'!$F$7:$F$306,"Approved")&gt;0,"A",""))="A","A",IF(OR(DATE($B$3,4,17)&gt;EOMONTH(DATE($B$3,4,1),0),NETWORKDAYS.INTL(DATE($B$3,4,17),DATE($B$3,4,17),1,'Non-working days'!$A$6:$A$45)=0),"",IF(COUNTIFS('Leave log'!$A$7:$A$306,Employees!$A$20,'Leave log'!$B$7:$B$306,"&lt;="&amp;DATE($B$3,4,17),'Leave log'!$C$7:$C$306,"&gt;="&amp;DATE($B$3,4,17),'Leave log'!$F$7:$F$306,"Pending")&gt;0,"P",""))))</f>
        <v/>
      </c>
      <c r="S123" s="23" t="str">
        <f>IF(A123="","",IF(IF(OR(DATE($B$3,4,18)&gt;EOMONTH(DATE($B$3,4,1),0),NETWORKDAYS.INTL(DATE($B$3,4,18),DATE($B$3,4,18),1,'Non-working days'!$A$6:$A$45)=0),"",IF(COUNTIFS('Leave log'!$A$7:$A$306,Employees!$A$20,'Leave log'!$B$7:$B$306,"&lt;="&amp;DATE($B$3,4,18),'Leave log'!$C$7:$C$306,"&gt;="&amp;DATE($B$3,4,18),'Leave log'!$F$7:$F$306,"Approved")&gt;0,"A",""))="A","A",IF(OR(DATE($B$3,4,18)&gt;EOMONTH(DATE($B$3,4,1),0),NETWORKDAYS.INTL(DATE($B$3,4,18),DATE($B$3,4,18),1,'Non-working days'!$A$6:$A$45)=0),"",IF(COUNTIFS('Leave log'!$A$7:$A$306,Employees!$A$20,'Leave log'!$B$7:$B$306,"&lt;="&amp;DATE($B$3,4,18),'Leave log'!$C$7:$C$306,"&gt;="&amp;DATE($B$3,4,18),'Leave log'!$F$7:$F$306,"Pending")&gt;0,"P",""))))</f>
        <v/>
      </c>
      <c r="T123" s="23" t="str">
        <f>IF(A123="","",IF(IF(OR(DATE($B$3,4,19)&gt;EOMONTH(DATE($B$3,4,1),0),NETWORKDAYS.INTL(DATE($B$3,4,19),DATE($B$3,4,19),1,'Non-working days'!$A$6:$A$45)=0),"",IF(COUNTIFS('Leave log'!$A$7:$A$306,Employees!$A$20,'Leave log'!$B$7:$B$306,"&lt;="&amp;DATE($B$3,4,19),'Leave log'!$C$7:$C$306,"&gt;="&amp;DATE($B$3,4,19),'Leave log'!$F$7:$F$306,"Approved")&gt;0,"A",""))="A","A",IF(OR(DATE($B$3,4,19)&gt;EOMONTH(DATE($B$3,4,1),0),NETWORKDAYS.INTL(DATE($B$3,4,19),DATE($B$3,4,19),1,'Non-working days'!$A$6:$A$45)=0),"",IF(COUNTIFS('Leave log'!$A$7:$A$306,Employees!$A$20,'Leave log'!$B$7:$B$306,"&lt;="&amp;DATE($B$3,4,19),'Leave log'!$C$7:$C$306,"&gt;="&amp;DATE($B$3,4,19),'Leave log'!$F$7:$F$306,"Pending")&gt;0,"P",""))))</f>
        <v/>
      </c>
      <c r="U123" s="23" t="str">
        <f>IF(A123="","",IF(IF(OR(DATE($B$3,4,20)&gt;EOMONTH(DATE($B$3,4,1),0),NETWORKDAYS.INTL(DATE($B$3,4,20),DATE($B$3,4,20),1,'Non-working days'!$A$6:$A$45)=0),"",IF(COUNTIFS('Leave log'!$A$7:$A$306,Employees!$A$20,'Leave log'!$B$7:$B$306,"&lt;="&amp;DATE($B$3,4,20),'Leave log'!$C$7:$C$306,"&gt;="&amp;DATE($B$3,4,20),'Leave log'!$F$7:$F$306,"Approved")&gt;0,"A",""))="A","A",IF(OR(DATE($B$3,4,20)&gt;EOMONTH(DATE($B$3,4,1),0),NETWORKDAYS.INTL(DATE($B$3,4,20),DATE($B$3,4,20),1,'Non-working days'!$A$6:$A$45)=0),"",IF(COUNTIFS('Leave log'!$A$7:$A$306,Employees!$A$20,'Leave log'!$B$7:$B$306,"&lt;="&amp;DATE($B$3,4,20),'Leave log'!$C$7:$C$306,"&gt;="&amp;DATE($B$3,4,20),'Leave log'!$F$7:$F$306,"Pending")&gt;0,"P",""))))</f>
        <v/>
      </c>
      <c r="V123" s="23" t="str">
        <f>IF(A123="","",IF(IF(OR(DATE($B$3,4,21)&gt;EOMONTH(DATE($B$3,4,1),0),NETWORKDAYS.INTL(DATE($B$3,4,21),DATE($B$3,4,21),1,'Non-working days'!$A$6:$A$45)=0),"",IF(COUNTIFS('Leave log'!$A$7:$A$306,Employees!$A$20,'Leave log'!$B$7:$B$306,"&lt;="&amp;DATE($B$3,4,21),'Leave log'!$C$7:$C$306,"&gt;="&amp;DATE($B$3,4,21),'Leave log'!$F$7:$F$306,"Approved")&gt;0,"A",""))="A","A",IF(OR(DATE($B$3,4,21)&gt;EOMONTH(DATE($B$3,4,1),0),NETWORKDAYS.INTL(DATE($B$3,4,21),DATE($B$3,4,21),1,'Non-working days'!$A$6:$A$45)=0),"",IF(COUNTIFS('Leave log'!$A$7:$A$306,Employees!$A$20,'Leave log'!$B$7:$B$306,"&lt;="&amp;DATE($B$3,4,21),'Leave log'!$C$7:$C$306,"&gt;="&amp;DATE($B$3,4,21),'Leave log'!$F$7:$F$306,"Pending")&gt;0,"P",""))))</f>
        <v/>
      </c>
      <c r="W123" s="23" t="str">
        <f>IF(A123="","",IF(IF(OR(DATE($B$3,4,22)&gt;EOMONTH(DATE($B$3,4,1),0),NETWORKDAYS.INTL(DATE($B$3,4,22),DATE($B$3,4,22),1,'Non-working days'!$A$6:$A$45)=0),"",IF(COUNTIFS('Leave log'!$A$7:$A$306,Employees!$A$20,'Leave log'!$B$7:$B$306,"&lt;="&amp;DATE($B$3,4,22),'Leave log'!$C$7:$C$306,"&gt;="&amp;DATE($B$3,4,22),'Leave log'!$F$7:$F$306,"Approved")&gt;0,"A",""))="A","A",IF(OR(DATE($B$3,4,22)&gt;EOMONTH(DATE($B$3,4,1),0),NETWORKDAYS.INTL(DATE($B$3,4,22),DATE($B$3,4,22),1,'Non-working days'!$A$6:$A$45)=0),"",IF(COUNTIFS('Leave log'!$A$7:$A$306,Employees!$A$20,'Leave log'!$B$7:$B$306,"&lt;="&amp;DATE($B$3,4,22),'Leave log'!$C$7:$C$306,"&gt;="&amp;DATE($B$3,4,22),'Leave log'!$F$7:$F$306,"Pending")&gt;0,"P",""))))</f>
        <v/>
      </c>
      <c r="X123" s="23" t="str">
        <f>IF(A123="","",IF(IF(OR(DATE($B$3,4,23)&gt;EOMONTH(DATE($B$3,4,1),0),NETWORKDAYS.INTL(DATE($B$3,4,23),DATE($B$3,4,23),1,'Non-working days'!$A$6:$A$45)=0),"",IF(COUNTIFS('Leave log'!$A$7:$A$306,Employees!$A$20,'Leave log'!$B$7:$B$306,"&lt;="&amp;DATE($B$3,4,23),'Leave log'!$C$7:$C$306,"&gt;="&amp;DATE($B$3,4,23),'Leave log'!$F$7:$F$306,"Approved")&gt;0,"A",""))="A","A",IF(OR(DATE($B$3,4,23)&gt;EOMONTH(DATE($B$3,4,1),0),NETWORKDAYS.INTL(DATE($B$3,4,23),DATE($B$3,4,23),1,'Non-working days'!$A$6:$A$45)=0),"",IF(COUNTIFS('Leave log'!$A$7:$A$306,Employees!$A$20,'Leave log'!$B$7:$B$306,"&lt;="&amp;DATE($B$3,4,23),'Leave log'!$C$7:$C$306,"&gt;="&amp;DATE($B$3,4,23),'Leave log'!$F$7:$F$306,"Pending")&gt;0,"P",""))))</f>
        <v/>
      </c>
      <c r="Y123" s="23" t="str">
        <f>IF(A123="","",IF(IF(OR(DATE($B$3,4,24)&gt;EOMONTH(DATE($B$3,4,1),0),NETWORKDAYS.INTL(DATE($B$3,4,24),DATE($B$3,4,24),1,'Non-working days'!$A$6:$A$45)=0),"",IF(COUNTIFS('Leave log'!$A$7:$A$306,Employees!$A$20,'Leave log'!$B$7:$B$306,"&lt;="&amp;DATE($B$3,4,24),'Leave log'!$C$7:$C$306,"&gt;="&amp;DATE($B$3,4,24),'Leave log'!$F$7:$F$306,"Approved")&gt;0,"A",""))="A","A",IF(OR(DATE($B$3,4,24)&gt;EOMONTH(DATE($B$3,4,1),0),NETWORKDAYS.INTL(DATE($B$3,4,24),DATE($B$3,4,24),1,'Non-working days'!$A$6:$A$45)=0),"",IF(COUNTIFS('Leave log'!$A$7:$A$306,Employees!$A$20,'Leave log'!$B$7:$B$306,"&lt;="&amp;DATE($B$3,4,24),'Leave log'!$C$7:$C$306,"&gt;="&amp;DATE($B$3,4,24),'Leave log'!$F$7:$F$306,"Pending")&gt;0,"P",""))))</f>
        <v/>
      </c>
      <c r="Z123" s="23" t="str">
        <f>IF(A123="","",IF(IF(OR(DATE($B$3,4,25)&gt;EOMONTH(DATE($B$3,4,1),0),NETWORKDAYS.INTL(DATE($B$3,4,25),DATE($B$3,4,25),1,'Non-working days'!$A$6:$A$45)=0),"",IF(COUNTIFS('Leave log'!$A$7:$A$306,Employees!$A$20,'Leave log'!$B$7:$B$306,"&lt;="&amp;DATE($B$3,4,25),'Leave log'!$C$7:$C$306,"&gt;="&amp;DATE($B$3,4,25),'Leave log'!$F$7:$F$306,"Approved")&gt;0,"A",""))="A","A",IF(OR(DATE($B$3,4,25)&gt;EOMONTH(DATE($B$3,4,1),0),NETWORKDAYS.INTL(DATE($B$3,4,25),DATE($B$3,4,25),1,'Non-working days'!$A$6:$A$45)=0),"",IF(COUNTIFS('Leave log'!$A$7:$A$306,Employees!$A$20,'Leave log'!$B$7:$B$306,"&lt;="&amp;DATE($B$3,4,25),'Leave log'!$C$7:$C$306,"&gt;="&amp;DATE($B$3,4,25),'Leave log'!$F$7:$F$306,"Pending")&gt;0,"P",""))))</f>
        <v/>
      </c>
      <c r="AA123" s="23" t="str">
        <f>IF(A123="","",IF(IF(OR(DATE($B$3,4,26)&gt;EOMONTH(DATE($B$3,4,1),0),NETWORKDAYS.INTL(DATE($B$3,4,26),DATE($B$3,4,26),1,'Non-working days'!$A$6:$A$45)=0),"",IF(COUNTIFS('Leave log'!$A$7:$A$306,Employees!$A$20,'Leave log'!$B$7:$B$306,"&lt;="&amp;DATE($B$3,4,26),'Leave log'!$C$7:$C$306,"&gt;="&amp;DATE($B$3,4,26),'Leave log'!$F$7:$F$306,"Approved")&gt;0,"A",""))="A","A",IF(OR(DATE($B$3,4,26)&gt;EOMONTH(DATE($B$3,4,1),0),NETWORKDAYS.INTL(DATE($B$3,4,26),DATE($B$3,4,26),1,'Non-working days'!$A$6:$A$45)=0),"",IF(COUNTIFS('Leave log'!$A$7:$A$306,Employees!$A$20,'Leave log'!$B$7:$B$306,"&lt;="&amp;DATE($B$3,4,26),'Leave log'!$C$7:$C$306,"&gt;="&amp;DATE($B$3,4,26),'Leave log'!$F$7:$F$306,"Pending")&gt;0,"P",""))))</f>
        <v/>
      </c>
      <c r="AB123" s="23" t="str">
        <f>IF(A123="","",IF(IF(OR(DATE($B$3,4,27)&gt;EOMONTH(DATE($B$3,4,1),0),NETWORKDAYS.INTL(DATE($B$3,4,27),DATE($B$3,4,27),1,'Non-working days'!$A$6:$A$45)=0),"",IF(COUNTIFS('Leave log'!$A$7:$A$306,Employees!$A$20,'Leave log'!$B$7:$B$306,"&lt;="&amp;DATE($B$3,4,27),'Leave log'!$C$7:$C$306,"&gt;="&amp;DATE($B$3,4,27),'Leave log'!$F$7:$F$306,"Approved")&gt;0,"A",""))="A","A",IF(OR(DATE($B$3,4,27)&gt;EOMONTH(DATE($B$3,4,1),0),NETWORKDAYS.INTL(DATE($B$3,4,27),DATE($B$3,4,27),1,'Non-working days'!$A$6:$A$45)=0),"",IF(COUNTIFS('Leave log'!$A$7:$A$306,Employees!$A$20,'Leave log'!$B$7:$B$306,"&lt;="&amp;DATE($B$3,4,27),'Leave log'!$C$7:$C$306,"&gt;="&amp;DATE($B$3,4,27),'Leave log'!$F$7:$F$306,"Pending")&gt;0,"P",""))))</f>
        <v/>
      </c>
      <c r="AC123" s="23" t="str">
        <f>IF(A123="","",IF(IF(OR(DATE($B$3,4,28)&gt;EOMONTH(DATE($B$3,4,1),0),NETWORKDAYS.INTL(DATE($B$3,4,28),DATE($B$3,4,28),1,'Non-working days'!$A$6:$A$45)=0),"",IF(COUNTIFS('Leave log'!$A$7:$A$306,Employees!$A$20,'Leave log'!$B$7:$B$306,"&lt;="&amp;DATE($B$3,4,28),'Leave log'!$C$7:$C$306,"&gt;="&amp;DATE($B$3,4,28),'Leave log'!$F$7:$F$306,"Approved")&gt;0,"A",""))="A","A",IF(OR(DATE($B$3,4,28)&gt;EOMONTH(DATE($B$3,4,1),0),NETWORKDAYS.INTL(DATE($B$3,4,28),DATE($B$3,4,28),1,'Non-working days'!$A$6:$A$45)=0),"",IF(COUNTIFS('Leave log'!$A$7:$A$306,Employees!$A$20,'Leave log'!$B$7:$B$306,"&lt;="&amp;DATE($B$3,4,28),'Leave log'!$C$7:$C$306,"&gt;="&amp;DATE($B$3,4,28),'Leave log'!$F$7:$F$306,"Pending")&gt;0,"P",""))))</f>
        <v/>
      </c>
      <c r="AD123" s="23" t="str">
        <f>IF(A123="","",IF(IF(OR(DATE($B$3,4,29)&gt;EOMONTH(DATE($B$3,4,1),0),NETWORKDAYS.INTL(DATE($B$3,4,29),DATE($B$3,4,29),1,'Non-working days'!$A$6:$A$45)=0),"",IF(COUNTIFS('Leave log'!$A$7:$A$306,Employees!$A$20,'Leave log'!$B$7:$B$306,"&lt;="&amp;DATE($B$3,4,29),'Leave log'!$C$7:$C$306,"&gt;="&amp;DATE($B$3,4,29),'Leave log'!$F$7:$F$306,"Approved")&gt;0,"A",""))="A","A",IF(OR(DATE($B$3,4,29)&gt;EOMONTH(DATE($B$3,4,1),0),NETWORKDAYS.INTL(DATE($B$3,4,29),DATE($B$3,4,29),1,'Non-working days'!$A$6:$A$45)=0),"",IF(COUNTIFS('Leave log'!$A$7:$A$306,Employees!$A$20,'Leave log'!$B$7:$B$306,"&lt;="&amp;DATE($B$3,4,29),'Leave log'!$C$7:$C$306,"&gt;="&amp;DATE($B$3,4,29),'Leave log'!$F$7:$F$306,"Pending")&gt;0,"P",""))))</f>
        <v/>
      </c>
      <c r="AE123" s="23" t="str">
        <f>IF(A123="","",IF(IF(OR(DATE($B$3,4,30)&gt;EOMONTH(DATE($B$3,4,1),0),NETWORKDAYS.INTL(DATE($B$3,4,30),DATE($B$3,4,30),1,'Non-working days'!$A$6:$A$45)=0),"",IF(COUNTIFS('Leave log'!$A$7:$A$306,Employees!$A$20,'Leave log'!$B$7:$B$306,"&lt;="&amp;DATE($B$3,4,30),'Leave log'!$C$7:$C$306,"&gt;="&amp;DATE($B$3,4,30),'Leave log'!$F$7:$F$306,"Approved")&gt;0,"A",""))="A","A",IF(OR(DATE($B$3,4,30)&gt;EOMONTH(DATE($B$3,4,1),0),NETWORKDAYS.INTL(DATE($B$3,4,30),DATE($B$3,4,30),1,'Non-working days'!$A$6:$A$45)=0),"",IF(COUNTIFS('Leave log'!$A$7:$A$306,Employees!$A$20,'Leave log'!$B$7:$B$306,"&lt;="&amp;DATE($B$3,4,30),'Leave log'!$C$7:$C$306,"&gt;="&amp;DATE($B$3,4,30),'Leave log'!$F$7:$F$306,"Pending")&gt;0,"P",""))))</f>
        <v/>
      </c>
      <c r="AF123" s="23" t="str">
        <f>IF(A123="","",IF(IF(OR(DATE($B$3,4,31)&gt;EOMONTH(DATE($B$3,4,1),0),NETWORKDAYS.INTL(DATE($B$3,4,31),DATE($B$3,4,31),1,'Non-working days'!$A$6:$A$45)=0),"",IF(COUNTIFS('Leave log'!$A$7:$A$306,Employees!$A$20,'Leave log'!$B$7:$B$306,"&lt;="&amp;DATE($B$3,4,31),'Leave log'!$C$7:$C$306,"&gt;="&amp;DATE($B$3,4,31),'Leave log'!$F$7:$F$306,"Approved")&gt;0,"A",""))="A","A",IF(OR(DATE($B$3,4,31)&gt;EOMONTH(DATE($B$3,4,1),0),NETWORKDAYS.INTL(DATE($B$3,4,31),DATE($B$3,4,31),1,'Non-working days'!$A$6:$A$45)=0),"",IF(COUNTIFS('Leave log'!$A$7:$A$306,Employees!$A$20,'Leave log'!$B$7:$B$306,"&lt;="&amp;DATE($B$3,4,31),'Leave log'!$C$7:$C$306,"&gt;="&amp;DATE($B$3,4,31),'Leave log'!$F$7:$F$306,"Pending")&gt;0,"P",""))))</f>
        <v/>
      </c>
    </row>
    <row r="124" spans="1:32" ht="18" customHeight="1" x14ac:dyDescent="0.3">
      <c r="A124" s="22" t="str">
        <f>IF(Employees!F21="Yes",Employees!B21,"")</f>
        <v/>
      </c>
      <c r="B124" s="23" t="str">
        <f>IF(A124="","",IF(IF(OR(DATE($B$3,4,1)&gt;EOMONTH(DATE($B$3,4,1),0),NETWORKDAYS.INTL(DATE($B$3,4,1),DATE($B$3,4,1),1,'Non-working days'!$A$6:$A$45)=0),"",IF(COUNTIFS('Leave log'!$A$7:$A$306,Employees!$A$21,'Leave log'!$B$7:$B$306,"&lt;="&amp;DATE($B$3,4,1),'Leave log'!$C$7:$C$306,"&gt;="&amp;DATE($B$3,4,1),'Leave log'!$F$7:$F$306,"Approved")&gt;0,"A",""))="A","A",IF(OR(DATE($B$3,4,1)&gt;EOMONTH(DATE($B$3,4,1),0),NETWORKDAYS.INTL(DATE($B$3,4,1),DATE($B$3,4,1),1,'Non-working days'!$A$6:$A$45)=0),"",IF(COUNTIFS('Leave log'!$A$7:$A$306,Employees!$A$21,'Leave log'!$B$7:$B$306,"&lt;="&amp;DATE($B$3,4,1),'Leave log'!$C$7:$C$306,"&gt;="&amp;DATE($B$3,4,1),'Leave log'!$F$7:$F$306,"Pending")&gt;0,"P",""))))</f>
        <v/>
      </c>
      <c r="C124" s="23" t="str">
        <f>IF(A124="","",IF(IF(OR(DATE($B$3,4,2)&gt;EOMONTH(DATE($B$3,4,1),0),NETWORKDAYS.INTL(DATE($B$3,4,2),DATE($B$3,4,2),1,'Non-working days'!$A$6:$A$45)=0),"",IF(COUNTIFS('Leave log'!$A$7:$A$306,Employees!$A$21,'Leave log'!$B$7:$B$306,"&lt;="&amp;DATE($B$3,4,2),'Leave log'!$C$7:$C$306,"&gt;="&amp;DATE($B$3,4,2),'Leave log'!$F$7:$F$306,"Approved")&gt;0,"A",""))="A","A",IF(OR(DATE($B$3,4,2)&gt;EOMONTH(DATE($B$3,4,1),0),NETWORKDAYS.INTL(DATE($B$3,4,2),DATE($B$3,4,2),1,'Non-working days'!$A$6:$A$45)=0),"",IF(COUNTIFS('Leave log'!$A$7:$A$306,Employees!$A$21,'Leave log'!$B$7:$B$306,"&lt;="&amp;DATE($B$3,4,2),'Leave log'!$C$7:$C$306,"&gt;="&amp;DATE($B$3,4,2),'Leave log'!$F$7:$F$306,"Pending")&gt;0,"P",""))))</f>
        <v/>
      </c>
      <c r="D124" s="23" t="str">
        <f>IF(A124="","",IF(IF(OR(DATE($B$3,4,3)&gt;EOMONTH(DATE($B$3,4,1),0),NETWORKDAYS.INTL(DATE($B$3,4,3),DATE($B$3,4,3),1,'Non-working days'!$A$6:$A$45)=0),"",IF(COUNTIFS('Leave log'!$A$7:$A$306,Employees!$A$21,'Leave log'!$B$7:$B$306,"&lt;="&amp;DATE($B$3,4,3),'Leave log'!$C$7:$C$306,"&gt;="&amp;DATE($B$3,4,3),'Leave log'!$F$7:$F$306,"Approved")&gt;0,"A",""))="A","A",IF(OR(DATE($B$3,4,3)&gt;EOMONTH(DATE($B$3,4,1),0),NETWORKDAYS.INTL(DATE($B$3,4,3),DATE($B$3,4,3),1,'Non-working days'!$A$6:$A$45)=0),"",IF(COUNTIFS('Leave log'!$A$7:$A$306,Employees!$A$21,'Leave log'!$B$7:$B$306,"&lt;="&amp;DATE($B$3,4,3),'Leave log'!$C$7:$C$306,"&gt;="&amp;DATE($B$3,4,3),'Leave log'!$F$7:$F$306,"Pending")&gt;0,"P",""))))</f>
        <v/>
      </c>
      <c r="E124" s="23" t="str">
        <f>IF(A124="","",IF(IF(OR(DATE($B$3,4,4)&gt;EOMONTH(DATE($B$3,4,1),0),NETWORKDAYS.INTL(DATE($B$3,4,4),DATE($B$3,4,4),1,'Non-working days'!$A$6:$A$45)=0),"",IF(COUNTIFS('Leave log'!$A$7:$A$306,Employees!$A$21,'Leave log'!$B$7:$B$306,"&lt;="&amp;DATE($B$3,4,4),'Leave log'!$C$7:$C$306,"&gt;="&amp;DATE($B$3,4,4),'Leave log'!$F$7:$F$306,"Approved")&gt;0,"A",""))="A","A",IF(OR(DATE($B$3,4,4)&gt;EOMONTH(DATE($B$3,4,1),0),NETWORKDAYS.INTL(DATE($B$3,4,4),DATE($B$3,4,4),1,'Non-working days'!$A$6:$A$45)=0),"",IF(COUNTIFS('Leave log'!$A$7:$A$306,Employees!$A$21,'Leave log'!$B$7:$B$306,"&lt;="&amp;DATE($B$3,4,4),'Leave log'!$C$7:$C$306,"&gt;="&amp;DATE($B$3,4,4),'Leave log'!$F$7:$F$306,"Pending")&gt;0,"P",""))))</f>
        <v/>
      </c>
      <c r="F124" s="23" t="str">
        <f>IF(A124="","",IF(IF(OR(DATE($B$3,4,5)&gt;EOMONTH(DATE($B$3,4,1),0),NETWORKDAYS.INTL(DATE($B$3,4,5),DATE($B$3,4,5),1,'Non-working days'!$A$6:$A$45)=0),"",IF(COUNTIFS('Leave log'!$A$7:$A$306,Employees!$A$21,'Leave log'!$B$7:$B$306,"&lt;="&amp;DATE($B$3,4,5),'Leave log'!$C$7:$C$306,"&gt;="&amp;DATE($B$3,4,5),'Leave log'!$F$7:$F$306,"Approved")&gt;0,"A",""))="A","A",IF(OR(DATE($B$3,4,5)&gt;EOMONTH(DATE($B$3,4,1),0),NETWORKDAYS.INTL(DATE($B$3,4,5),DATE($B$3,4,5),1,'Non-working days'!$A$6:$A$45)=0),"",IF(COUNTIFS('Leave log'!$A$7:$A$306,Employees!$A$21,'Leave log'!$B$7:$B$306,"&lt;="&amp;DATE($B$3,4,5),'Leave log'!$C$7:$C$306,"&gt;="&amp;DATE($B$3,4,5),'Leave log'!$F$7:$F$306,"Pending")&gt;0,"P",""))))</f>
        <v/>
      </c>
      <c r="G124" s="23" t="str">
        <f>IF(A124="","",IF(IF(OR(DATE($B$3,4,6)&gt;EOMONTH(DATE($B$3,4,1),0),NETWORKDAYS.INTL(DATE($B$3,4,6),DATE($B$3,4,6),1,'Non-working days'!$A$6:$A$45)=0),"",IF(COUNTIFS('Leave log'!$A$7:$A$306,Employees!$A$21,'Leave log'!$B$7:$B$306,"&lt;="&amp;DATE($B$3,4,6),'Leave log'!$C$7:$C$306,"&gt;="&amp;DATE($B$3,4,6),'Leave log'!$F$7:$F$306,"Approved")&gt;0,"A",""))="A","A",IF(OR(DATE($B$3,4,6)&gt;EOMONTH(DATE($B$3,4,1),0),NETWORKDAYS.INTL(DATE($B$3,4,6),DATE($B$3,4,6),1,'Non-working days'!$A$6:$A$45)=0),"",IF(COUNTIFS('Leave log'!$A$7:$A$306,Employees!$A$21,'Leave log'!$B$7:$B$306,"&lt;="&amp;DATE($B$3,4,6),'Leave log'!$C$7:$C$306,"&gt;="&amp;DATE($B$3,4,6),'Leave log'!$F$7:$F$306,"Pending")&gt;0,"P",""))))</f>
        <v/>
      </c>
      <c r="H124" s="23" t="str">
        <f>IF(A124="","",IF(IF(OR(DATE($B$3,4,7)&gt;EOMONTH(DATE($B$3,4,1),0),NETWORKDAYS.INTL(DATE($B$3,4,7),DATE($B$3,4,7),1,'Non-working days'!$A$6:$A$45)=0),"",IF(COUNTIFS('Leave log'!$A$7:$A$306,Employees!$A$21,'Leave log'!$B$7:$B$306,"&lt;="&amp;DATE($B$3,4,7),'Leave log'!$C$7:$C$306,"&gt;="&amp;DATE($B$3,4,7),'Leave log'!$F$7:$F$306,"Approved")&gt;0,"A",""))="A","A",IF(OR(DATE($B$3,4,7)&gt;EOMONTH(DATE($B$3,4,1),0),NETWORKDAYS.INTL(DATE($B$3,4,7),DATE($B$3,4,7),1,'Non-working days'!$A$6:$A$45)=0),"",IF(COUNTIFS('Leave log'!$A$7:$A$306,Employees!$A$21,'Leave log'!$B$7:$B$306,"&lt;="&amp;DATE($B$3,4,7),'Leave log'!$C$7:$C$306,"&gt;="&amp;DATE($B$3,4,7),'Leave log'!$F$7:$F$306,"Pending")&gt;0,"P",""))))</f>
        <v/>
      </c>
      <c r="I124" s="23" t="str">
        <f>IF(A124="","",IF(IF(OR(DATE($B$3,4,8)&gt;EOMONTH(DATE($B$3,4,1),0),NETWORKDAYS.INTL(DATE($B$3,4,8),DATE($B$3,4,8),1,'Non-working days'!$A$6:$A$45)=0),"",IF(COUNTIFS('Leave log'!$A$7:$A$306,Employees!$A$21,'Leave log'!$B$7:$B$306,"&lt;="&amp;DATE($B$3,4,8),'Leave log'!$C$7:$C$306,"&gt;="&amp;DATE($B$3,4,8),'Leave log'!$F$7:$F$306,"Approved")&gt;0,"A",""))="A","A",IF(OR(DATE($B$3,4,8)&gt;EOMONTH(DATE($B$3,4,1),0),NETWORKDAYS.INTL(DATE($B$3,4,8),DATE($B$3,4,8),1,'Non-working days'!$A$6:$A$45)=0),"",IF(COUNTIFS('Leave log'!$A$7:$A$306,Employees!$A$21,'Leave log'!$B$7:$B$306,"&lt;="&amp;DATE($B$3,4,8),'Leave log'!$C$7:$C$306,"&gt;="&amp;DATE($B$3,4,8),'Leave log'!$F$7:$F$306,"Pending")&gt;0,"P",""))))</f>
        <v/>
      </c>
      <c r="J124" s="23" t="str">
        <f>IF(A124="","",IF(IF(OR(DATE($B$3,4,9)&gt;EOMONTH(DATE($B$3,4,1),0),NETWORKDAYS.INTL(DATE($B$3,4,9),DATE($B$3,4,9),1,'Non-working days'!$A$6:$A$45)=0),"",IF(COUNTIFS('Leave log'!$A$7:$A$306,Employees!$A$21,'Leave log'!$B$7:$B$306,"&lt;="&amp;DATE($B$3,4,9),'Leave log'!$C$7:$C$306,"&gt;="&amp;DATE($B$3,4,9),'Leave log'!$F$7:$F$306,"Approved")&gt;0,"A",""))="A","A",IF(OR(DATE($B$3,4,9)&gt;EOMONTH(DATE($B$3,4,1),0),NETWORKDAYS.INTL(DATE($B$3,4,9),DATE($B$3,4,9),1,'Non-working days'!$A$6:$A$45)=0),"",IF(COUNTIFS('Leave log'!$A$7:$A$306,Employees!$A$21,'Leave log'!$B$7:$B$306,"&lt;="&amp;DATE($B$3,4,9),'Leave log'!$C$7:$C$306,"&gt;="&amp;DATE($B$3,4,9),'Leave log'!$F$7:$F$306,"Pending")&gt;0,"P",""))))</f>
        <v/>
      </c>
      <c r="K124" s="23" t="str">
        <f>IF(A124="","",IF(IF(OR(DATE($B$3,4,10)&gt;EOMONTH(DATE($B$3,4,1),0),NETWORKDAYS.INTL(DATE($B$3,4,10),DATE($B$3,4,10),1,'Non-working days'!$A$6:$A$45)=0),"",IF(COUNTIFS('Leave log'!$A$7:$A$306,Employees!$A$21,'Leave log'!$B$7:$B$306,"&lt;="&amp;DATE($B$3,4,10),'Leave log'!$C$7:$C$306,"&gt;="&amp;DATE($B$3,4,10),'Leave log'!$F$7:$F$306,"Approved")&gt;0,"A",""))="A","A",IF(OR(DATE($B$3,4,10)&gt;EOMONTH(DATE($B$3,4,1),0),NETWORKDAYS.INTL(DATE($B$3,4,10),DATE($B$3,4,10),1,'Non-working days'!$A$6:$A$45)=0),"",IF(COUNTIFS('Leave log'!$A$7:$A$306,Employees!$A$21,'Leave log'!$B$7:$B$306,"&lt;="&amp;DATE($B$3,4,10),'Leave log'!$C$7:$C$306,"&gt;="&amp;DATE($B$3,4,10),'Leave log'!$F$7:$F$306,"Pending")&gt;0,"P",""))))</f>
        <v/>
      </c>
      <c r="L124" s="23" t="str">
        <f>IF(A124="","",IF(IF(OR(DATE($B$3,4,11)&gt;EOMONTH(DATE($B$3,4,1),0),NETWORKDAYS.INTL(DATE($B$3,4,11),DATE($B$3,4,11),1,'Non-working days'!$A$6:$A$45)=0),"",IF(COUNTIFS('Leave log'!$A$7:$A$306,Employees!$A$21,'Leave log'!$B$7:$B$306,"&lt;="&amp;DATE($B$3,4,11),'Leave log'!$C$7:$C$306,"&gt;="&amp;DATE($B$3,4,11),'Leave log'!$F$7:$F$306,"Approved")&gt;0,"A",""))="A","A",IF(OR(DATE($B$3,4,11)&gt;EOMONTH(DATE($B$3,4,1),0),NETWORKDAYS.INTL(DATE($B$3,4,11),DATE($B$3,4,11),1,'Non-working days'!$A$6:$A$45)=0),"",IF(COUNTIFS('Leave log'!$A$7:$A$306,Employees!$A$21,'Leave log'!$B$7:$B$306,"&lt;="&amp;DATE($B$3,4,11),'Leave log'!$C$7:$C$306,"&gt;="&amp;DATE($B$3,4,11),'Leave log'!$F$7:$F$306,"Pending")&gt;0,"P",""))))</f>
        <v/>
      </c>
      <c r="M124" s="23" t="str">
        <f>IF(A124="","",IF(IF(OR(DATE($B$3,4,12)&gt;EOMONTH(DATE($B$3,4,1),0),NETWORKDAYS.INTL(DATE($B$3,4,12),DATE($B$3,4,12),1,'Non-working days'!$A$6:$A$45)=0),"",IF(COUNTIFS('Leave log'!$A$7:$A$306,Employees!$A$21,'Leave log'!$B$7:$B$306,"&lt;="&amp;DATE($B$3,4,12),'Leave log'!$C$7:$C$306,"&gt;="&amp;DATE($B$3,4,12),'Leave log'!$F$7:$F$306,"Approved")&gt;0,"A",""))="A","A",IF(OR(DATE($B$3,4,12)&gt;EOMONTH(DATE($B$3,4,1),0),NETWORKDAYS.INTL(DATE($B$3,4,12),DATE($B$3,4,12),1,'Non-working days'!$A$6:$A$45)=0),"",IF(COUNTIFS('Leave log'!$A$7:$A$306,Employees!$A$21,'Leave log'!$B$7:$B$306,"&lt;="&amp;DATE($B$3,4,12),'Leave log'!$C$7:$C$306,"&gt;="&amp;DATE($B$3,4,12),'Leave log'!$F$7:$F$306,"Pending")&gt;0,"P",""))))</f>
        <v/>
      </c>
      <c r="N124" s="23" t="str">
        <f>IF(A124="","",IF(IF(OR(DATE($B$3,4,13)&gt;EOMONTH(DATE($B$3,4,1),0),NETWORKDAYS.INTL(DATE($B$3,4,13),DATE($B$3,4,13),1,'Non-working days'!$A$6:$A$45)=0),"",IF(COUNTIFS('Leave log'!$A$7:$A$306,Employees!$A$21,'Leave log'!$B$7:$B$306,"&lt;="&amp;DATE($B$3,4,13),'Leave log'!$C$7:$C$306,"&gt;="&amp;DATE($B$3,4,13),'Leave log'!$F$7:$F$306,"Approved")&gt;0,"A",""))="A","A",IF(OR(DATE($B$3,4,13)&gt;EOMONTH(DATE($B$3,4,1),0),NETWORKDAYS.INTL(DATE($B$3,4,13),DATE($B$3,4,13),1,'Non-working days'!$A$6:$A$45)=0),"",IF(COUNTIFS('Leave log'!$A$7:$A$306,Employees!$A$21,'Leave log'!$B$7:$B$306,"&lt;="&amp;DATE($B$3,4,13),'Leave log'!$C$7:$C$306,"&gt;="&amp;DATE($B$3,4,13),'Leave log'!$F$7:$F$306,"Pending")&gt;0,"P",""))))</f>
        <v/>
      </c>
      <c r="O124" s="23" t="str">
        <f>IF(A124="","",IF(IF(OR(DATE($B$3,4,14)&gt;EOMONTH(DATE($B$3,4,1),0),NETWORKDAYS.INTL(DATE($B$3,4,14),DATE($B$3,4,14),1,'Non-working days'!$A$6:$A$45)=0),"",IF(COUNTIFS('Leave log'!$A$7:$A$306,Employees!$A$21,'Leave log'!$B$7:$B$306,"&lt;="&amp;DATE($B$3,4,14),'Leave log'!$C$7:$C$306,"&gt;="&amp;DATE($B$3,4,14),'Leave log'!$F$7:$F$306,"Approved")&gt;0,"A",""))="A","A",IF(OR(DATE($B$3,4,14)&gt;EOMONTH(DATE($B$3,4,1),0),NETWORKDAYS.INTL(DATE($B$3,4,14),DATE($B$3,4,14),1,'Non-working days'!$A$6:$A$45)=0),"",IF(COUNTIFS('Leave log'!$A$7:$A$306,Employees!$A$21,'Leave log'!$B$7:$B$306,"&lt;="&amp;DATE($B$3,4,14),'Leave log'!$C$7:$C$306,"&gt;="&amp;DATE($B$3,4,14),'Leave log'!$F$7:$F$306,"Pending")&gt;0,"P",""))))</f>
        <v/>
      </c>
      <c r="P124" s="23" t="str">
        <f>IF(A124="","",IF(IF(OR(DATE($B$3,4,15)&gt;EOMONTH(DATE($B$3,4,1),0),NETWORKDAYS.INTL(DATE($B$3,4,15),DATE($B$3,4,15),1,'Non-working days'!$A$6:$A$45)=0),"",IF(COUNTIFS('Leave log'!$A$7:$A$306,Employees!$A$21,'Leave log'!$B$7:$B$306,"&lt;="&amp;DATE($B$3,4,15),'Leave log'!$C$7:$C$306,"&gt;="&amp;DATE($B$3,4,15),'Leave log'!$F$7:$F$306,"Approved")&gt;0,"A",""))="A","A",IF(OR(DATE($B$3,4,15)&gt;EOMONTH(DATE($B$3,4,1),0),NETWORKDAYS.INTL(DATE($B$3,4,15),DATE($B$3,4,15),1,'Non-working days'!$A$6:$A$45)=0),"",IF(COUNTIFS('Leave log'!$A$7:$A$306,Employees!$A$21,'Leave log'!$B$7:$B$306,"&lt;="&amp;DATE($B$3,4,15),'Leave log'!$C$7:$C$306,"&gt;="&amp;DATE($B$3,4,15),'Leave log'!$F$7:$F$306,"Pending")&gt;0,"P",""))))</f>
        <v/>
      </c>
      <c r="Q124" s="23" t="str">
        <f>IF(A124="","",IF(IF(OR(DATE($B$3,4,16)&gt;EOMONTH(DATE($B$3,4,1),0),NETWORKDAYS.INTL(DATE($B$3,4,16),DATE($B$3,4,16),1,'Non-working days'!$A$6:$A$45)=0),"",IF(COUNTIFS('Leave log'!$A$7:$A$306,Employees!$A$21,'Leave log'!$B$7:$B$306,"&lt;="&amp;DATE($B$3,4,16),'Leave log'!$C$7:$C$306,"&gt;="&amp;DATE($B$3,4,16),'Leave log'!$F$7:$F$306,"Approved")&gt;0,"A",""))="A","A",IF(OR(DATE($B$3,4,16)&gt;EOMONTH(DATE($B$3,4,1),0),NETWORKDAYS.INTL(DATE($B$3,4,16),DATE($B$3,4,16),1,'Non-working days'!$A$6:$A$45)=0),"",IF(COUNTIFS('Leave log'!$A$7:$A$306,Employees!$A$21,'Leave log'!$B$7:$B$306,"&lt;="&amp;DATE($B$3,4,16),'Leave log'!$C$7:$C$306,"&gt;="&amp;DATE($B$3,4,16),'Leave log'!$F$7:$F$306,"Pending")&gt;0,"P",""))))</f>
        <v/>
      </c>
      <c r="R124" s="23" t="str">
        <f>IF(A124="","",IF(IF(OR(DATE($B$3,4,17)&gt;EOMONTH(DATE($B$3,4,1),0),NETWORKDAYS.INTL(DATE($B$3,4,17),DATE($B$3,4,17),1,'Non-working days'!$A$6:$A$45)=0),"",IF(COUNTIFS('Leave log'!$A$7:$A$306,Employees!$A$21,'Leave log'!$B$7:$B$306,"&lt;="&amp;DATE($B$3,4,17),'Leave log'!$C$7:$C$306,"&gt;="&amp;DATE($B$3,4,17),'Leave log'!$F$7:$F$306,"Approved")&gt;0,"A",""))="A","A",IF(OR(DATE($B$3,4,17)&gt;EOMONTH(DATE($B$3,4,1),0),NETWORKDAYS.INTL(DATE($B$3,4,17),DATE($B$3,4,17),1,'Non-working days'!$A$6:$A$45)=0),"",IF(COUNTIFS('Leave log'!$A$7:$A$306,Employees!$A$21,'Leave log'!$B$7:$B$306,"&lt;="&amp;DATE($B$3,4,17),'Leave log'!$C$7:$C$306,"&gt;="&amp;DATE($B$3,4,17),'Leave log'!$F$7:$F$306,"Pending")&gt;0,"P",""))))</f>
        <v/>
      </c>
      <c r="S124" s="23" t="str">
        <f>IF(A124="","",IF(IF(OR(DATE($B$3,4,18)&gt;EOMONTH(DATE($B$3,4,1),0),NETWORKDAYS.INTL(DATE($B$3,4,18),DATE($B$3,4,18),1,'Non-working days'!$A$6:$A$45)=0),"",IF(COUNTIFS('Leave log'!$A$7:$A$306,Employees!$A$21,'Leave log'!$B$7:$B$306,"&lt;="&amp;DATE($B$3,4,18),'Leave log'!$C$7:$C$306,"&gt;="&amp;DATE($B$3,4,18),'Leave log'!$F$7:$F$306,"Approved")&gt;0,"A",""))="A","A",IF(OR(DATE($B$3,4,18)&gt;EOMONTH(DATE($B$3,4,1),0),NETWORKDAYS.INTL(DATE($B$3,4,18),DATE($B$3,4,18),1,'Non-working days'!$A$6:$A$45)=0),"",IF(COUNTIFS('Leave log'!$A$7:$A$306,Employees!$A$21,'Leave log'!$B$7:$B$306,"&lt;="&amp;DATE($B$3,4,18),'Leave log'!$C$7:$C$306,"&gt;="&amp;DATE($B$3,4,18),'Leave log'!$F$7:$F$306,"Pending")&gt;0,"P",""))))</f>
        <v/>
      </c>
      <c r="T124" s="23" t="str">
        <f>IF(A124="","",IF(IF(OR(DATE($B$3,4,19)&gt;EOMONTH(DATE($B$3,4,1),0),NETWORKDAYS.INTL(DATE($B$3,4,19),DATE($B$3,4,19),1,'Non-working days'!$A$6:$A$45)=0),"",IF(COUNTIFS('Leave log'!$A$7:$A$306,Employees!$A$21,'Leave log'!$B$7:$B$306,"&lt;="&amp;DATE($B$3,4,19),'Leave log'!$C$7:$C$306,"&gt;="&amp;DATE($B$3,4,19),'Leave log'!$F$7:$F$306,"Approved")&gt;0,"A",""))="A","A",IF(OR(DATE($B$3,4,19)&gt;EOMONTH(DATE($B$3,4,1),0),NETWORKDAYS.INTL(DATE($B$3,4,19),DATE($B$3,4,19),1,'Non-working days'!$A$6:$A$45)=0),"",IF(COUNTIFS('Leave log'!$A$7:$A$306,Employees!$A$21,'Leave log'!$B$7:$B$306,"&lt;="&amp;DATE($B$3,4,19),'Leave log'!$C$7:$C$306,"&gt;="&amp;DATE($B$3,4,19),'Leave log'!$F$7:$F$306,"Pending")&gt;0,"P",""))))</f>
        <v/>
      </c>
      <c r="U124" s="23" t="str">
        <f>IF(A124="","",IF(IF(OR(DATE($B$3,4,20)&gt;EOMONTH(DATE($B$3,4,1),0),NETWORKDAYS.INTL(DATE($B$3,4,20),DATE($B$3,4,20),1,'Non-working days'!$A$6:$A$45)=0),"",IF(COUNTIFS('Leave log'!$A$7:$A$306,Employees!$A$21,'Leave log'!$B$7:$B$306,"&lt;="&amp;DATE($B$3,4,20),'Leave log'!$C$7:$C$306,"&gt;="&amp;DATE($B$3,4,20),'Leave log'!$F$7:$F$306,"Approved")&gt;0,"A",""))="A","A",IF(OR(DATE($B$3,4,20)&gt;EOMONTH(DATE($B$3,4,1),0),NETWORKDAYS.INTL(DATE($B$3,4,20),DATE($B$3,4,20),1,'Non-working days'!$A$6:$A$45)=0),"",IF(COUNTIFS('Leave log'!$A$7:$A$306,Employees!$A$21,'Leave log'!$B$7:$B$306,"&lt;="&amp;DATE($B$3,4,20),'Leave log'!$C$7:$C$306,"&gt;="&amp;DATE($B$3,4,20),'Leave log'!$F$7:$F$306,"Pending")&gt;0,"P",""))))</f>
        <v/>
      </c>
      <c r="V124" s="23" t="str">
        <f>IF(A124="","",IF(IF(OR(DATE($B$3,4,21)&gt;EOMONTH(DATE($B$3,4,1),0),NETWORKDAYS.INTL(DATE($B$3,4,21),DATE($B$3,4,21),1,'Non-working days'!$A$6:$A$45)=0),"",IF(COUNTIFS('Leave log'!$A$7:$A$306,Employees!$A$21,'Leave log'!$B$7:$B$306,"&lt;="&amp;DATE($B$3,4,21),'Leave log'!$C$7:$C$306,"&gt;="&amp;DATE($B$3,4,21),'Leave log'!$F$7:$F$306,"Approved")&gt;0,"A",""))="A","A",IF(OR(DATE($B$3,4,21)&gt;EOMONTH(DATE($B$3,4,1),0),NETWORKDAYS.INTL(DATE($B$3,4,21),DATE($B$3,4,21),1,'Non-working days'!$A$6:$A$45)=0),"",IF(COUNTIFS('Leave log'!$A$7:$A$306,Employees!$A$21,'Leave log'!$B$7:$B$306,"&lt;="&amp;DATE($B$3,4,21),'Leave log'!$C$7:$C$306,"&gt;="&amp;DATE($B$3,4,21),'Leave log'!$F$7:$F$306,"Pending")&gt;0,"P",""))))</f>
        <v/>
      </c>
      <c r="W124" s="23" t="str">
        <f>IF(A124="","",IF(IF(OR(DATE($B$3,4,22)&gt;EOMONTH(DATE($B$3,4,1),0),NETWORKDAYS.INTL(DATE($B$3,4,22),DATE($B$3,4,22),1,'Non-working days'!$A$6:$A$45)=0),"",IF(COUNTIFS('Leave log'!$A$7:$A$306,Employees!$A$21,'Leave log'!$B$7:$B$306,"&lt;="&amp;DATE($B$3,4,22),'Leave log'!$C$7:$C$306,"&gt;="&amp;DATE($B$3,4,22),'Leave log'!$F$7:$F$306,"Approved")&gt;0,"A",""))="A","A",IF(OR(DATE($B$3,4,22)&gt;EOMONTH(DATE($B$3,4,1),0),NETWORKDAYS.INTL(DATE($B$3,4,22),DATE($B$3,4,22),1,'Non-working days'!$A$6:$A$45)=0),"",IF(COUNTIFS('Leave log'!$A$7:$A$306,Employees!$A$21,'Leave log'!$B$7:$B$306,"&lt;="&amp;DATE($B$3,4,22),'Leave log'!$C$7:$C$306,"&gt;="&amp;DATE($B$3,4,22),'Leave log'!$F$7:$F$306,"Pending")&gt;0,"P",""))))</f>
        <v/>
      </c>
      <c r="X124" s="23" t="str">
        <f>IF(A124="","",IF(IF(OR(DATE($B$3,4,23)&gt;EOMONTH(DATE($B$3,4,1),0),NETWORKDAYS.INTL(DATE($B$3,4,23),DATE($B$3,4,23),1,'Non-working days'!$A$6:$A$45)=0),"",IF(COUNTIFS('Leave log'!$A$7:$A$306,Employees!$A$21,'Leave log'!$B$7:$B$306,"&lt;="&amp;DATE($B$3,4,23),'Leave log'!$C$7:$C$306,"&gt;="&amp;DATE($B$3,4,23),'Leave log'!$F$7:$F$306,"Approved")&gt;0,"A",""))="A","A",IF(OR(DATE($B$3,4,23)&gt;EOMONTH(DATE($B$3,4,1),0),NETWORKDAYS.INTL(DATE($B$3,4,23),DATE($B$3,4,23),1,'Non-working days'!$A$6:$A$45)=0),"",IF(COUNTIFS('Leave log'!$A$7:$A$306,Employees!$A$21,'Leave log'!$B$7:$B$306,"&lt;="&amp;DATE($B$3,4,23),'Leave log'!$C$7:$C$306,"&gt;="&amp;DATE($B$3,4,23),'Leave log'!$F$7:$F$306,"Pending")&gt;0,"P",""))))</f>
        <v/>
      </c>
      <c r="Y124" s="23" t="str">
        <f>IF(A124="","",IF(IF(OR(DATE($B$3,4,24)&gt;EOMONTH(DATE($B$3,4,1),0),NETWORKDAYS.INTL(DATE($B$3,4,24),DATE($B$3,4,24),1,'Non-working days'!$A$6:$A$45)=0),"",IF(COUNTIFS('Leave log'!$A$7:$A$306,Employees!$A$21,'Leave log'!$B$7:$B$306,"&lt;="&amp;DATE($B$3,4,24),'Leave log'!$C$7:$C$306,"&gt;="&amp;DATE($B$3,4,24),'Leave log'!$F$7:$F$306,"Approved")&gt;0,"A",""))="A","A",IF(OR(DATE($B$3,4,24)&gt;EOMONTH(DATE($B$3,4,1),0),NETWORKDAYS.INTL(DATE($B$3,4,24),DATE($B$3,4,24),1,'Non-working days'!$A$6:$A$45)=0),"",IF(COUNTIFS('Leave log'!$A$7:$A$306,Employees!$A$21,'Leave log'!$B$7:$B$306,"&lt;="&amp;DATE($B$3,4,24),'Leave log'!$C$7:$C$306,"&gt;="&amp;DATE($B$3,4,24),'Leave log'!$F$7:$F$306,"Pending")&gt;0,"P",""))))</f>
        <v/>
      </c>
      <c r="Z124" s="23" t="str">
        <f>IF(A124="","",IF(IF(OR(DATE($B$3,4,25)&gt;EOMONTH(DATE($B$3,4,1),0),NETWORKDAYS.INTL(DATE($B$3,4,25),DATE($B$3,4,25),1,'Non-working days'!$A$6:$A$45)=0),"",IF(COUNTIFS('Leave log'!$A$7:$A$306,Employees!$A$21,'Leave log'!$B$7:$B$306,"&lt;="&amp;DATE($B$3,4,25),'Leave log'!$C$7:$C$306,"&gt;="&amp;DATE($B$3,4,25),'Leave log'!$F$7:$F$306,"Approved")&gt;0,"A",""))="A","A",IF(OR(DATE($B$3,4,25)&gt;EOMONTH(DATE($B$3,4,1),0),NETWORKDAYS.INTL(DATE($B$3,4,25),DATE($B$3,4,25),1,'Non-working days'!$A$6:$A$45)=0),"",IF(COUNTIFS('Leave log'!$A$7:$A$306,Employees!$A$21,'Leave log'!$B$7:$B$306,"&lt;="&amp;DATE($B$3,4,25),'Leave log'!$C$7:$C$306,"&gt;="&amp;DATE($B$3,4,25),'Leave log'!$F$7:$F$306,"Pending")&gt;0,"P",""))))</f>
        <v/>
      </c>
      <c r="AA124" s="23" t="str">
        <f>IF(A124="","",IF(IF(OR(DATE($B$3,4,26)&gt;EOMONTH(DATE($B$3,4,1),0),NETWORKDAYS.INTL(DATE($B$3,4,26),DATE($B$3,4,26),1,'Non-working days'!$A$6:$A$45)=0),"",IF(COUNTIFS('Leave log'!$A$7:$A$306,Employees!$A$21,'Leave log'!$B$7:$B$306,"&lt;="&amp;DATE($B$3,4,26),'Leave log'!$C$7:$C$306,"&gt;="&amp;DATE($B$3,4,26),'Leave log'!$F$7:$F$306,"Approved")&gt;0,"A",""))="A","A",IF(OR(DATE($B$3,4,26)&gt;EOMONTH(DATE($B$3,4,1),0),NETWORKDAYS.INTL(DATE($B$3,4,26),DATE($B$3,4,26),1,'Non-working days'!$A$6:$A$45)=0),"",IF(COUNTIFS('Leave log'!$A$7:$A$306,Employees!$A$21,'Leave log'!$B$7:$B$306,"&lt;="&amp;DATE($B$3,4,26),'Leave log'!$C$7:$C$306,"&gt;="&amp;DATE($B$3,4,26),'Leave log'!$F$7:$F$306,"Pending")&gt;0,"P",""))))</f>
        <v/>
      </c>
      <c r="AB124" s="23" t="str">
        <f>IF(A124="","",IF(IF(OR(DATE($B$3,4,27)&gt;EOMONTH(DATE($B$3,4,1),0),NETWORKDAYS.INTL(DATE($B$3,4,27),DATE($B$3,4,27),1,'Non-working days'!$A$6:$A$45)=0),"",IF(COUNTIFS('Leave log'!$A$7:$A$306,Employees!$A$21,'Leave log'!$B$7:$B$306,"&lt;="&amp;DATE($B$3,4,27),'Leave log'!$C$7:$C$306,"&gt;="&amp;DATE($B$3,4,27),'Leave log'!$F$7:$F$306,"Approved")&gt;0,"A",""))="A","A",IF(OR(DATE($B$3,4,27)&gt;EOMONTH(DATE($B$3,4,1),0),NETWORKDAYS.INTL(DATE($B$3,4,27),DATE($B$3,4,27),1,'Non-working days'!$A$6:$A$45)=0),"",IF(COUNTIFS('Leave log'!$A$7:$A$306,Employees!$A$21,'Leave log'!$B$7:$B$306,"&lt;="&amp;DATE($B$3,4,27),'Leave log'!$C$7:$C$306,"&gt;="&amp;DATE($B$3,4,27),'Leave log'!$F$7:$F$306,"Pending")&gt;0,"P",""))))</f>
        <v/>
      </c>
      <c r="AC124" s="23" t="str">
        <f>IF(A124="","",IF(IF(OR(DATE($B$3,4,28)&gt;EOMONTH(DATE($B$3,4,1),0),NETWORKDAYS.INTL(DATE($B$3,4,28),DATE($B$3,4,28),1,'Non-working days'!$A$6:$A$45)=0),"",IF(COUNTIFS('Leave log'!$A$7:$A$306,Employees!$A$21,'Leave log'!$B$7:$B$306,"&lt;="&amp;DATE($B$3,4,28),'Leave log'!$C$7:$C$306,"&gt;="&amp;DATE($B$3,4,28),'Leave log'!$F$7:$F$306,"Approved")&gt;0,"A",""))="A","A",IF(OR(DATE($B$3,4,28)&gt;EOMONTH(DATE($B$3,4,1),0),NETWORKDAYS.INTL(DATE($B$3,4,28),DATE($B$3,4,28),1,'Non-working days'!$A$6:$A$45)=0),"",IF(COUNTIFS('Leave log'!$A$7:$A$306,Employees!$A$21,'Leave log'!$B$7:$B$306,"&lt;="&amp;DATE($B$3,4,28),'Leave log'!$C$7:$C$306,"&gt;="&amp;DATE($B$3,4,28),'Leave log'!$F$7:$F$306,"Pending")&gt;0,"P",""))))</f>
        <v/>
      </c>
      <c r="AD124" s="23" t="str">
        <f>IF(A124="","",IF(IF(OR(DATE($B$3,4,29)&gt;EOMONTH(DATE($B$3,4,1),0),NETWORKDAYS.INTL(DATE($B$3,4,29),DATE($B$3,4,29),1,'Non-working days'!$A$6:$A$45)=0),"",IF(COUNTIFS('Leave log'!$A$7:$A$306,Employees!$A$21,'Leave log'!$B$7:$B$306,"&lt;="&amp;DATE($B$3,4,29),'Leave log'!$C$7:$C$306,"&gt;="&amp;DATE($B$3,4,29),'Leave log'!$F$7:$F$306,"Approved")&gt;0,"A",""))="A","A",IF(OR(DATE($B$3,4,29)&gt;EOMONTH(DATE($B$3,4,1),0),NETWORKDAYS.INTL(DATE($B$3,4,29),DATE($B$3,4,29),1,'Non-working days'!$A$6:$A$45)=0),"",IF(COUNTIFS('Leave log'!$A$7:$A$306,Employees!$A$21,'Leave log'!$B$7:$B$306,"&lt;="&amp;DATE($B$3,4,29),'Leave log'!$C$7:$C$306,"&gt;="&amp;DATE($B$3,4,29),'Leave log'!$F$7:$F$306,"Pending")&gt;0,"P",""))))</f>
        <v/>
      </c>
      <c r="AE124" s="23" t="str">
        <f>IF(A124="","",IF(IF(OR(DATE($B$3,4,30)&gt;EOMONTH(DATE($B$3,4,1),0),NETWORKDAYS.INTL(DATE($B$3,4,30),DATE($B$3,4,30),1,'Non-working days'!$A$6:$A$45)=0),"",IF(COUNTIFS('Leave log'!$A$7:$A$306,Employees!$A$21,'Leave log'!$B$7:$B$306,"&lt;="&amp;DATE($B$3,4,30),'Leave log'!$C$7:$C$306,"&gt;="&amp;DATE($B$3,4,30),'Leave log'!$F$7:$F$306,"Approved")&gt;0,"A",""))="A","A",IF(OR(DATE($B$3,4,30)&gt;EOMONTH(DATE($B$3,4,1),0),NETWORKDAYS.INTL(DATE($B$3,4,30),DATE($B$3,4,30),1,'Non-working days'!$A$6:$A$45)=0),"",IF(COUNTIFS('Leave log'!$A$7:$A$306,Employees!$A$21,'Leave log'!$B$7:$B$306,"&lt;="&amp;DATE($B$3,4,30),'Leave log'!$C$7:$C$306,"&gt;="&amp;DATE($B$3,4,30),'Leave log'!$F$7:$F$306,"Pending")&gt;0,"P",""))))</f>
        <v/>
      </c>
      <c r="AF124" s="23" t="str">
        <f>IF(A124="","",IF(IF(OR(DATE($B$3,4,31)&gt;EOMONTH(DATE($B$3,4,1),0),NETWORKDAYS.INTL(DATE($B$3,4,31),DATE($B$3,4,31),1,'Non-working days'!$A$6:$A$45)=0),"",IF(COUNTIFS('Leave log'!$A$7:$A$306,Employees!$A$21,'Leave log'!$B$7:$B$306,"&lt;="&amp;DATE($B$3,4,31),'Leave log'!$C$7:$C$306,"&gt;="&amp;DATE($B$3,4,31),'Leave log'!$F$7:$F$306,"Approved")&gt;0,"A",""))="A","A",IF(OR(DATE($B$3,4,31)&gt;EOMONTH(DATE($B$3,4,1),0),NETWORKDAYS.INTL(DATE($B$3,4,31),DATE($B$3,4,31),1,'Non-working days'!$A$6:$A$45)=0),"",IF(COUNTIFS('Leave log'!$A$7:$A$306,Employees!$A$21,'Leave log'!$B$7:$B$306,"&lt;="&amp;DATE($B$3,4,31),'Leave log'!$C$7:$C$306,"&gt;="&amp;DATE($B$3,4,31),'Leave log'!$F$7:$F$306,"Pending")&gt;0,"P",""))))</f>
        <v/>
      </c>
    </row>
    <row r="125" spans="1:32" ht="18" customHeight="1" x14ac:dyDescent="0.3">
      <c r="A125" s="22" t="str">
        <f>IF(Employees!F22="Yes",Employees!B22,"")</f>
        <v/>
      </c>
      <c r="B125" s="23" t="str">
        <f>IF(A125="","",IF(IF(OR(DATE($B$3,4,1)&gt;EOMONTH(DATE($B$3,4,1),0),NETWORKDAYS.INTL(DATE($B$3,4,1),DATE($B$3,4,1),1,'Non-working days'!$A$6:$A$45)=0),"",IF(COUNTIFS('Leave log'!$A$7:$A$306,Employees!$A$22,'Leave log'!$B$7:$B$306,"&lt;="&amp;DATE($B$3,4,1),'Leave log'!$C$7:$C$306,"&gt;="&amp;DATE($B$3,4,1),'Leave log'!$F$7:$F$306,"Approved")&gt;0,"A",""))="A","A",IF(OR(DATE($B$3,4,1)&gt;EOMONTH(DATE($B$3,4,1),0),NETWORKDAYS.INTL(DATE($B$3,4,1),DATE($B$3,4,1),1,'Non-working days'!$A$6:$A$45)=0),"",IF(COUNTIFS('Leave log'!$A$7:$A$306,Employees!$A$22,'Leave log'!$B$7:$B$306,"&lt;="&amp;DATE($B$3,4,1),'Leave log'!$C$7:$C$306,"&gt;="&amp;DATE($B$3,4,1),'Leave log'!$F$7:$F$306,"Pending")&gt;0,"P",""))))</f>
        <v/>
      </c>
      <c r="C125" s="23" t="str">
        <f>IF(A125="","",IF(IF(OR(DATE($B$3,4,2)&gt;EOMONTH(DATE($B$3,4,1),0),NETWORKDAYS.INTL(DATE($B$3,4,2),DATE($B$3,4,2),1,'Non-working days'!$A$6:$A$45)=0),"",IF(COUNTIFS('Leave log'!$A$7:$A$306,Employees!$A$22,'Leave log'!$B$7:$B$306,"&lt;="&amp;DATE($B$3,4,2),'Leave log'!$C$7:$C$306,"&gt;="&amp;DATE($B$3,4,2),'Leave log'!$F$7:$F$306,"Approved")&gt;0,"A",""))="A","A",IF(OR(DATE($B$3,4,2)&gt;EOMONTH(DATE($B$3,4,1),0),NETWORKDAYS.INTL(DATE($B$3,4,2),DATE($B$3,4,2),1,'Non-working days'!$A$6:$A$45)=0),"",IF(COUNTIFS('Leave log'!$A$7:$A$306,Employees!$A$22,'Leave log'!$B$7:$B$306,"&lt;="&amp;DATE($B$3,4,2),'Leave log'!$C$7:$C$306,"&gt;="&amp;DATE($B$3,4,2),'Leave log'!$F$7:$F$306,"Pending")&gt;0,"P",""))))</f>
        <v/>
      </c>
      <c r="D125" s="23" t="str">
        <f>IF(A125="","",IF(IF(OR(DATE($B$3,4,3)&gt;EOMONTH(DATE($B$3,4,1),0),NETWORKDAYS.INTL(DATE($B$3,4,3),DATE($B$3,4,3),1,'Non-working days'!$A$6:$A$45)=0),"",IF(COUNTIFS('Leave log'!$A$7:$A$306,Employees!$A$22,'Leave log'!$B$7:$B$306,"&lt;="&amp;DATE($B$3,4,3),'Leave log'!$C$7:$C$306,"&gt;="&amp;DATE($B$3,4,3),'Leave log'!$F$7:$F$306,"Approved")&gt;0,"A",""))="A","A",IF(OR(DATE($B$3,4,3)&gt;EOMONTH(DATE($B$3,4,1),0),NETWORKDAYS.INTL(DATE($B$3,4,3),DATE($B$3,4,3),1,'Non-working days'!$A$6:$A$45)=0),"",IF(COUNTIFS('Leave log'!$A$7:$A$306,Employees!$A$22,'Leave log'!$B$7:$B$306,"&lt;="&amp;DATE($B$3,4,3),'Leave log'!$C$7:$C$306,"&gt;="&amp;DATE($B$3,4,3),'Leave log'!$F$7:$F$306,"Pending")&gt;0,"P",""))))</f>
        <v/>
      </c>
      <c r="E125" s="23" t="str">
        <f>IF(A125="","",IF(IF(OR(DATE($B$3,4,4)&gt;EOMONTH(DATE($B$3,4,1),0),NETWORKDAYS.INTL(DATE($B$3,4,4),DATE($B$3,4,4),1,'Non-working days'!$A$6:$A$45)=0),"",IF(COUNTIFS('Leave log'!$A$7:$A$306,Employees!$A$22,'Leave log'!$B$7:$B$306,"&lt;="&amp;DATE($B$3,4,4),'Leave log'!$C$7:$C$306,"&gt;="&amp;DATE($B$3,4,4),'Leave log'!$F$7:$F$306,"Approved")&gt;0,"A",""))="A","A",IF(OR(DATE($B$3,4,4)&gt;EOMONTH(DATE($B$3,4,1),0),NETWORKDAYS.INTL(DATE($B$3,4,4),DATE($B$3,4,4),1,'Non-working days'!$A$6:$A$45)=0),"",IF(COUNTIFS('Leave log'!$A$7:$A$306,Employees!$A$22,'Leave log'!$B$7:$B$306,"&lt;="&amp;DATE($B$3,4,4),'Leave log'!$C$7:$C$306,"&gt;="&amp;DATE($B$3,4,4),'Leave log'!$F$7:$F$306,"Pending")&gt;0,"P",""))))</f>
        <v/>
      </c>
      <c r="F125" s="23" t="str">
        <f>IF(A125="","",IF(IF(OR(DATE($B$3,4,5)&gt;EOMONTH(DATE($B$3,4,1),0),NETWORKDAYS.INTL(DATE($B$3,4,5),DATE($B$3,4,5),1,'Non-working days'!$A$6:$A$45)=0),"",IF(COUNTIFS('Leave log'!$A$7:$A$306,Employees!$A$22,'Leave log'!$B$7:$B$306,"&lt;="&amp;DATE($B$3,4,5),'Leave log'!$C$7:$C$306,"&gt;="&amp;DATE($B$3,4,5),'Leave log'!$F$7:$F$306,"Approved")&gt;0,"A",""))="A","A",IF(OR(DATE($B$3,4,5)&gt;EOMONTH(DATE($B$3,4,1),0),NETWORKDAYS.INTL(DATE($B$3,4,5),DATE($B$3,4,5),1,'Non-working days'!$A$6:$A$45)=0),"",IF(COUNTIFS('Leave log'!$A$7:$A$306,Employees!$A$22,'Leave log'!$B$7:$B$306,"&lt;="&amp;DATE($B$3,4,5),'Leave log'!$C$7:$C$306,"&gt;="&amp;DATE($B$3,4,5),'Leave log'!$F$7:$F$306,"Pending")&gt;0,"P",""))))</f>
        <v/>
      </c>
      <c r="G125" s="23" t="str">
        <f>IF(A125="","",IF(IF(OR(DATE($B$3,4,6)&gt;EOMONTH(DATE($B$3,4,1),0),NETWORKDAYS.INTL(DATE($B$3,4,6),DATE($B$3,4,6),1,'Non-working days'!$A$6:$A$45)=0),"",IF(COUNTIFS('Leave log'!$A$7:$A$306,Employees!$A$22,'Leave log'!$B$7:$B$306,"&lt;="&amp;DATE($B$3,4,6),'Leave log'!$C$7:$C$306,"&gt;="&amp;DATE($B$3,4,6),'Leave log'!$F$7:$F$306,"Approved")&gt;0,"A",""))="A","A",IF(OR(DATE($B$3,4,6)&gt;EOMONTH(DATE($B$3,4,1),0),NETWORKDAYS.INTL(DATE($B$3,4,6),DATE($B$3,4,6),1,'Non-working days'!$A$6:$A$45)=0),"",IF(COUNTIFS('Leave log'!$A$7:$A$306,Employees!$A$22,'Leave log'!$B$7:$B$306,"&lt;="&amp;DATE($B$3,4,6),'Leave log'!$C$7:$C$306,"&gt;="&amp;DATE($B$3,4,6),'Leave log'!$F$7:$F$306,"Pending")&gt;0,"P",""))))</f>
        <v/>
      </c>
      <c r="H125" s="23" t="str">
        <f>IF(A125="","",IF(IF(OR(DATE($B$3,4,7)&gt;EOMONTH(DATE($B$3,4,1),0),NETWORKDAYS.INTL(DATE($B$3,4,7),DATE($B$3,4,7),1,'Non-working days'!$A$6:$A$45)=0),"",IF(COUNTIFS('Leave log'!$A$7:$A$306,Employees!$A$22,'Leave log'!$B$7:$B$306,"&lt;="&amp;DATE($B$3,4,7),'Leave log'!$C$7:$C$306,"&gt;="&amp;DATE($B$3,4,7),'Leave log'!$F$7:$F$306,"Approved")&gt;0,"A",""))="A","A",IF(OR(DATE($B$3,4,7)&gt;EOMONTH(DATE($B$3,4,1),0),NETWORKDAYS.INTL(DATE($B$3,4,7),DATE($B$3,4,7),1,'Non-working days'!$A$6:$A$45)=0),"",IF(COUNTIFS('Leave log'!$A$7:$A$306,Employees!$A$22,'Leave log'!$B$7:$B$306,"&lt;="&amp;DATE($B$3,4,7),'Leave log'!$C$7:$C$306,"&gt;="&amp;DATE($B$3,4,7),'Leave log'!$F$7:$F$306,"Pending")&gt;0,"P",""))))</f>
        <v/>
      </c>
      <c r="I125" s="23" t="str">
        <f>IF(A125="","",IF(IF(OR(DATE($B$3,4,8)&gt;EOMONTH(DATE($B$3,4,1),0),NETWORKDAYS.INTL(DATE($B$3,4,8),DATE($B$3,4,8),1,'Non-working days'!$A$6:$A$45)=0),"",IF(COUNTIFS('Leave log'!$A$7:$A$306,Employees!$A$22,'Leave log'!$B$7:$B$306,"&lt;="&amp;DATE($B$3,4,8),'Leave log'!$C$7:$C$306,"&gt;="&amp;DATE($B$3,4,8),'Leave log'!$F$7:$F$306,"Approved")&gt;0,"A",""))="A","A",IF(OR(DATE($B$3,4,8)&gt;EOMONTH(DATE($B$3,4,1),0),NETWORKDAYS.INTL(DATE($B$3,4,8),DATE($B$3,4,8),1,'Non-working days'!$A$6:$A$45)=0),"",IF(COUNTIFS('Leave log'!$A$7:$A$306,Employees!$A$22,'Leave log'!$B$7:$B$306,"&lt;="&amp;DATE($B$3,4,8),'Leave log'!$C$7:$C$306,"&gt;="&amp;DATE($B$3,4,8),'Leave log'!$F$7:$F$306,"Pending")&gt;0,"P",""))))</f>
        <v/>
      </c>
      <c r="J125" s="23" t="str">
        <f>IF(A125="","",IF(IF(OR(DATE($B$3,4,9)&gt;EOMONTH(DATE($B$3,4,1),0),NETWORKDAYS.INTL(DATE($B$3,4,9),DATE($B$3,4,9),1,'Non-working days'!$A$6:$A$45)=0),"",IF(COUNTIFS('Leave log'!$A$7:$A$306,Employees!$A$22,'Leave log'!$B$7:$B$306,"&lt;="&amp;DATE($B$3,4,9),'Leave log'!$C$7:$C$306,"&gt;="&amp;DATE($B$3,4,9),'Leave log'!$F$7:$F$306,"Approved")&gt;0,"A",""))="A","A",IF(OR(DATE($B$3,4,9)&gt;EOMONTH(DATE($B$3,4,1),0),NETWORKDAYS.INTL(DATE($B$3,4,9),DATE($B$3,4,9),1,'Non-working days'!$A$6:$A$45)=0),"",IF(COUNTIFS('Leave log'!$A$7:$A$306,Employees!$A$22,'Leave log'!$B$7:$B$306,"&lt;="&amp;DATE($B$3,4,9),'Leave log'!$C$7:$C$306,"&gt;="&amp;DATE($B$3,4,9),'Leave log'!$F$7:$F$306,"Pending")&gt;0,"P",""))))</f>
        <v/>
      </c>
      <c r="K125" s="23" t="str">
        <f>IF(A125="","",IF(IF(OR(DATE($B$3,4,10)&gt;EOMONTH(DATE($B$3,4,1),0),NETWORKDAYS.INTL(DATE($B$3,4,10),DATE($B$3,4,10),1,'Non-working days'!$A$6:$A$45)=0),"",IF(COUNTIFS('Leave log'!$A$7:$A$306,Employees!$A$22,'Leave log'!$B$7:$B$306,"&lt;="&amp;DATE($B$3,4,10),'Leave log'!$C$7:$C$306,"&gt;="&amp;DATE($B$3,4,10),'Leave log'!$F$7:$F$306,"Approved")&gt;0,"A",""))="A","A",IF(OR(DATE($B$3,4,10)&gt;EOMONTH(DATE($B$3,4,1),0),NETWORKDAYS.INTL(DATE($B$3,4,10),DATE($B$3,4,10),1,'Non-working days'!$A$6:$A$45)=0),"",IF(COUNTIFS('Leave log'!$A$7:$A$306,Employees!$A$22,'Leave log'!$B$7:$B$306,"&lt;="&amp;DATE($B$3,4,10),'Leave log'!$C$7:$C$306,"&gt;="&amp;DATE($B$3,4,10),'Leave log'!$F$7:$F$306,"Pending")&gt;0,"P",""))))</f>
        <v/>
      </c>
      <c r="L125" s="23" t="str">
        <f>IF(A125="","",IF(IF(OR(DATE($B$3,4,11)&gt;EOMONTH(DATE($B$3,4,1),0),NETWORKDAYS.INTL(DATE($B$3,4,11),DATE($B$3,4,11),1,'Non-working days'!$A$6:$A$45)=0),"",IF(COUNTIFS('Leave log'!$A$7:$A$306,Employees!$A$22,'Leave log'!$B$7:$B$306,"&lt;="&amp;DATE($B$3,4,11),'Leave log'!$C$7:$C$306,"&gt;="&amp;DATE($B$3,4,11),'Leave log'!$F$7:$F$306,"Approved")&gt;0,"A",""))="A","A",IF(OR(DATE($B$3,4,11)&gt;EOMONTH(DATE($B$3,4,1),0),NETWORKDAYS.INTL(DATE($B$3,4,11),DATE($B$3,4,11),1,'Non-working days'!$A$6:$A$45)=0),"",IF(COUNTIFS('Leave log'!$A$7:$A$306,Employees!$A$22,'Leave log'!$B$7:$B$306,"&lt;="&amp;DATE($B$3,4,11),'Leave log'!$C$7:$C$306,"&gt;="&amp;DATE($B$3,4,11),'Leave log'!$F$7:$F$306,"Pending")&gt;0,"P",""))))</f>
        <v/>
      </c>
      <c r="M125" s="23" t="str">
        <f>IF(A125="","",IF(IF(OR(DATE($B$3,4,12)&gt;EOMONTH(DATE($B$3,4,1),0),NETWORKDAYS.INTL(DATE($B$3,4,12),DATE($B$3,4,12),1,'Non-working days'!$A$6:$A$45)=0),"",IF(COUNTIFS('Leave log'!$A$7:$A$306,Employees!$A$22,'Leave log'!$B$7:$B$306,"&lt;="&amp;DATE($B$3,4,12),'Leave log'!$C$7:$C$306,"&gt;="&amp;DATE($B$3,4,12),'Leave log'!$F$7:$F$306,"Approved")&gt;0,"A",""))="A","A",IF(OR(DATE($B$3,4,12)&gt;EOMONTH(DATE($B$3,4,1),0),NETWORKDAYS.INTL(DATE($B$3,4,12),DATE($B$3,4,12),1,'Non-working days'!$A$6:$A$45)=0),"",IF(COUNTIFS('Leave log'!$A$7:$A$306,Employees!$A$22,'Leave log'!$B$7:$B$306,"&lt;="&amp;DATE($B$3,4,12),'Leave log'!$C$7:$C$306,"&gt;="&amp;DATE($B$3,4,12),'Leave log'!$F$7:$F$306,"Pending")&gt;0,"P",""))))</f>
        <v/>
      </c>
      <c r="N125" s="23" t="str">
        <f>IF(A125="","",IF(IF(OR(DATE($B$3,4,13)&gt;EOMONTH(DATE($B$3,4,1),0),NETWORKDAYS.INTL(DATE($B$3,4,13),DATE($B$3,4,13),1,'Non-working days'!$A$6:$A$45)=0),"",IF(COUNTIFS('Leave log'!$A$7:$A$306,Employees!$A$22,'Leave log'!$B$7:$B$306,"&lt;="&amp;DATE($B$3,4,13),'Leave log'!$C$7:$C$306,"&gt;="&amp;DATE($B$3,4,13),'Leave log'!$F$7:$F$306,"Approved")&gt;0,"A",""))="A","A",IF(OR(DATE($B$3,4,13)&gt;EOMONTH(DATE($B$3,4,1),0),NETWORKDAYS.INTL(DATE($B$3,4,13),DATE($B$3,4,13),1,'Non-working days'!$A$6:$A$45)=0),"",IF(COUNTIFS('Leave log'!$A$7:$A$306,Employees!$A$22,'Leave log'!$B$7:$B$306,"&lt;="&amp;DATE($B$3,4,13),'Leave log'!$C$7:$C$306,"&gt;="&amp;DATE($B$3,4,13),'Leave log'!$F$7:$F$306,"Pending")&gt;0,"P",""))))</f>
        <v/>
      </c>
      <c r="O125" s="23" t="str">
        <f>IF(A125="","",IF(IF(OR(DATE($B$3,4,14)&gt;EOMONTH(DATE($B$3,4,1),0),NETWORKDAYS.INTL(DATE($B$3,4,14),DATE($B$3,4,14),1,'Non-working days'!$A$6:$A$45)=0),"",IF(COUNTIFS('Leave log'!$A$7:$A$306,Employees!$A$22,'Leave log'!$B$7:$B$306,"&lt;="&amp;DATE($B$3,4,14),'Leave log'!$C$7:$C$306,"&gt;="&amp;DATE($B$3,4,14),'Leave log'!$F$7:$F$306,"Approved")&gt;0,"A",""))="A","A",IF(OR(DATE($B$3,4,14)&gt;EOMONTH(DATE($B$3,4,1),0),NETWORKDAYS.INTL(DATE($B$3,4,14),DATE($B$3,4,14),1,'Non-working days'!$A$6:$A$45)=0),"",IF(COUNTIFS('Leave log'!$A$7:$A$306,Employees!$A$22,'Leave log'!$B$7:$B$306,"&lt;="&amp;DATE($B$3,4,14),'Leave log'!$C$7:$C$306,"&gt;="&amp;DATE($B$3,4,14),'Leave log'!$F$7:$F$306,"Pending")&gt;0,"P",""))))</f>
        <v/>
      </c>
      <c r="P125" s="23" t="str">
        <f>IF(A125="","",IF(IF(OR(DATE($B$3,4,15)&gt;EOMONTH(DATE($B$3,4,1),0),NETWORKDAYS.INTL(DATE($B$3,4,15),DATE($B$3,4,15),1,'Non-working days'!$A$6:$A$45)=0),"",IF(COUNTIFS('Leave log'!$A$7:$A$306,Employees!$A$22,'Leave log'!$B$7:$B$306,"&lt;="&amp;DATE($B$3,4,15),'Leave log'!$C$7:$C$306,"&gt;="&amp;DATE($B$3,4,15),'Leave log'!$F$7:$F$306,"Approved")&gt;0,"A",""))="A","A",IF(OR(DATE($B$3,4,15)&gt;EOMONTH(DATE($B$3,4,1),0),NETWORKDAYS.INTL(DATE($B$3,4,15),DATE($B$3,4,15),1,'Non-working days'!$A$6:$A$45)=0),"",IF(COUNTIFS('Leave log'!$A$7:$A$306,Employees!$A$22,'Leave log'!$B$7:$B$306,"&lt;="&amp;DATE($B$3,4,15),'Leave log'!$C$7:$C$306,"&gt;="&amp;DATE($B$3,4,15),'Leave log'!$F$7:$F$306,"Pending")&gt;0,"P",""))))</f>
        <v/>
      </c>
      <c r="Q125" s="23" t="str">
        <f>IF(A125="","",IF(IF(OR(DATE($B$3,4,16)&gt;EOMONTH(DATE($B$3,4,1),0),NETWORKDAYS.INTL(DATE($B$3,4,16),DATE($B$3,4,16),1,'Non-working days'!$A$6:$A$45)=0),"",IF(COUNTIFS('Leave log'!$A$7:$A$306,Employees!$A$22,'Leave log'!$B$7:$B$306,"&lt;="&amp;DATE($B$3,4,16),'Leave log'!$C$7:$C$306,"&gt;="&amp;DATE($B$3,4,16),'Leave log'!$F$7:$F$306,"Approved")&gt;0,"A",""))="A","A",IF(OR(DATE($B$3,4,16)&gt;EOMONTH(DATE($B$3,4,1),0),NETWORKDAYS.INTL(DATE($B$3,4,16),DATE($B$3,4,16),1,'Non-working days'!$A$6:$A$45)=0),"",IF(COUNTIFS('Leave log'!$A$7:$A$306,Employees!$A$22,'Leave log'!$B$7:$B$306,"&lt;="&amp;DATE($B$3,4,16),'Leave log'!$C$7:$C$306,"&gt;="&amp;DATE($B$3,4,16),'Leave log'!$F$7:$F$306,"Pending")&gt;0,"P",""))))</f>
        <v/>
      </c>
      <c r="R125" s="23" t="str">
        <f>IF(A125="","",IF(IF(OR(DATE($B$3,4,17)&gt;EOMONTH(DATE($B$3,4,1),0),NETWORKDAYS.INTL(DATE($B$3,4,17),DATE($B$3,4,17),1,'Non-working days'!$A$6:$A$45)=0),"",IF(COUNTIFS('Leave log'!$A$7:$A$306,Employees!$A$22,'Leave log'!$B$7:$B$306,"&lt;="&amp;DATE($B$3,4,17),'Leave log'!$C$7:$C$306,"&gt;="&amp;DATE($B$3,4,17),'Leave log'!$F$7:$F$306,"Approved")&gt;0,"A",""))="A","A",IF(OR(DATE($B$3,4,17)&gt;EOMONTH(DATE($B$3,4,1),0),NETWORKDAYS.INTL(DATE($B$3,4,17),DATE($B$3,4,17),1,'Non-working days'!$A$6:$A$45)=0),"",IF(COUNTIFS('Leave log'!$A$7:$A$306,Employees!$A$22,'Leave log'!$B$7:$B$306,"&lt;="&amp;DATE($B$3,4,17),'Leave log'!$C$7:$C$306,"&gt;="&amp;DATE($B$3,4,17),'Leave log'!$F$7:$F$306,"Pending")&gt;0,"P",""))))</f>
        <v/>
      </c>
      <c r="S125" s="23" t="str">
        <f>IF(A125="","",IF(IF(OR(DATE($B$3,4,18)&gt;EOMONTH(DATE($B$3,4,1),0),NETWORKDAYS.INTL(DATE($B$3,4,18),DATE($B$3,4,18),1,'Non-working days'!$A$6:$A$45)=0),"",IF(COUNTIFS('Leave log'!$A$7:$A$306,Employees!$A$22,'Leave log'!$B$7:$B$306,"&lt;="&amp;DATE($B$3,4,18),'Leave log'!$C$7:$C$306,"&gt;="&amp;DATE($B$3,4,18),'Leave log'!$F$7:$F$306,"Approved")&gt;0,"A",""))="A","A",IF(OR(DATE($B$3,4,18)&gt;EOMONTH(DATE($B$3,4,1),0),NETWORKDAYS.INTL(DATE($B$3,4,18),DATE($B$3,4,18),1,'Non-working days'!$A$6:$A$45)=0),"",IF(COUNTIFS('Leave log'!$A$7:$A$306,Employees!$A$22,'Leave log'!$B$7:$B$306,"&lt;="&amp;DATE($B$3,4,18),'Leave log'!$C$7:$C$306,"&gt;="&amp;DATE($B$3,4,18),'Leave log'!$F$7:$F$306,"Pending")&gt;0,"P",""))))</f>
        <v/>
      </c>
      <c r="T125" s="23" t="str">
        <f>IF(A125="","",IF(IF(OR(DATE($B$3,4,19)&gt;EOMONTH(DATE($B$3,4,1),0),NETWORKDAYS.INTL(DATE($B$3,4,19),DATE($B$3,4,19),1,'Non-working days'!$A$6:$A$45)=0),"",IF(COUNTIFS('Leave log'!$A$7:$A$306,Employees!$A$22,'Leave log'!$B$7:$B$306,"&lt;="&amp;DATE($B$3,4,19),'Leave log'!$C$7:$C$306,"&gt;="&amp;DATE($B$3,4,19),'Leave log'!$F$7:$F$306,"Approved")&gt;0,"A",""))="A","A",IF(OR(DATE($B$3,4,19)&gt;EOMONTH(DATE($B$3,4,1),0),NETWORKDAYS.INTL(DATE($B$3,4,19),DATE($B$3,4,19),1,'Non-working days'!$A$6:$A$45)=0),"",IF(COUNTIFS('Leave log'!$A$7:$A$306,Employees!$A$22,'Leave log'!$B$7:$B$306,"&lt;="&amp;DATE($B$3,4,19),'Leave log'!$C$7:$C$306,"&gt;="&amp;DATE($B$3,4,19),'Leave log'!$F$7:$F$306,"Pending")&gt;0,"P",""))))</f>
        <v/>
      </c>
      <c r="U125" s="23" t="str">
        <f>IF(A125="","",IF(IF(OR(DATE($B$3,4,20)&gt;EOMONTH(DATE($B$3,4,1),0),NETWORKDAYS.INTL(DATE($B$3,4,20),DATE($B$3,4,20),1,'Non-working days'!$A$6:$A$45)=0),"",IF(COUNTIFS('Leave log'!$A$7:$A$306,Employees!$A$22,'Leave log'!$B$7:$B$306,"&lt;="&amp;DATE($B$3,4,20),'Leave log'!$C$7:$C$306,"&gt;="&amp;DATE($B$3,4,20),'Leave log'!$F$7:$F$306,"Approved")&gt;0,"A",""))="A","A",IF(OR(DATE($B$3,4,20)&gt;EOMONTH(DATE($B$3,4,1),0),NETWORKDAYS.INTL(DATE($B$3,4,20),DATE($B$3,4,20),1,'Non-working days'!$A$6:$A$45)=0),"",IF(COUNTIFS('Leave log'!$A$7:$A$306,Employees!$A$22,'Leave log'!$B$7:$B$306,"&lt;="&amp;DATE($B$3,4,20),'Leave log'!$C$7:$C$306,"&gt;="&amp;DATE($B$3,4,20),'Leave log'!$F$7:$F$306,"Pending")&gt;0,"P",""))))</f>
        <v/>
      </c>
      <c r="V125" s="23" t="str">
        <f>IF(A125="","",IF(IF(OR(DATE($B$3,4,21)&gt;EOMONTH(DATE($B$3,4,1),0),NETWORKDAYS.INTL(DATE($B$3,4,21),DATE($B$3,4,21),1,'Non-working days'!$A$6:$A$45)=0),"",IF(COUNTIFS('Leave log'!$A$7:$A$306,Employees!$A$22,'Leave log'!$B$7:$B$306,"&lt;="&amp;DATE($B$3,4,21),'Leave log'!$C$7:$C$306,"&gt;="&amp;DATE($B$3,4,21),'Leave log'!$F$7:$F$306,"Approved")&gt;0,"A",""))="A","A",IF(OR(DATE($B$3,4,21)&gt;EOMONTH(DATE($B$3,4,1),0),NETWORKDAYS.INTL(DATE($B$3,4,21),DATE($B$3,4,21),1,'Non-working days'!$A$6:$A$45)=0),"",IF(COUNTIFS('Leave log'!$A$7:$A$306,Employees!$A$22,'Leave log'!$B$7:$B$306,"&lt;="&amp;DATE($B$3,4,21),'Leave log'!$C$7:$C$306,"&gt;="&amp;DATE($B$3,4,21),'Leave log'!$F$7:$F$306,"Pending")&gt;0,"P",""))))</f>
        <v/>
      </c>
      <c r="W125" s="23" t="str">
        <f>IF(A125="","",IF(IF(OR(DATE($B$3,4,22)&gt;EOMONTH(DATE($B$3,4,1),0),NETWORKDAYS.INTL(DATE($B$3,4,22),DATE($B$3,4,22),1,'Non-working days'!$A$6:$A$45)=0),"",IF(COUNTIFS('Leave log'!$A$7:$A$306,Employees!$A$22,'Leave log'!$B$7:$B$306,"&lt;="&amp;DATE($B$3,4,22),'Leave log'!$C$7:$C$306,"&gt;="&amp;DATE($B$3,4,22),'Leave log'!$F$7:$F$306,"Approved")&gt;0,"A",""))="A","A",IF(OR(DATE($B$3,4,22)&gt;EOMONTH(DATE($B$3,4,1),0),NETWORKDAYS.INTL(DATE($B$3,4,22),DATE($B$3,4,22),1,'Non-working days'!$A$6:$A$45)=0),"",IF(COUNTIFS('Leave log'!$A$7:$A$306,Employees!$A$22,'Leave log'!$B$7:$B$306,"&lt;="&amp;DATE($B$3,4,22),'Leave log'!$C$7:$C$306,"&gt;="&amp;DATE($B$3,4,22),'Leave log'!$F$7:$F$306,"Pending")&gt;0,"P",""))))</f>
        <v/>
      </c>
      <c r="X125" s="23" t="str">
        <f>IF(A125="","",IF(IF(OR(DATE($B$3,4,23)&gt;EOMONTH(DATE($B$3,4,1),0),NETWORKDAYS.INTL(DATE($B$3,4,23),DATE($B$3,4,23),1,'Non-working days'!$A$6:$A$45)=0),"",IF(COUNTIFS('Leave log'!$A$7:$A$306,Employees!$A$22,'Leave log'!$B$7:$B$306,"&lt;="&amp;DATE($B$3,4,23),'Leave log'!$C$7:$C$306,"&gt;="&amp;DATE($B$3,4,23),'Leave log'!$F$7:$F$306,"Approved")&gt;0,"A",""))="A","A",IF(OR(DATE($B$3,4,23)&gt;EOMONTH(DATE($B$3,4,1),0),NETWORKDAYS.INTL(DATE($B$3,4,23),DATE($B$3,4,23),1,'Non-working days'!$A$6:$A$45)=0),"",IF(COUNTIFS('Leave log'!$A$7:$A$306,Employees!$A$22,'Leave log'!$B$7:$B$306,"&lt;="&amp;DATE($B$3,4,23),'Leave log'!$C$7:$C$306,"&gt;="&amp;DATE($B$3,4,23),'Leave log'!$F$7:$F$306,"Pending")&gt;0,"P",""))))</f>
        <v/>
      </c>
      <c r="Y125" s="23" t="str">
        <f>IF(A125="","",IF(IF(OR(DATE($B$3,4,24)&gt;EOMONTH(DATE($B$3,4,1),0),NETWORKDAYS.INTL(DATE($B$3,4,24),DATE($B$3,4,24),1,'Non-working days'!$A$6:$A$45)=0),"",IF(COUNTIFS('Leave log'!$A$7:$A$306,Employees!$A$22,'Leave log'!$B$7:$B$306,"&lt;="&amp;DATE($B$3,4,24),'Leave log'!$C$7:$C$306,"&gt;="&amp;DATE($B$3,4,24),'Leave log'!$F$7:$F$306,"Approved")&gt;0,"A",""))="A","A",IF(OR(DATE($B$3,4,24)&gt;EOMONTH(DATE($B$3,4,1),0),NETWORKDAYS.INTL(DATE($B$3,4,24),DATE($B$3,4,24),1,'Non-working days'!$A$6:$A$45)=0),"",IF(COUNTIFS('Leave log'!$A$7:$A$306,Employees!$A$22,'Leave log'!$B$7:$B$306,"&lt;="&amp;DATE($B$3,4,24),'Leave log'!$C$7:$C$306,"&gt;="&amp;DATE($B$3,4,24),'Leave log'!$F$7:$F$306,"Pending")&gt;0,"P",""))))</f>
        <v/>
      </c>
      <c r="Z125" s="23" t="str">
        <f>IF(A125="","",IF(IF(OR(DATE($B$3,4,25)&gt;EOMONTH(DATE($B$3,4,1),0),NETWORKDAYS.INTL(DATE($B$3,4,25),DATE($B$3,4,25),1,'Non-working days'!$A$6:$A$45)=0),"",IF(COUNTIFS('Leave log'!$A$7:$A$306,Employees!$A$22,'Leave log'!$B$7:$B$306,"&lt;="&amp;DATE($B$3,4,25),'Leave log'!$C$7:$C$306,"&gt;="&amp;DATE($B$3,4,25),'Leave log'!$F$7:$F$306,"Approved")&gt;0,"A",""))="A","A",IF(OR(DATE($B$3,4,25)&gt;EOMONTH(DATE($B$3,4,1),0),NETWORKDAYS.INTL(DATE($B$3,4,25),DATE($B$3,4,25),1,'Non-working days'!$A$6:$A$45)=0),"",IF(COUNTIFS('Leave log'!$A$7:$A$306,Employees!$A$22,'Leave log'!$B$7:$B$306,"&lt;="&amp;DATE($B$3,4,25),'Leave log'!$C$7:$C$306,"&gt;="&amp;DATE($B$3,4,25),'Leave log'!$F$7:$F$306,"Pending")&gt;0,"P",""))))</f>
        <v/>
      </c>
      <c r="AA125" s="23" t="str">
        <f>IF(A125="","",IF(IF(OR(DATE($B$3,4,26)&gt;EOMONTH(DATE($B$3,4,1),0),NETWORKDAYS.INTL(DATE($B$3,4,26),DATE($B$3,4,26),1,'Non-working days'!$A$6:$A$45)=0),"",IF(COUNTIFS('Leave log'!$A$7:$A$306,Employees!$A$22,'Leave log'!$B$7:$B$306,"&lt;="&amp;DATE($B$3,4,26),'Leave log'!$C$7:$C$306,"&gt;="&amp;DATE($B$3,4,26),'Leave log'!$F$7:$F$306,"Approved")&gt;0,"A",""))="A","A",IF(OR(DATE($B$3,4,26)&gt;EOMONTH(DATE($B$3,4,1),0),NETWORKDAYS.INTL(DATE($B$3,4,26),DATE($B$3,4,26),1,'Non-working days'!$A$6:$A$45)=0),"",IF(COUNTIFS('Leave log'!$A$7:$A$306,Employees!$A$22,'Leave log'!$B$7:$B$306,"&lt;="&amp;DATE($B$3,4,26),'Leave log'!$C$7:$C$306,"&gt;="&amp;DATE($B$3,4,26),'Leave log'!$F$7:$F$306,"Pending")&gt;0,"P",""))))</f>
        <v/>
      </c>
      <c r="AB125" s="23" t="str">
        <f>IF(A125="","",IF(IF(OR(DATE($B$3,4,27)&gt;EOMONTH(DATE($B$3,4,1),0),NETWORKDAYS.INTL(DATE($B$3,4,27),DATE($B$3,4,27),1,'Non-working days'!$A$6:$A$45)=0),"",IF(COUNTIFS('Leave log'!$A$7:$A$306,Employees!$A$22,'Leave log'!$B$7:$B$306,"&lt;="&amp;DATE($B$3,4,27),'Leave log'!$C$7:$C$306,"&gt;="&amp;DATE($B$3,4,27),'Leave log'!$F$7:$F$306,"Approved")&gt;0,"A",""))="A","A",IF(OR(DATE($B$3,4,27)&gt;EOMONTH(DATE($B$3,4,1),0),NETWORKDAYS.INTL(DATE($B$3,4,27),DATE($B$3,4,27),1,'Non-working days'!$A$6:$A$45)=0),"",IF(COUNTIFS('Leave log'!$A$7:$A$306,Employees!$A$22,'Leave log'!$B$7:$B$306,"&lt;="&amp;DATE($B$3,4,27),'Leave log'!$C$7:$C$306,"&gt;="&amp;DATE($B$3,4,27),'Leave log'!$F$7:$F$306,"Pending")&gt;0,"P",""))))</f>
        <v/>
      </c>
      <c r="AC125" s="23" t="str">
        <f>IF(A125="","",IF(IF(OR(DATE($B$3,4,28)&gt;EOMONTH(DATE($B$3,4,1),0),NETWORKDAYS.INTL(DATE($B$3,4,28),DATE($B$3,4,28),1,'Non-working days'!$A$6:$A$45)=0),"",IF(COUNTIFS('Leave log'!$A$7:$A$306,Employees!$A$22,'Leave log'!$B$7:$B$306,"&lt;="&amp;DATE($B$3,4,28),'Leave log'!$C$7:$C$306,"&gt;="&amp;DATE($B$3,4,28),'Leave log'!$F$7:$F$306,"Approved")&gt;0,"A",""))="A","A",IF(OR(DATE($B$3,4,28)&gt;EOMONTH(DATE($B$3,4,1),0),NETWORKDAYS.INTL(DATE($B$3,4,28),DATE($B$3,4,28),1,'Non-working days'!$A$6:$A$45)=0),"",IF(COUNTIFS('Leave log'!$A$7:$A$306,Employees!$A$22,'Leave log'!$B$7:$B$306,"&lt;="&amp;DATE($B$3,4,28),'Leave log'!$C$7:$C$306,"&gt;="&amp;DATE($B$3,4,28),'Leave log'!$F$7:$F$306,"Pending")&gt;0,"P",""))))</f>
        <v/>
      </c>
      <c r="AD125" s="23" t="str">
        <f>IF(A125="","",IF(IF(OR(DATE($B$3,4,29)&gt;EOMONTH(DATE($B$3,4,1),0),NETWORKDAYS.INTL(DATE($B$3,4,29),DATE($B$3,4,29),1,'Non-working days'!$A$6:$A$45)=0),"",IF(COUNTIFS('Leave log'!$A$7:$A$306,Employees!$A$22,'Leave log'!$B$7:$B$306,"&lt;="&amp;DATE($B$3,4,29),'Leave log'!$C$7:$C$306,"&gt;="&amp;DATE($B$3,4,29),'Leave log'!$F$7:$F$306,"Approved")&gt;0,"A",""))="A","A",IF(OR(DATE($B$3,4,29)&gt;EOMONTH(DATE($B$3,4,1),0),NETWORKDAYS.INTL(DATE($B$3,4,29),DATE($B$3,4,29),1,'Non-working days'!$A$6:$A$45)=0),"",IF(COUNTIFS('Leave log'!$A$7:$A$306,Employees!$A$22,'Leave log'!$B$7:$B$306,"&lt;="&amp;DATE($B$3,4,29),'Leave log'!$C$7:$C$306,"&gt;="&amp;DATE($B$3,4,29),'Leave log'!$F$7:$F$306,"Pending")&gt;0,"P",""))))</f>
        <v/>
      </c>
      <c r="AE125" s="23" t="str">
        <f>IF(A125="","",IF(IF(OR(DATE($B$3,4,30)&gt;EOMONTH(DATE($B$3,4,1),0),NETWORKDAYS.INTL(DATE($B$3,4,30),DATE($B$3,4,30),1,'Non-working days'!$A$6:$A$45)=0),"",IF(COUNTIFS('Leave log'!$A$7:$A$306,Employees!$A$22,'Leave log'!$B$7:$B$306,"&lt;="&amp;DATE($B$3,4,30),'Leave log'!$C$7:$C$306,"&gt;="&amp;DATE($B$3,4,30),'Leave log'!$F$7:$F$306,"Approved")&gt;0,"A",""))="A","A",IF(OR(DATE($B$3,4,30)&gt;EOMONTH(DATE($B$3,4,1),0),NETWORKDAYS.INTL(DATE($B$3,4,30),DATE($B$3,4,30),1,'Non-working days'!$A$6:$A$45)=0),"",IF(COUNTIFS('Leave log'!$A$7:$A$306,Employees!$A$22,'Leave log'!$B$7:$B$306,"&lt;="&amp;DATE($B$3,4,30),'Leave log'!$C$7:$C$306,"&gt;="&amp;DATE($B$3,4,30),'Leave log'!$F$7:$F$306,"Pending")&gt;0,"P",""))))</f>
        <v/>
      </c>
      <c r="AF125" s="23" t="str">
        <f>IF(A125="","",IF(IF(OR(DATE($B$3,4,31)&gt;EOMONTH(DATE($B$3,4,1),0),NETWORKDAYS.INTL(DATE($B$3,4,31),DATE($B$3,4,31),1,'Non-working days'!$A$6:$A$45)=0),"",IF(COUNTIFS('Leave log'!$A$7:$A$306,Employees!$A$22,'Leave log'!$B$7:$B$306,"&lt;="&amp;DATE($B$3,4,31),'Leave log'!$C$7:$C$306,"&gt;="&amp;DATE($B$3,4,31),'Leave log'!$F$7:$F$306,"Approved")&gt;0,"A",""))="A","A",IF(OR(DATE($B$3,4,31)&gt;EOMONTH(DATE($B$3,4,1),0),NETWORKDAYS.INTL(DATE($B$3,4,31),DATE($B$3,4,31),1,'Non-working days'!$A$6:$A$45)=0),"",IF(COUNTIFS('Leave log'!$A$7:$A$306,Employees!$A$22,'Leave log'!$B$7:$B$306,"&lt;="&amp;DATE($B$3,4,31),'Leave log'!$C$7:$C$306,"&gt;="&amp;DATE($B$3,4,31),'Leave log'!$F$7:$F$306,"Pending")&gt;0,"P",""))))</f>
        <v/>
      </c>
    </row>
    <row r="126" spans="1:32" ht="18" customHeight="1" x14ac:dyDescent="0.3">
      <c r="A126" s="22" t="str">
        <f>IF(Employees!F23="Yes",Employees!B23,"")</f>
        <v/>
      </c>
      <c r="B126" s="23" t="str">
        <f>IF(A126="","",IF(IF(OR(DATE($B$3,4,1)&gt;EOMONTH(DATE($B$3,4,1),0),NETWORKDAYS.INTL(DATE($B$3,4,1),DATE($B$3,4,1),1,'Non-working days'!$A$6:$A$45)=0),"",IF(COUNTIFS('Leave log'!$A$7:$A$306,Employees!$A$23,'Leave log'!$B$7:$B$306,"&lt;="&amp;DATE($B$3,4,1),'Leave log'!$C$7:$C$306,"&gt;="&amp;DATE($B$3,4,1),'Leave log'!$F$7:$F$306,"Approved")&gt;0,"A",""))="A","A",IF(OR(DATE($B$3,4,1)&gt;EOMONTH(DATE($B$3,4,1),0),NETWORKDAYS.INTL(DATE($B$3,4,1),DATE($B$3,4,1),1,'Non-working days'!$A$6:$A$45)=0),"",IF(COUNTIFS('Leave log'!$A$7:$A$306,Employees!$A$23,'Leave log'!$B$7:$B$306,"&lt;="&amp;DATE($B$3,4,1),'Leave log'!$C$7:$C$306,"&gt;="&amp;DATE($B$3,4,1),'Leave log'!$F$7:$F$306,"Pending")&gt;0,"P",""))))</f>
        <v/>
      </c>
      <c r="C126" s="23" t="str">
        <f>IF(A126="","",IF(IF(OR(DATE($B$3,4,2)&gt;EOMONTH(DATE($B$3,4,1),0),NETWORKDAYS.INTL(DATE($B$3,4,2),DATE($B$3,4,2),1,'Non-working days'!$A$6:$A$45)=0),"",IF(COUNTIFS('Leave log'!$A$7:$A$306,Employees!$A$23,'Leave log'!$B$7:$B$306,"&lt;="&amp;DATE($B$3,4,2),'Leave log'!$C$7:$C$306,"&gt;="&amp;DATE($B$3,4,2),'Leave log'!$F$7:$F$306,"Approved")&gt;0,"A",""))="A","A",IF(OR(DATE($B$3,4,2)&gt;EOMONTH(DATE($B$3,4,1),0),NETWORKDAYS.INTL(DATE($B$3,4,2),DATE($B$3,4,2),1,'Non-working days'!$A$6:$A$45)=0),"",IF(COUNTIFS('Leave log'!$A$7:$A$306,Employees!$A$23,'Leave log'!$B$7:$B$306,"&lt;="&amp;DATE($B$3,4,2),'Leave log'!$C$7:$C$306,"&gt;="&amp;DATE($B$3,4,2),'Leave log'!$F$7:$F$306,"Pending")&gt;0,"P",""))))</f>
        <v/>
      </c>
      <c r="D126" s="23" t="str">
        <f>IF(A126="","",IF(IF(OR(DATE($B$3,4,3)&gt;EOMONTH(DATE($B$3,4,1),0),NETWORKDAYS.INTL(DATE($B$3,4,3),DATE($B$3,4,3),1,'Non-working days'!$A$6:$A$45)=0),"",IF(COUNTIFS('Leave log'!$A$7:$A$306,Employees!$A$23,'Leave log'!$B$7:$B$306,"&lt;="&amp;DATE($B$3,4,3),'Leave log'!$C$7:$C$306,"&gt;="&amp;DATE($B$3,4,3),'Leave log'!$F$7:$F$306,"Approved")&gt;0,"A",""))="A","A",IF(OR(DATE($B$3,4,3)&gt;EOMONTH(DATE($B$3,4,1),0),NETWORKDAYS.INTL(DATE($B$3,4,3),DATE($B$3,4,3),1,'Non-working days'!$A$6:$A$45)=0),"",IF(COUNTIFS('Leave log'!$A$7:$A$306,Employees!$A$23,'Leave log'!$B$7:$B$306,"&lt;="&amp;DATE($B$3,4,3),'Leave log'!$C$7:$C$306,"&gt;="&amp;DATE($B$3,4,3),'Leave log'!$F$7:$F$306,"Pending")&gt;0,"P",""))))</f>
        <v/>
      </c>
      <c r="E126" s="23" t="str">
        <f>IF(A126="","",IF(IF(OR(DATE($B$3,4,4)&gt;EOMONTH(DATE($B$3,4,1),0),NETWORKDAYS.INTL(DATE($B$3,4,4),DATE($B$3,4,4),1,'Non-working days'!$A$6:$A$45)=0),"",IF(COUNTIFS('Leave log'!$A$7:$A$306,Employees!$A$23,'Leave log'!$B$7:$B$306,"&lt;="&amp;DATE($B$3,4,4),'Leave log'!$C$7:$C$306,"&gt;="&amp;DATE($B$3,4,4),'Leave log'!$F$7:$F$306,"Approved")&gt;0,"A",""))="A","A",IF(OR(DATE($B$3,4,4)&gt;EOMONTH(DATE($B$3,4,1),0),NETWORKDAYS.INTL(DATE($B$3,4,4),DATE($B$3,4,4),1,'Non-working days'!$A$6:$A$45)=0),"",IF(COUNTIFS('Leave log'!$A$7:$A$306,Employees!$A$23,'Leave log'!$B$7:$B$306,"&lt;="&amp;DATE($B$3,4,4),'Leave log'!$C$7:$C$306,"&gt;="&amp;DATE($B$3,4,4),'Leave log'!$F$7:$F$306,"Pending")&gt;0,"P",""))))</f>
        <v/>
      </c>
      <c r="F126" s="23" t="str">
        <f>IF(A126="","",IF(IF(OR(DATE($B$3,4,5)&gt;EOMONTH(DATE($B$3,4,1),0),NETWORKDAYS.INTL(DATE($B$3,4,5),DATE($B$3,4,5),1,'Non-working days'!$A$6:$A$45)=0),"",IF(COUNTIFS('Leave log'!$A$7:$A$306,Employees!$A$23,'Leave log'!$B$7:$B$306,"&lt;="&amp;DATE($B$3,4,5),'Leave log'!$C$7:$C$306,"&gt;="&amp;DATE($B$3,4,5),'Leave log'!$F$7:$F$306,"Approved")&gt;0,"A",""))="A","A",IF(OR(DATE($B$3,4,5)&gt;EOMONTH(DATE($B$3,4,1),0),NETWORKDAYS.INTL(DATE($B$3,4,5),DATE($B$3,4,5),1,'Non-working days'!$A$6:$A$45)=0),"",IF(COUNTIFS('Leave log'!$A$7:$A$306,Employees!$A$23,'Leave log'!$B$7:$B$306,"&lt;="&amp;DATE($B$3,4,5),'Leave log'!$C$7:$C$306,"&gt;="&amp;DATE($B$3,4,5),'Leave log'!$F$7:$F$306,"Pending")&gt;0,"P",""))))</f>
        <v/>
      </c>
      <c r="G126" s="23" t="str">
        <f>IF(A126="","",IF(IF(OR(DATE($B$3,4,6)&gt;EOMONTH(DATE($B$3,4,1),0),NETWORKDAYS.INTL(DATE($B$3,4,6),DATE($B$3,4,6),1,'Non-working days'!$A$6:$A$45)=0),"",IF(COUNTIFS('Leave log'!$A$7:$A$306,Employees!$A$23,'Leave log'!$B$7:$B$306,"&lt;="&amp;DATE($B$3,4,6),'Leave log'!$C$7:$C$306,"&gt;="&amp;DATE($B$3,4,6),'Leave log'!$F$7:$F$306,"Approved")&gt;0,"A",""))="A","A",IF(OR(DATE($B$3,4,6)&gt;EOMONTH(DATE($B$3,4,1),0),NETWORKDAYS.INTL(DATE($B$3,4,6),DATE($B$3,4,6),1,'Non-working days'!$A$6:$A$45)=0),"",IF(COUNTIFS('Leave log'!$A$7:$A$306,Employees!$A$23,'Leave log'!$B$7:$B$306,"&lt;="&amp;DATE($B$3,4,6),'Leave log'!$C$7:$C$306,"&gt;="&amp;DATE($B$3,4,6),'Leave log'!$F$7:$F$306,"Pending")&gt;0,"P",""))))</f>
        <v/>
      </c>
      <c r="H126" s="23" t="str">
        <f>IF(A126="","",IF(IF(OR(DATE($B$3,4,7)&gt;EOMONTH(DATE($B$3,4,1),0),NETWORKDAYS.INTL(DATE($B$3,4,7),DATE($B$3,4,7),1,'Non-working days'!$A$6:$A$45)=0),"",IF(COUNTIFS('Leave log'!$A$7:$A$306,Employees!$A$23,'Leave log'!$B$7:$B$306,"&lt;="&amp;DATE($B$3,4,7),'Leave log'!$C$7:$C$306,"&gt;="&amp;DATE($B$3,4,7),'Leave log'!$F$7:$F$306,"Approved")&gt;0,"A",""))="A","A",IF(OR(DATE($B$3,4,7)&gt;EOMONTH(DATE($B$3,4,1),0),NETWORKDAYS.INTL(DATE($B$3,4,7),DATE($B$3,4,7),1,'Non-working days'!$A$6:$A$45)=0),"",IF(COUNTIFS('Leave log'!$A$7:$A$306,Employees!$A$23,'Leave log'!$B$7:$B$306,"&lt;="&amp;DATE($B$3,4,7),'Leave log'!$C$7:$C$306,"&gt;="&amp;DATE($B$3,4,7),'Leave log'!$F$7:$F$306,"Pending")&gt;0,"P",""))))</f>
        <v/>
      </c>
      <c r="I126" s="23" t="str">
        <f>IF(A126="","",IF(IF(OR(DATE($B$3,4,8)&gt;EOMONTH(DATE($B$3,4,1),0),NETWORKDAYS.INTL(DATE($B$3,4,8),DATE($B$3,4,8),1,'Non-working days'!$A$6:$A$45)=0),"",IF(COUNTIFS('Leave log'!$A$7:$A$306,Employees!$A$23,'Leave log'!$B$7:$B$306,"&lt;="&amp;DATE($B$3,4,8),'Leave log'!$C$7:$C$306,"&gt;="&amp;DATE($B$3,4,8),'Leave log'!$F$7:$F$306,"Approved")&gt;0,"A",""))="A","A",IF(OR(DATE($B$3,4,8)&gt;EOMONTH(DATE($B$3,4,1),0),NETWORKDAYS.INTL(DATE($B$3,4,8),DATE($B$3,4,8),1,'Non-working days'!$A$6:$A$45)=0),"",IF(COUNTIFS('Leave log'!$A$7:$A$306,Employees!$A$23,'Leave log'!$B$7:$B$306,"&lt;="&amp;DATE($B$3,4,8),'Leave log'!$C$7:$C$306,"&gt;="&amp;DATE($B$3,4,8),'Leave log'!$F$7:$F$306,"Pending")&gt;0,"P",""))))</f>
        <v/>
      </c>
      <c r="J126" s="23" t="str">
        <f>IF(A126="","",IF(IF(OR(DATE($B$3,4,9)&gt;EOMONTH(DATE($B$3,4,1),0),NETWORKDAYS.INTL(DATE($B$3,4,9),DATE($B$3,4,9),1,'Non-working days'!$A$6:$A$45)=0),"",IF(COUNTIFS('Leave log'!$A$7:$A$306,Employees!$A$23,'Leave log'!$B$7:$B$306,"&lt;="&amp;DATE($B$3,4,9),'Leave log'!$C$7:$C$306,"&gt;="&amp;DATE($B$3,4,9),'Leave log'!$F$7:$F$306,"Approved")&gt;0,"A",""))="A","A",IF(OR(DATE($B$3,4,9)&gt;EOMONTH(DATE($B$3,4,1),0),NETWORKDAYS.INTL(DATE($B$3,4,9),DATE($B$3,4,9),1,'Non-working days'!$A$6:$A$45)=0),"",IF(COUNTIFS('Leave log'!$A$7:$A$306,Employees!$A$23,'Leave log'!$B$7:$B$306,"&lt;="&amp;DATE($B$3,4,9),'Leave log'!$C$7:$C$306,"&gt;="&amp;DATE($B$3,4,9),'Leave log'!$F$7:$F$306,"Pending")&gt;0,"P",""))))</f>
        <v/>
      </c>
      <c r="K126" s="23" t="str">
        <f>IF(A126="","",IF(IF(OR(DATE($B$3,4,10)&gt;EOMONTH(DATE($B$3,4,1),0),NETWORKDAYS.INTL(DATE($B$3,4,10),DATE($B$3,4,10),1,'Non-working days'!$A$6:$A$45)=0),"",IF(COUNTIFS('Leave log'!$A$7:$A$306,Employees!$A$23,'Leave log'!$B$7:$B$306,"&lt;="&amp;DATE($B$3,4,10),'Leave log'!$C$7:$C$306,"&gt;="&amp;DATE($B$3,4,10),'Leave log'!$F$7:$F$306,"Approved")&gt;0,"A",""))="A","A",IF(OR(DATE($B$3,4,10)&gt;EOMONTH(DATE($B$3,4,1),0),NETWORKDAYS.INTL(DATE($B$3,4,10),DATE($B$3,4,10),1,'Non-working days'!$A$6:$A$45)=0),"",IF(COUNTIFS('Leave log'!$A$7:$A$306,Employees!$A$23,'Leave log'!$B$7:$B$306,"&lt;="&amp;DATE($B$3,4,10),'Leave log'!$C$7:$C$306,"&gt;="&amp;DATE($B$3,4,10),'Leave log'!$F$7:$F$306,"Pending")&gt;0,"P",""))))</f>
        <v/>
      </c>
      <c r="L126" s="23" t="str">
        <f>IF(A126="","",IF(IF(OR(DATE($B$3,4,11)&gt;EOMONTH(DATE($B$3,4,1),0),NETWORKDAYS.INTL(DATE($B$3,4,11),DATE($B$3,4,11),1,'Non-working days'!$A$6:$A$45)=0),"",IF(COUNTIFS('Leave log'!$A$7:$A$306,Employees!$A$23,'Leave log'!$B$7:$B$306,"&lt;="&amp;DATE($B$3,4,11),'Leave log'!$C$7:$C$306,"&gt;="&amp;DATE($B$3,4,11),'Leave log'!$F$7:$F$306,"Approved")&gt;0,"A",""))="A","A",IF(OR(DATE($B$3,4,11)&gt;EOMONTH(DATE($B$3,4,1),0),NETWORKDAYS.INTL(DATE($B$3,4,11),DATE($B$3,4,11),1,'Non-working days'!$A$6:$A$45)=0),"",IF(COUNTIFS('Leave log'!$A$7:$A$306,Employees!$A$23,'Leave log'!$B$7:$B$306,"&lt;="&amp;DATE($B$3,4,11),'Leave log'!$C$7:$C$306,"&gt;="&amp;DATE($B$3,4,11),'Leave log'!$F$7:$F$306,"Pending")&gt;0,"P",""))))</f>
        <v/>
      </c>
      <c r="M126" s="23" t="str">
        <f>IF(A126="","",IF(IF(OR(DATE($B$3,4,12)&gt;EOMONTH(DATE($B$3,4,1),0),NETWORKDAYS.INTL(DATE($B$3,4,12),DATE($B$3,4,12),1,'Non-working days'!$A$6:$A$45)=0),"",IF(COUNTIFS('Leave log'!$A$7:$A$306,Employees!$A$23,'Leave log'!$B$7:$B$306,"&lt;="&amp;DATE($B$3,4,12),'Leave log'!$C$7:$C$306,"&gt;="&amp;DATE($B$3,4,12),'Leave log'!$F$7:$F$306,"Approved")&gt;0,"A",""))="A","A",IF(OR(DATE($B$3,4,12)&gt;EOMONTH(DATE($B$3,4,1),0),NETWORKDAYS.INTL(DATE($B$3,4,12),DATE($B$3,4,12),1,'Non-working days'!$A$6:$A$45)=0),"",IF(COUNTIFS('Leave log'!$A$7:$A$306,Employees!$A$23,'Leave log'!$B$7:$B$306,"&lt;="&amp;DATE($B$3,4,12),'Leave log'!$C$7:$C$306,"&gt;="&amp;DATE($B$3,4,12),'Leave log'!$F$7:$F$306,"Pending")&gt;0,"P",""))))</f>
        <v/>
      </c>
      <c r="N126" s="23" t="str">
        <f>IF(A126="","",IF(IF(OR(DATE($B$3,4,13)&gt;EOMONTH(DATE($B$3,4,1),0),NETWORKDAYS.INTL(DATE($B$3,4,13),DATE($B$3,4,13),1,'Non-working days'!$A$6:$A$45)=0),"",IF(COUNTIFS('Leave log'!$A$7:$A$306,Employees!$A$23,'Leave log'!$B$7:$B$306,"&lt;="&amp;DATE($B$3,4,13),'Leave log'!$C$7:$C$306,"&gt;="&amp;DATE($B$3,4,13),'Leave log'!$F$7:$F$306,"Approved")&gt;0,"A",""))="A","A",IF(OR(DATE($B$3,4,13)&gt;EOMONTH(DATE($B$3,4,1),0),NETWORKDAYS.INTL(DATE($B$3,4,13),DATE($B$3,4,13),1,'Non-working days'!$A$6:$A$45)=0),"",IF(COUNTIFS('Leave log'!$A$7:$A$306,Employees!$A$23,'Leave log'!$B$7:$B$306,"&lt;="&amp;DATE($B$3,4,13),'Leave log'!$C$7:$C$306,"&gt;="&amp;DATE($B$3,4,13),'Leave log'!$F$7:$F$306,"Pending")&gt;0,"P",""))))</f>
        <v/>
      </c>
      <c r="O126" s="23" t="str">
        <f>IF(A126="","",IF(IF(OR(DATE($B$3,4,14)&gt;EOMONTH(DATE($B$3,4,1),0),NETWORKDAYS.INTL(DATE($B$3,4,14),DATE($B$3,4,14),1,'Non-working days'!$A$6:$A$45)=0),"",IF(COUNTIFS('Leave log'!$A$7:$A$306,Employees!$A$23,'Leave log'!$B$7:$B$306,"&lt;="&amp;DATE($B$3,4,14),'Leave log'!$C$7:$C$306,"&gt;="&amp;DATE($B$3,4,14),'Leave log'!$F$7:$F$306,"Approved")&gt;0,"A",""))="A","A",IF(OR(DATE($B$3,4,14)&gt;EOMONTH(DATE($B$3,4,1),0),NETWORKDAYS.INTL(DATE($B$3,4,14),DATE($B$3,4,14),1,'Non-working days'!$A$6:$A$45)=0),"",IF(COUNTIFS('Leave log'!$A$7:$A$306,Employees!$A$23,'Leave log'!$B$7:$B$306,"&lt;="&amp;DATE($B$3,4,14),'Leave log'!$C$7:$C$306,"&gt;="&amp;DATE($B$3,4,14),'Leave log'!$F$7:$F$306,"Pending")&gt;0,"P",""))))</f>
        <v/>
      </c>
      <c r="P126" s="23" t="str">
        <f>IF(A126="","",IF(IF(OR(DATE($B$3,4,15)&gt;EOMONTH(DATE($B$3,4,1),0),NETWORKDAYS.INTL(DATE($B$3,4,15),DATE($B$3,4,15),1,'Non-working days'!$A$6:$A$45)=0),"",IF(COUNTIFS('Leave log'!$A$7:$A$306,Employees!$A$23,'Leave log'!$B$7:$B$306,"&lt;="&amp;DATE($B$3,4,15),'Leave log'!$C$7:$C$306,"&gt;="&amp;DATE($B$3,4,15),'Leave log'!$F$7:$F$306,"Approved")&gt;0,"A",""))="A","A",IF(OR(DATE($B$3,4,15)&gt;EOMONTH(DATE($B$3,4,1),0),NETWORKDAYS.INTL(DATE($B$3,4,15),DATE($B$3,4,15),1,'Non-working days'!$A$6:$A$45)=0),"",IF(COUNTIFS('Leave log'!$A$7:$A$306,Employees!$A$23,'Leave log'!$B$7:$B$306,"&lt;="&amp;DATE($B$3,4,15),'Leave log'!$C$7:$C$306,"&gt;="&amp;DATE($B$3,4,15),'Leave log'!$F$7:$F$306,"Pending")&gt;0,"P",""))))</f>
        <v/>
      </c>
      <c r="Q126" s="23" t="str">
        <f>IF(A126="","",IF(IF(OR(DATE($B$3,4,16)&gt;EOMONTH(DATE($B$3,4,1),0),NETWORKDAYS.INTL(DATE($B$3,4,16),DATE($B$3,4,16),1,'Non-working days'!$A$6:$A$45)=0),"",IF(COUNTIFS('Leave log'!$A$7:$A$306,Employees!$A$23,'Leave log'!$B$7:$B$306,"&lt;="&amp;DATE($B$3,4,16),'Leave log'!$C$7:$C$306,"&gt;="&amp;DATE($B$3,4,16),'Leave log'!$F$7:$F$306,"Approved")&gt;0,"A",""))="A","A",IF(OR(DATE($B$3,4,16)&gt;EOMONTH(DATE($B$3,4,1),0),NETWORKDAYS.INTL(DATE($B$3,4,16),DATE($B$3,4,16),1,'Non-working days'!$A$6:$A$45)=0),"",IF(COUNTIFS('Leave log'!$A$7:$A$306,Employees!$A$23,'Leave log'!$B$7:$B$306,"&lt;="&amp;DATE($B$3,4,16),'Leave log'!$C$7:$C$306,"&gt;="&amp;DATE($B$3,4,16),'Leave log'!$F$7:$F$306,"Pending")&gt;0,"P",""))))</f>
        <v/>
      </c>
      <c r="R126" s="23" t="str">
        <f>IF(A126="","",IF(IF(OR(DATE($B$3,4,17)&gt;EOMONTH(DATE($B$3,4,1),0),NETWORKDAYS.INTL(DATE($B$3,4,17),DATE($B$3,4,17),1,'Non-working days'!$A$6:$A$45)=0),"",IF(COUNTIFS('Leave log'!$A$7:$A$306,Employees!$A$23,'Leave log'!$B$7:$B$306,"&lt;="&amp;DATE($B$3,4,17),'Leave log'!$C$7:$C$306,"&gt;="&amp;DATE($B$3,4,17),'Leave log'!$F$7:$F$306,"Approved")&gt;0,"A",""))="A","A",IF(OR(DATE($B$3,4,17)&gt;EOMONTH(DATE($B$3,4,1),0),NETWORKDAYS.INTL(DATE($B$3,4,17),DATE($B$3,4,17),1,'Non-working days'!$A$6:$A$45)=0),"",IF(COUNTIFS('Leave log'!$A$7:$A$306,Employees!$A$23,'Leave log'!$B$7:$B$306,"&lt;="&amp;DATE($B$3,4,17),'Leave log'!$C$7:$C$306,"&gt;="&amp;DATE($B$3,4,17),'Leave log'!$F$7:$F$306,"Pending")&gt;0,"P",""))))</f>
        <v/>
      </c>
      <c r="S126" s="23" t="str">
        <f>IF(A126="","",IF(IF(OR(DATE($B$3,4,18)&gt;EOMONTH(DATE($B$3,4,1),0),NETWORKDAYS.INTL(DATE($B$3,4,18),DATE($B$3,4,18),1,'Non-working days'!$A$6:$A$45)=0),"",IF(COUNTIFS('Leave log'!$A$7:$A$306,Employees!$A$23,'Leave log'!$B$7:$B$306,"&lt;="&amp;DATE($B$3,4,18),'Leave log'!$C$7:$C$306,"&gt;="&amp;DATE($B$3,4,18),'Leave log'!$F$7:$F$306,"Approved")&gt;0,"A",""))="A","A",IF(OR(DATE($B$3,4,18)&gt;EOMONTH(DATE($B$3,4,1),0),NETWORKDAYS.INTL(DATE($B$3,4,18),DATE($B$3,4,18),1,'Non-working days'!$A$6:$A$45)=0),"",IF(COUNTIFS('Leave log'!$A$7:$A$306,Employees!$A$23,'Leave log'!$B$7:$B$306,"&lt;="&amp;DATE($B$3,4,18),'Leave log'!$C$7:$C$306,"&gt;="&amp;DATE($B$3,4,18),'Leave log'!$F$7:$F$306,"Pending")&gt;0,"P",""))))</f>
        <v/>
      </c>
      <c r="T126" s="23" t="str">
        <f>IF(A126="","",IF(IF(OR(DATE($B$3,4,19)&gt;EOMONTH(DATE($B$3,4,1),0),NETWORKDAYS.INTL(DATE($B$3,4,19),DATE($B$3,4,19),1,'Non-working days'!$A$6:$A$45)=0),"",IF(COUNTIFS('Leave log'!$A$7:$A$306,Employees!$A$23,'Leave log'!$B$7:$B$306,"&lt;="&amp;DATE($B$3,4,19),'Leave log'!$C$7:$C$306,"&gt;="&amp;DATE($B$3,4,19),'Leave log'!$F$7:$F$306,"Approved")&gt;0,"A",""))="A","A",IF(OR(DATE($B$3,4,19)&gt;EOMONTH(DATE($B$3,4,1),0),NETWORKDAYS.INTL(DATE($B$3,4,19),DATE($B$3,4,19),1,'Non-working days'!$A$6:$A$45)=0),"",IF(COUNTIFS('Leave log'!$A$7:$A$306,Employees!$A$23,'Leave log'!$B$7:$B$306,"&lt;="&amp;DATE($B$3,4,19),'Leave log'!$C$7:$C$306,"&gt;="&amp;DATE($B$3,4,19),'Leave log'!$F$7:$F$306,"Pending")&gt;0,"P",""))))</f>
        <v/>
      </c>
      <c r="U126" s="23" t="str">
        <f>IF(A126="","",IF(IF(OR(DATE($B$3,4,20)&gt;EOMONTH(DATE($B$3,4,1),0),NETWORKDAYS.INTL(DATE($B$3,4,20),DATE($B$3,4,20),1,'Non-working days'!$A$6:$A$45)=0),"",IF(COUNTIFS('Leave log'!$A$7:$A$306,Employees!$A$23,'Leave log'!$B$7:$B$306,"&lt;="&amp;DATE($B$3,4,20),'Leave log'!$C$7:$C$306,"&gt;="&amp;DATE($B$3,4,20),'Leave log'!$F$7:$F$306,"Approved")&gt;0,"A",""))="A","A",IF(OR(DATE($B$3,4,20)&gt;EOMONTH(DATE($B$3,4,1),0),NETWORKDAYS.INTL(DATE($B$3,4,20),DATE($B$3,4,20),1,'Non-working days'!$A$6:$A$45)=0),"",IF(COUNTIFS('Leave log'!$A$7:$A$306,Employees!$A$23,'Leave log'!$B$7:$B$306,"&lt;="&amp;DATE($B$3,4,20),'Leave log'!$C$7:$C$306,"&gt;="&amp;DATE($B$3,4,20),'Leave log'!$F$7:$F$306,"Pending")&gt;0,"P",""))))</f>
        <v/>
      </c>
      <c r="V126" s="23" t="str">
        <f>IF(A126="","",IF(IF(OR(DATE($B$3,4,21)&gt;EOMONTH(DATE($B$3,4,1),0),NETWORKDAYS.INTL(DATE($B$3,4,21),DATE($B$3,4,21),1,'Non-working days'!$A$6:$A$45)=0),"",IF(COUNTIFS('Leave log'!$A$7:$A$306,Employees!$A$23,'Leave log'!$B$7:$B$306,"&lt;="&amp;DATE($B$3,4,21),'Leave log'!$C$7:$C$306,"&gt;="&amp;DATE($B$3,4,21),'Leave log'!$F$7:$F$306,"Approved")&gt;0,"A",""))="A","A",IF(OR(DATE($B$3,4,21)&gt;EOMONTH(DATE($B$3,4,1),0),NETWORKDAYS.INTL(DATE($B$3,4,21),DATE($B$3,4,21),1,'Non-working days'!$A$6:$A$45)=0),"",IF(COUNTIFS('Leave log'!$A$7:$A$306,Employees!$A$23,'Leave log'!$B$7:$B$306,"&lt;="&amp;DATE($B$3,4,21),'Leave log'!$C$7:$C$306,"&gt;="&amp;DATE($B$3,4,21),'Leave log'!$F$7:$F$306,"Pending")&gt;0,"P",""))))</f>
        <v/>
      </c>
      <c r="W126" s="23" t="str">
        <f>IF(A126="","",IF(IF(OR(DATE($B$3,4,22)&gt;EOMONTH(DATE($B$3,4,1),0),NETWORKDAYS.INTL(DATE($B$3,4,22),DATE($B$3,4,22),1,'Non-working days'!$A$6:$A$45)=0),"",IF(COUNTIFS('Leave log'!$A$7:$A$306,Employees!$A$23,'Leave log'!$B$7:$B$306,"&lt;="&amp;DATE($B$3,4,22),'Leave log'!$C$7:$C$306,"&gt;="&amp;DATE($B$3,4,22),'Leave log'!$F$7:$F$306,"Approved")&gt;0,"A",""))="A","A",IF(OR(DATE($B$3,4,22)&gt;EOMONTH(DATE($B$3,4,1),0),NETWORKDAYS.INTL(DATE($B$3,4,22),DATE($B$3,4,22),1,'Non-working days'!$A$6:$A$45)=0),"",IF(COUNTIFS('Leave log'!$A$7:$A$306,Employees!$A$23,'Leave log'!$B$7:$B$306,"&lt;="&amp;DATE($B$3,4,22),'Leave log'!$C$7:$C$306,"&gt;="&amp;DATE($B$3,4,22),'Leave log'!$F$7:$F$306,"Pending")&gt;0,"P",""))))</f>
        <v/>
      </c>
      <c r="X126" s="23" t="str">
        <f>IF(A126="","",IF(IF(OR(DATE($B$3,4,23)&gt;EOMONTH(DATE($B$3,4,1),0),NETWORKDAYS.INTL(DATE($B$3,4,23),DATE($B$3,4,23),1,'Non-working days'!$A$6:$A$45)=0),"",IF(COUNTIFS('Leave log'!$A$7:$A$306,Employees!$A$23,'Leave log'!$B$7:$B$306,"&lt;="&amp;DATE($B$3,4,23),'Leave log'!$C$7:$C$306,"&gt;="&amp;DATE($B$3,4,23),'Leave log'!$F$7:$F$306,"Approved")&gt;0,"A",""))="A","A",IF(OR(DATE($B$3,4,23)&gt;EOMONTH(DATE($B$3,4,1),0),NETWORKDAYS.INTL(DATE($B$3,4,23),DATE($B$3,4,23),1,'Non-working days'!$A$6:$A$45)=0),"",IF(COUNTIFS('Leave log'!$A$7:$A$306,Employees!$A$23,'Leave log'!$B$7:$B$306,"&lt;="&amp;DATE($B$3,4,23),'Leave log'!$C$7:$C$306,"&gt;="&amp;DATE($B$3,4,23),'Leave log'!$F$7:$F$306,"Pending")&gt;0,"P",""))))</f>
        <v/>
      </c>
      <c r="Y126" s="23" t="str">
        <f>IF(A126="","",IF(IF(OR(DATE($B$3,4,24)&gt;EOMONTH(DATE($B$3,4,1),0),NETWORKDAYS.INTL(DATE($B$3,4,24),DATE($B$3,4,24),1,'Non-working days'!$A$6:$A$45)=0),"",IF(COUNTIFS('Leave log'!$A$7:$A$306,Employees!$A$23,'Leave log'!$B$7:$B$306,"&lt;="&amp;DATE($B$3,4,24),'Leave log'!$C$7:$C$306,"&gt;="&amp;DATE($B$3,4,24),'Leave log'!$F$7:$F$306,"Approved")&gt;0,"A",""))="A","A",IF(OR(DATE($B$3,4,24)&gt;EOMONTH(DATE($B$3,4,1),0),NETWORKDAYS.INTL(DATE($B$3,4,24),DATE($B$3,4,24),1,'Non-working days'!$A$6:$A$45)=0),"",IF(COUNTIFS('Leave log'!$A$7:$A$306,Employees!$A$23,'Leave log'!$B$7:$B$306,"&lt;="&amp;DATE($B$3,4,24),'Leave log'!$C$7:$C$306,"&gt;="&amp;DATE($B$3,4,24),'Leave log'!$F$7:$F$306,"Pending")&gt;0,"P",""))))</f>
        <v/>
      </c>
      <c r="Z126" s="23" t="str">
        <f>IF(A126="","",IF(IF(OR(DATE($B$3,4,25)&gt;EOMONTH(DATE($B$3,4,1),0),NETWORKDAYS.INTL(DATE($B$3,4,25),DATE($B$3,4,25),1,'Non-working days'!$A$6:$A$45)=0),"",IF(COUNTIFS('Leave log'!$A$7:$A$306,Employees!$A$23,'Leave log'!$B$7:$B$306,"&lt;="&amp;DATE($B$3,4,25),'Leave log'!$C$7:$C$306,"&gt;="&amp;DATE($B$3,4,25),'Leave log'!$F$7:$F$306,"Approved")&gt;0,"A",""))="A","A",IF(OR(DATE($B$3,4,25)&gt;EOMONTH(DATE($B$3,4,1),0),NETWORKDAYS.INTL(DATE($B$3,4,25),DATE($B$3,4,25),1,'Non-working days'!$A$6:$A$45)=0),"",IF(COUNTIFS('Leave log'!$A$7:$A$306,Employees!$A$23,'Leave log'!$B$7:$B$306,"&lt;="&amp;DATE($B$3,4,25),'Leave log'!$C$7:$C$306,"&gt;="&amp;DATE($B$3,4,25),'Leave log'!$F$7:$F$306,"Pending")&gt;0,"P",""))))</f>
        <v/>
      </c>
      <c r="AA126" s="23" t="str">
        <f>IF(A126="","",IF(IF(OR(DATE($B$3,4,26)&gt;EOMONTH(DATE($B$3,4,1),0),NETWORKDAYS.INTL(DATE($B$3,4,26),DATE($B$3,4,26),1,'Non-working days'!$A$6:$A$45)=0),"",IF(COUNTIFS('Leave log'!$A$7:$A$306,Employees!$A$23,'Leave log'!$B$7:$B$306,"&lt;="&amp;DATE($B$3,4,26),'Leave log'!$C$7:$C$306,"&gt;="&amp;DATE($B$3,4,26),'Leave log'!$F$7:$F$306,"Approved")&gt;0,"A",""))="A","A",IF(OR(DATE($B$3,4,26)&gt;EOMONTH(DATE($B$3,4,1),0),NETWORKDAYS.INTL(DATE($B$3,4,26),DATE($B$3,4,26),1,'Non-working days'!$A$6:$A$45)=0),"",IF(COUNTIFS('Leave log'!$A$7:$A$306,Employees!$A$23,'Leave log'!$B$7:$B$306,"&lt;="&amp;DATE($B$3,4,26),'Leave log'!$C$7:$C$306,"&gt;="&amp;DATE($B$3,4,26),'Leave log'!$F$7:$F$306,"Pending")&gt;0,"P",""))))</f>
        <v/>
      </c>
      <c r="AB126" s="23" t="str">
        <f>IF(A126="","",IF(IF(OR(DATE($B$3,4,27)&gt;EOMONTH(DATE($B$3,4,1),0),NETWORKDAYS.INTL(DATE($B$3,4,27),DATE($B$3,4,27),1,'Non-working days'!$A$6:$A$45)=0),"",IF(COUNTIFS('Leave log'!$A$7:$A$306,Employees!$A$23,'Leave log'!$B$7:$B$306,"&lt;="&amp;DATE($B$3,4,27),'Leave log'!$C$7:$C$306,"&gt;="&amp;DATE($B$3,4,27),'Leave log'!$F$7:$F$306,"Approved")&gt;0,"A",""))="A","A",IF(OR(DATE($B$3,4,27)&gt;EOMONTH(DATE($B$3,4,1),0),NETWORKDAYS.INTL(DATE($B$3,4,27),DATE($B$3,4,27),1,'Non-working days'!$A$6:$A$45)=0),"",IF(COUNTIFS('Leave log'!$A$7:$A$306,Employees!$A$23,'Leave log'!$B$7:$B$306,"&lt;="&amp;DATE($B$3,4,27),'Leave log'!$C$7:$C$306,"&gt;="&amp;DATE($B$3,4,27),'Leave log'!$F$7:$F$306,"Pending")&gt;0,"P",""))))</f>
        <v/>
      </c>
      <c r="AC126" s="23" t="str">
        <f>IF(A126="","",IF(IF(OR(DATE($B$3,4,28)&gt;EOMONTH(DATE($B$3,4,1),0),NETWORKDAYS.INTL(DATE($B$3,4,28),DATE($B$3,4,28),1,'Non-working days'!$A$6:$A$45)=0),"",IF(COUNTIFS('Leave log'!$A$7:$A$306,Employees!$A$23,'Leave log'!$B$7:$B$306,"&lt;="&amp;DATE($B$3,4,28),'Leave log'!$C$7:$C$306,"&gt;="&amp;DATE($B$3,4,28),'Leave log'!$F$7:$F$306,"Approved")&gt;0,"A",""))="A","A",IF(OR(DATE($B$3,4,28)&gt;EOMONTH(DATE($B$3,4,1),0),NETWORKDAYS.INTL(DATE($B$3,4,28),DATE($B$3,4,28),1,'Non-working days'!$A$6:$A$45)=0),"",IF(COUNTIFS('Leave log'!$A$7:$A$306,Employees!$A$23,'Leave log'!$B$7:$B$306,"&lt;="&amp;DATE($B$3,4,28),'Leave log'!$C$7:$C$306,"&gt;="&amp;DATE($B$3,4,28),'Leave log'!$F$7:$F$306,"Pending")&gt;0,"P",""))))</f>
        <v/>
      </c>
      <c r="AD126" s="23" t="str">
        <f>IF(A126="","",IF(IF(OR(DATE($B$3,4,29)&gt;EOMONTH(DATE($B$3,4,1),0),NETWORKDAYS.INTL(DATE($B$3,4,29),DATE($B$3,4,29),1,'Non-working days'!$A$6:$A$45)=0),"",IF(COUNTIFS('Leave log'!$A$7:$A$306,Employees!$A$23,'Leave log'!$B$7:$B$306,"&lt;="&amp;DATE($B$3,4,29),'Leave log'!$C$7:$C$306,"&gt;="&amp;DATE($B$3,4,29),'Leave log'!$F$7:$F$306,"Approved")&gt;0,"A",""))="A","A",IF(OR(DATE($B$3,4,29)&gt;EOMONTH(DATE($B$3,4,1),0),NETWORKDAYS.INTL(DATE($B$3,4,29),DATE($B$3,4,29),1,'Non-working days'!$A$6:$A$45)=0),"",IF(COUNTIFS('Leave log'!$A$7:$A$306,Employees!$A$23,'Leave log'!$B$7:$B$306,"&lt;="&amp;DATE($B$3,4,29),'Leave log'!$C$7:$C$306,"&gt;="&amp;DATE($B$3,4,29),'Leave log'!$F$7:$F$306,"Pending")&gt;0,"P",""))))</f>
        <v/>
      </c>
      <c r="AE126" s="23" t="str">
        <f>IF(A126="","",IF(IF(OR(DATE($B$3,4,30)&gt;EOMONTH(DATE($B$3,4,1),0),NETWORKDAYS.INTL(DATE($B$3,4,30),DATE($B$3,4,30),1,'Non-working days'!$A$6:$A$45)=0),"",IF(COUNTIFS('Leave log'!$A$7:$A$306,Employees!$A$23,'Leave log'!$B$7:$B$306,"&lt;="&amp;DATE($B$3,4,30),'Leave log'!$C$7:$C$306,"&gt;="&amp;DATE($B$3,4,30),'Leave log'!$F$7:$F$306,"Approved")&gt;0,"A",""))="A","A",IF(OR(DATE($B$3,4,30)&gt;EOMONTH(DATE($B$3,4,1),0),NETWORKDAYS.INTL(DATE($B$3,4,30),DATE($B$3,4,30),1,'Non-working days'!$A$6:$A$45)=0),"",IF(COUNTIFS('Leave log'!$A$7:$A$306,Employees!$A$23,'Leave log'!$B$7:$B$306,"&lt;="&amp;DATE($B$3,4,30),'Leave log'!$C$7:$C$306,"&gt;="&amp;DATE($B$3,4,30),'Leave log'!$F$7:$F$306,"Pending")&gt;0,"P",""))))</f>
        <v/>
      </c>
      <c r="AF126" s="23" t="str">
        <f>IF(A126="","",IF(IF(OR(DATE($B$3,4,31)&gt;EOMONTH(DATE($B$3,4,1),0),NETWORKDAYS.INTL(DATE($B$3,4,31),DATE($B$3,4,31),1,'Non-working days'!$A$6:$A$45)=0),"",IF(COUNTIFS('Leave log'!$A$7:$A$306,Employees!$A$23,'Leave log'!$B$7:$B$306,"&lt;="&amp;DATE($B$3,4,31),'Leave log'!$C$7:$C$306,"&gt;="&amp;DATE($B$3,4,31),'Leave log'!$F$7:$F$306,"Approved")&gt;0,"A",""))="A","A",IF(OR(DATE($B$3,4,31)&gt;EOMONTH(DATE($B$3,4,1),0),NETWORKDAYS.INTL(DATE($B$3,4,31),DATE($B$3,4,31),1,'Non-working days'!$A$6:$A$45)=0),"",IF(COUNTIFS('Leave log'!$A$7:$A$306,Employees!$A$23,'Leave log'!$B$7:$B$306,"&lt;="&amp;DATE($B$3,4,31),'Leave log'!$C$7:$C$306,"&gt;="&amp;DATE($B$3,4,31),'Leave log'!$F$7:$F$306,"Pending")&gt;0,"P",""))))</f>
        <v/>
      </c>
    </row>
    <row r="127" spans="1:32" ht="18" customHeight="1" x14ac:dyDescent="0.3">
      <c r="A127" s="22" t="str">
        <f>IF(Employees!F24="Yes",Employees!B24,"")</f>
        <v/>
      </c>
      <c r="B127" s="23" t="str">
        <f>IF(A127="","",IF(IF(OR(DATE($B$3,4,1)&gt;EOMONTH(DATE($B$3,4,1),0),NETWORKDAYS.INTL(DATE($B$3,4,1),DATE($B$3,4,1),1,'Non-working days'!$A$6:$A$45)=0),"",IF(COUNTIFS('Leave log'!$A$7:$A$306,Employees!$A$24,'Leave log'!$B$7:$B$306,"&lt;="&amp;DATE($B$3,4,1),'Leave log'!$C$7:$C$306,"&gt;="&amp;DATE($B$3,4,1),'Leave log'!$F$7:$F$306,"Approved")&gt;0,"A",""))="A","A",IF(OR(DATE($B$3,4,1)&gt;EOMONTH(DATE($B$3,4,1),0),NETWORKDAYS.INTL(DATE($B$3,4,1),DATE($B$3,4,1),1,'Non-working days'!$A$6:$A$45)=0),"",IF(COUNTIFS('Leave log'!$A$7:$A$306,Employees!$A$24,'Leave log'!$B$7:$B$306,"&lt;="&amp;DATE($B$3,4,1),'Leave log'!$C$7:$C$306,"&gt;="&amp;DATE($B$3,4,1),'Leave log'!$F$7:$F$306,"Pending")&gt;0,"P",""))))</f>
        <v/>
      </c>
      <c r="C127" s="23" t="str">
        <f>IF(A127="","",IF(IF(OR(DATE($B$3,4,2)&gt;EOMONTH(DATE($B$3,4,1),0),NETWORKDAYS.INTL(DATE($B$3,4,2),DATE($B$3,4,2),1,'Non-working days'!$A$6:$A$45)=0),"",IF(COUNTIFS('Leave log'!$A$7:$A$306,Employees!$A$24,'Leave log'!$B$7:$B$306,"&lt;="&amp;DATE($B$3,4,2),'Leave log'!$C$7:$C$306,"&gt;="&amp;DATE($B$3,4,2),'Leave log'!$F$7:$F$306,"Approved")&gt;0,"A",""))="A","A",IF(OR(DATE($B$3,4,2)&gt;EOMONTH(DATE($B$3,4,1),0),NETWORKDAYS.INTL(DATE($B$3,4,2),DATE($B$3,4,2),1,'Non-working days'!$A$6:$A$45)=0),"",IF(COUNTIFS('Leave log'!$A$7:$A$306,Employees!$A$24,'Leave log'!$B$7:$B$306,"&lt;="&amp;DATE($B$3,4,2),'Leave log'!$C$7:$C$306,"&gt;="&amp;DATE($B$3,4,2),'Leave log'!$F$7:$F$306,"Pending")&gt;0,"P",""))))</f>
        <v/>
      </c>
      <c r="D127" s="23" t="str">
        <f>IF(A127="","",IF(IF(OR(DATE($B$3,4,3)&gt;EOMONTH(DATE($B$3,4,1),0),NETWORKDAYS.INTL(DATE($B$3,4,3),DATE($B$3,4,3),1,'Non-working days'!$A$6:$A$45)=0),"",IF(COUNTIFS('Leave log'!$A$7:$A$306,Employees!$A$24,'Leave log'!$B$7:$B$306,"&lt;="&amp;DATE($B$3,4,3),'Leave log'!$C$7:$C$306,"&gt;="&amp;DATE($B$3,4,3),'Leave log'!$F$7:$F$306,"Approved")&gt;0,"A",""))="A","A",IF(OR(DATE($B$3,4,3)&gt;EOMONTH(DATE($B$3,4,1),0),NETWORKDAYS.INTL(DATE($B$3,4,3),DATE($B$3,4,3),1,'Non-working days'!$A$6:$A$45)=0),"",IF(COUNTIFS('Leave log'!$A$7:$A$306,Employees!$A$24,'Leave log'!$B$7:$B$306,"&lt;="&amp;DATE($B$3,4,3),'Leave log'!$C$7:$C$306,"&gt;="&amp;DATE($B$3,4,3),'Leave log'!$F$7:$F$306,"Pending")&gt;0,"P",""))))</f>
        <v/>
      </c>
      <c r="E127" s="23" t="str">
        <f>IF(A127="","",IF(IF(OR(DATE($B$3,4,4)&gt;EOMONTH(DATE($B$3,4,1),0),NETWORKDAYS.INTL(DATE($B$3,4,4),DATE($B$3,4,4),1,'Non-working days'!$A$6:$A$45)=0),"",IF(COUNTIFS('Leave log'!$A$7:$A$306,Employees!$A$24,'Leave log'!$B$7:$B$306,"&lt;="&amp;DATE($B$3,4,4),'Leave log'!$C$7:$C$306,"&gt;="&amp;DATE($B$3,4,4),'Leave log'!$F$7:$F$306,"Approved")&gt;0,"A",""))="A","A",IF(OR(DATE($B$3,4,4)&gt;EOMONTH(DATE($B$3,4,1),0),NETWORKDAYS.INTL(DATE($B$3,4,4),DATE($B$3,4,4),1,'Non-working days'!$A$6:$A$45)=0),"",IF(COUNTIFS('Leave log'!$A$7:$A$306,Employees!$A$24,'Leave log'!$B$7:$B$306,"&lt;="&amp;DATE($B$3,4,4),'Leave log'!$C$7:$C$306,"&gt;="&amp;DATE($B$3,4,4),'Leave log'!$F$7:$F$306,"Pending")&gt;0,"P",""))))</f>
        <v/>
      </c>
      <c r="F127" s="23" t="str">
        <f>IF(A127="","",IF(IF(OR(DATE($B$3,4,5)&gt;EOMONTH(DATE($B$3,4,1),0),NETWORKDAYS.INTL(DATE($B$3,4,5),DATE($B$3,4,5),1,'Non-working days'!$A$6:$A$45)=0),"",IF(COUNTIFS('Leave log'!$A$7:$A$306,Employees!$A$24,'Leave log'!$B$7:$B$306,"&lt;="&amp;DATE($B$3,4,5),'Leave log'!$C$7:$C$306,"&gt;="&amp;DATE($B$3,4,5),'Leave log'!$F$7:$F$306,"Approved")&gt;0,"A",""))="A","A",IF(OR(DATE($B$3,4,5)&gt;EOMONTH(DATE($B$3,4,1),0),NETWORKDAYS.INTL(DATE($B$3,4,5),DATE($B$3,4,5),1,'Non-working days'!$A$6:$A$45)=0),"",IF(COUNTIFS('Leave log'!$A$7:$A$306,Employees!$A$24,'Leave log'!$B$7:$B$306,"&lt;="&amp;DATE($B$3,4,5),'Leave log'!$C$7:$C$306,"&gt;="&amp;DATE($B$3,4,5),'Leave log'!$F$7:$F$306,"Pending")&gt;0,"P",""))))</f>
        <v/>
      </c>
      <c r="G127" s="23" t="str">
        <f>IF(A127="","",IF(IF(OR(DATE($B$3,4,6)&gt;EOMONTH(DATE($B$3,4,1),0),NETWORKDAYS.INTL(DATE($B$3,4,6),DATE($B$3,4,6),1,'Non-working days'!$A$6:$A$45)=0),"",IF(COUNTIFS('Leave log'!$A$7:$A$306,Employees!$A$24,'Leave log'!$B$7:$B$306,"&lt;="&amp;DATE($B$3,4,6),'Leave log'!$C$7:$C$306,"&gt;="&amp;DATE($B$3,4,6),'Leave log'!$F$7:$F$306,"Approved")&gt;0,"A",""))="A","A",IF(OR(DATE($B$3,4,6)&gt;EOMONTH(DATE($B$3,4,1),0),NETWORKDAYS.INTL(DATE($B$3,4,6),DATE($B$3,4,6),1,'Non-working days'!$A$6:$A$45)=0),"",IF(COUNTIFS('Leave log'!$A$7:$A$306,Employees!$A$24,'Leave log'!$B$7:$B$306,"&lt;="&amp;DATE($B$3,4,6),'Leave log'!$C$7:$C$306,"&gt;="&amp;DATE($B$3,4,6),'Leave log'!$F$7:$F$306,"Pending")&gt;0,"P",""))))</f>
        <v/>
      </c>
      <c r="H127" s="23" t="str">
        <f>IF(A127="","",IF(IF(OR(DATE($B$3,4,7)&gt;EOMONTH(DATE($B$3,4,1),0),NETWORKDAYS.INTL(DATE($B$3,4,7),DATE($B$3,4,7),1,'Non-working days'!$A$6:$A$45)=0),"",IF(COUNTIFS('Leave log'!$A$7:$A$306,Employees!$A$24,'Leave log'!$B$7:$B$306,"&lt;="&amp;DATE($B$3,4,7),'Leave log'!$C$7:$C$306,"&gt;="&amp;DATE($B$3,4,7),'Leave log'!$F$7:$F$306,"Approved")&gt;0,"A",""))="A","A",IF(OR(DATE($B$3,4,7)&gt;EOMONTH(DATE($B$3,4,1),0),NETWORKDAYS.INTL(DATE($B$3,4,7),DATE($B$3,4,7),1,'Non-working days'!$A$6:$A$45)=0),"",IF(COUNTIFS('Leave log'!$A$7:$A$306,Employees!$A$24,'Leave log'!$B$7:$B$306,"&lt;="&amp;DATE($B$3,4,7),'Leave log'!$C$7:$C$306,"&gt;="&amp;DATE($B$3,4,7),'Leave log'!$F$7:$F$306,"Pending")&gt;0,"P",""))))</f>
        <v/>
      </c>
      <c r="I127" s="23" t="str">
        <f>IF(A127="","",IF(IF(OR(DATE($B$3,4,8)&gt;EOMONTH(DATE($B$3,4,1),0),NETWORKDAYS.INTL(DATE($B$3,4,8),DATE($B$3,4,8),1,'Non-working days'!$A$6:$A$45)=0),"",IF(COUNTIFS('Leave log'!$A$7:$A$306,Employees!$A$24,'Leave log'!$B$7:$B$306,"&lt;="&amp;DATE($B$3,4,8),'Leave log'!$C$7:$C$306,"&gt;="&amp;DATE($B$3,4,8),'Leave log'!$F$7:$F$306,"Approved")&gt;0,"A",""))="A","A",IF(OR(DATE($B$3,4,8)&gt;EOMONTH(DATE($B$3,4,1),0),NETWORKDAYS.INTL(DATE($B$3,4,8),DATE($B$3,4,8),1,'Non-working days'!$A$6:$A$45)=0),"",IF(COUNTIFS('Leave log'!$A$7:$A$306,Employees!$A$24,'Leave log'!$B$7:$B$306,"&lt;="&amp;DATE($B$3,4,8),'Leave log'!$C$7:$C$306,"&gt;="&amp;DATE($B$3,4,8),'Leave log'!$F$7:$F$306,"Pending")&gt;0,"P",""))))</f>
        <v/>
      </c>
      <c r="J127" s="23" t="str">
        <f>IF(A127="","",IF(IF(OR(DATE($B$3,4,9)&gt;EOMONTH(DATE($B$3,4,1),0),NETWORKDAYS.INTL(DATE($B$3,4,9),DATE($B$3,4,9),1,'Non-working days'!$A$6:$A$45)=0),"",IF(COUNTIFS('Leave log'!$A$7:$A$306,Employees!$A$24,'Leave log'!$B$7:$B$306,"&lt;="&amp;DATE($B$3,4,9),'Leave log'!$C$7:$C$306,"&gt;="&amp;DATE($B$3,4,9),'Leave log'!$F$7:$F$306,"Approved")&gt;0,"A",""))="A","A",IF(OR(DATE($B$3,4,9)&gt;EOMONTH(DATE($B$3,4,1),0),NETWORKDAYS.INTL(DATE($B$3,4,9),DATE($B$3,4,9),1,'Non-working days'!$A$6:$A$45)=0),"",IF(COUNTIFS('Leave log'!$A$7:$A$306,Employees!$A$24,'Leave log'!$B$7:$B$306,"&lt;="&amp;DATE($B$3,4,9),'Leave log'!$C$7:$C$306,"&gt;="&amp;DATE($B$3,4,9),'Leave log'!$F$7:$F$306,"Pending")&gt;0,"P",""))))</f>
        <v/>
      </c>
      <c r="K127" s="23" t="str">
        <f>IF(A127="","",IF(IF(OR(DATE($B$3,4,10)&gt;EOMONTH(DATE($B$3,4,1),0),NETWORKDAYS.INTL(DATE($B$3,4,10),DATE($B$3,4,10),1,'Non-working days'!$A$6:$A$45)=0),"",IF(COUNTIFS('Leave log'!$A$7:$A$306,Employees!$A$24,'Leave log'!$B$7:$B$306,"&lt;="&amp;DATE($B$3,4,10),'Leave log'!$C$7:$C$306,"&gt;="&amp;DATE($B$3,4,10),'Leave log'!$F$7:$F$306,"Approved")&gt;0,"A",""))="A","A",IF(OR(DATE($B$3,4,10)&gt;EOMONTH(DATE($B$3,4,1),0),NETWORKDAYS.INTL(DATE($B$3,4,10),DATE($B$3,4,10),1,'Non-working days'!$A$6:$A$45)=0),"",IF(COUNTIFS('Leave log'!$A$7:$A$306,Employees!$A$24,'Leave log'!$B$7:$B$306,"&lt;="&amp;DATE($B$3,4,10),'Leave log'!$C$7:$C$306,"&gt;="&amp;DATE($B$3,4,10),'Leave log'!$F$7:$F$306,"Pending")&gt;0,"P",""))))</f>
        <v/>
      </c>
      <c r="L127" s="23" t="str">
        <f>IF(A127="","",IF(IF(OR(DATE($B$3,4,11)&gt;EOMONTH(DATE($B$3,4,1),0),NETWORKDAYS.INTL(DATE($B$3,4,11),DATE($B$3,4,11),1,'Non-working days'!$A$6:$A$45)=0),"",IF(COUNTIFS('Leave log'!$A$7:$A$306,Employees!$A$24,'Leave log'!$B$7:$B$306,"&lt;="&amp;DATE($B$3,4,11),'Leave log'!$C$7:$C$306,"&gt;="&amp;DATE($B$3,4,11),'Leave log'!$F$7:$F$306,"Approved")&gt;0,"A",""))="A","A",IF(OR(DATE($B$3,4,11)&gt;EOMONTH(DATE($B$3,4,1),0),NETWORKDAYS.INTL(DATE($B$3,4,11),DATE($B$3,4,11),1,'Non-working days'!$A$6:$A$45)=0),"",IF(COUNTIFS('Leave log'!$A$7:$A$306,Employees!$A$24,'Leave log'!$B$7:$B$306,"&lt;="&amp;DATE($B$3,4,11),'Leave log'!$C$7:$C$306,"&gt;="&amp;DATE($B$3,4,11),'Leave log'!$F$7:$F$306,"Pending")&gt;0,"P",""))))</f>
        <v/>
      </c>
      <c r="M127" s="23" t="str">
        <f>IF(A127="","",IF(IF(OR(DATE($B$3,4,12)&gt;EOMONTH(DATE($B$3,4,1),0),NETWORKDAYS.INTL(DATE($B$3,4,12),DATE($B$3,4,12),1,'Non-working days'!$A$6:$A$45)=0),"",IF(COUNTIFS('Leave log'!$A$7:$A$306,Employees!$A$24,'Leave log'!$B$7:$B$306,"&lt;="&amp;DATE($B$3,4,12),'Leave log'!$C$7:$C$306,"&gt;="&amp;DATE($B$3,4,12),'Leave log'!$F$7:$F$306,"Approved")&gt;0,"A",""))="A","A",IF(OR(DATE($B$3,4,12)&gt;EOMONTH(DATE($B$3,4,1),0),NETWORKDAYS.INTL(DATE($B$3,4,12),DATE($B$3,4,12),1,'Non-working days'!$A$6:$A$45)=0),"",IF(COUNTIFS('Leave log'!$A$7:$A$306,Employees!$A$24,'Leave log'!$B$7:$B$306,"&lt;="&amp;DATE($B$3,4,12),'Leave log'!$C$7:$C$306,"&gt;="&amp;DATE($B$3,4,12),'Leave log'!$F$7:$F$306,"Pending")&gt;0,"P",""))))</f>
        <v/>
      </c>
      <c r="N127" s="23" t="str">
        <f>IF(A127="","",IF(IF(OR(DATE($B$3,4,13)&gt;EOMONTH(DATE($B$3,4,1),0),NETWORKDAYS.INTL(DATE($B$3,4,13),DATE($B$3,4,13),1,'Non-working days'!$A$6:$A$45)=0),"",IF(COUNTIFS('Leave log'!$A$7:$A$306,Employees!$A$24,'Leave log'!$B$7:$B$306,"&lt;="&amp;DATE($B$3,4,13),'Leave log'!$C$7:$C$306,"&gt;="&amp;DATE($B$3,4,13),'Leave log'!$F$7:$F$306,"Approved")&gt;0,"A",""))="A","A",IF(OR(DATE($B$3,4,13)&gt;EOMONTH(DATE($B$3,4,1),0),NETWORKDAYS.INTL(DATE($B$3,4,13),DATE($B$3,4,13),1,'Non-working days'!$A$6:$A$45)=0),"",IF(COUNTIFS('Leave log'!$A$7:$A$306,Employees!$A$24,'Leave log'!$B$7:$B$306,"&lt;="&amp;DATE($B$3,4,13),'Leave log'!$C$7:$C$306,"&gt;="&amp;DATE($B$3,4,13),'Leave log'!$F$7:$F$306,"Pending")&gt;0,"P",""))))</f>
        <v/>
      </c>
      <c r="O127" s="23" t="str">
        <f>IF(A127="","",IF(IF(OR(DATE($B$3,4,14)&gt;EOMONTH(DATE($B$3,4,1),0),NETWORKDAYS.INTL(DATE($B$3,4,14),DATE($B$3,4,14),1,'Non-working days'!$A$6:$A$45)=0),"",IF(COUNTIFS('Leave log'!$A$7:$A$306,Employees!$A$24,'Leave log'!$B$7:$B$306,"&lt;="&amp;DATE($B$3,4,14),'Leave log'!$C$7:$C$306,"&gt;="&amp;DATE($B$3,4,14),'Leave log'!$F$7:$F$306,"Approved")&gt;0,"A",""))="A","A",IF(OR(DATE($B$3,4,14)&gt;EOMONTH(DATE($B$3,4,1),0),NETWORKDAYS.INTL(DATE($B$3,4,14),DATE($B$3,4,14),1,'Non-working days'!$A$6:$A$45)=0),"",IF(COUNTIFS('Leave log'!$A$7:$A$306,Employees!$A$24,'Leave log'!$B$7:$B$306,"&lt;="&amp;DATE($B$3,4,14),'Leave log'!$C$7:$C$306,"&gt;="&amp;DATE($B$3,4,14),'Leave log'!$F$7:$F$306,"Pending")&gt;0,"P",""))))</f>
        <v/>
      </c>
      <c r="P127" s="23" t="str">
        <f>IF(A127="","",IF(IF(OR(DATE($B$3,4,15)&gt;EOMONTH(DATE($B$3,4,1),0),NETWORKDAYS.INTL(DATE($B$3,4,15),DATE($B$3,4,15),1,'Non-working days'!$A$6:$A$45)=0),"",IF(COUNTIFS('Leave log'!$A$7:$A$306,Employees!$A$24,'Leave log'!$B$7:$B$306,"&lt;="&amp;DATE($B$3,4,15),'Leave log'!$C$7:$C$306,"&gt;="&amp;DATE($B$3,4,15),'Leave log'!$F$7:$F$306,"Approved")&gt;0,"A",""))="A","A",IF(OR(DATE($B$3,4,15)&gt;EOMONTH(DATE($B$3,4,1),0),NETWORKDAYS.INTL(DATE($B$3,4,15),DATE($B$3,4,15),1,'Non-working days'!$A$6:$A$45)=0),"",IF(COUNTIFS('Leave log'!$A$7:$A$306,Employees!$A$24,'Leave log'!$B$7:$B$306,"&lt;="&amp;DATE($B$3,4,15),'Leave log'!$C$7:$C$306,"&gt;="&amp;DATE($B$3,4,15),'Leave log'!$F$7:$F$306,"Pending")&gt;0,"P",""))))</f>
        <v/>
      </c>
      <c r="Q127" s="23" t="str">
        <f>IF(A127="","",IF(IF(OR(DATE($B$3,4,16)&gt;EOMONTH(DATE($B$3,4,1),0),NETWORKDAYS.INTL(DATE($B$3,4,16),DATE($B$3,4,16),1,'Non-working days'!$A$6:$A$45)=0),"",IF(COUNTIFS('Leave log'!$A$7:$A$306,Employees!$A$24,'Leave log'!$B$7:$B$306,"&lt;="&amp;DATE($B$3,4,16),'Leave log'!$C$7:$C$306,"&gt;="&amp;DATE($B$3,4,16),'Leave log'!$F$7:$F$306,"Approved")&gt;0,"A",""))="A","A",IF(OR(DATE($B$3,4,16)&gt;EOMONTH(DATE($B$3,4,1),0),NETWORKDAYS.INTL(DATE($B$3,4,16),DATE($B$3,4,16),1,'Non-working days'!$A$6:$A$45)=0),"",IF(COUNTIFS('Leave log'!$A$7:$A$306,Employees!$A$24,'Leave log'!$B$7:$B$306,"&lt;="&amp;DATE($B$3,4,16),'Leave log'!$C$7:$C$306,"&gt;="&amp;DATE($B$3,4,16),'Leave log'!$F$7:$F$306,"Pending")&gt;0,"P",""))))</f>
        <v/>
      </c>
      <c r="R127" s="23" t="str">
        <f>IF(A127="","",IF(IF(OR(DATE($B$3,4,17)&gt;EOMONTH(DATE($B$3,4,1),0),NETWORKDAYS.INTL(DATE($B$3,4,17),DATE($B$3,4,17),1,'Non-working days'!$A$6:$A$45)=0),"",IF(COUNTIFS('Leave log'!$A$7:$A$306,Employees!$A$24,'Leave log'!$B$7:$B$306,"&lt;="&amp;DATE($B$3,4,17),'Leave log'!$C$7:$C$306,"&gt;="&amp;DATE($B$3,4,17),'Leave log'!$F$7:$F$306,"Approved")&gt;0,"A",""))="A","A",IF(OR(DATE($B$3,4,17)&gt;EOMONTH(DATE($B$3,4,1),0),NETWORKDAYS.INTL(DATE($B$3,4,17),DATE($B$3,4,17),1,'Non-working days'!$A$6:$A$45)=0),"",IF(COUNTIFS('Leave log'!$A$7:$A$306,Employees!$A$24,'Leave log'!$B$7:$B$306,"&lt;="&amp;DATE($B$3,4,17),'Leave log'!$C$7:$C$306,"&gt;="&amp;DATE($B$3,4,17),'Leave log'!$F$7:$F$306,"Pending")&gt;0,"P",""))))</f>
        <v/>
      </c>
      <c r="S127" s="23" t="str">
        <f>IF(A127="","",IF(IF(OR(DATE($B$3,4,18)&gt;EOMONTH(DATE($B$3,4,1),0),NETWORKDAYS.INTL(DATE($B$3,4,18),DATE($B$3,4,18),1,'Non-working days'!$A$6:$A$45)=0),"",IF(COUNTIFS('Leave log'!$A$7:$A$306,Employees!$A$24,'Leave log'!$B$7:$B$306,"&lt;="&amp;DATE($B$3,4,18),'Leave log'!$C$7:$C$306,"&gt;="&amp;DATE($B$3,4,18),'Leave log'!$F$7:$F$306,"Approved")&gt;0,"A",""))="A","A",IF(OR(DATE($B$3,4,18)&gt;EOMONTH(DATE($B$3,4,1),0),NETWORKDAYS.INTL(DATE($B$3,4,18),DATE($B$3,4,18),1,'Non-working days'!$A$6:$A$45)=0),"",IF(COUNTIFS('Leave log'!$A$7:$A$306,Employees!$A$24,'Leave log'!$B$7:$B$306,"&lt;="&amp;DATE($B$3,4,18),'Leave log'!$C$7:$C$306,"&gt;="&amp;DATE($B$3,4,18),'Leave log'!$F$7:$F$306,"Pending")&gt;0,"P",""))))</f>
        <v/>
      </c>
      <c r="T127" s="23" t="str">
        <f>IF(A127="","",IF(IF(OR(DATE($B$3,4,19)&gt;EOMONTH(DATE($B$3,4,1),0),NETWORKDAYS.INTL(DATE($B$3,4,19),DATE($B$3,4,19),1,'Non-working days'!$A$6:$A$45)=0),"",IF(COUNTIFS('Leave log'!$A$7:$A$306,Employees!$A$24,'Leave log'!$B$7:$B$306,"&lt;="&amp;DATE($B$3,4,19),'Leave log'!$C$7:$C$306,"&gt;="&amp;DATE($B$3,4,19),'Leave log'!$F$7:$F$306,"Approved")&gt;0,"A",""))="A","A",IF(OR(DATE($B$3,4,19)&gt;EOMONTH(DATE($B$3,4,1),0),NETWORKDAYS.INTL(DATE($B$3,4,19),DATE($B$3,4,19),1,'Non-working days'!$A$6:$A$45)=0),"",IF(COUNTIFS('Leave log'!$A$7:$A$306,Employees!$A$24,'Leave log'!$B$7:$B$306,"&lt;="&amp;DATE($B$3,4,19),'Leave log'!$C$7:$C$306,"&gt;="&amp;DATE($B$3,4,19),'Leave log'!$F$7:$F$306,"Pending")&gt;0,"P",""))))</f>
        <v/>
      </c>
      <c r="U127" s="23" t="str">
        <f>IF(A127="","",IF(IF(OR(DATE($B$3,4,20)&gt;EOMONTH(DATE($B$3,4,1),0),NETWORKDAYS.INTL(DATE($B$3,4,20),DATE($B$3,4,20),1,'Non-working days'!$A$6:$A$45)=0),"",IF(COUNTIFS('Leave log'!$A$7:$A$306,Employees!$A$24,'Leave log'!$B$7:$B$306,"&lt;="&amp;DATE($B$3,4,20),'Leave log'!$C$7:$C$306,"&gt;="&amp;DATE($B$3,4,20),'Leave log'!$F$7:$F$306,"Approved")&gt;0,"A",""))="A","A",IF(OR(DATE($B$3,4,20)&gt;EOMONTH(DATE($B$3,4,1),0),NETWORKDAYS.INTL(DATE($B$3,4,20),DATE($B$3,4,20),1,'Non-working days'!$A$6:$A$45)=0),"",IF(COUNTIFS('Leave log'!$A$7:$A$306,Employees!$A$24,'Leave log'!$B$7:$B$306,"&lt;="&amp;DATE($B$3,4,20),'Leave log'!$C$7:$C$306,"&gt;="&amp;DATE($B$3,4,20),'Leave log'!$F$7:$F$306,"Pending")&gt;0,"P",""))))</f>
        <v/>
      </c>
      <c r="V127" s="23" t="str">
        <f>IF(A127="","",IF(IF(OR(DATE($B$3,4,21)&gt;EOMONTH(DATE($B$3,4,1),0),NETWORKDAYS.INTL(DATE($B$3,4,21),DATE($B$3,4,21),1,'Non-working days'!$A$6:$A$45)=0),"",IF(COUNTIFS('Leave log'!$A$7:$A$306,Employees!$A$24,'Leave log'!$B$7:$B$306,"&lt;="&amp;DATE($B$3,4,21),'Leave log'!$C$7:$C$306,"&gt;="&amp;DATE($B$3,4,21),'Leave log'!$F$7:$F$306,"Approved")&gt;0,"A",""))="A","A",IF(OR(DATE($B$3,4,21)&gt;EOMONTH(DATE($B$3,4,1),0),NETWORKDAYS.INTL(DATE($B$3,4,21),DATE($B$3,4,21),1,'Non-working days'!$A$6:$A$45)=0),"",IF(COUNTIFS('Leave log'!$A$7:$A$306,Employees!$A$24,'Leave log'!$B$7:$B$306,"&lt;="&amp;DATE($B$3,4,21),'Leave log'!$C$7:$C$306,"&gt;="&amp;DATE($B$3,4,21),'Leave log'!$F$7:$F$306,"Pending")&gt;0,"P",""))))</f>
        <v/>
      </c>
      <c r="W127" s="23" t="str">
        <f>IF(A127="","",IF(IF(OR(DATE($B$3,4,22)&gt;EOMONTH(DATE($B$3,4,1),0),NETWORKDAYS.INTL(DATE($B$3,4,22),DATE($B$3,4,22),1,'Non-working days'!$A$6:$A$45)=0),"",IF(COUNTIFS('Leave log'!$A$7:$A$306,Employees!$A$24,'Leave log'!$B$7:$B$306,"&lt;="&amp;DATE($B$3,4,22),'Leave log'!$C$7:$C$306,"&gt;="&amp;DATE($B$3,4,22),'Leave log'!$F$7:$F$306,"Approved")&gt;0,"A",""))="A","A",IF(OR(DATE($B$3,4,22)&gt;EOMONTH(DATE($B$3,4,1),0),NETWORKDAYS.INTL(DATE($B$3,4,22),DATE($B$3,4,22),1,'Non-working days'!$A$6:$A$45)=0),"",IF(COUNTIFS('Leave log'!$A$7:$A$306,Employees!$A$24,'Leave log'!$B$7:$B$306,"&lt;="&amp;DATE($B$3,4,22),'Leave log'!$C$7:$C$306,"&gt;="&amp;DATE($B$3,4,22),'Leave log'!$F$7:$F$306,"Pending")&gt;0,"P",""))))</f>
        <v/>
      </c>
      <c r="X127" s="23" t="str">
        <f>IF(A127="","",IF(IF(OR(DATE($B$3,4,23)&gt;EOMONTH(DATE($B$3,4,1),0),NETWORKDAYS.INTL(DATE($B$3,4,23),DATE($B$3,4,23),1,'Non-working days'!$A$6:$A$45)=0),"",IF(COUNTIFS('Leave log'!$A$7:$A$306,Employees!$A$24,'Leave log'!$B$7:$B$306,"&lt;="&amp;DATE($B$3,4,23),'Leave log'!$C$7:$C$306,"&gt;="&amp;DATE($B$3,4,23),'Leave log'!$F$7:$F$306,"Approved")&gt;0,"A",""))="A","A",IF(OR(DATE($B$3,4,23)&gt;EOMONTH(DATE($B$3,4,1),0),NETWORKDAYS.INTL(DATE($B$3,4,23),DATE($B$3,4,23),1,'Non-working days'!$A$6:$A$45)=0),"",IF(COUNTIFS('Leave log'!$A$7:$A$306,Employees!$A$24,'Leave log'!$B$7:$B$306,"&lt;="&amp;DATE($B$3,4,23),'Leave log'!$C$7:$C$306,"&gt;="&amp;DATE($B$3,4,23),'Leave log'!$F$7:$F$306,"Pending")&gt;0,"P",""))))</f>
        <v/>
      </c>
      <c r="Y127" s="23" t="str">
        <f>IF(A127="","",IF(IF(OR(DATE($B$3,4,24)&gt;EOMONTH(DATE($B$3,4,1),0),NETWORKDAYS.INTL(DATE($B$3,4,24),DATE($B$3,4,24),1,'Non-working days'!$A$6:$A$45)=0),"",IF(COUNTIFS('Leave log'!$A$7:$A$306,Employees!$A$24,'Leave log'!$B$7:$B$306,"&lt;="&amp;DATE($B$3,4,24),'Leave log'!$C$7:$C$306,"&gt;="&amp;DATE($B$3,4,24),'Leave log'!$F$7:$F$306,"Approved")&gt;0,"A",""))="A","A",IF(OR(DATE($B$3,4,24)&gt;EOMONTH(DATE($B$3,4,1),0),NETWORKDAYS.INTL(DATE($B$3,4,24),DATE($B$3,4,24),1,'Non-working days'!$A$6:$A$45)=0),"",IF(COUNTIFS('Leave log'!$A$7:$A$306,Employees!$A$24,'Leave log'!$B$7:$B$306,"&lt;="&amp;DATE($B$3,4,24),'Leave log'!$C$7:$C$306,"&gt;="&amp;DATE($B$3,4,24),'Leave log'!$F$7:$F$306,"Pending")&gt;0,"P",""))))</f>
        <v/>
      </c>
      <c r="Z127" s="23" t="str">
        <f>IF(A127="","",IF(IF(OR(DATE($B$3,4,25)&gt;EOMONTH(DATE($B$3,4,1),0),NETWORKDAYS.INTL(DATE($B$3,4,25),DATE($B$3,4,25),1,'Non-working days'!$A$6:$A$45)=0),"",IF(COUNTIFS('Leave log'!$A$7:$A$306,Employees!$A$24,'Leave log'!$B$7:$B$306,"&lt;="&amp;DATE($B$3,4,25),'Leave log'!$C$7:$C$306,"&gt;="&amp;DATE($B$3,4,25),'Leave log'!$F$7:$F$306,"Approved")&gt;0,"A",""))="A","A",IF(OR(DATE($B$3,4,25)&gt;EOMONTH(DATE($B$3,4,1),0),NETWORKDAYS.INTL(DATE($B$3,4,25),DATE($B$3,4,25),1,'Non-working days'!$A$6:$A$45)=0),"",IF(COUNTIFS('Leave log'!$A$7:$A$306,Employees!$A$24,'Leave log'!$B$7:$B$306,"&lt;="&amp;DATE($B$3,4,25),'Leave log'!$C$7:$C$306,"&gt;="&amp;DATE($B$3,4,25),'Leave log'!$F$7:$F$306,"Pending")&gt;0,"P",""))))</f>
        <v/>
      </c>
      <c r="AA127" s="23" t="str">
        <f>IF(A127="","",IF(IF(OR(DATE($B$3,4,26)&gt;EOMONTH(DATE($B$3,4,1),0),NETWORKDAYS.INTL(DATE($B$3,4,26),DATE($B$3,4,26),1,'Non-working days'!$A$6:$A$45)=0),"",IF(COUNTIFS('Leave log'!$A$7:$A$306,Employees!$A$24,'Leave log'!$B$7:$B$306,"&lt;="&amp;DATE($B$3,4,26),'Leave log'!$C$7:$C$306,"&gt;="&amp;DATE($B$3,4,26),'Leave log'!$F$7:$F$306,"Approved")&gt;0,"A",""))="A","A",IF(OR(DATE($B$3,4,26)&gt;EOMONTH(DATE($B$3,4,1),0),NETWORKDAYS.INTL(DATE($B$3,4,26),DATE($B$3,4,26),1,'Non-working days'!$A$6:$A$45)=0),"",IF(COUNTIFS('Leave log'!$A$7:$A$306,Employees!$A$24,'Leave log'!$B$7:$B$306,"&lt;="&amp;DATE($B$3,4,26),'Leave log'!$C$7:$C$306,"&gt;="&amp;DATE($B$3,4,26),'Leave log'!$F$7:$F$306,"Pending")&gt;0,"P",""))))</f>
        <v/>
      </c>
      <c r="AB127" s="23" t="str">
        <f>IF(A127="","",IF(IF(OR(DATE($B$3,4,27)&gt;EOMONTH(DATE($B$3,4,1),0),NETWORKDAYS.INTL(DATE($B$3,4,27),DATE($B$3,4,27),1,'Non-working days'!$A$6:$A$45)=0),"",IF(COUNTIFS('Leave log'!$A$7:$A$306,Employees!$A$24,'Leave log'!$B$7:$B$306,"&lt;="&amp;DATE($B$3,4,27),'Leave log'!$C$7:$C$306,"&gt;="&amp;DATE($B$3,4,27),'Leave log'!$F$7:$F$306,"Approved")&gt;0,"A",""))="A","A",IF(OR(DATE($B$3,4,27)&gt;EOMONTH(DATE($B$3,4,1),0),NETWORKDAYS.INTL(DATE($B$3,4,27),DATE($B$3,4,27),1,'Non-working days'!$A$6:$A$45)=0),"",IF(COUNTIFS('Leave log'!$A$7:$A$306,Employees!$A$24,'Leave log'!$B$7:$B$306,"&lt;="&amp;DATE($B$3,4,27),'Leave log'!$C$7:$C$306,"&gt;="&amp;DATE($B$3,4,27),'Leave log'!$F$7:$F$306,"Pending")&gt;0,"P",""))))</f>
        <v/>
      </c>
      <c r="AC127" s="23" t="str">
        <f>IF(A127="","",IF(IF(OR(DATE($B$3,4,28)&gt;EOMONTH(DATE($B$3,4,1),0),NETWORKDAYS.INTL(DATE($B$3,4,28),DATE($B$3,4,28),1,'Non-working days'!$A$6:$A$45)=0),"",IF(COUNTIFS('Leave log'!$A$7:$A$306,Employees!$A$24,'Leave log'!$B$7:$B$306,"&lt;="&amp;DATE($B$3,4,28),'Leave log'!$C$7:$C$306,"&gt;="&amp;DATE($B$3,4,28),'Leave log'!$F$7:$F$306,"Approved")&gt;0,"A",""))="A","A",IF(OR(DATE($B$3,4,28)&gt;EOMONTH(DATE($B$3,4,1),0),NETWORKDAYS.INTL(DATE($B$3,4,28),DATE($B$3,4,28),1,'Non-working days'!$A$6:$A$45)=0),"",IF(COUNTIFS('Leave log'!$A$7:$A$306,Employees!$A$24,'Leave log'!$B$7:$B$306,"&lt;="&amp;DATE($B$3,4,28),'Leave log'!$C$7:$C$306,"&gt;="&amp;DATE($B$3,4,28),'Leave log'!$F$7:$F$306,"Pending")&gt;0,"P",""))))</f>
        <v/>
      </c>
      <c r="AD127" s="23" t="str">
        <f>IF(A127="","",IF(IF(OR(DATE($B$3,4,29)&gt;EOMONTH(DATE($B$3,4,1),0),NETWORKDAYS.INTL(DATE($B$3,4,29),DATE($B$3,4,29),1,'Non-working days'!$A$6:$A$45)=0),"",IF(COUNTIFS('Leave log'!$A$7:$A$306,Employees!$A$24,'Leave log'!$B$7:$B$306,"&lt;="&amp;DATE($B$3,4,29),'Leave log'!$C$7:$C$306,"&gt;="&amp;DATE($B$3,4,29),'Leave log'!$F$7:$F$306,"Approved")&gt;0,"A",""))="A","A",IF(OR(DATE($B$3,4,29)&gt;EOMONTH(DATE($B$3,4,1),0),NETWORKDAYS.INTL(DATE($B$3,4,29),DATE($B$3,4,29),1,'Non-working days'!$A$6:$A$45)=0),"",IF(COUNTIFS('Leave log'!$A$7:$A$306,Employees!$A$24,'Leave log'!$B$7:$B$306,"&lt;="&amp;DATE($B$3,4,29),'Leave log'!$C$7:$C$306,"&gt;="&amp;DATE($B$3,4,29),'Leave log'!$F$7:$F$306,"Pending")&gt;0,"P",""))))</f>
        <v/>
      </c>
      <c r="AE127" s="23" t="str">
        <f>IF(A127="","",IF(IF(OR(DATE($B$3,4,30)&gt;EOMONTH(DATE($B$3,4,1),0),NETWORKDAYS.INTL(DATE($B$3,4,30),DATE($B$3,4,30),1,'Non-working days'!$A$6:$A$45)=0),"",IF(COUNTIFS('Leave log'!$A$7:$A$306,Employees!$A$24,'Leave log'!$B$7:$B$306,"&lt;="&amp;DATE($B$3,4,30),'Leave log'!$C$7:$C$306,"&gt;="&amp;DATE($B$3,4,30),'Leave log'!$F$7:$F$306,"Approved")&gt;0,"A",""))="A","A",IF(OR(DATE($B$3,4,30)&gt;EOMONTH(DATE($B$3,4,1),0),NETWORKDAYS.INTL(DATE($B$3,4,30),DATE($B$3,4,30),1,'Non-working days'!$A$6:$A$45)=0),"",IF(COUNTIFS('Leave log'!$A$7:$A$306,Employees!$A$24,'Leave log'!$B$7:$B$306,"&lt;="&amp;DATE($B$3,4,30),'Leave log'!$C$7:$C$306,"&gt;="&amp;DATE($B$3,4,30),'Leave log'!$F$7:$F$306,"Pending")&gt;0,"P",""))))</f>
        <v/>
      </c>
      <c r="AF127" s="23" t="str">
        <f>IF(A127="","",IF(IF(OR(DATE($B$3,4,31)&gt;EOMONTH(DATE($B$3,4,1),0),NETWORKDAYS.INTL(DATE($B$3,4,31),DATE($B$3,4,31),1,'Non-working days'!$A$6:$A$45)=0),"",IF(COUNTIFS('Leave log'!$A$7:$A$306,Employees!$A$24,'Leave log'!$B$7:$B$306,"&lt;="&amp;DATE($B$3,4,31),'Leave log'!$C$7:$C$306,"&gt;="&amp;DATE($B$3,4,31),'Leave log'!$F$7:$F$306,"Approved")&gt;0,"A",""))="A","A",IF(OR(DATE($B$3,4,31)&gt;EOMONTH(DATE($B$3,4,1),0),NETWORKDAYS.INTL(DATE($B$3,4,31),DATE($B$3,4,31),1,'Non-working days'!$A$6:$A$45)=0),"",IF(COUNTIFS('Leave log'!$A$7:$A$306,Employees!$A$24,'Leave log'!$B$7:$B$306,"&lt;="&amp;DATE($B$3,4,31),'Leave log'!$C$7:$C$306,"&gt;="&amp;DATE($B$3,4,31),'Leave log'!$F$7:$F$306,"Pending")&gt;0,"P",""))))</f>
        <v/>
      </c>
    </row>
    <row r="128" spans="1:32" ht="18" customHeight="1" x14ac:dyDescent="0.3">
      <c r="A128" s="22" t="str">
        <f>IF(Employees!F25="Yes",Employees!B25,"")</f>
        <v/>
      </c>
      <c r="B128" s="23" t="str">
        <f>IF(A128="","",IF(IF(OR(DATE($B$3,4,1)&gt;EOMONTH(DATE($B$3,4,1),0),NETWORKDAYS.INTL(DATE($B$3,4,1),DATE($B$3,4,1),1,'Non-working days'!$A$6:$A$45)=0),"",IF(COUNTIFS('Leave log'!$A$7:$A$306,Employees!$A$25,'Leave log'!$B$7:$B$306,"&lt;="&amp;DATE($B$3,4,1),'Leave log'!$C$7:$C$306,"&gt;="&amp;DATE($B$3,4,1),'Leave log'!$F$7:$F$306,"Approved")&gt;0,"A",""))="A","A",IF(OR(DATE($B$3,4,1)&gt;EOMONTH(DATE($B$3,4,1),0),NETWORKDAYS.INTL(DATE($B$3,4,1),DATE($B$3,4,1),1,'Non-working days'!$A$6:$A$45)=0),"",IF(COUNTIFS('Leave log'!$A$7:$A$306,Employees!$A$25,'Leave log'!$B$7:$B$306,"&lt;="&amp;DATE($B$3,4,1),'Leave log'!$C$7:$C$306,"&gt;="&amp;DATE($B$3,4,1),'Leave log'!$F$7:$F$306,"Pending")&gt;0,"P",""))))</f>
        <v/>
      </c>
      <c r="C128" s="23" t="str">
        <f>IF(A128="","",IF(IF(OR(DATE($B$3,4,2)&gt;EOMONTH(DATE($B$3,4,1),0),NETWORKDAYS.INTL(DATE($B$3,4,2),DATE($B$3,4,2),1,'Non-working days'!$A$6:$A$45)=0),"",IF(COUNTIFS('Leave log'!$A$7:$A$306,Employees!$A$25,'Leave log'!$B$7:$B$306,"&lt;="&amp;DATE($B$3,4,2),'Leave log'!$C$7:$C$306,"&gt;="&amp;DATE($B$3,4,2),'Leave log'!$F$7:$F$306,"Approved")&gt;0,"A",""))="A","A",IF(OR(DATE($B$3,4,2)&gt;EOMONTH(DATE($B$3,4,1),0),NETWORKDAYS.INTL(DATE($B$3,4,2),DATE($B$3,4,2),1,'Non-working days'!$A$6:$A$45)=0),"",IF(COUNTIFS('Leave log'!$A$7:$A$306,Employees!$A$25,'Leave log'!$B$7:$B$306,"&lt;="&amp;DATE($B$3,4,2),'Leave log'!$C$7:$C$306,"&gt;="&amp;DATE($B$3,4,2),'Leave log'!$F$7:$F$306,"Pending")&gt;0,"P",""))))</f>
        <v/>
      </c>
      <c r="D128" s="23" t="str">
        <f>IF(A128="","",IF(IF(OR(DATE($B$3,4,3)&gt;EOMONTH(DATE($B$3,4,1),0),NETWORKDAYS.INTL(DATE($B$3,4,3),DATE($B$3,4,3),1,'Non-working days'!$A$6:$A$45)=0),"",IF(COUNTIFS('Leave log'!$A$7:$A$306,Employees!$A$25,'Leave log'!$B$7:$B$306,"&lt;="&amp;DATE($B$3,4,3),'Leave log'!$C$7:$C$306,"&gt;="&amp;DATE($B$3,4,3),'Leave log'!$F$7:$F$306,"Approved")&gt;0,"A",""))="A","A",IF(OR(DATE($B$3,4,3)&gt;EOMONTH(DATE($B$3,4,1),0),NETWORKDAYS.INTL(DATE($B$3,4,3),DATE($B$3,4,3),1,'Non-working days'!$A$6:$A$45)=0),"",IF(COUNTIFS('Leave log'!$A$7:$A$306,Employees!$A$25,'Leave log'!$B$7:$B$306,"&lt;="&amp;DATE($B$3,4,3),'Leave log'!$C$7:$C$306,"&gt;="&amp;DATE($B$3,4,3),'Leave log'!$F$7:$F$306,"Pending")&gt;0,"P",""))))</f>
        <v/>
      </c>
      <c r="E128" s="23" t="str">
        <f>IF(A128="","",IF(IF(OR(DATE($B$3,4,4)&gt;EOMONTH(DATE($B$3,4,1),0),NETWORKDAYS.INTL(DATE($B$3,4,4),DATE($B$3,4,4),1,'Non-working days'!$A$6:$A$45)=0),"",IF(COUNTIFS('Leave log'!$A$7:$A$306,Employees!$A$25,'Leave log'!$B$7:$B$306,"&lt;="&amp;DATE($B$3,4,4),'Leave log'!$C$7:$C$306,"&gt;="&amp;DATE($B$3,4,4),'Leave log'!$F$7:$F$306,"Approved")&gt;0,"A",""))="A","A",IF(OR(DATE($B$3,4,4)&gt;EOMONTH(DATE($B$3,4,1),0),NETWORKDAYS.INTL(DATE($B$3,4,4),DATE($B$3,4,4),1,'Non-working days'!$A$6:$A$45)=0),"",IF(COUNTIFS('Leave log'!$A$7:$A$306,Employees!$A$25,'Leave log'!$B$7:$B$306,"&lt;="&amp;DATE($B$3,4,4),'Leave log'!$C$7:$C$306,"&gt;="&amp;DATE($B$3,4,4),'Leave log'!$F$7:$F$306,"Pending")&gt;0,"P",""))))</f>
        <v/>
      </c>
      <c r="F128" s="23" t="str">
        <f>IF(A128="","",IF(IF(OR(DATE($B$3,4,5)&gt;EOMONTH(DATE($B$3,4,1),0),NETWORKDAYS.INTL(DATE($B$3,4,5),DATE($B$3,4,5),1,'Non-working days'!$A$6:$A$45)=0),"",IF(COUNTIFS('Leave log'!$A$7:$A$306,Employees!$A$25,'Leave log'!$B$7:$B$306,"&lt;="&amp;DATE($B$3,4,5),'Leave log'!$C$7:$C$306,"&gt;="&amp;DATE($B$3,4,5),'Leave log'!$F$7:$F$306,"Approved")&gt;0,"A",""))="A","A",IF(OR(DATE($B$3,4,5)&gt;EOMONTH(DATE($B$3,4,1),0),NETWORKDAYS.INTL(DATE($B$3,4,5),DATE($B$3,4,5),1,'Non-working days'!$A$6:$A$45)=0),"",IF(COUNTIFS('Leave log'!$A$7:$A$306,Employees!$A$25,'Leave log'!$B$7:$B$306,"&lt;="&amp;DATE($B$3,4,5),'Leave log'!$C$7:$C$306,"&gt;="&amp;DATE($B$3,4,5),'Leave log'!$F$7:$F$306,"Pending")&gt;0,"P",""))))</f>
        <v/>
      </c>
      <c r="G128" s="23" t="str">
        <f>IF(A128="","",IF(IF(OR(DATE($B$3,4,6)&gt;EOMONTH(DATE($B$3,4,1),0),NETWORKDAYS.INTL(DATE($B$3,4,6),DATE($B$3,4,6),1,'Non-working days'!$A$6:$A$45)=0),"",IF(COUNTIFS('Leave log'!$A$7:$A$306,Employees!$A$25,'Leave log'!$B$7:$B$306,"&lt;="&amp;DATE($B$3,4,6),'Leave log'!$C$7:$C$306,"&gt;="&amp;DATE($B$3,4,6),'Leave log'!$F$7:$F$306,"Approved")&gt;0,"A",""))="A","A",IF(OR(DATE($B$3,4,6)&gt;EOMONTH(DATE($B$3,4,1),0),NETWORKDAYS.INTL(DATE($B$3,4,6),DATE($B$3,4,6),1,'Non-working days'!$A$6:$A$45)=0),"",IF(COUNTIFS('Leave log'!$A$7:$A$306,Employees!$A$25,'Leave log'!$B$7:$B$306,"&lt;="&amp;DATE($B$3,4,6),'Leave log'!$C$7:$C$306,"&gt;="&amp;DATE($B$3,4,6),'Leave log'!$F$7:$F$306,"Pending")&gt;0,"P",""))))</f>
        <v/>
      </c>
      <c r="H128" s="23" t="str">
        <f>IF(A128="","",IF(IF(OR(DATE($B$3,4,7)&gt;EOMONTH(DATE($B$3,4,1),0),NETWORKDAYS.INTL(DATE($B$3,4,7),DATE($B$3,4,7),1,'Non-working days'!$A$6:$A$45)=0),"",IF(COUNTIFS('Leave log'!$A$7:$A$306,Employees!$A$25,'Leave log'!$B$7:$B$306,"&lt;="&amp;DATE($B$3,4,7),'Leave log'!$C$7:$C$306,"&gt;="&amp;DATE($B$3,4,7),'Leave log'!$F$7:$F$306,"Approved")&gt;0,"A",""))="A","A",IF(OR(DATE($B$3,4,7)&gt;EOMONTH(DATE($B$3,4,1),0),NETWORKDAYS.INTL(DATE($B$3,4,7),DATE($B$3,4,7),1,'Non-working days'!$A$6:$A$45)=0),"",IF(COUNTIFS('Leave log'!$A$7:$A$306,Employees!$A$25,'Leave log'!$B$7:$B$306,"&lt;="&amp;DATE($B$3,4,7),'Leave log'!$C$7:$C$306,"&gt;="&amp;DATE($B$3,4,7),'Leave log'!$F$7:$F$306,"Pending")&gt;0,"P",""))))</f>
        <v/>
      </c>
      <c r="I128" s="23" t="str">
        <f>IF(A128="","",IF(IF(OR(DATE($B$3,4,8)&gt;EOMONTH(DATE($B$3,4,1),0),NETWORKDAYS.INTL(DATE($B$3,4,8),DATE($B$3,4,8),1,'Non-working days'!$A$6:$A$45)=0),"",IF(COUNTIFS('Leave log'!$A$7:$A$306,Employees!$A$25,'Leave log'!$B$7:$B$306,"&lt;="&amp;DATE($B$3,4,8),'Leave log'!$C$7:$C$306,"&gt;="&amp;DATE($B$3,4,8),'Leave log'!$F$7:$F$306,"Approved")&gt;0,"A",""))="A","A",IF(OR(DATE($B$3,4,8)&gt;EOMONTH(DATE($B$3,4,1),0),NETWORKDAYS.INTL(DATE($B$3,4,8),DATE($B$3,4,8),1,'Non-working days'!$A$6:$A$45)=0),"",IF(COUNTIFS('Leave log'!$A$7:$A$306,Employees!$A$25,'Leave log'!$B$7:$B$306,"&lt;="&amp;DATE($B$3,4,8),'Leave log'!$C$7:$C$306,"&gt;="&amp;DATE($B$3,4,8),'Leave log'!$F$7:$F$306,"Pending")&gt;0,"P",""))))</f>
        <v/>
      </c>
      <c r="J128" s="23" t="str">
        <f>IF(A128="","",IF(IF(OR(DATE($B$3,4,9)&gt;EOMONTH(DATE($B$3,4,1),0),NETWORKDAYS.INTL(DATE($B$3,4,9),DATE($B$3,4,9),1,'Non-working days'!$A$6:$A$45)=0),"",IF(COUNTIFS('Leave log'!$A$7:$A$306,Employees!$A$25,'Leave log'!$B$7:$B$306,"&lt;="&amp;DATE($B$3,4,9),'Leave log'!$C$7:$C$306,"&gt;="&amp;DATE($B$3,4,9),'Leave log'!$F$7:$F$306,"Approved")&gt;0,"A",""))="A","A",IF(OR(DATE($B$3,4,9)&gt;EOMONTH(DATE($B$3,4,1),0),NETWORKDAYS.INTL(DATE($B$3,4,9),DATE($B$3,4,9),1,'Non-working days'!$A$6:$A$45)=0),"",IF(COUNTIFS('Leave log'!$A$7:$A$306,Employees!$A$25,'Leave log'!$B$7:$B$306,"&lt;="&amp;DATE($B$3,4,9),'Leave log'!$C$7:$C$306,"&gt;="&amp;DATE($B$3,4,9),'Leave log'!$F$7:$F$306,"Pending")&gt;0,"P",""))))</f>
        <v/>
      </c>
      <c r="K128" s="23" t="str">
        <f>IF(A128="","",IF(IF(OR(DATE($B$3,4,10)&gt;EOMONTH(DATE($B$3,4,1),0),NETWORKDAYS.INTL(DATE($B$3,4,10),DATE($B$3,4,10),1,'Non-working days'!$A$6:$A$45)=0),"",IF(COUNTIFS('Leave log'!$A$7:$A$306,Employees!$A$25,'Leave log'!$B$7:$B$306,"&lt;="&amp;DATE($B$3,4,10),'Leave log'!$C$7:$C$306,"&gt;="&amp;DATE($B$3,4,10),'Leave log'!$F$7:$F$306,"Approved")&gt;0,"A",""))="A","A",IF(OR(DATE($B$3,4,10)&gt;EOMONTH(DATE($B$3,4,1),0),NETWORKDAYS.INTL(DATE($B$3,4,10),DATE($B$3,4,10),1,'Non-working days'!$A$6:$A$45)=0),"",IF(COUNTIFS('Leave log'!$A$7:$A$306,Employees!$A$25,'Leave log'!$B$7:$B$306,"&lt;="&amp;DATE($B$3,4,10),'Leave log'!$C$7:$C$306,"&gt;="&amp;DATE($B$3,4,10),'Leave log'!$F$7:$F$306,"Pending")&gt;0,"P",""))))</f>
        <v/>
      </c>
      <c r="L128" s="23" t="str">
        <f>IF(A128="","",IF(IF(OR(DATE($B$3,4,11)&gt;EOMONTH(DATE($B$3,4,1),0),NETWORKDAYS.INTL(DATE($B$3,4,11),DATE($B$3,4,11),1,'Non-working days'!$A$6:$A$45)=0),"",IF(COUNTIFS('Leave log'!$A$7:$A$306,Employees!$A$25,'Leave log'!$B$7:$B$306,"&lt;="&amp;DATE($B$3,4,11),'Leave log'!$C$7:$C$306,"&gt;="&amp;DATE($B$3,4,11),'Leave log'!$F$7:$F$306,"Approved")&gt;0,"A",""))="A","A",IF(OR(DATE($B$3,4,11)&gt;EOMONTH(DATE($B$3,4,1),0),NETWORKDAYS.INTL(DATE($B$3,4,11),DATE($B$3,4,11),1,'Non-working days'!$A$6:$A$45)=0),"",IF(COUNTIFS('Leave log'!$A$7:$A$306,Employees!$A$25,'Leave log'!$B$7:$B$306,"&lt;="&amp;DATE($B$3,4,11),'Leave log'!$C$7:$C$306,"&gt;="&amp;DATE($B$3,4,11),'Leave log'!$F$7:$F$306,"Pending")&gt;0,"P",""))))</f>
        <v/>
      </c>
      <c r="M128" s="23" t="str">
        <f>IF(A128="","",IF(IF(OR(DATE($B$3,4,12)&gt;EOMONTH(DATE($B$3,4,1),0),NETWORKDAYS.INTL(DATE($B$3,4,12),DATE($B$3,4,12),1,'Non-working days'!$A$6:$A$45)=0),"",IF(COUNTIFS('Leave log'!$A$7:$A$306,Employees!$A$25,'Leave log'!$B$7:$B$306,"&lt;="&amp;DATE($B$3,4,12),'Leave log'!$C$7:$C$306,"&gt;="&amp;DATE($B$3,4,12),'Leave log'!$F$7:$F$306,"Approved")&gt;0,"A",""))="A","A",IF(OR(DATE($B$3,4,12)&gt;EOMONTH(DATE($B$3,4,1),0),NETWORKDAYS.INTL(DATE($B$3,4,12),DATE($B$3,4,12),1,'Non-working days'!$A$6:$A$45)=0),"",IF(COUNTIFS('Leave log'!$A$7:$A$306,Employees!$A$25,'Leave log'!$B$7:$B$306,"&lt;="&amp;DATE($B$3,4,12),'Leave log'!$C$7:$C$306,"&gt;="&amp;DATE($B$3,4,12),'Leave log'!$F$7:$F$306,"Pending")&gt;0,"P",""))))</f>
        <v/>
      </c>
      <c r="N128" s="23" t="str">
        <f>IF(A128="","",IF(IF(OR(DATE($B$3,4,13)&gt;EOMONTH(DATE($B$3,4,1),0),NETWORKDAYS.INTL(DATE($B$3,4,13),DATE($B$3,4,13),1,'Non-working days'!$A$6:$A$45)=0),"",IF(COUNTIFS('Leave log'!$A$7:$A$306,Employees!$A$25,'Leave log'!$B$7:$B$306,"&lt;="&amp;DATE($B$3,4,13),'Leave log'!$C$7:$C$306,"&gt;="&amp;DATE($B$3,4,13),'Leave log'!$F$7:$F$306,"Approved")&gt;0,"A",""))="A","A",IF(OR(DATE($B$3,4,13)&gt;EOMONTH(DATE($B$3,4,1),0),NETWORKDAYS.INTL(DATE($B$3,4,13),DATE($B$3,4,13),1,'Non-working days'!$A$6:$A$45)=0),"",IF(COUNTIFS('Leave log'!$A$7:$A$306,Employees!$A$25,'Leave log'!$B$7:$B$306,"&lt;="&amp;DATE($B$3,4,13),'Leave log'!$C$7:$C$306,"&gt;="&amp;DATE($B$3,4,13),'Leave log'!$F$7:$F$306,"Pending")&gt;0,"P",""))))</f>
        <v/>
      </c>
      <c r="O128" s="23" t="str">
        <f>IF(A128="","",IF(IF(OR(DATE($B$3,4,14)&gt;EOMONTH(DATE($B$3,4,1),0),NETWORKDAYS.INTL(DATE($B$3,4,14),DATE($B$3,4,14),1,'Non-working days'!$A$6:$A$45)=0),"",IF(COUNTIFS('Leave log'!$A$7:$A$306,Employees!$A$25,'Leave log'!$B$7:$B$306,"&lt;="&amp;DATE($B$3,4,14),'Leave log'!$C$7:$C$306,"&gt;="&amp;DATE($B$3,4,14),'Leave log'!$F$7:$F$306,"Approved")&gt;0,"A",""))="A","A",IF(OR(DATE($B$3,4,14)&gt;EOMONTH(DATE($B$3,4,1),0),NETWORKDAYS.INTL(DATE($B$3,4,14),DATE($B$3,4,14),1,'Non-working days'!$A$6:$A$45)=0),"",IF(COUNTIFS('Leave log'!$A$7:$A$306,Employees!$A$25,'Leave log'!$B$7:$B$306,"&lt;="&amp;DATE($B$3,4,14),'Leave log'!$C$7:$C$306,"&gt;="&amp;DATE($B$3,4,14),'Leave log'!$F$7:$F$306,"Pending")&gt;0,"P",""))))</f>
        <v/>
      </c>
      <c r="P128" s="23" t="str">
        <f>IF(A128="","",IF(IF(OR(DATE($B$3,4,15)&gt;EOMONTH(DATE($B$3,4,1),0),NETWORKDAYS.INTL(DATE($B$3,4,15),DATE($B$3,4,15),1,'Non-working days'!$A$6:$A$45)=0),"",IF(COUNTIFS('Leave log'!$A$7:$A$306,Employees!$A$25,'Leave log'!$B$7:$B$306,"&lt;="&amp;DATE($B$3,4,15),'Leave log'!$C$7:$C$306,"&gt;="&amp;DATE($B$3,4,15),'Leave log'!$F$7:$F$306,"Approved")&gt;0,"A",""))="A","A",IF(OR(DATE($B$3,4,15)&gt;EOMONTH(DATE($B$3,4,1),0),NETWORKDAYS.INTL(DATE($B$3,4,15),DATE($B$3,4,15),1,'Non-working days'!$A$6:$A$45)=0),"",IF(COUNTIFS('Leave log'!$A$7:$A$306,Employees!$A$25,'Leave log'!$B$7:$B$306,"&lt;="&amp;DATE($B$3,4,15),'Leave log'!$C$7:$C$306,"&gt;="&amp;DATE($B$3,4,15),'Leave log'!$F$7:$F$306,"Pending")&gt;0,"P",""))))</f>
        <v/>
      </c>
      <c r="Q128" s="23" t="str">
        <f>IF(A128="","",IF(IF(OR(DATE($B$3,4,16)&gt;EOMONTH(DATE($B$3,4,1),0),NETWORKDAYS.INTL(DATE($B$3,4,16),DATE($B$3,4,16),1,'Non-working days'!$A$6:$A$45)=0),"",IF(COUNTIFS('Leave log'!$A$7:$A$306,Employees!$A$25,'Leave log'!$B$7:$B$306,"&lt;="&amp;DATE($B$3,4,16),'Leave log'!$C$7:$C$306,"&gt;="&amp;DATE($B$3,4,16),'Leave log'!$F$7:$F$306,"Approved")&gt;0,"A",""))="A","A",IF(OR(DATE($B$3,4,16)&gt;EOMONTH(DATE($B$3,4,1),0),NETWORKDAYS.INTL(DATE($B$3,4,16),DATE($B$3,4,16),1,'Non-working days'!$A$6:$A$45)=0),"",IF(COUNTIFS('Leave log'!$A$7:$A$306,Employees!$A$25,'Leave log'!$B$7:$B$306,"&lt;="&amp;DATE($B$3,4,16),'Leave log'!$C$7:$C$306,"&gt;="&amp;DATE($B$3,4,16),'Leave log'!$F$7:$F$306,"Pending")&gt;0,"P",""))))</f>
        <v/>
      </c>
      <c r="R128" s="23" t="str">
        <f>IF(A128="","",IF(IF(OR(DATE($B$3,4,17)&gt;EOMONTH(DATE($B$3,4,1),0),NETWORKDAYS.INTL(DATE($B$3,4,17),DATE($B$3,4,17),1,'Non-working days'!$A$6:$A$45)=0),"",IF(COUNTIFS('Leave log'!$A$7:$A$306,Employees!$A$25,'Leave log'!$B$7:$B$306,"&lt;="&amp;DATE($B$3,4,17),'Leave log'!$C$7:$C$306,"&gt;="&amp;DATE($B$3,4,17),'Leave log'!$F$7:$F$306,"Approved")&gt;0,"A",""))="A","A",IF(OR(DATE($B$3,4,17)&gt;EOMONTH(DATE($B$3,4,1),0),NETWORKDAYS.INTL(DATE($B$3,4,17),DATE($B$3,4,17),1,'Non-working days'!$A$6:$A$45)=0),"",IF(COUNTIFS('Leave log'!$A$7:$A$306,Employees!$A$25,'Leave log'!$B$7:$B$306,"&lt;="&amp;DATE($B$3,4,17),'Leave log'!$C$7:$C$306,"&gt;="&amp;DATE($B$3,4,17),'Leave log'!$F$7:$F$306,"Pending")&gt;0,"P",""))))</f>
        <v/>
      </c>
      <c r="S128" s="23" t="str">
        <f>IF(A128="","",IF(IF(OR(DATE($B$3,4,18)&gt;EOMONTH(DATE($B$3,4,1),0),NETWORKDAYS.INTL(DATE($B$3,4,18),DATE($B$3,4,18),1,'Non-working days'!$A$6:$A$45)=0),"",IF(COUNTIFS('Leave log'!$A$7:$A$306,Employees!$A$25,'Leave log'!$B$7:$B$306,"&lt;="&amp;DATE($B$3,4,18),'Leave log'!$C$7:$C$306,"&gt;="&amp;DATE($B$3,4,18),'Leave log'!$F$7:$F$306,"Approved")&gt;0,"A",""))="A","A",IF(OR(DATE($B$3,4,18)&gt;EOMONTH(DATE($B$3,4,1),0),NETWORKDAYS.INTL(DATE($B$3,4,18),DATE($B$3,4,18),1,'Non-working days'!$A$6:$A$45)=0),"",IF(COUNTIFS('Leave log'!$A$7:$A$306,Employees!$A$25,'Leave log'!$B$7:$B$306,"&lt;="&amp;DATE($B$3,4,18),'Leave log'!$C$7:$C$306,"&gt;="&amp;DATE($B$3,4,18),'Leave log'!$F$7:$F$306,"Pending")&gt;0,"P",""))))</f>
        <v/>
      </c>
      <c r="T128" s="23" t="str">
        <f>IF(A128="","",IF(IF(OR(DATE($B$3,4,19)&gt;EOMONTH(DATE($B$3,4,1),0),NETWORKDAYS.INTL(DATE($B$3,4,19),DATE($B$3,4,19),1,'Non-working days'!$A$6:$A$45)=0),"",IF(COUNTIFS('Leave log'!$A$7:$A$306,Employees!$A$25,'Leave log'!$B$7:$B$306,"&lt;="&amp;DATE($B$3,4,19),'Leave log'!$C$7:$C$306,"&gt;="&amp;DATE($B$3,4,19),'Leave log'!$F$7:$F$306,"Approved")&gt;0,"A",""))="A","A",IF(OR(DATE($B$3,4,19)&gt;EOMONTH(DATE($B$3,4,1),0),NETWORKDAYS.INTL(DATE($B$3,4,19),DATE($B$3,4,19),1,'Non-working days'!$A$6:$A$45)=0),"",IF(COUNTIFS('Leave log'!$A$7:$A$306,Employees!$A$25,'Leave log'!$B$7:$B$306,"&lt;="&amp;DATE($B$3,4,19),'Leave log'!$C$7:$C$306,"&gt;="&amp;DATE($B$3,4,19),'Leave log'!$F$7:$F$306,"Pending")&gt;0,"P",""))))</f>
        <v/>
      </c>
      <c r="U128" s="23" t="str">
        <f>IF(A128="","",IF(IF(OR(DATE($B$3,4,20)&gt;EOMONTH(DATE($B$3,4,1),0),NETWORKDAYS.INTL(DATE($B$3,4,20),DATE($B$3,4,20),1,'Non-working days'!$A$6:$A$45)=0),"",IF(COUNTIFS('Leave log'!$A$7:$A$306,Employees!$A$25,'Leave log'!$B$7:$B$306,"&lt;="&amp;DATE($B$3,4,20),'Leave log'!$C$7:$C$306,"&gt;="&amp;DATE($B$3,4,20),'Leave log'!$F$7:$F$306,"Approved")&gt;0,"A",""))="A","A",IF(OR(DATE($B$3,4,20)&gt;EOMONTH(DATE($B$3,4,1),0),NETWORKDAYS.INTL(DATE($B$3,4,20),DATE($B$3,4,20),1,'Non-working days'!$A$6:$A$45)=0),"",IF(COUNTIFS('Leave log'!$A$7:$A$306,Employees!$A$25,'Leave log'!$B$7:$B$306,"&lt;="&amp;DATE($B$3,4,20),'Leave log'!$C$7:$C$306,"&gt;="&amp;DATE($B$3,4,20),'Leave log'!$F$7:$F$306,"Pending")&gt;0,"P",""))))</f>
        <v/>
      </c>
      <c r="V128" s="23" t="str">
        <f>IF(A128="","",IF(IF(OR(DATE($B$3,4,21)&gt;EOMONTH(DATE($B$3,4,1),0),NETWORKDAYS.INTL(DATE($B$3,4,21),DATE($B$3,4,21),1,'Non-working days'!$A$6:$A$45)=0),"",IF(COUNTIFS('Leave log'!$A$7:$A$306,Employees!$A$25,'Leave log'!$B$7:$B$306,"&lt;="&amp;DATE($B$3,4,21),'Leave log'!$C$7:$C$306,"&gt;="&amp;DATE($B$3,4,21),'Leave log'!$F$7:$F$306,"Approved")&gt;0,"A",""))="A","A",IF(OR(DATE($B$3,4,21)&gt;EOMONTH(DATE($B$3,4,1),0),NETWORKDAYS.INTL(DATE($B$3,4,21),DATE($B$3,4,21),1,'Non-working days'!$A$6:$A$45)=0),"",IF(COUNTIFS('Leave log'!$A$7:$A$306,Employees!$A$25,'Leave log'!$B$7:$B$306,"&lt;="&amp;DATE($B$3,4,21),'Leave log'!$C$7:$C$306,"&gt;="&amp;DATE($B$3,4,21),'Leave log'!$F$7:$F$306,"Pending")&gt;0,"P",""))))</f>
        <v/>
      </c>
      <c r="W128" s="23" t="str">
        <f>IF(A128="","",IF(IF(OR(DATE($B$3,4,22)&gt;EOMONTH(DATE($B$3,4,1),0),NETWORKDAYS.INTL(DATE($B$3,4,22),DATE($B$3,4,22),1,'Non-working days'!$A$6:$A$45)=0),"",IF(COUNTIFS('Leave log'!$A$7:$A$306,Employees!$A$25,'Leave log'!$B$7:$B$306,"&lt;="&amp;DATE($B$3,4,22),'Leave log'!$C$7:$C$306,"&gt;="&amp;DATE($B$3,4,22),'Leave log'!$F$7:$F$306,"Approved")&gt;0,"A",""))="A","A",IF(OR(DATE($B$3,4,22)&gt;EOMONTH(DATE($B$3,4,1),0),NETWORKDAYS.INTL(DATE($B$3,4,22),DATE($B$3,4,22),1,'Non-working days'!$A$6:$A$45)=0),"",IF(COUNTIFS('Leave log'!$A$7:$A$306,Employees!$A$25,'Leave log'!$B$7:$B$306,"&lt;="&amp;DATE($B$3,4,22),'Leave log'!$C$7:$C$306,"&gt;="&amp;DATE($B$3,4,22),'Leave log'!$F$7:$F$306,"Pending")&gt;0,"P",""))))</f>
        <v/>
      </c>
      <c r="X128" s="23" t="str">
        <f>IF(A128="","",IF(IF(OR(DATE($B$3,4,23)&gt;EOMONTH(DATE($B$3,4,1),0),NETWORKDAYS.INTL(DATE($B$3,4,23),DATE($B$3,4,23),1,'Non-working days'!$A$6:$A$45)=0),"",IF(COUNTIFS('Leave log'!$A$7:$A$306,Employees!$A$25,'Leave log'!$B$7:$B$306,"&lt;="&amp;DATE($B$3,4,23),'Leave log'!$C$7:$C$306,"&gt;="&amp;DATE($B$3,4,23),'Leave log'!$F$7:$F$306,"Approved")&gt;0,"A",""))="A","A",IF(OR(DATE($B$3,4,23)&gt;EOMONTH(DATE($B$3,4,1),0),NETWORKDAYS.INTL(DATE($B$3,4,23),DATE($B$3,4,23),1,'Non-working days'!$A$6:$A$45)=0),"",IF(COUNTIFS('Leave log'!$A$7:$A$306,Employees!$A$25,'Leave log'!$B$7:$B$306,"&lt;="&amp;DATE($B$3,4,23),'Leave log'!$C$7:$C$306,"&gt;="&amp;DATE($B$3,4,23),'Leave log'!$F$7:$F$306,"Pending")&gt;0,"P",""))))</f>
        <v/>
      </c>
      <c r="Y128" s="23" t="str">
        <f>IF(A128="","",IF(IF(OR(DATE($B$3,4,24)&gt;EOMONTH(DATE($B$3,4,1),0),NETWORKDAYS.INTL(DATE($B$3,4,24),DATE($B$3,4,24),1,'Non-working days'!$A$6:$A$45)=0),"",IF(COUNTIFS('Leave log'!$A$7:$A$306,Employees!$A$25,'Leave log'!$B$7:$B$306,"&lt;="&amp;DATE($B$3,4,24),'Leave log'!$C$7:$C$306,"&gt;="&amp;DATE($B$3,4,24),'Leave log'!$F$7:$F$306,"Approved")&gt;0,"A",""))="A","A",IF(OR(DATE($B$3,4,24)&gt;EOMONTH(DATE($B$3,4,1),0),NETWORKDAYS.INTL(DATE($B$3,4,24),DATE($B$3,4,24),1,'Non-working days'!$A$6:$A$45)=0),"",IF(COUNTIFS('Leave log'!$A$7:$A$306,Employees!$A$25,'Leave log'!$B$7:$B$306,"&lt;="&amp;DATE($B$3,4,24),'Leave log'!$C$7:$C$306,"&gt;="&amp;DATE($B$3,4,24),'Leave log'!$F$7:$F$306,"Pending")&gt;0,"P",""))))</f>
        <v/>
      </c>
      <c r="Z128" s="23" t="str">
        <f>IF(A128="","",IF(IF(OR(DATE($B$3,4,25)&gt;EOMONTH(DATE($B$3,4,1),0),NETWORKDAYS.INTL(DATE($B$3,4,25),DATE($B$3,4,25),1,'Non-working days'!$A$6:$A$45)=0),"",IF(COUNTIFS('Leave log'!$A$7:$A$306,Employees!$A$25,'Leave log'!$B$7:$B$306,"&lt;="&amp;DATE($B$3,4,25),'Leave log'!$C$7:$C$306,"&gt;="&amp;DATE($B$3,4,25),'Leave log'!$F$7:$F$306,"Approved")&gt;0,"A",""))="A","A",IF(OR(DATE($B$3,4,25)&gt;EOMONTH(DATE($B$3,4,1),0),NETWORKDAYS.INTL(DATE($B$3,4,25),DATE($B$3,4,25),1,'Non-working days'!$A$6:$A$45)=0),"",IF(COUNTIFS('Leave log'!$A$7:$A$306,Employees!$A$25,'Leave log'!$B$7:$B$306,"&lt;="&amp;DATE($B$3,4,25),'Leave log'!$C$7:$C$306,"&gt;="&amp;DATE($B$3,4,25),'Leave log'!$F$7:$F$306,"Pending")&gt;0,"P",""))))</f>
        <v/>
      </c>
      <c r="AA128" s="23" t="str">
        <f>IF(A128="","",IF(IF(OR(DATE($B$3,4,26)&gt;EOMONTH(DATE($B$3,4,1),0),NETWORKDAYS.INTL(DATE($B$3,4,26),DATE($B$3,4,26),1,'Non-working days'!$A$6:$A$45)=0),"",IF(COUNTIFS('Leave log'!$A$7:$A$306,Employees!$A$25,'Leave log'!$B$7:$B$306,"&lt;="&amp;DATE($B$3,4,26),'Leave log'!$C$7:$C$306,"&gt;="&amp;DATE($B$3,4,26),'Leave log'!$F$7:$F$306,"Approved")&gt;0,"A",""))="A","A",IF(OR(DATE($B$3,4,26)&gt;EOMONTH(DATE($B$3,4,1),0),NETWORKDAYS.INTL(DATE($B$3,4,26),DATE($B$3,4,26),1,'Non-working days'!$A$6:$A$45)=0),"",IF(COUNTIFS('Leave log'!$A$7:$A$306,Employees!$A$25,'Leave log'!$B$7:$B$306,"&lt;="&amp;DATE($B$3,4,26),'Leave log'!$C$7:$C$306,"&gt;="&amp;DATE($B$3,4,26),'Leave log'!$F$7:$F$306,"Pending")&gt;0,"P",""))))</f>
        <v/>
      </c>
      <c r="AB128" s="23" t="str">
        <f>IF(A128="","",IF(IF(OR(DATE($B$3,4,27)&gt;EOMONTH(DATE($B$3,4,1),0),NETWORKDAYS.INTL(DATE($B$3,4,27),DATE($B$3,4,27),1,'Non-working days'!$A$6:$A$45)=0),"",IF(COUNTIFS('Leave log'!$A$7:$A$306,Employees!$A$25,'Leave log'!$B$7:$B$306,"&lt;="&amp;DATE($B$3,4,27),'Leave log'!$C$7:$C$306,"&gt;="&amp;DATE($B$3,4,27),'Leave log'!$F$7:$F$306,"Approved")&gt;0,"A",""))="A","A",IF(OR(DATE($B$3,4,27)&gt;EOMONTH(DATE($B$3,4,1),0),NETWORKDAYS.INTL(DATE($B$3,4,27),DATE($B$3,4,27),1,'Non-working days'!$A$6:$A$45)=0),"",IF(COUNTIFS('Leave log'!$A$7:$A$306,Employees!$A$25,'Leave log'!$B$7:$B$306,"&lt;="&amp;DATE($B$3,4,27),'Leave log'!$C$7:$C$306,"&gt;="&amp;DATE($B$3,4,27),'Leave log'!$F$7:$F$306,"Pending")&gt;0,"P",""))))</f>
        <v/>
      </c>
      <c r="AC128" s="23" t="str">
        <f>IF(A128="","",IF(IF(OR(DATE($B$3,4,28)&gt;EOMONTH(DATE($B$3,4,1),0),NETWORKDAYS.INTL(DATE($B$3,4,28),DATE($B$3,4,28),1,'Non-working days'!$A$6:$A$45)=0),"",IF(COUNTIFS('Leave log'!$A$7:$A$306,Employees!$A$25,'Leave log'!$B$7:$B$306,"&lt;="&amp;DATE($B$3,4,28),'Leave log'!$C$7:$C$306,"&gt;="&amp;DATE($B$3,4,28),'Leave log'!$F$7:$F$306,"Approved")&gt;0,"A",""))="A","A",IF(OR(DATE($B$3,4,28)&gt;EOMONTH(DATE($B$3,4,1),0),NETWORKDAYS.INTL(DATE($B$3,4,28),DATE($B$3,4,28),1,'Non-working days'!$A$6:$A$45)=0),"",IF(COUNTIFS('Leave log'!$A$7:$A$306,Employees!$A$25,'Leave log'!$B$7:$B$306,"&lt;="&amp;DATE($B$3,4,28),'Leave log'!$C$7:$C$306,"&gt;="&amp;DATE($B$3,4,28),'Leave log'!$F$7:$F$306,"Pending")&gt;0,"P",""))))</f>
        <v/>
      </c>
      <c r="AD128" s="23" t="str">
        <f>IF(A128="","",IF(IF(OR(DATE($B$3,4,29)&gt;EOMONTH(DATE($B$3,4,1),0),NETWORKDAYS.INTL(DATE($B$3,4,29),DATE($B$3,4,29),1,'Non-working days'!$A$6:$A$45)=0),"",IF(COUNTIFS('Leave log'!$A$7:$A$306,Employees!$A$25,'Leave log'!$B$7:$B$306,"&lt;="&amp;DATE($B$3,4,29),'Leave log'!$C$7:$C$306,"&gt;="&amp;DATE($B$3,4,29),'Leave log'!$F$7:$F$306,"Approved")&gt;0,"A",""))="A","A",IF(OR(DATE($B$3,4,29)&gt;EOMONTH(DATE($B$3,4,1),0),NETWORKDAYS.INTL(DATE($B$3,4,29),DATE($B$3,4,29),1,'Non-working days'!$A$6:$A$45)=0),"",IF(COUNTIFS('Leave log'!$A$7:$A$306,Employees!$A$25,'Leave log'!$B$7:$B$306,"&lt;="&amp;DATE($B$3,4,29),'Leave log'!$C$7:$C$306,"&gt;="&amp;DATE($B$3,4,29),'Leave log'!$F$7:$F$306,"Pending")&gt;0,"P",""))))</f>
        <v/>
      </c>
      <c r="AE128" s="23" t="str">
        <f>IF(A128="","",IF(IF(OR(DATE($B$3,4,30)&gt;EOMONTH(DATE($B$3,4,1),0),NETWORKDAYS.INTL(DATE($B$3,4,30),DATE($B$3,4,30),1,'Non-working days'!$A$6:$A$45)=0),"",IF(COUNTIFS('Leave log'!$A$7:$A$306,Employees!$A$25,'Leave log'!$B$7:$B$306,"&lt;="&amp;DATE($B$3,4,30),'Leave log'!$C$7:$C$306,"&gt;="&amp;DATE($B$3,4,30),'Leave log'!$F$7:$F$306,"Approved")&gt;0,"A",""))="A","A",IF(OR(DATE($B$3,4,30)&gt;EOMONTH(DATE($B$3,4,1),0),NETWORKDAYS.INTL(DATE($B$3,4,30),DATE($B$3,4,30),1,'Non-working days'!$A$6:$A$45)=0),"",IF(COUNTIFS('Leave log'!$A$7:$A$306,Employees!$A$25,'Leave log'!$B$7:$B$306,"&lt;="&amp;DATE($B$3,4,30),'Leave log'!$C$7:$C$306,"&gt;="&amp;DATE($B$3,4,30),'Leave log'!$F$7:$F$306,"Pending")&gt;0,"P",""))))</f>
        <v/>
      </c>
      <c r="AF128" s="23" t="str">
        <f>IF(A128="","",IF(IF(OR(DATE($B$3,4,31)&gt;EOMONTH(DATE($B$3,4,1),0),NETWORKDAYS.INTL(DATE($B$3,4,31),DATE($B$3,4,31),1,'Non-working days'!$A$6:$A$45)=0),"",IF(COUNTIFS('Leave log'!$A$7:$A$306,Employees!$A$25,'Leave log'!$B$7:$B$306,"&lt;="&amp;DATE($B$3,4,31),'Leave log'!$C$7:$C$306,"&gt;="&amp;DATE($B$3,4,31),'Leave log'!$F$7:$F$306,"Approved")&gt;0,"A",""))="A","A",IF(OR(DATE($B$3,4,31)&gt;EOMONTH(DATE($B$3,4,1),0),NETWORKDAYS.INTL(DATE($B$3,4,31),DATE($B$3,4,31),1,'Non-working days'!$A$6:$A$45)=0),"",IF(COUNTIFS('Leave log'!$A$7:$A$306,Employees!$A$25,'Leave log'!$B$7:$B$306,"&lt;="&amp;DATE($B$3,4,31),'Leave log'!$C$7:$C$306,"&gt;="&amp;DATE($B$3,4,31),'Leave log'!$F$7:$F$306,"Pending")&gt;0,"P",""))))</f>
        <v/>
      </c>
    </row>
    <row r="129" spans="1:32" ht="18" customHeight="1" x14ac:dyDescent="0.3">
      <c r="A129" s="22" t="str">
        <f>IF(Employees!F26="Yes",Employees!B26,"")</f>
        <v/>
      </c>
      <c r="B129" s="23" t="str">
        <f>IF(A129="","",IF(IF(OR(DATE($B$3,4,1)&gt;EOMONTH(DATE($B$3,4,1),0),NETWORKDAYS.INTL(DATE($B$3,4,1),DATE($B$3,4,1),1,'Non-working days'!$A$6:$A$45)=0),"",IF(COUNTIFS('Leave log'!$A$7:$A$306,Employees!$A$26,'Leave log'!$B$7:$B$306,"&lt;="&amp;DATE($B$3,4,1),'Leave log'!$C$7:$C$306,"&gt;="&amp;DATE($B$3,4,1),'Leave log'!$F$7:$F$306,"Approved")&gt;0,"A",""))="A","A",IF(OR(DATE($B$3,4,1)&gt;EOMONTH(DATE($B$3,4,1),0),NETWORKDAYS.INTL(DATE($B$3,4,1),DATE($B$3,4,1),1,'Non-working days'!$A$6:$A$45)=0),"",IF(COUNTIFS('Leave log'!$A$7:$A$306,Employees!$A$26,'Leave log'!$B$7:$B$306,"&lt;="&amp;DATE($B$3,4,1),'Leave log'!$C$7:$C$306,"&gt;="&amp;DATE($B$3,4,1),'Leave log'!$F$7:$F$306,"Pending")&gt;0,"P",""))))</f>
        <v/>
      </c>
      <c r="C129" s="23" t="str">
        <f>IF(A129="","",IF(IF(OR(DATE($B$3,4,2)&gt;EOMONTH(DATE($B$3,4,1),0),NETWORKDAYS.INTL(DATE($B$3,4,2),DATE($B$3,4,2),1,'Non-working days'!$A$6:$A$45)=0),"",IF(COUNTIFS('Leave log'!$A$7:$A$306,Employees!$A$26,'Leave log'!$B$7:$B$306,"&lt;="&amp;DATE($B$3,4,2),'Leave log'!$C$7:$C$306,"&gt;="&amp;DATE($B$3,4,2),'Leave log'!$F$7:$F$306,"Approved")&gt;0,"A",""))="A","A",IF(OR(DATE($B$3,4,2)&gt;EOMONTH(DATE($B$3,4,1),0),NETWORKDAYS.INTL(DATE($B$3,4,2),DATE($B$3,4,2),1,'Non-working days'!$A$6:$A$45)=0),"",IF(COUNTIFS('Leave log'!$A$7:$A$306,Employees!$A$26,'Leave log'!$B$7:$B$306,"&lt;="&amp;DATE($B$3,4,2),'Leave log'!$C$7:$C$306,"&gt;="&amp;DATE($B$3,4,2),'Leave log'!$F$7:$F$306,"Pending")&gt;0,"P",""))))</f>
        <v/>
      </c>
      <c r="D129" s="23" t="str">
        <f>IF(A129="","",IF(IF(OR(DATE($B$3,4,3)&gt;EOMONTH(DATE($B$3,4,1),0),NETWORKDAYS.INTL(DATE($B$3,4,3),DATE($B$3,4,3),1,'Non-working days'!$A$6:$A$45)=0),"",IF(COUNTIFS('Leave log'!$A$7:$A$306,Employees!$A$26,'Leave log'!$B$7:$B$306,"&lt;="&amp;DATE($B$3,4,3),'Leave log'!$C$7:$C$306,"&gt;="&amp;DATE($B$3,4,3),'Leave log'!$F$7:$F$306,"Approved")&gt;0,"A",""))="A","A",IF(OR(DATE($B$3,4,3)&gt;EOMONTH(DATE($B$3,4,1),0),NETWORKDAYS.INTL(DATE($B$3,4,3),DATE($B$3,4,3),1,'Non-working days'!$A$6:$A$45)=0),"",IF(COUNTIFS('Leave log'!$A$7:$A$306,Employees!$A$26,'Leave log'!$B$7:$B$306,"&lt;="&amp;DATE($B$3,4,3),'Leave log'!$C$7:$C$306,"&gt;="&amp;DATE($B$3,4,3),'Leave log'!$F$7:$F$306,"Pending")&gt;0,"P",""))))</f>
        <v/>
      </c>
      <c r="E129" s="23" t="str">
        <f>IF(A129="","",IF(IF(OR(DATE($B$3,4,4)&gt;EOMONTH(DATE($B$3,4,1),0),NETWORKDAYS.INTL(DATE($B$3,4,4),DATE($B$3,4,4),1,'Non-working days'!$A$6:$A$45)=0),"",IF(COUNTIFS('Leave log'!$A$7:$A$306,Employees!$A$26,'Leave log'!$B$7:$B$306,"&lt;="&amp;DATE($B$3,4,4),'Leave log'!$C$7:$C$306,"&gt;="&amp;DATE($B$3,4,4),'Leave log'!$F$7:$F$306,"Approved")&gt;0,"A",""))="A","A",IF(OR(DATE($B$3,4,4)&gt;EOMONTH(DATE($B$3,4,1),0),NETWORKDAYS.INTL(DATE($B$3,4,4),DATE($B$3,4,4),1,'Non-working days'!$A$6:$A$45)=0),"",IF(COUNTIFS('Leave log'!$A$7:$A$306,Employees!$A$26,'Leave log'!$B$7:$B$306,"&lt;="&amp;DATE($B$3,4,4),'Leave log'!$C$7:$C$306,"&gt;="&amp;DATE($B$3,4,4),'Leave log'!$F$7:$F$306,"Pending")&gt;0,"P",""))))</f>
        <v/>
      </c>
      <c r="F129" s="23" t="str">
        <f>IF(A129="","",IF(IF(OR(DATE($B$3,4,5)&gt;EOMONTH(DATE($B$3,4,1),0),NETWORKDAYS.INTL(DATE($B$3,4,5),DATE($B$3,4,5),1,'Non-working days'!$A$6:$A$45)=0),"",IF(COUNTIFS('Leave log'!$A$7:$A$306,Employees!$A$26,'Leave log'!$B$7:$B$306,"&lt;="&amp;DATE($B$3,4,5),'Leave log'!$C$7:$C$306,"&gt;="&amp;DATE($B$3,4,5),'Leave log'!$F$7:$F$306,"Approved")&gt;0,"A",""))="A","A",IF(OR(DATE($B$3,4,5)&gt;EOMONTH(DATE($B$3,4,1),0),NETWORKDAYS.INTL(DATE($B$3,4,5),DATE($B$3,4,5),1,'Non-working days'!$A$6:$A$45)=0),"",IF(COUNTIFS('Leave log'!$A$7:$A$306,Employees!$A$26,'Leave log'!$B$7:$B$306,"&lt;="&amp;DATE($B$3,4,5),'Leave log'!$C$7:$C$306,"&gt;="&amp;DATE($B$3,4,5),'Leave log'!$F$7:$F$306,"Pending")&gt;0,"P",""))))</f>
        <v/>
      </c>
      <c r="G129" s="23" t="str">
        <f>IF(A129="","",IF(IF(OR(DATE($B$3,4,6)&gt;EOMONTH(DATE($B$3,4,1),0),NETWORKDAYS.INTL(DATE($B$3,4,6),DATE($B$3,4,6),1,'Non-working days'!$A$6:$A$45)=0),"",IF(COUNTIFS('Leave log'!$A$7:$A$306,Employees!$A$26,'Leave log'!$B$7:$B$306,"&lt;="&amp;DATE($B$3,4,6),'Leave log'!$C$7:$C$306,"&gt;="&amp;DATE($B$3,4,6),'Leave log'!$F$7:$F$306,"Approved")&gt;0,"A",""))="A","A",IF(OR(DATE($B$3,4,6)&gt;EOMONTH(DATE($B$3,4,1),0),NETWORKDAYS.INTL(DATE($B$3,4,6),DATE($B$3,4,6),1,'Non-working days'!$A$6:$A$45)=0),"",IF(COUNTIFS('Leave log'!$A$7:$A$306,Employees!$A$26,'Leave log'!$B$7:$B$306,"&lt;="&amp;DATE($B$3,4,6),'Leave log'!$C$7:$C$306,"&gt;="&amp;DATE($B$3,4,6),'Leave log'!$F$7:$F$306,"Pending")&gt;0,"P",""))))</f>
        <v/>
      </c>
      <c r="H129" s="23" t="str">
        <f>IF(A129="","",IF(IF(OR(DATE($B$3,4,7)&gt;EOMONTH(DATE($B$3,4,1),0),NETWORKDAYS.INTL(DATE($B$3,4,7),DATE($B$3,4,7),1,'Non-working days'!$A$6:$A$45)=0),"",IF(COUNTIFS('Leave log'!$A$7:$A$306,Employees!$A$26,'Leave log'!$B$7:$B$306,"&lt;="&amp;DATE($B$3,4,7),'Leave log'!$C$7:$C$306,"&gt;="&amp;DATE($B$3,4,7),'Leave log'!$F$7:$F$306,"Approved")&gt;0,"A",""))="A","A",IF(OR(DATE($B$3,4,7)&gt;EOMONTH(DATE($B$3,4,1),0),NETWORKDAYS.INTL(DATE($B$3,4,7),DATE($B$3,4,7),1,'Non-working days'!$A$6:$A$45)=0),"",IF(COUNTIFS('Leave log'!$A$7:$A$306,Employees!$A$26,'Leave log'!$B$7:$B$306,"&lt;="&amp;DATE($B$3,4,7),'Leave log'!$C$7:$C$306,"&gt;="&amp;DATE($B$3,4,7),'Leave log'!$F$7:$F$306,"Pending")&gt;0,"P",""))))</f>
        <v/>
      </c>
      <c r="I129" s="23" t="str">
        <f>IF(A129="","",IF(IF(OR(DATE($B$3,4,8)&gt;EOMONTH(DATE($B$3,4,1),0),NETWORKDAYS.INTL(DATE($B$3,4,8),DATE($B$3,4,8),1,'Non-working days'!$A$6:$A$45)=0),"",IF(COUNTIFS('Leave log'!$A$7:$A$306,Employees!$A$26,'Leave log'!$B$7:$B$306,"&lt;="&amp;DATE($B$3,4,8),'Leave log'!$C$7:$C$306,"&gt;="&amp;DATE($B$3,4,8),'Leave log'!$F$7:$F$306,"Approved")&gt;0,"A",""))="A","A",IF(OR(DATE($B$3,4,8)&gt;EOMONTH(DATE($B$3,4,1),0),NETWORKDAYS.INTL(DATE($B$3,4,8),DATE($B$3,4,8),1,'Non-working days'!$A$6:$A$45)=0),"",IF(COUNTIFS('Leave log'!$A$7:$A$306,Employees!$A$26,'Leave log'!$B$7:$B$306,"&lt;="&amp;DATE($B$3,4,8),'Leave log'!$C$7:$C$306,"&gt;="&amp;DATE($B$3,4,8),'Leave log'!$F$7:$F$306,"Pending")&gt;0,"P",""))))</f>
        <v/>
      </c>
      <c r="J129" s="23" t="str">
        <f>IF(A129="","",IF(IF(OR(DATE($B$3,4,9)&gt;EOMONTH(DATE($B$3,4,1),0),NETWORKDAYS.INTL(DATE($B$3,4,9),DATE($B$3,4,9),1,'Non-working days'!$A$6:$A$45)=0),"",IF(COUNTIFS('Leave log'!$A$7:$A$306,Employees!$A$26,'Leave log'!$B$7:$B$306,"&lt;="&amp;DATE($B$3,4,9),'Leave log'!$C$7:$C$306,"&gt;="&amp;DATE($B$3,4,9),'Leave log'!$F$7:$F$306,"Approved")&gt;0,"A",""))="A","A",IF(OR(DATE($B$3,4,9)&gt;EOMONTH(DATE($B$3,4,1),0),NETWORKDAYS.INTL(DATE($B$3,4,9),DATE($B$3,4,9),1,'Non-working days'!$A$6:$A$45)=0),"",IF(COUNTIFS('Leave log'!$A$7:$A$306,Employees!$A$26,'Leave log'!$B$7:$B$306,"&lt;="&amp;DATE($B$3,4,9),'Leave log'!$C$7:$C$306,"&gt;="&amp;DATE($B$3,4,9),'Leave log'!$F$7:$F$306,"Pending")&gt;0,"P",""))))</f>
        <v/>
      </c>
      <c r="K129" s="23" t="str">
        <f>IF(A129="","",IF(IF(OR(DATE($B$3,4,10)&gt;EOMONTH(DATE($B$3,4,1),0),NETWORKDAYS.INTL(DATE($B$3,4,10),DATE($B$3,4,10),1,'Non-working days'!$A$6:$A$45)=0),"",IF(COUNTIFS('Leave log'!$A$7:$A$306,Employees!$A$26,'Leave log'!$B$7:$B$306,"&lt;="&amp;DATE($B$3,4,10),'Leave log'!$C$7:$C$306,"&gt;="&amp;DATE($B$3,4,10),'Leave log'!$F$7:$F$306,"Approved")&gt;0,"A",""))="A","A",IF(OR(DATE($B$3,4,10)&gt;EOMONTH(DATE($B$3,4,1),0),NETWORKDAYS.INTL(DATE($B$3,4,10),DATE($B$3,4,10),1,'Non-working days'!$A$6:$A$45)=0),"",IF(COUNTIFS('Leave log'!$A$7:$A$306,Employees!$A$26,'Leave log'!$B$7:$B$306,"&lt;="&amp;DATE($B$3,4,10),'Leave log'!$C$7:$C$306,"&gt;="&amp;DATE($B$3,4,10),'Leave log'!$F$7:$F$306,"Pending")&gt;0,"P",""))))</f>
        <v/>
      </c>
      <c r="L129" s="23" t="str">
        <f>IF(A129="","",IF(IF(OR(DATE($B$3,4,11)&gt;EOMONTH(DATE($B$3,4,1),0),NETWORKDAYS.INTL(DATE($B$3,4,11),DATE($B$3,4,11),1,'Non-working days'!$A$6:$A$45)=0),"",IF(COUNTIFS('Leave log'!$A$7:$A$306,Employees!$A$26,'Leave log'!$B$7:$B$306,"&lt;="&amp;DATE($B$3,4,11),'Leave log'!$C$7:$C$306,"&gt;="&amp;DATE($B$3,4,11),'Leave log'!$F$7:$F$306,"Approved")&gt;0,"A",""))="A","A",IF(OR(DATE($B$3,4,11)&gt;EOMONTH(DATE($B$3,4,1),0),NETWORKDAYS.INTL(DATE($B$3,4,11),DATE($B$3,4,11),1,'Non-working days'!$A$6:$A$45)=0),"",IF(COUNTIFS('Leave log'!$A$7:$A$306,Employees!$A$26,'Leave log'!$B$7:$B$306,"&lt;="&amp;DATE($B$3,4,11),'Leave log'!$C$7:$C$306,"&gt;="&amp;DATE($B$3,4,11),'Leave log'!$F$7:$F$306,"Pending")&gt;0,"P",""))))</f>
        <v/>
      </c>
      <c r="M129" s="23" t="str">
        <f>IF(A129="","",IF(IF(OR(DATE($B$3,4,12)&gt;EOMONTH(DATE($B$3,4,1),0),NETWORKDAYS.INTL(DATE($B$3,4,12),DATE($B$3,4,12),1,'Non-working days'!$A$6:$A$45)=0),"",IF(COUNTIFS('Leave log'!$A$7:$A$306,Employees!$A$26,'Leave log'!$B$7:$B$306,"&lt;="&amp;DATE($B$3,4,12),'Leave log'!$C$7:$C$306,"&gt;="&amp;DATE($B$3,4,12),'Leave log'!$F$7:$F$306,"Approved")&gt;0,"A",""))="A","A",IF(OR(DATE($B$3,4,12)&gt;EOMONTH(DATE($B$3,4,1),0),NETWORKDAYS.INTL(DATE($B$3,4,12),DATE($B$3,4,12),1,'Non-working days'!$A$6:$A$45)=0),"",IF(COUNTIFS('Leave log'!$A$7:$A$306,Employees!$A$26,'Leave log'!$B$7:$B$306,"&lt;="&amp;DATE($B$3,4,12),'Leave log'!$C$7:$C$306,"&gt;="&amp;DATE($B$3,4,12),'Leave log'!$F$7:$F$306,"Pending")&gt;0,"P",""))))</f>
        <v/>
      </c>
      <c r="N129" s="23" t="str">
        <f>IF(A129="","",IF(IF(OR(DATE($B$3,4,13)&gt;EOMONTH(DATE($B$3,4,1),0),NETWORKDAYS.INTL(DATE($B$3,4,13),DATE($B$3,4,13),1,'Non-working days'!$A$6:$A$45)=0),"",IF(COUNTIFS('Leave log'!$A$7:$A$306,Employees!$A$26,'Leave log'!$B$7:$B$306,"&lt;="&amp;DATE($B$3,4,13),'Leave log'!$C$7:$C$306,"&gt;="&amp;DATE($B$3,4,13),'Leave log'!$F$7:$F$306,"Approved")&gt;0,"A",""))="A","A",IF(OR(DATE($B$3,4,13)&gt;EOMONTH(DATE($B$3,4,1),0),NETWORKDAYS.INTL(DATE($B$3,4,13),DATE($B$3,4,13),1,'Non-working days'!$A$6:$A$45)=0),"",IF(COUNTIFS('Leave log'!$A$7:$A$306,Employees!$A$26,'Leave log'!$B$7:$B$306,"&lt;="&amp;DATE($B$3,4,13),'Leave log'!$C$7:$C$306,"&gt;="&amp;DATE($B$3,4,13),'Leave log'!$F$7:$F$306,"Pending")&gt;0,"P",""))))</f>
        <v/>
      </c>
      <c r="O129" s="23" t="str">
        <f>IF(A129="","",IF(IF(OR(DATE($B$3,4,14)&gt;EOMONTH(DATE($B$3,4,1),0),NETWORKDAYS.INTL(DATE($B$3,4,14),DATE($B$3,4,14),1,'Non-working days'!$A$6:$A$45)=0),"",IF(COUNTIFS('Leave log'!$A$7:$A$306,Employees!$A$26,'Leave log'!$B$7:$B$306,"&lt;="&amp;DATE($B$3,4,14),'Leave log'!$C$7:$C$306,"&gt;="&amp;DATE($B$3,4,14),'Leave log'!$F$7:$F$306,"Approved")&gt;0,"A",""))="A","A",IF(OR(DATE($B$3,4,14)&gt;EOMONTH(DATE($B$3,4,1),0),NETWORKDAYS.INTL(DATE($B$3,4,14),DATE($B$3,4,14),1,'Non-working days'!$A$6:$A$45)=0),"",IF(COUNTIFS('Leave log'!$A$7:$A$306,Employees!$A$26,'Leave log'!$B$7:$B$306,"&lt;="&amp;DATE($B$3,4,14),'Leave log'!$C$7:$C$306,"&gt;="&amp;DATE($B$3,4,14),'Leave log'!$F$7:$F$306,"Pending")&gt;0,"P",""))))</f>
        <v/>
      </c>
      <c r="P129" s="23" t="str">
        <f>IF(A129="","",IF(IF(OR(DATE($B$3,4,15)&gt;EOMONTH(DATE($B$3,4,1),0),NETWORKDAYS.INTL(DATE($B$3,4,15),DATE($B$3,4,15),1,'Non-working days'!$A$6:$A$45)=0),"",IF(COUNTIFS('Leave log'!$A$7:$A$306,Employees!$A$26,'Leave log'!$B$7:$B$306,"&lt;="&amp;DATE($B$3,4,15),'Leave log'!$C$7:$C$306,"&gt;="&amp;DATE($B$3,4,15),'Leave log'!$F$7:$F$306,"Approved")&gt;0,"A",""))="A","A",IF(OR(DATE($B$3,4,15)&gt;EOMONTH(DATE($B$3,4,1),0),NETWORKDAYS.INTL(DATE($B$3,4,15),DATE($B$3,4,15),1,'Non-working days'!$A$6:$A$45)=0),"",IF(COUNTIFS('Leave log'!$A$7:$A$306,Employees!$A$26,'Leave log'!$B$7:$B$306,"&lt;="&amp;DATE($B$3,4,15),'Leave log'!$C$7:$C$306,"&gt;="&amp;DATE($B$3,4,15),'Leave log'!$F$7:$F$306,"Pending")&gt;0,"P",""))))</f>
        <v/>
      </c>
      <c r="Q129" s="23" t="str">
        <f>IF(A129="","",IF(IF(OR(DATE($B$3,4,16)&gt;EOMONTH(DATE($B$3,4,1),0),NETWORKDAYS.INTL(DATE($B$3,4,16),DATE($B$3,4,16),1,'Non-working days'!$A$6:$A$45)=0),"",IF(COUNTIFS('Leave log'!$A$7:$A$306,Employees!$A$26,'Leave log'!$B$7:$B$306,"&lt;="&amp;DATE($B$3,4,16),'Leave log'!$C$7:$C$306,"&gt;="&amp;DATE($B$3,4,16),'Leave log'!$F$7:$F$306,"Approved")&gt;0,"A",""))="A","A",IF(OR(DATE($B$3,4,16)&gt;EOMONTH(DATE($B$3,4,1),0),NETWORKDAYS.INTL(DATE($B$3,4,16),DATE($B$3,4,16),1,'Non-working days'!$A$6:$A$45)=0),"",IF(COUNTIFS('Leave log'!$A$7:$A$306,Employees!$A$26,'Leave log'!$B$7:$B$306,"&lt;="&amp;DATE($B$3,4,16),'Leave log'!$C$7:$C$306,"&gt;="&amp;DATE($B$3,4,16),'Leave log'!$F$7:$F$306,"Pending")&gt;0,"P",""))))</f>
        <v/>
      </c>
      <c r="R129" s="23" t="str">
        <f>IF(A129="","",IF(IF(OR(DATE($B$3,4,17)&gt;EOMONTH(DATE($B$3,4,1),0),NETWORKDAYS.INTL(DATE($B$3,4,17),DATE($B$3,4,17),1,'Non-working days'!$A$6:$A$45)=0),"",IF(COUNTIFS('Leave log'!$A$7:$A$306,Employees!$A$26,'Leave log'!$B$7:$B$306,"&lt;="&amp;DATE($B$3,4,17),'Leave log'!$C$7:$C$306,"&gt;="&amp;DATE($B$3,4,17),'Leave log'!$F$7:$F$306,"Approved")&gt;0,"A",""))="A","A",IF(OR(DATE($B$3,4,17)&gt;EOMONTH(DATE($B$3,4,1),0),NETWORKDAYS.INTL(DATE($B$3,4,17),DATE($B$3,4,17),1,'Non-working days'!$A$6:$A$45)=0),"",IF(COUNTIFS('Leave log'!$A$7:$A$306,Employees!$A$26,'Leave log'!$B$7:$B$306,"&lt;="&amp;DATE($B$3,4,17),'Leave log'!$C$7:$C$306,"&gt;="&amp;DATE($B$3,4,17),'Leave log'!$F$7:$F$306,"Pending")&gt;0,"P",""))))</f>
        <v/>
      </c>
      <c r="S129" s="23" t="str">
        <f>IF(A129="","",IF(IF(OR(DATE($B$3,4,18)&gt;EOMONTH(DATE($B$3,4,1),0),NETWORKDAYS.INTL(DATE($B$3,4,18),DATE($B$3,4,18),1,'Non-working days'!$A$6:$A$45)=0),"",IF(COUNTIFS('Leave log'!$A$7:$A$306,Employees!$A$26,'Leave log'!$B$7:$B$306,"&lt;="&amp;DATE($B$3,4,18),'Leave log'!$C$7:$C$306,"&gt;="&amp;DATE($B$3,4,18),'Leave log'!$F$7:$F$306,"Approved")&gt;0,"A",""))="A","A",IF(OR(DATE($B$3,4,18)&gt;EOMONTH(DATE($B$3,4,1),0),NETWORKDAYS.INTL(DATE($B$3,4,18),DATE($B$3,4,18),1,'Non-working days'!$A$6:$A$45)=0),"",IF(COUNTIFS('Leave log'!$A$7:$A$306,Employees!$A$26,'Leave log'!$B$7:$B$306,"&lt;="&amp;DATE($B$3,4,18),'Leave log'!$C$7:$C$306,"&gt;="&amp;DATE($B$3,4,18),'Leave log'!$F$7:$F$306,"Pending")&gt;0,"P",""))))</f>
        <v/>
      </c>
      <c r="T129" s="23" t="str">
        <f>IF(A129="","",IF(IF(OR(DATE($B$3,4,19)&gt;EOMONTH(DATE($B$3,4,1),0),NETWORKDAYS.INTL(DATE($B$3,4,19),DATE($B$3,4,19),1,'Non-working days'!$A$6:$A$45)=0),"",IF(COUNTIFS('Leave log'!$A$7:$A$306,Employees!$A$26,'Leave log'!$B$7:$B$306,"&lt;="&amp;DATE($B$3,4,19),'Leave log'!$C$7:$C$306,"&gt;="&amp;DATE($B$3,4,19),'Leave log'!$F$7:$F$306,"Approved")&gt;0,"A",""))="A","A",IF(OR(DATE($B$3,4,19)&gt;EOMONTH(DATE($B$3,4,1),0),NETWORKDAYS.INTL(DATE($B$3,4,19),DATE($B$3,4,19),1,'Non-working days'!$A$6:$A$45)=0),"",IF(COUNTIFS('Leave log'!$A$7:$A$306,Employees!$A$26,'Leave log'!$B$7:$B$306,"&lt;="&amp;DATE($B$3,4,19),'Leave log'!$C$7:$C$306,"&gt;="&amp;DATE($B$3,4,19),'Leave log'!$F$7:$F$306,"Pending")&gt;0,"P",""))))</f>
        <v/>
      </c>
      <c r="U129" s="23" t="str">
        <f>IF(A129="","",IF(IF(OR(DATE($B$3,4,20)&gt;EOMONTH(DATE($B$3,4,1),0),NETWORKDAYS.INTL(DATE($B$3,4,20),DATE($B$3,4,20),1,'Non-working days'!$A$6:$A$45)=0),"",IF(COUNTIFS('Leave log'!$A$7:$A$306,Employees!$A$26,'Leave log'!$B$7:$B$306,"&lt;="&amp;DATE($B$3,4,20),'Leave log'!$C$7:$C$306,"&gt;="&amp;DATE($B$3,4,20),'Leave log'!$F$7:$F$306,"Approved")&gt;0,"A",""))="A","A",IF(OR(DATE($B$3,4,20)&gt;EOMONTH(DATE($B$3,4,1),0),NETWORKDAYS.INTL(DATE($B$3,4,20),DATE($B$3,4,20),1,'Non-working days'!$A$6:$A$45)=0),"",IF(COUNTIFS('Leave log'!$A$7:$A$306,Employees!$A$26,'Leave log'!$B$7:$B$306,"&lt;="&amp;DATE($B$3,4,20),'Leave log'!$C$7:$C$306,"&gt;="&amp;DATE($B$3,4,20),'Leave log'!$F$7:$F$306,"Pending")&gt;0,"P",""))))</f>
        <v/>
      </c>
      <c r="V129" s="23" t="str">
        <f>IF(A129="","",IF(IF(OR(DATE($B$3,4,21)&gt;EOMONTH(DATE($B$3,4,1),0),NETWORKDAYS.INTL(DATE($B$3,4,21),DATE($B$3,4,21),1,'Non-working days'!$A$6:$A$45)=0),"",IF(COUNTIFS('Leave log'!$A$7:$A$306,Employees!$A$26,'Leave log'!$B$7:$B$306,"&lt;="&amp;DATE($B$3,4,21),'Leave log'!$C$7:$C$306,"&gt;="&amp;DATE($B$3,4,21),'Leave log'!$F$7:$F$306,"Approved")&gt;0,"A",""))="A","A",IF(OR(DATE($B$3,4,21)&gt;EOMONTH(DATE($B$3,4,1),0),NETWORKDAYS.INTL(DATE($B$3,4,21),DATE($B$3,4,21),1,'Non-working days'!$A$6:$A$45)=0),"",IF(COUNTIFS('Leave log'!$A$7:$A$306,Employees!$A$26,'Leave log'!$B$7:$B$306,"&lt;="&amp;DATE($B$3,4,21),'Leave log'!$C$7:$C$306,"&gt;="&amp;DATE($B$3,4,21),'Leave log'!$F$7:$F$306,"Pending")&gt;0,"P",""))))</f>
        <v/>
      </c>
      <c r="W129" s="23" t="str">
        <f>IF(A129="","",IF(IF(OR(DATE($B$3,4,22)&gt;EOMONTH(DATE($B$3,4,1),0),NETWORKDAYS.INTL(DATE($B$3,4,22),DATE($B$3,4,22),1,'Non-working days'!$A$6:$A$45)=0),"",IF(COUNTIFS('Leave log'!$A$7:$A$306,Employees!$A$26,'Leave log'!$B$7:$B$306,"&lt;="&amp;DATE($B$3,4,22),'Leave log'!$C$7:$C$306,"&gt;="&amp;DATE($B$3,4,22),'Leave log'!$F$7:$F$306,"Approved")&gt;0,"A",""))="A","A",IF(OR(DATE($B$3,4,22)&gt;EOMONTH(DATE($B$3,4,1),0),NETWORKDAYS.INTL(DATE($B$3,4,22),DATE($B$3,4,22),1,'Non-working days'!$A$6:$A$45)=0),"",IF(COUNTIFS('Leave log'!$A$7:$A$306,Employees!$A$26,'Leave log'!$B$7:$B$306,"&lt;="&amp;DATE($B$3,4,22),'Leave log'!$C$7:$C$306,"&gt;="&amp;DATE($B$3,4,22),'Leave log'!$F$7:$F$306,"Pending")&gt;0,"P",""))))</f>
        <v/>
      </c>
      <c r="X129" s="23" t="str">
        <f>IF(A129="","",IF(IF(OR(DATE($B$3,4,23)&gt;EOMONTH(DATE($B$3,4,1),0),NETWORKDAYS.INTL(DATE($B$3,4,23),DATE($B$3,4,23),1,'Non-working days'!$A$6:$A$45)=0),"",IF(COUNTIFS('Leave log'!$A$7:$A$306,Employees!$A$26,'Leave log'!$B$7:$B$306,"&lt;="&amp;DATE($B$3,4,23),'Leave log'!$C$7:$C$306,"&gt;="&amp;DATE($B$3,4,23),'Leave log'!$F$7:$F$306,"Approved")&gt;0,"A",""))="A","A",IF(OR(DATE($B$3,4,23)&gt;EOMONTH(DATE($B$3,4,1),0),NETWORKDAYS.INTL(DATE($B$3,4,23),DATE($B$3,4,23),1,'Non-working days'!$A$6:$A$45)=0),"",IF(COUNTIFS('Leave log'!$A$7:$A$306,Employees!$A$26,'Leave log'!$B$7:$B$306,"&lt;="&amp;DATE($B$3,4,23),'Leave log'!$C$7:$C$306,"&gt;="&amp;DATE($B$3,4,23),'Leave log'!$F$7:$F$306,"Pending")&gt;0,"P",""))))</f>
        <v/>
      </c>
      <c r="Y129" s="23" t="str">
        <f>IF(A129="","",IF(IF(OR(DATE($B$3,4,24)&gt;EOMONTH(DATE($B$3,4,1),0),NETWORKDAYS.INTL(DATE($B$3,4,24),DATE($B$3,4,24),1,'Non-working days'!$A$6:$A$45)=0),"",IF(COUNTIFS('Leave log'!$A$7:$A$306,Employees!$A$26,'Leave log'!$B$7:$B$306,"&lt;="&amp;DATE($B$3,4,24),'Leave log'!$C$7:$C$306,"&gt;="&amp;DATE($B$3,4,24),'Leave log'!$F$7:$F$306,"Approved")&gt;0,"A",""))="A","A",IF(OR(DATE($B$3,4,24)&gt;EOMONTH(DATE($B$3,4,1),0),NETWORKDAYS.INTL(DATE($B$3,4,24),DATE($B$3,4,24),1,'Non-working days'!$A$6:$A$45)=0),"",IF(COUNTIFS('Leave log'!$A$7:$A$306,Employees!$A$26,'Leave log'!$B$7:$B$306,"&lt;="&amp;DATE($B$3,4,24),'Leave log'!$C$7:$C$306,"&gt;="&amp;DATE($B$3,4,24),'Leave log'!$F$7:$F$306,"Pending")&gt;0,"P",""))))</f>
        <v/>
      </c>
      <c r="Z129" s="23" t="str">
        <f>IF(A129="","",IF(IF(OR(DATE($B$3,4,25)&gt;EOMONTH(DATE($B$3,4,1),0),NETWORKDAYS.INTL(DATE($B$3,4,25),DATE($B$3,4,25),1,'Non-working days'!$A$6:$A$45)=0),"",IF(COUNTIFS('Leave log'!$A$7:$A$306,Employees!$A$26,'Leave log'!$B$7:$B$306,"&lt;="&amp;DATE($B$3,4,25),'Leave log'!$C$7:$C$306,"&gt;="&amp;DATE($B$3,4,25),'Leave log'!$F$7:$F$306,"Approved")&gt;0,"A",""))="A","A",IF(OR(DATE($B$3,4,25)&gt;EOMONTH(DATE($B$3,4,1),0),NETWORKDAYS.INTL(DATE($B$3,4,25),DATE($B$3,4,25),1,'Non-working days'!$A$6:$A$45)=0),"",IF(COUNTIFS('Leave log'!$A$7:$A$306,Employees!$A$26,'Leave log'!$B$7:$B$306,"&lt;="&amp;DATE($B$3,4,25),'Leave log'!$C$7:$C$306,"&gt;="&amp;DATE($B$3,4,25),'Leave log'!$F$7:$F$306,"Pending")&gt;0,"P",""))))</f>
        <v/>
      </c>
      <c r="AA129" s="23" t="str">
        <f>IF(A129="","",IF(IF(OR(DATE($B$3,4,26)&gt;EOMONTH(DATE($B$3,4,1),0),NETWORKDAYS.INTL(DATE($B$3,4,26),DATE($B$3,4,26),1,'Non-working days'!$A$6:$A$45)=0),"",IF(COUNTIFS('Leave log'!$A$7:$A$306,Employees!$A$26,'Leave log'!$B$7:$B$306,"&lt;="&amp;DATE($B$3,4,26),'Leave log'!$C$7:$C$306,"&gt;="&amp;DATE($B$3,4,26),'Leave log'!$F$7:$F$306,"Approved")&gt;0,"A",""))="A","A",IF(OR(DATE($B$3,4,26)&gt;EOMONTH(DATE($B$3,4,1),0),NETWORKDAYS.INTL(DATE($B$3,4,26),DATE($B$3,4,26),1,'Non-working days'!$A$6:$A$45)=0),"",IF(COUNTIFS('Leave log'!$A$7:$A$306,Employees!$A$26,'Leave log'!$B$7:$B$306,"&lt;="&amp;DATE($B$3,4,26),'Leave log'!$C$7:$C$306,"&gt;="&amp;DATE($B$3,4,26),'Leave log'!$F$7:$F$306,"Pending")&gt;0,"P",""))))</f>
        <v/>
      </c>
      <c r="AB129" s="23" t="str">
        <f>IF(A129="","",IF(IF(OR(DATE($B$3,4,27)&gt;EOMONTH(DATE($B$3,4,1),0),NETWORKDAYS.INTL(DATE($B$3,4,27),DATE($B$3,4,27),1,'Non-working days'!$A$6:$A$45)=0),"",IF(COUNTIFS('Leave log'!$A$7:$A$306,Employees!$A$26,'Leave log'!$B$7:$B$306,"&lt;="&amp;DATE($B$3,4,27),'Leave log'!$C$7:$C$306,"&gt;="&amp;DATE($B$3,4,27),'Leave log'!$F$7:$F$306,"Approved")&gt;0,"A",""))="A","A",IF(OR(DATE($B$3,4,27)&gt;EOMONTH(DATE($B$3,4,1),0),NETWORKDAYS.INTL(DATE($B$3,4,27),DATE($B$3,4,27),1,'Non-working days'!$A$6:$A$45)=0),"",IF(COUNTIFS('Leave log'!$A$7:$A$306,Employees!$A$26,'Leave log'!$B$7:$B$306,"&lt;="&amp;DATE($B$3,4,27),'Leave log'!$C$7:$C$306,"&gt;="&amp;DATE($B$3,4,27),'Leave log'!$F$7:$F$306,"Pending")&gt;0,"P",""))))</f>
        <v/>
      </c>
      <c r="AC129" s="23" t="str">
        <f>IF(A129="","",IF(IF(OR(DATE($B$3,4,28)&gt;EOMONTH(DATE($B$3,4,1),0),NETWORKDAYS.INTL(DATE($B$3,4,28),DATE($B$3,4,28),1,'Non-working days'!$A$6:$A$45)=0),"",IF(COUNTIFS('Leave log'!$A$7:$A$306,Employees!$A$26,'Leave log'!$B$7:$B$306,"&lt;="&amp;DATE($B$3,4,28),'Leave log'!$C$7:$C$306,"&gt;="&amp;DATE($B$3,4,28),'Leave log'!$F$7:$F$306,"Approved")&gt;0,"A",""))="A","A",IF(OR(DATE($B$3,4,28)&gt;EOMONTH(DATE($B$3,4,1),0),NETWORKDAYS.INTL(DATE($B$3,4,28),DATE($B$3,4,28),1,'Non-working days'!$A$6:$A$45)=0),"",IF(COUNTIFS('Leave log'!$A$7:$A$306,Employees!$A$26,'Leave log'!$B$7:$B$306,"&lt;="&amp;DATE($B$3,4,28),'Leave log'!$C$7:$C$306,"&gt;="&amp;DATE($B$3,4,28),'Leave log'!$F$7:$F$306,"Pending")&gt;0,"P",""))))</f>
        <v/>
      </c>
      <c r="AD129" s="23" t="str">
        <f>IF(A129="","",IF(IF(OR(DATE($B$3,4,29)&gt;EOMONTH(DATE($B$3,4,1),0),NETWORKDAYS.INTL(DATE($B$3,4,29),DATE($B$3,4,29),1,'Non-working days'!$A$6:$A$45)=0),"",IF(COUNTIFS('Leave log'!$A$7:$A$306,Employees!$A$26,'Leave log'!$B$7:$B$306,"&lt;="&amp;DATE($B$3,4,29),'Leave log'!$C$7:$C$306,"&gt;="&amp;DATE($B$3,4,29),'Leave log'!$F$7:$F$306,"Approved")&gt;0,"A",""))="A","A",IF(OR(DATE($B$3,4,29)&gt;EOMONTH(DATE($B$3,4,1),0),NETWORKDAYS.INTL(DATE($B$3,4,29),DATE($B$3,4,29),1,'Non-working days'!$A$6:$A$45)=0),"",IF(COUNTIFS('Leave log'!$A$7:$A$306,Employees!$A$26,'Leave log'!$B$7:$B$306,"&lt;="&amp;DATE($B$3,4,29),'Leave log'!$C$7:$C$306,"&gt;="&amp;DATE($B$3,4,29),'Leave log'!$F$7:$F$306,"Pending")&gt;0,"P",""))))</f>
        <v/>
      </c>
      <c r="AE129" s="23" t="str">
        <f>IF(A129="","",IF(IF(OR(DATE($B$3,4,30)&gt;EOMONTH(DATE($B$3,4,1),0),NETWORKDAYS.INTL(DATE($B$3,4,30),DATE($B$3,4,30),1,'Non-working days'!$A$6:$A$45)=0),"",IF(COUNTIFS('Leave log'!$A$7:$A$306,Employees!$A$26,'Leave log'!$B$7:$B$306,"&lt;="&amp;DATE($B$3,4,30),'Leave log'!$C$7:$C$306,"&gt;="&amp;DATE($B$3,4,30),'Leave log'!$F$7:$F$306,"Approved")&gt;0,"A",""))="A","A",IF(OR(DATE($B$3,4,30)&gt;EOMONTH(DATE($B$3,4,1),0),NETWORKDAYS.INTL(DATE($B$3,4,30),DATE($B$3,4,30),1,'Non-working days'!$A$6:$A$45)=0),"",IF(COUNTIFS('Leave log'!$A$7:$A$306,Employees!$A$26,'Leave log'!$B$7:$B$306,"&lt;="&amp;DATE($B$3,4,30),'Leave log'!$C$7:$C$306,"&gt;="&amp;DATE($B$3,4,30),'Leave log'!$F$7:$F$306,"Pending")&gt;0,"P",""))))</f>
        <v/>
      </c>
      <c r="AF129" s="23" t="str">
        <f>IF(A129="","",IF(IF(OR(DATE($B$3,4,31)&gt;EOMONTH(DATE($B$3,4,1),0),NETWORKDAYS.INTL(DATE($B$3,4,31),DATE($B$3,4,31),1,'Non-working days'!$A$6:$A$45)=0),"",IF(COUNTIFS('Leave log'!$A$7:$A$306,Employees!$A$26,'Leave log'!$B$7:$B$306,"&lt;="&amp;DATE($B$3,4,31),'Leave log'!$C$7:$C$306,"&gt;="&amp;DATE($B$3,4,31),'Leave log'!$F$7:$F$306,"Approved")&gt;0,"A",""))="A","A",IF(OR(DATE($B$3,4,31)&gt;EOMONTH(DATE($B$3,4,1),0),NETWORKDAYS.INTL(DATE($B$3,4,31),DATE($B$3,4,31),1,'Non-working days'!$A$6:$A$45)=0),"",IF(COUNTIFS('Leave log'!$A$7:$A$306,Employees!$A$26,'Leave log'!$B$7:$B$306,"&lt;="&amp;DATE($B$3,4,31),'Leave log'!$C$7:$C$306,"&gt;="&amp;DATE($B$3,4,31),'Leave log'!$F$7:$F$306,"Pending")&gt;0,"P",""))))</f>
        <v/>
      </c>
    </row>
    <row r="130" spans="1:32" ht="18" customHeight="1" x14ac:dyDescent="0.3">
      <c r="A130" s="22" t="str">
        <f>IF(Employees!F27="Yes",Employees!B27,"")</f>
        <v/>
      </c>
      <c r="B130" s="23" t="str">
        <f>IF(A130="","",IF(IF(OR(DATE($B$3,4,1)&gt;EOMONTH(DATE($B$3,4,1),0),NETWORKDAYS.INTL(DATE($B$3,4,1),DATE($B$3,4,1),1,'Non-working days'!$A$6:$A$45)=0),"",IF(COUNTIFS('Leave log'!$A$7:$A$306,Employees!$A$27,'Leave log'!$B$7:$B$306,"&lt;="&amp;DATE($B$3,4,1),'Leave log'!$C$7:$C$306,"&gt;="&amp;DATE($B$3,4,1),'Leave log'!$F$7:$F$306,"Approved")&gt;0,"A",""))="A","A",IF(OR(DATE($B$3,4,1)&gt;EOMONTH(DATE($B$3,4,1),0),NETWORKDAYS.INTL(DATE($B$3,4,1),DATE($B$3,4,1),1,'Non-working days'!$A$6:$A$45)=0),"",IF(COUNTIFS('Leave log'!$A$7:$A$306,Employees!$A$27,'Leave log'!$B$7:$B$306,"&lt;="&amp;DATE($B$3,4,1),'Leave log'!$C$7:$C$306,"&gt;="&amp;DATE($B$3,4,1),'Leave log'!$F$7:$F$306,"Pending")&gt;0,"P",""))))</f>
        <v/>
      </c>
      <c r="C130" s="23" t="str">
        <f>IF(A130="","",IF(IF(OR(DATE($B$3,4,2)&gt;EOMONTH(DATE($B$3,4,1),0),NETWORKDAYS.INTL(DATE($B$3,4,2),DATE($B$3,4,2),1,'Non-working days'!$A$6:$A$45)=0),"",IF(COUNTIFS('Leave log'!$A$7:$A$306,Employees!$A$27,'Leave log'!$B$7:$B$306,"&lt;="&amp;DATE($B$3,4,2),'Leave log'!$C$7:$C$306,"&gt;="&amp;DATE($B$3,4,2),'Leave log'!$F$7:$F$306,"Approved")&gt;0,"A",""))="A","A",IF(OR(DATE($B$3,4,2)&gt;EOMONTH(DATE($B$3,4,1),0),NETWORKDAYS.INTL(DATE($B$3,4,2),DATE($B$3,4,2),1,'Non-working days'!$A$6:$A$45)=0),"",IF(COUNTIFS('Leave log'!$A$7:$A$306,Employees!$A$27,'Leave log'!$B$7:$B$306,"&lt;="&amp;DATE($B$3,4,2),'Leave log'!$C$7:$C$306,"&gt;="&amp;DATE($B$3,4,2),'Leave log'!$F$7:$F$306,"Pending")&gt;0,"P",""))))</f>
        <v/>
      </c>
      <c r="D130" s="23" t="str">
        <f>IF(A130="","",IF(IF(OR(DATE($B$3,4,3)&gt;EOMONTH(DATE($B$3,4,1),0),NETWORKDAYS.INTL(DATE($B$3,4,3),DATE($B$3,4,3),1,'Non-working days'!$A$6:$A$45)=0),"",IF(COUNTIFS('Leave log'!$A$7:$A$306,Employees!$A$27,'Leave log'!$B$7:$B$306,"&lt;="&amp;DATE($B$3,4,3),'Leave log'!$C$7:$C$306,"&gt;="&amp;DATE($B$3,4,3),'Leave log'!$F$7:$F$306,"Approved")&gt;0,"A",""))="A","A",IF(OR(DATE($B$3,4,3)&gt;EOMONTH(DATE($B$3,4,1),0),NETWORKDAYS.INTL(DATE($B$3,4,3),DATE($B$3,4,3),1,'Non-working days'!$A$6:$A$45)=0),"",IF(COUNTIFS('Leave log'!$A$7:$A$306,Employees!$A$27,'Leave log'!$B$7:$B$306,"&lt;="&amp;DATE($B$3,4,3),'Leave log'!$C$7:$C$306,"&gt;="&amp;DATE($B$3,4,3),'Leave log'!$F$7:$F$306,"Pending")&gt;0,"P",""))))</f>
        <v/>
      </c>
      <c r="E130" s="23" t="str">
        <f>IF(A130="","",IF(IF(OR(DATE($B$3,4,4)&gt;EOMONTH(DATE($B$3,4,1),0),NETWORKDAYS.INTL(DATE($B$3,4,4),DATE($B$3,4,4),1,'Non-working days'!$A$6:$A$45)=0),"",IF(COUNTIFS('Leave log'!$A$7:$A$306,Employees!$A$27,'Leave log'!$B$7:$B$306,"&lt;="&amp;DATE($B$3,4,4),'Leave log'!$C$7:$C$306,"&gt;="&amp;DATE($B$3,4,4),'Leave log'!$F$7:$F$306,"Approved")&gt;0,"A",""))="A","A",IF(OR(DATE($B$3,4,4)&gt;EOMONTH(DATE($B$3,4,1),0),NETWORKDAYS.INTL(DATE($B$3,4,4),DATE($B$3,4,4),1,'Non-working days'!$A$6:$A$45)=0),"",IF(COUNTIFS('Leave log'!$A$7:$A$306,Employees!$A$27,'Leave log'!$B$7:$B$306,"&lt;="&amp;DATE($B$3,4,4),'Leave log'!$C$7:$C$306,"&gt;="&amp;DATE($B$3,4,4),'Leave log'!$F$7:$F$306,"Pending")&gt;0,"P",""))))</f>
        <v/>
      </c>
      <c r="F130" s="23" t="str">
        <f>IF(A130="","",IF(IF(OR(DATE($B$3,4,5)&gt;EOMONTH(DATE($B$3,4,1),0),NETWORKDAYS.INTL(DATE($B$3,4,5),DATE($B$3,4,5),1,'Non-working days'!$A$6:$A$45)=0),"",IF(COUNTIFS('Leave log'!$A$7:$A$306,Employees!$A$27,'Leave log'!$B$7:$B$306,"&lt;="&amp;DATE($B$3,4,5),'Leave log'!$C$7:$C$306,"&gt;="&amp;DATE($B$3,4,5),'Leave log'!$F$7:$F$306,"Approved")&gt;0,"A",""))="A","A",IF(OR(DATE($B$3,4,5)&gt;EOMONTH(DATE($B$3,4,1),0),NETWORKDAYS.INTL(DATE($B$3,4,5),DATE($B$3,4,5),1,'Non-working days'!$A$6:$A$45)=0),"",IF(COUNTIFS('Leave log'!$A$7:$A$306,Employees!$A$27,'Leave log'!$B$7:$B$306,"&lt;="&amp;DATE($B$3,4,5),'Leave log'!$C$7:$C$306,"&gt;="&amp;DATE($B$3,4,5),'Leave log'!$F$7:$F$306,"Pending")&gt;0,"P",""))))</f>
        <v/>
      </c>
      <c r="G130" s="23" t="str">
        <f>IF(A130="","",IF(IF(OR(DATE($B$3,4,6)&gt;EOMONTH(DATE($B$3,4,1),0),NETWORKDAYS.INTL(DATE($B$3,4,6),DATE($B$3,4,6),1,'Non-working days'!$A$6:$A$45)=0),"",IF(COUNTIFS('Leave log'!$A$7:$A$306,Employees!$A$27,'Leave log'!$B$7:$B$306,"&lt;="&amp;DATE($B$3,4,6),'Leave log'!$C$7:$C$306,"&gt;="&amp;DATE($B$3,4,6),'Leave log'!$F$7:$F$306,"Approved")&gt;0,"A",""))="A","A",IF(OR(DATE($B$3,4,6)&gt;EOMONTH(DATE($B$3,4,1),0),NETWORKDAYS.INTL(DATE($B$3,4,6),DATE($B$3,4,6),1,'Non-working days'!$A$6:$A$45)=0),"",IF(COUNTIFS('Leave log'!$A$7:$A$306,Employees!$A$27,'Leave log'!$B$7:$B$306,"&lt;="&amp;DATE($B$3,4,6),'Leave log'!$C$7:$C$306,"&gt;="&amp;DATE($B$3,4,6),'Leave log'!$F$7:$F$306,"Pending")&gt;0,"P",""))))</f>
        <v/>
      </c>
      <c r="H130" s="23" t="str">
        <f>IF(A130="","",IF(IF(OR(DATE($B$3,4,7)&gt;EOMONTH(DATE($B$3,4,1),0),NETWORKDAYS.INTL(DATE($B$3,4,7),DATE($B$3,4,7),1,'Non-working days'!$A$6:$A$45)=0),"",IF(COUNTIFS('Leave log'!$A$7:$A$306,Employees!$A$27,'Leave log'!$B$7:$B$306,"&lt;="&amp;DATE($B$3,4,7),'Leave log'!$C$7:$C$306,"&gt;="&amp;DATE($B$3,4,7),'Leave log'!$F$7:$F$306,"Approved")&gt;0,"A",""))="A","A",IF(OR(DATE($B$3,4,7)&gt;EOMONTH(DATE($B$3,4,1),0),NETWORKDAYS.INTL(DATE($B$3,4,7),DATE($B$3,4,7),1,'Non-working days'!$A$6:$A$45)=0),"",IF(COUNTIFS('Leave log'!$A$7:$A$306,Employees!$A$27,'Leave log'!$B$7:$B$306,"&lt;="&amp;DATE($B$3,4,7),'Leave log'!$C$7:$C$306,"&gt;="&amp;DATE($B$3,4,7),'Leave log'!$F$7:$F$306,"Pending")&gt;0,"P",""))))</f>
        <v/>
      </c>
      <c r="I130" s="23" t="str">
        <f>IF(A130="","",IF(IF(OR(DATE($B$3,4,8)&gt;EOMONTH(DATE($B$3,4,1),0),NETWORKDAYS.INTL(DATE($B$3,4,8),DATE($B$3,4,8),1,'Non-working days'!$A$6:$A$45)=0),"",IF(COUNTIFS('Leave log'!$A$7:$A$306,Employees!$A$27,'Leave log'!$B$7:$B$306,"&lt;="&amp;DATE($B$3,4,8),'Leave log'!$C$7:$C$306,"&gt;="&amp;DATE($B$3,4,8),'Leave log'!$F$7:$F$306,"Approved")&gt;0,"A",""))="A","A",IF(OR(DATE($B$3,4,8)&gt;EOMONTH(DATE($B$3,4,1),0),NETWORKDAYS.INTL(DATE($B$3,4,8),DATE($B$3,4,8),1,'Non-working days'!$A$6:$A$45)=0),"",IF(COUNTIFS('Leave log'!$A$7:$A$306,Employees!$A$27,'Leave log'!$B$7:$B$306,"&lt;="&amp;DATE($B$3,4,8),'Leave log'!$C$7:$C$306,"&gt;="&amp;DATE($B$3,4,8),'Leave log'!$F$7:$F$306,"Pending")&gt;0,"P",""))))</f>
        <v/>
      </c>
      <c r="J130" s="23" t="str">
        <f>IF(A130="","",IF(IF(OR(DATE($B$3,4,9)&gt;EOMONTH(DATE($B$3,4,1),0),NETWORKDAYS.INTL(DATE($B$3,4,9),DATE($B$3,4,9),1,'Non-working days'!$A$6:$A$45)=0),"",IF(COUNTIFS('Leave log'!$A$7:$A$306,Employees!$A$27,'Leave log'!$B$7:$B$306,"&lt;="&amp;DATE($B$3,4,9),'Leave log'!$C$7:$C$306,"&gt;="&amp;DATE($B$3,4,9),'Leave log'!$F$7:$F$306,"Approved")&gt;0,"A",""))="A","A",IF(OR(DATE($B$3,4,9)&gt;EOMONTH(DATE($B$3,4,1),0),NETWORKDAYS.INTL(DATE($B$3,4,9),DATE($B$3,4,9),1,'Non-working days'!$A$6:$A$45)=0),"",IF(COUNTIFS('Leave log'!$A$7:$A$306,Employees!$A$27,'Leave log'!$B$7:$B$306,"&lt;="&amp;DATE($B$3,4,9),'Leave log'!$C$7:$C$306,"&gt;="&amp;DATE($B$3,4,9),'Leave log'!$F$7:$F$306,"Pending")&gt;0,"P",""))))</f>
        <v/>
      </c>
      <c r="K130" s="23" t="str">
        <f>IF(A130="","",IF(IF(OR(DATE($B$3,4,10)&gt;EOMONTH(DATE($B$3,4,1),0),NETWORKDAYS.INTL(DATE($B$3,4,10),DATE($B$3,4,10),1,'Non-working days'!$A$6:$A$45)=0),"",IF(COUNTIFS('Leave log'!$A$7:$A$306,Employees!$A$27,'Leave log'!$B$7:$B$306,"&lt;="&amp;DATE($B$3,4,10),'Leave log'!$C$7:$C$306,"&gt;="&amp;DATE($B$3,4,10),'Leave log'!$F$7:$F$306,"Approved")&gt;0,"A",""))="A","A",IF(OR(DATE($B$3,4,10)&gt;EOMONTH(DATE($B$3,4,1),0),NETWORKDAYS.INTL(DATE($B$3,4,10),DATE($B$3,4,10),1,'Non-working days'!$A$6:$A$45)=0),"",IF(COUNTIFS('Leave log'!$A$7:$A$306,Employees!$A$27,'Leave log'!$B$7:$B$306,"&lt;="&amp;DATE($B$3,4,10),'Leave log'!$C$7:$C$306,"&gt;="&amp;DATE($B$3,4,10),'Leave log'!$F$7:$F$306,"Pending")&gt;0,"P",""))))</f>
        <v/>
      </c>
      <c r="L130" s="23" t="str">
        <f>IF(A130="","",IF(IF(OR(DATE($B$3,4,11)&gt;EOMONTH(DATE($B$3,4,1),0),NETWORKDAYS.INTL(DATE($B$3,4,11),DATE($B$3,4,11),1,'Non-working days'!$A$6:$A$45)=0),"",IF(COUNTIFS('Leave log'!$A$7:$A$306,Employees!$A$27,'Leave log'!$B$7:$B$306,"&lt;="&amp;DATE($B$3,4,11),'Leave log'!$C$7:$C$306,"&gt;="&amp;DATE($B$3,4,11),'Leave log'!$F$7:$F$306,"Approved")&gt;0,"A",""))="A","A",IF(OR(DATE($B$3,4,11)&gt;EOMONTH(DATE($B$3,4,1),0),NETWORKDAYS.INTL(DATE($B$3,4,11),DATE($B$3,4,11),1,'Non-working days'!$A$6:$A$45)=0),"",IF(COUNTIFS('Leave log'!$A$7:$A$306,Employees!$A$27,'Leave log'!$B$7:$B$306,"&lt;="&amp;DATE($B$3,4,11),'Leave log'!$C$7:$C$306,"&gt;="&amp;DATE($B$3,4,11),'Leave log'!$F$7:$F$306,"Pending")&gt;0,"P",""))))</f>
        <v/>
      </c>
      <c r="M130" s="23" t="str">
        <f>IF(A130="","",IF(IF(OR(DATE($B$3,4,12)&gt;EOMONTH(DATE($B$3,4,1),0),NETWORKDAYS.INTL(DATE($B$3,4,12),DATE($B$3,4,12),1,'Non-working days'!$A$6:$A$45)=0),"",IF(COUNTIFS('Leave log'!$A$7:$A$306,Employees!$A$27,'Leave log'!$B$7:$B$306,"&lt;="&amp;DATE($B$3,4,12),'Leave log'!$C$7:$C$306,"&gt;="&amp;DATE($B$3,4,12),'Leave log'!$F$7:$F$306,"Approved")&gt;0,"A",""))="A","A",IF(OR(DATE($B$3,4,12)&gt;EOMONTH(DATE($B$3,4,1),0),NETWORKDAYS.INTL(DATE($B$3,4,12),DATE($B$3,4,12),1,'Non-working days'!$A$6:$A$45)=0),"",IF(COUNTIFS('Leave log'!$A$7:$A$306,Employees!$A$27,'Leave log'!$B$7:$B$306,"&lt;="&amp;DATE($B$3,4,12),'Leave log'!$C$7:$C$306,"&gt;="&amp;DATE($B$3,4,12),'Leave log'!$F$7:$F$306,"Pending")&gt;0,"P",""))))</f>
        <v/>
      </c>
      <c r="N130" s="23" t="str">
        <f>IF(A130="","",IF(IF(OR(DATE($B$3,4,13)&gt;EOMONTH(DATE($B$3,4,1),0),NETWORKDAYS.INTL(DATE($B$3,4,13),DATE($B$3,4,13),1,'Non-working days'!$A$6:$A$45)=0),"",IF(COUNTIFS('Leave log'!$A$7:$A$306,Employees!$A$27,'Leave log'!$B$7:$B$306,"&lt;="&amp;DATE($B$3,4,13),'Leave log'!$C$7:$C$306,"&gt;="&amp;DATE($B$3,4,13),'Leave log'!$F$7:$F$306,"Approved")&gt;0,"A",""))="A","A",IF(OR(DATE($B$3,4,13)&gt;EOMONTH(DATE($B$3,4,1),0),NETWORKDAYS.INTL(DATE($B$3,4,13),DATE($B$3,4,13),1,'Non-working days'!$A$6:$A$45)=0),"",IF(COUNTIFS('Leave log'!$A$7:$A$306,Employees!$A$27,'Leave log'!$B$7:$B$306,"&lt;="&amp;DATE($B$3,4,13),'Leave log'!$C$7:$C$306,"&gt;="&amp;DATE($B$3,4,13),'Leave log'!$F$7:$F$306,"Pending")&gt;0,"P",""))))</f>
        <v/>
      </c>
      <c r="O130" s="23" t="str">
        <f>IF(A130="","",IF(IF(OR(DATE($B$3,4,14)&gt;EOMONTH(DATE($B$3,4,1),0),NETWORKDAYS.INTL(DATE($B$3,4,14),DATE($B$3,4,14),1,'Non-working days'!$A$6:$A$45)=0),"",IF(COUNTIFS('Leave log'!$A$7:$A$306,Employees!$A$27,'Leave log'!$B$7:$B$306,"&lt;="&amp;DATE($B$3,4,14),'Leave log'!$C$7:$C$306,"&gt;="&amp;DATE($B$3,4,14),'Leave log'!$F$7:$F$306,"Approved")&gt;0,"A",""))="A","A",IF(OR(DATE($B$3,4,14)&gt;EOMONTH(DATE($B$3,4,1),0),NETWORKDAYS.INTL(DATE($B$3,4,14),DATE($B$3,4,14),1,'Non-working days'!$A$6:$A$45)=0),"",IF(COUNTIFS('Leave log'!$A$7:$A$306,Employees!$A$27,'Leave log'!$B$7:$B$306,"&lt;="&amp;DATE($B$3,4,14),'Leave log'!$C$7:$C$306,"&gt;="&amp;DATE($B$3,4,14),'Leave log'!$F$7:$F$306,"Pending")&gt;0,"P",""))))</f>
        <v/>
      </c>
      <c r="P130" s="23" t="str">
        <f>IF(A130="","",IF(IF(OR(DATE($B$3,4,15)&gt;EOMONTH(DATE($B$3,4,1),0),NETWORKDAYS.INTL(DATE($B$3,4,15),DATE($B$3,4,15),1,'Non-working days'!$A$6:$A$45)=0),"",IF(COUNTIFS('Leave log'!$A$7:$A$306,Employees!$A$27,'Leave log'!$B$7:$B$306,"&lt;="&amp;DATE($B$3,4,15),'Leave log'!$C$7:$C$306,"&gt;="&amp;DATE($B$3,4,15),'Leave log'!$F$7:$F$306,"Approved")&gt;0,"A",""))="A","A",IF(OR(DATE($B$3,4,15)&gt;EOMONTH(DATE($B$3,4,1),0),NETWORKDAYS.INTL(DATE($B$3,4,15),DATE($B$3,4,15),1,'Non-working days'!$A$6:$A$45)=0),"",IF(COUNTIFS('Leave log'!$A$7:$A$306,Employees!$A$27,'Leave log'!$B$7:$B$306,"&lt;="&amp;DATE($B$3,4,15),'Leave log'!$C$7:$C$306,"&gt;="&amp;DATE($B$3,4,15),'Leave log'!$F$7:$F$306,"Pending")&gt;0,"P",""))))</f>
        <v/>
      </c>
      <c r="Q130" s="23" t="str">
        <f>IF(A130="","",IF(IF(OR(DATE($B$3,4,16)&gt;EOMONTH(DATE($B$3,4,1),0),NETWORKDAYS.INTL(DATE($B$3,4,16),DATE($B$3,4,16),1,'Non-working days'!$A$6:$A$45)=0),"",IF(COUNTIFS('Leave log'!$A$7:$A$306,Employees!$A$27,'Leave log'!$B$7:$B$306,"&lt;="&amp;DATE($B$3,4,16),'Leave log'!$C$7:$C$306,"&gt;="&amp;DATE($B$3,4,16),'Leave log'!$F$7:$F$306,"Approved")&gt;0,"A",""))="A","A",IF(OR(DATE($B$3,4,16)&gt;EOMONTH(DATE($B$3,4,1),0),NETWORKDAYS.INTL(DATE($B$3,4,16),DATE($B$3,4,16),1,'Non-working days'!$A$6:$A$45)=0),"",IF(COUNTIFS('Leave log'!$A$7:$A$306,Employees!$A$27,'Leave log'!$B$7:$B$306,"&lt;="&amp;DATE($B$3,4,16),'Leave log'!$C$7:$C$306,"&gt;="&amp;DATE($B$3,4,16),'Leave log'!$F$7:$F$306,"Pending")&gt;0,"P",""))))</f>
        <v/>
      </c>
      <c r="R130" s="23" t="str">
        <f>IF(A130="","",IF(IF(OR(DATE($B$3,4,17)&gt;EOMONTH(DATE($B$3,4,1),0),NETWORKDAYS.INTL(DATE($B$3,4,17),DATE($B$3,4,17),1,'Non-working days'!$A$6:$A$45)=0),"",IF(COUNTIFS('Leave log'!$A$7:$A$306,Employees!$A$27,'Leave log'!$B$7:$B$306,"&lt;="&amp;DATE($B$3,4,17),'Leave log'!$C$7:$C$306,"&gt;="&amp;DATE($B$3,4,17),'Leave log'!$F$7:$F$306,"Approved")&gt;0,"A",""))="A","A",IF(OR(DATE($B$3,4,17)&gt;EOMONTH(DATE($B$3,4,1),0),NETWORKDAYS.INTL(DATE($B$3,4,17),DATE($B$3,4,17),1,'Non-working days'!$A$6:$A$45)=0),"",IF(COUNTIFS('Leave log'!$A$7:$A$306,Employees!$A$27,'Leave log'!$B$7:$B$306,"&lt;="&amp;DATE($B$3,4,17),'Leave log'!$C$7:$C$306,"&gt;="&amp;DATE($B$3,4,17),'Leave log'!$F$7:$F$306,"Pending")&gt;0,"P",""))))</f>
        <v/>
      </c>
      <c r="S130" s="23" t="str">
        <f>IF(A130="","",IF(IF(OR(DATE($B$3,4,18)&gt;EOMONTH(DATE($B$3,4,1),0),NETWORKDAYS.INTL(DATE($B$3,4,18),DATE($B$3,4,18),1,'Non-working days'!$A$6:$A$45)=0),"",IF(COUNTIFS('Leave log'!$A$7:$A$306,Employees!$A$27,'Leave log'!$B$7:$B$306,"&lt;="&amp;DATE($B$3,4,18),'Leave log'!$C$7:$C$306,"&gt;="&amp;DATE($B$3,4,18),'Leave log'!$F$7:$F$306,"Approved")&gt;0,"A",""))="A","A",IF(OR(DATE($B$3,4,18)&gt;EOMONTH(DATE($B$3,4,1),0),NETWORKDAYS.INTL(DATE($B$3,4,18),DATE($B$3,4,18),1,'Non-working days'!$A$6:$A$45)=0),"",IF(COUNTIFS('Leave log'!$A$7:$A$306,Employees!$A$27,'Leave log'!$B$7:$B$306,"&lt;="&amp;DATE($B$3,4,18),'Leave log'!$C$7:$C$306,"&gt;="&amp;DATE($B$3,4,18),'Leave log'!$F$7:$F$306,"Pending")&gt;0,"P",""))))</f>
        <v/>
      </c>
      <c r="T130" s="23" t="str">
        <f>IF(A130="","",IF(IF(OR(DATE($B$3,4,19)&gt;EOMONTH(DATE($B$3,4,1),0),NETWORKDAYS.INTL(DATE($B$3,4,19),DATE($B$3,4,19),1,'Non-working days'!$A$6:$A$45)=0),"",IF(COUNTIFS('Leave log'!$A$7:$A$306,Employees!$A$27,'Leave log'!$B$7:$B$306,"&lt;="&amp;DATE($B$3,4,19),'Leave log'!$C$7:$C$306,"&gt;="&amp;DATE($B$3,4,19),'Leave log'!$F$7:$F$306,"Approved")&gt;0,"A",""))="A","A",IF(OR(DATE($B$3,4,19)&gt;EOMONTH(DATE($B$3,4,1),0),NETWORKDAYS.INTL(DATE($B$3,4,19),DATE($B$3,4,19),1,'Non-working days'!$A$6:$A$45)=0),"",IF(COUNTIFS('Leave log'!$A$7:$A$306,Employees!$A$27,'Leave log'!$B$7:$B$306,"&lt;="&amp;DATE($B$3,4,19),'Leave log'!$C$7:$C$306,"&gt;="&amp;DATE($B$3,4,19),'Leave log'!$F$7:$F$306,"Pending")&gt;0,"P",""))))</f>
        <v/>
      </c>
      <c r="U130" s="23" t="str">
        <f>IF(A130="","",IF(IF(OR(DATE($B$3,4,20)&gt;EOMONTH(DATE($B$3,4,1),0),NETWORKDAYS.INTL(DATE($B$3,4,20),DATE($B$3,4,20),1,'Non-working days'!$A$6:$A$45)=0),"",IF(COUNTIFS('Leave log'!$A$7:$A$306,Employees!$A$27,'Leave log'!$B$7:$B$306,"&lt;="&amp;DATE($B$3,4,20),'Leave log'!$C$7:$C$306,"&gt;="&amp;DATE($B$3,4,20),'Leave log'!$F$7:$F$306,"Approved")&gt;0,"A",""))="A","A",IF(OR(DATE($B$3,4,20)&gt;EOMONTH(DATE($B$3,4,1),0),NETWORKDAYS.INTL(DATE($B$3,4,20),DATE($B$3,4,20),1,'Non-working days'!$A$6:$A$45)=0),"",IF(COUNTIFS('Leave log'!$A$7:$A$306,Employees!$A$27,'Leave log'!$B$7:$B$306,"&lt;="&amp;DATE($B$3,4,20),'Leave log'!$C$7:$C$306,"&gt;="&amp;DATE($B$3,4,20),'Leave log'!$F$7:$F$306,"Pending")&gt;0,"P",""))))</f>
        <v/>
      </c>
      <c r="V130" s="23" t="str">
        <f>IF(A130="","",IF(IF(OR(DATE($B$3,4,21)&gt;EOMONTH(DATE($B$3,4,1),0),NETWORKDAYS.INTL(DATE($B$3,4,21),DATE($B$3,4,21),1,'Non-working days'!$A$6:$A$45)=0),"",IF(COUNTIFS('Leave log'!$A$7:$A$306,Employees!$A$27,'Leave log'!$B$7:$B$306,"&lt;="&amp;DATE($B$3,4,21),'Leave log'!$C$7:$C$306,"&gt;="&amp;DATE($B$3,4,21),'Leave log'!$F$7:$F$306,"Approved")&gt;0,"A",""))="A","A",IF(OR(DATE($B$3,4,21)&gt;EOMONTH(DATE($B$3,4,1),0),NETWORKDAYS.INTL(DATE($B$3,4,21),DATE($B$3,4,21),1,'Non-working days'!$A$6:$A$45)=0),"",IF(COUNTIFS('Leave log'!$A$7:$A$306,Employees!$A$27,'Leave log'!$B$7:$B$306,"&lt;="&amp;DATE($B$3,4,21),'Leave log'!$C$7:$C$306,"&gt;="&amp;DATE($B$3,4,21),'Leave log'!$F$7:$F$306,"Pending")&gt;0,"P",""))))</f>
        <v/>
      </c>
      <c r="W130" s="23" t="str">
        <f>IF(A130="","",IF(IF(OR(DATE($B$3,4,22)&gt;EOMONTH(DATE($B$3,4,1),0),NETWORKDAYS.INTL(DATE($B$3,4,22),DATE($B$3,4,22),1,'Non-working days'!$A$6:$A$45)=0),"",IF(COUNTIFS('Leave log'!$A$7:$A$306,Employees!$A$27,'Leave log'!$B$7:$B$306,"&lt;="&amp;DATE($B$3,4,22),'Leave log'!$C$7:$C$306,"&gt;="&amp;DATE($B$3,4,22),'Leave log'!$F$7:$F$306,"Approved")&gt;0,"A",""))="A","A",IF(OR(DATE($B$3,4,22)&gt;EOMONTH(DATE($B$3,4,1),0),NETWORKDAYS.INTL(DATE($B$3,4,22),DATE($B$3,4,22),1,'Non-working days'!$A$6:$A$45)=0),"",IF(COUNTIFS('Leave log'!$A$7:$A$306,Employees!$A$27,'Leave log'!$B$7:$B$306,"&lt;="&amp;DATE($B$3,4,22),'Leave log'!$C$7:$C$306,"&gt;="&amp;DATE($B$3,4,22),'Leave log'!$F$7:$F$306,"Pending")&gt;0,"P",""))))</f>
        <v/>
      </c>
      <c r="X130" s="23" t="str">
        <f>IF(A130="","",IF(IF(OR(DATE($B$3,4,23)&gt;EOMONTH(DATE($B$3,4,1),0),NETWORKDAYS.INTL(DATE($B$3,4,23),DATE($B$3,4,23),1,'Non-working days'!$A$6:$A$45)=0),"",IF(COUNTIFS('Leave log'!$A$7:$A$306,Employees!$A$27,'Leave log'!$B$7:$B$306,"&lt;="&amp;DATE($B$3,4,23),'Leave log'!$C$7:$C$306,"&gt;="&amp;DATE($B$3,4,23),'Leave log'!$F$7:$F$306,"Approved")&gt;0,"A",""))="A","A",IF(OR(DATE($B$3,4,23)&gt;EOMONTH(DATE($B$3,4,1),0),NETWORKDAYS.INTL(DATE($B$3,4,23),DATE($B$3,4,23),1,'Non-working days'!$A$6:$A$45)=0),"",IF(COUNTIFS('Leave log'!$A$7:$A$306,Employees!$A$27,'Leave log'!$B$7:$B$306,"&lt;="&amp;DATE($B$3,4,23),'Leave log'!$C$7:$C$306,"&gt;="&amp;DATE($B$3,4,23),'Leave log'!$F$7:$F$306,"Pending")&gt;0,"P",""))))</f>
        <v/>
      </c>
      <c r="Y130" s="23" t="str">
        <f>IF(A130="","",IF(IF(OR(DATE($B$3,4,24)&gt;EOMONTH(DATE($B$3,4,1),0),NETWORKDAYS.INTL(DATE($B$3,4,24),DATE($B$3,4,24),1,'Non-working days'!$A$6:$A$45)=0),"",IF(COUNTIFS('Leave log'!$A$7:$A$306,Employees!$A$27,'Leave log'!$B$7:$B$306,"&lt;="&amp;DATE($B$3,4,24),'Leave log'!$C$7:$C$306,"&gt;="&amp;DATE($B$3,4,24),'Leave log'!$F$7:$F$306,"Approved")&gt;0,"A",""))="A","A",IF(OR(DATE($B$3,4,24)&gt;EOMONTH(DATE($B$3,4,1),0),NETWORKDAYS.INTL(DATE($B$3,4,24),DATE($B$3,4,24),1,'Non-working days'!$A$6:$A$45)=0),"",IF(COUNTIFS('Leave log'!$A$7:$A$306,Employees!$A$27,'Leave log'!$B$7:$B$306,"&lt;="&amp;DATE($B$3,4,24),'Leave log'!$C$7:$C$306,"&gt;="&amp;DATE($B$3,4,24),'Leave log'!$F$7:$F$306,"Pending")&gt;0,"P",""))))</f>
        <v/>
      </c>
      <c r="Z130" s="23" t="str">
        <f>IF(A130="","",IF(IF(OR(DATE($B$3,4,25)&gt;EOMONTH(DATE($B$3,4,1),0),NETWORKDAYS.INTL(DATE($B$3,4,25),DATE($B$3,4,25),1,'Non-working days'!$A$6:$A$45)=0),"",IF(COUNTIFS('Leave log'!$A$7:$A$306,Employees!$A$27,'Leave log'!$B$7:$B$306,"&lt;="&amp;DATE($B$3,4,25),'Leave log'!$C$7:$C$306,"&gt;="&amp;DATE($B$3,4,25),'Leave log'!$F$7:$F$306,"Approved")&gt;0,"A",""))="A","A",IF(OR(DATE($B$3,4,25)&gt;EOMONTH(DATE($B$3,4,1),0),NETWORKDAYS.INTL(DATE($B$3,4,25),DATE($B$3,4,25),1,'Non-working days'!$A$6:$A$45)=0),"",IF(COUNTIFS('Leave log'!$A$7:$A$306,Employees!$A$27,'Leave log'!$B$7:$B$306,"&lt;="&amp;DATE($B$3,4,25),'Leave log'!$C$7:$C$306,"&gt;="&amp;DATE($B$3,4,25),'Leave log'!$F$7:$F$306,"Pending")&gt;0,"P",""))))</f>
        <v/>
      </c>
      <c r="AA130" s="23" t="str">
        <f>IF(A130="","",IF(IF(OR(DATE($B$3,4,26)&gt;EOMONTH(DATE($B$3,4,1),0),NETWORKDAYS.INTL(DATE($B$3,4,26),DATE($B$3,4,26),1,'Non-working days'!$A$6:$A$45)=0),"",IF(COUNTIFS('Leave log'!$A$7:$A$306,Employees!$A$27,'Leave log'!$B$7:$B$306,"&lt;="&amp;DATE($B$3,4,26),'Leave log'!$C$7:$C$306,"&gt;="&amp;DATE($B$3,4,26),'Leave log'!$F$7:$F$306,"Approved")&gt;0,"A",""))="A","A",IF(OR(DATE($B$3,4,26)&gt;EOMONTH(DATE($B$3,4,1),0),NETWORKDAYS.INTL(DATE($B$3,4,26),DATE($B$3,4,26),1,'Non-working days'!$A$6:$A$45)=0),"",IF(COUNTIFS('Leave log'!$A$7:$A$306,Employees!$A$27,'Leave log'!$B$7:$B$306,"&lt;="&amp;DATE($B$3,4,26),'Leave log'!$C$7:$C$306,"&gt;="&amp;DATE($B$3,4,26),'Leave log'!$F$7:$F$306,"Pending")&gt;0,"P",""))))</f>
        <v/>
      </c>
      <c r="AB130" s="23" t="str">
        <f>IF(A130="","",IF(IF(OR(DATE($B$3,4,27)&gt;EOMONTH(DATE($B$3,4,1),0),NETWORKDAYS.INTL(DATE($B$3,4,27),DATE($B$3,4,27),1,'Non-working days'!$A$6:$A$45)=0),"",IF(COUNTIFS('Leave log'!$A$7:$A$306,Employees!$A$27,'Leave log'!$B$7:$B$306,"&lt;="&amp;DATE($B$3,4,27),'Leave log'!$C$7:$C$306,"&gt;="&amp;DATE($B$3,4,27),'Leave log'!$F$7:$F$306,"Approved")&gt;0,"A",""))="A","A",IF(OR(DATE($B$3,4,27)&gt;EOMONTH(DATE($B$3,4,1),0),NETWORKDAYS.INTL(DATE($B$3,4,27),DATE($B$3,4,27),1,'Non-working days'!$A$6:$A$45)=0),"",IF(COUNTIFS('Leave log'!$A$7:$A$306,Employees!$A$27,'Leave log'!$B$7:$B$306,"&lt;="&amp;DATE($B$3,4,27),'Leave log'!$C$7:$C$306,"&gt;="&amp;DATE($B$3,4,27),'Leave log'!$F$7:$F$306,"Pending")&gt;0,"P",""))))</f>
        <v/>
      </c>
      <c r="AC130" s="23" t="str">
        <f>IF(A130="","",IF(IF(OR(DATE($B$3,4,28)&gt;EOMONTH(DATE($B$3,4,1),0),NETWORKDAYS.INTL(DATE($B$3,4,28),DATE($B$3,4,28),1,'Non-working days'!$A$6:$A$45)=0),"",IF(COUNTIFS('Leave log'!$A$7:$A$306,Employees!$A$27,'Leave log'!$B$7:$B$306,"&lt;="&amp;DATE($B$3,4,28),'Leave log'!$C$7:$C$306,"&gt;="&amp;DATE($B$3,4,28),'Leave log'!$F$7:$F$306,"Approved")&gt;0,"A",""))="A","A",IF(OR(DATE($B$3,4,28)&gt;EOMONTH(DATE($B$3,4,1),0),NETWORKDAYS.INTL(DATE($B$3,4,28),DATE($B$3,4,28),1,'Non-working days'!$A$6:$A$45)=0),"",IF(COUNTIFS('Leave log'!$A$7:$A$306,Employees!$A$27,'Leave log'!$B$7:$B$306,"&lt;="&amp;DATE($B$3,4,28),'Leave log'!$C$7:$C$306,"&gt;="&amp;DATE($B$3,4,28),'Leave log'!$F$7:$F$306,"Pending")&gt;0,"P",""))))</f>
        <v/>
      </c>
      <c r="AD130" s="23" t="str">
        <f>IF(A130="","",IF(IF(OR(DATE($B$3,4,29)&gt;EOMONTH(DATE($B$3,4,1),0),NETWORKDAYS.INTL(DATE($B$3,4,29),DATE($B$3,4,29),1,'Non-working days'!$A$6:$A$45)=0),"",IF(COUNTIFS('Leave log'!$A$7:$A$306,Employees!$A$27,'Leave log'!$B$7:$B$306,"&lt;="&amp;DATE($B$3,4,29),'Leave log'!$C$7:$C$306,"&gt;="&amp;DATE($B$3,4,29),'Leave log'!$F$7:$F$306,"Approved")&gt;0,"A",""))="A","A",IF(OR(DATE($B$3,4,29)&gt;EOMONTH(DATE($B$3,4,1),0),NETWORKDAYS.INTL(DATE($B$3,4,29),DATE($B$3,4,29),1,'Non-working days'!$A$6:$A$45)=0),"",IF(COUNTIFS('Leave log'!$A$7:$A$306,Employees!$A$27,'Leave log'!$B$7:$B$306,"&lt;="&amp;DATE($B$3,4,29),'Leave log'!$C$7:$C$306,"&gt;="&amp;DATE($B$3,4,29),'Leave log'!$F$7:$F$306,"Pending")&gt;0,"P",""))))</f>
        <v/>
      </c>
      <c r="AE130" s="23" t="str">
        <f>IF(A130="","",IF(IF(OR(DATE($B$3,4,30)&gt;EOMONTH(DATE($B$3,4,1),0),NETWORKDAYS.INTL(DATE($B$3,4,30),DATE($B$3,4,30),1,'Non-working days'!$A$6:$A$45)=0),"",IF(COUNTIFS('Leave log'!$A$7:$A$306,Employees!$A$27,'Leave log'!$B$7:$B$306,"&lt;="&amp;DATE($B$3,4,30),'Leave log'!$C$7:$C$306,"&gt;="&amp;DATE($B$3,4,30),'Leave log'!$F$7:$F$306,"Approved")&gt;0,"A",""))="A","A",IF(OR(DATE($B$3,4,30)&gt;EOMONTH(DATE($B$3,4,1),0),NETWORKDAYS.INTL(DATE($B$3,4,30),DATE($B$3,4,30),1,'Non-working days'!$A$6:$A$45)=0),"",IF(COUNTIFS('Leave log'!$A$7:$A$306,Employees!$A$27,'Leave log'!$B$7:$B$306,"&lt;="&amp;DATE($B$3,4,30),'Leave log'!$C$7:$C$306,"&gt;="&amp;DATE($B$3,4,30),'Leave log'!$F$7:$F$306,"Pending")&gt;0,"P",""))))</f>
        <v/>
      </c>
      <c r="AF130" s="23" t="str">
        <f>IF(A130="","",IF(IF(OR(DATE($B$3,4,31)&gt;EOMONTH(DATE($B$3,4,1),0),NETWORKDAYS.INTL(DATE($B$3,4,31),DATE($B$3,4,31),1,'Non-working days'!$A$6:$A$45)=0),"",IF(COUNTIFS('Leave log'!$A$7:$A$306,Employees!$A$27,'Leave log'!$B$7:$B$306,"&lt;="&amp;DATE($B$3,4,31),'Leave log'!$C$7:$C$306,"&gt;="&amp;DATE($B$3,4,31),'Leave log'!$F$7:$F$306,"Approved")&gt;0,"A",""))="A","A",IF(OR(DATE($B$3,4,31)&gt;EOMONTH(DATE($B$3,4,1),0),NETWORKDAYS.INTL(DATE($B$3,4,31),DATE($B$3,4,31),1,'Non-working days'!$A$6:$A$45)=0),"",IF(COUNTIFS('Leave log'!$A$7:$A$306,Employees!$A$27,'Leave log'!$B$7:$B$306,"&lt;="&amp;DATE($B$3,4,31),'Leave log'!$C$7:$C$306,"&gt;="&amp;DATE($B$3,4,31),'Leave log'!$F$7:$F$306,"Pending")&gt;0,"P",""))))</f>
        <v/>
      </c>
    </row>
    <row r="131" spans="1:32" ht="18" customHeight="1" x14ac:dyDescent="0.3">
      <c r="A131" s="22" t="str">
        <f>IF(Employees!F28="Yes",Employees!B28,"")</f>
        <v/>
      </c>
      <c r="B131" s="23" t="str">
        <f>IF(A131="","",IF(IF(OR(DATE($B$3,4,1)&gt;EOMONTH(DATE($B$3,4,1),0),NETWORKDAYS.INTL(DATE($B$3,4,1),DATE($B$3,4,1),1,'Non-working days'!$A$6:$A$45)=0),"",IF(COUNTIFS('Leave log'!$A$7:$A$306,Employees!$A$28,'Leave log'!$B$7:$B$306,"&lt;="&amp;DATE($B$3,4,1),'Leave log'!$C$7:$C$306,"&gt;="&amp;DATE($B$3,4,1),'Leave log'!$F$7:$F$306,"Approved")&gt;0,"A",""))="A","A",IF(OR(DATE($B$3,4,1)&gt;EOMONTH(DATE($B$3,4,1),0),NETWORKDAYS.INTL(DATE($B$3,4,1),DATE($B$3,4,1),1,'Non-working days'!$A$6:$A$45)=0),"",IF(COUNTIFS('Leave log'!$A$7:$A$306,Employees!$A$28,'Leave log'!$B$7:$B$306,"&lt;="&amp;DATE($B$3,4,1),'Leave log'!$C$7:$C$306,"&gt;="&amp;DATE($B$3,4,1),'Leave log'!$F$7:$F$306,"Pending")&gt;0,"P",""))))</f>
        <v/>
      </c>
      <c r="C131" s="23" t="str">
        <f>IF(A131="","",IF(IF(OR(DATE($B$3,4,2)&gt;EOMONTH(DATE($B$3,4,1),0),NETWORKDAYS.INTL(DATE($B$3,4,2),DATE($B$3,4,2),1,'Non-working days'!$A$6:$A$45)=0),"",IF(COUNTIFS('Leave log'!$A$7:$A$306,Employees!$A$28,'Leave log'!$B$7:$B$306,"&lt;="&amp;DATE($B$3,4,2),'Leave log'!$C$7:$C$306,"&gt;="&amp;DATE($B$3,4,2),'Leave log'!$F$7:$F$306,"Approved")&gt;0,"A",""))="A","A",IF(OR(DATE($B$3,4,2)&gt;EOMONTH(DATE($B$3,4,1),0),NETWORKDAYS.INTL(DATE($B$3,4,2),DATE($B$3,4,2),1,'Non-working days'!$A$6:$A$45)=0),"",IF(COUNTIFS('Leave log'!$A$7:$A$306,Employees!$A$28,'Leave log'!$B$7:$B$306,"&lt;="&amp;DATE($B$3,4,2),'Leave log'!$C$7:$C$306,"&gt;="&amp;DATE($B$3,4,2),'Leave log'!$F$7:$F$306,"Pending")&gt;0,"P",""))))</f>
        <v/>
      </c>
      <c r="D131" s="23" t="str">
        <f>IF(A131="","",IF(IF(OR(DATE($B$3,4,3)&gt;EOMONTH(DATE($B$3,4,1),0),NETWORKDAYS.INTL(DATE($B$3,4,3),DATE($B$3,4,3),1,'Non-working days'!$A$6:$A$45)=0),"",IF(COUNTIFS('Leave log'!$A$7:$A$306,Employees!$A$28,'Leave log'!$B$7:$B$306,"&lt;="&amp;DATE($B$3,4,3),'Leave log'!$C$7:$C$306,"&gt;="&amp;DATE($B$3,4,3),'Leave log'!$F$7:$F$306,"Approved")&gt;0,"A",""))="A","A",IF(OR(DATE($B$3,4,3)&gt;EOMONTH(DATE($B$3,4,1),0),NETWORKDAYS.INTL(DATE($B$3,4,3),DATE($B$3,4,3),1,'Non-working days'!$A$6:$A$45)=0),"",IF(COUNTIFS('Leave log'!$A$7:$A$306,Employees!$A$28,'Leave log'!$B$7:$B$306,"&lt;="&amp;DATE($B$3,4,3),'Leave log'!$C$7:$C$306,"&gt;="&amp;DATE($B$3,4,3),'Leave log'!$F$7:$F$306,"Pending")&gt;0,"P",""))))</f>
        <v/>
      </c>
      <c r="E131" s="23" t="str">
        <f>IF(A131="","",IF(IF(OR(DATE($B$3,4,4)&gt;EOMONTH(DATE($B$3,4,1),0),NETWORKDAYS.INTL(DATE($B$3,4,4),DATE($B$3,4,4),1,'Non-working days'!$A$6:$A$45)=0),"",IF(COUNTIFS('Leave log'!$A$7:$A$306,Employees!$A$28,'Leave log'!$B$7:$B$306,"&lt;="&amp;DATE($B$3,4,4),'Leave log'!$C$7:$C$306,"&gt;="&amp;DATE($B$3,4,4),'Leave log'!$F$7:$F$306,"Approved")&gt;0,"A",""))="A","A",IF(OR(DATE($B$3,4,4)&gt;EOMONTH(DATE($B$3,4,1),0),NETWORKDAYS.INTL(DATE($B$3,4,4),DATE($B$3,4,4),1,'Non-working days'!$A$6:$A$45)=0),"",IF(COUNTIFS('Leave log'!$A$7:$A$306,Employees!$A$28,'Leave log'!$B$7:$B$306,"&lt;="&amp;DATE($B$3,4,4),'Leave log'!$C$7:$C$306,"&gt;="&amp;DATE($B$3,4,4),'Leave log'!$F$7:$F$306,"Pending")&gt;0,"P",""))))</f>
        <v/>
      </c>
      <c r="F131" s="23" t="str">
        <f>IF(A131="","",IF(IF(OR(DATE($B$3,4,5)&gt;EOMONTH(DATE($B$3,4,1),0),NETWORKDAYS.INTL(DATE($B$3,4,5),DATE($B$3,4,5),1,'Non-working days'!$A$6:$A$45)=0),"",IF(COUNTIFS('Leave log'!$A$7:$A$306,Employees!$A$28,'Leave log'!$B$7:$B$306,"&lt;="&amp;DATE($B$3,4,5),'Leave log'!$C$7:$C$306,"&gt;="&amp;DATE($B$3,4,5),'Leave log'!$F$7:$F$306,"Approved")&gt;0,"A",""))="A","A",IF(OR(DATE($B$3,4,5)&gt;EOMONTH(DATE($B$3,4,1),0),NETWORKDAYS.INTL(DATE($B$3,4,5),DATE($B$3,4,5),1,'Non-working days'!$A$6:$A$45)=0),"",IF(COUNTIFS('Leave log'!$A$7:$A$306,Employees!$A$28,'Leave log'!$B$7:$B$306,"&lt;="&amp;DATE($B$3,4,5),'Leave log'!$C$7:$C$306,"&gt;="&amp;DATE($B$3,4,5),'Leave log'!$F$7:$F$306,"Pending")&gt;0,"P",""))))</f>
        <v/>
      </c>
      <c r="G131" s="23" t="str">
        <f>IF(A131="","",IF(IF(OR(DATE($B$3,4,6)&gt;EOMONTH(DATE($B$3,4,1),0),NETWORKDAYS.INTL(DATE($B$3,4,6),DATE($B$3,4,6),1,'Non-working days'!$A$6:$A$45)=0),"",IF(COUNTIFS('Leave log'!$A$7:$A$306,Employees!$A$28,'Leave log'!$B$7:$B$306,"&lt;="&amp;DATE($B$3,4,6),'Leave log'!$C$7:$C$306,"&gt;="&amp;DATE($B$3,4,6),'Leave log'!$F$7:$F$306,"Approved")&gt;0,"A",""))="A","A",IF(OR(DATE($B$3,4,6)&gt;EOMONTH(DATE($B$3,4,1),0),NETWORKDAYS.INTL(DATE($B$3,4,6),DATE($B$3,4,6),1,'Non-working days'!$A$6:$A$45)=0),"",IF(COUNTIFS('Leave log'!$A$7:$A$306,Employees!$A$28,'Leave log'!$B$7:$B$306,"&lt;="&amp;DATE($B$3,4,6),'Leave log'!$C$7:$C$306,"&gt;="&amp;DATE($B$3,4,6),'Leave log'!$F$7:$F$306,"Pending")&gt;0,"P",""))))</f>
        <v/>
      </c>
      <c r="H131" s="23" t="str">
        <f>IF(A131="","",IF(IF(OR(DATE($B$3,4,7)&gt;EOMONTH(DATE($B$3,4,1),0),NETWORKDAYS.INTL(DATE($B$3,4,7),DATE($B$3,4,7),1,'Non-working days'!$A$6:$A$45)=0),"",IF(COUNTIFS('Leave log'!$A$7:$A$306,Employees!$A$28,'Leave log'!$B$7:$B$306,"&lt;="&amp;DATE($B$3,4,7),'Leave log'!$C$7:$C$306,"&gt;="&amp;DATE($B$3,4,7),'Leave log'!$F$7:$F$306,"Approved")&gt;0,"A",""))="A","A",IF(OR(DATE($B$3,4,7)&gt;EOMONTH(DATE($B$3,4,1),0),NETWORKDAYS.INTL(DATE($B$3,4,7),DATE($B$3,4,7),1,'Non-working days'!$A$6:$A$45)=0),"",IF(COUNTIFS('Leave log'!$A$7:$A$306,Employees!$A$28,'Leave log'!$B$7:$B$306,"&lt;="&amp;DATE($B$3,4,7),'Leave log'!$C$7:$C$306,"&gt;="&amp;DATE($B$3,4,7),'Leave log'!$F$7:$F$306,"Pending")&gt;0,"P",""))))</f>
        <v/>
      </c>
      <c r="I131" s="23" t="str">
        <f>IF(A131="","",IF(IF(OR(DATE($B$3,4,8)&gt;EOMONTH(DATE($B$3,4,1),0),NETWORKDAYS.INTL(DATE($B$3,4,8),DATE($B$3,4,8),1,'Non-working days'!$A$6:$A$45)=0),"",IF(COUNTIFS('Leave log'!$A$7:$A$306,Employees!$A$28,'Leave log'!$B$7:$B$306,"&lt;="&amp;DATE($B$3,4,8),'Leave log'!$C$7:$C$306,"&gt;="&amp;DATE($B$3,4,8),'Leave log'!$F$7:$F$306,"Approved")&gt;0,"A",""))="A","A",IF(OR(DATE($B$3,4,8)&gt;EOMONTH(DATE($B$3,4,1),0),NETWORKDAYS.INTL(DATE($B$3,4,8),DATE($B$3,4,8),1,'Non-working days'!$A$6:$A$45)=0),"",IF(COUNTIFS('Leave log'!$A$7:$A$306,Employees!$A$28,'Leave log'!$B$7:$B$306,"&lt;="&amp;DATE($B$3,4,8),'Leave log'!$C$7:$C$306,"&gt;="&amp;DATE($B$3,4,8),'Leave log'!$F$7:$F$306,"Pending")&gt;0,"P",""))))</f>
        <v/>
      </c>
      <c r="J131" s="23" t="str">
        <f>IF(A131="","",IF(IF(OR(DATE($B$3,4,9)&gt;EOMONTH(DATE($B$3,4,1),0),NETWORKDAYS.INTL(DATE($B$3,4,9),DATE($B$3,4,9),1,'Non-working days'!$A$6:$A$45)=0),"",IF(COUNTIFS('Leave log'!$A$7:$A$306,Employees!$A$28,'Leave log'!$B$7:$B$306,"&lt;="&amp;DATE($B$3,4,9),'Leave log'!$C$7:$C$306,"&gt;="&amp;DATE($B$3,4,9),'Leave log'!$F$7:$F$306,"Approved")&gt;0,"A",""))="A","A",IF(OR(DATE($B$3,4,9)&gt;EOMONTH(DATE($B$3,4,1),0),NETWORKDAYS.INTL(DATE($B$3,4,9),DATE($B$3,4,9),1,'Non-working days'!$A$6:$A$45)=0),"",IF(COUNTIFS('Leave log'!$A$7:$A$306,Employees!$A$28,'Leave log'!$B$7:$B$306,"&lt;="&amp;DATE($B$3,4,9),'Leave log'!$C$7:$C$306,"&gt;="&amp;DATE($B$3,4,9),'Leave log'!$F$7:$F$306,"Pending")&gt;0,"P",""))))</f>
        <v/>
      </c>
      <c r="K131" s="23" t="str">
        <f>IF(A131="","",IF(IF(OR(DATE($B$3,4,10)&gt;EOMONTH(DATE($B$3,4,1),0),NETWORKDAYS.INTL(DATE($B$3,4,10),DATE($B$3,4,10),1,'Non-working days'!$A$6:$A$45)=0),"",IF(COUNTIFS('Leave log'!$A$7:$A$306,Employees!$A$28,'Leave log'!$B$7:$B$306,"&lt;="&amp;DATE($B$3,4,10),'Leave log'!$C$7:$C$306,"&gt;="&amp;DATE($B$3,4,10),'Leave log'!$F$7:$F$306,"Approved")&gt;0,"A",""))="A","A",IF(OR(DATE($B$3,4,10)&gt;EOMONTH(DATE($B$3,4,1),0),NETWORKDAYS.INTL(DATE($B$3,4,10),DATE($B$3,4,10),1,'Non-working days'!$A$6:$A$45)=0),"",IF(COUNTIFS('Leave log'!$A$7:$A$306,Employees!$A$28,'Leave log'!$B$7:$B$306,"&lt;="&amp;DATE($B$3,4,10),'Leave log'!$C$7:$C$306,"&gt;="&amp;DATE($B$3,4,10),'Leave log'!$F$7:$F$306,"Pending")&gt;0,"P",""))))</f>
        <v/>
      </c>
      <c r="L131" s="23" t="str">
        <f>IF(A131="","",IF(IF(OR(DATE($B$3,4,11)&gt;EOMONTH(DATE($B$3,4,1),0),NETWORKDAYS.INTL(DATE($B$3,4,11),DATE($B$3,4,11),1,'Non-working days'!$A$6:$A$45)=0),"",IF(COUNTIFS('Leave log'!$A$7:$A$306,Employees!$A$28,'Leave log'!$B$7:$B$306,"&lt;="&amp;DATE($B$3,4,11),'Leave log'!$C$7:$C$306,"&gt;="&amp;DATE($B$3,4,11),'Leave log'!$F$7:$F$306,"Approved")&gt;0,"A",""))="A","A",IF(OR(DATE($B$3,4,11)&gt;EOMONTH(DATE($B$3,4,1),0),NETWORKDAYS.INTL(DATE($B$3,4,11),DATE($B$3,4,11),1,'Non-working days'!$A$6:$A$45)=0),"",IF(COUNTIFS('Leave log'!$A$7:$A$306,Employees!$A$28,'Leave log'!$B$7:$B$306,"&lt;="&amp;DATE($B$3,4,11),'Leave log'!$C$7:$C$306,"&gt;="&amp;DATE($B$3,4,11),'Leave log'!$F$7:$F$306,"Pending")&gt;0,"P",""))))</f>
        <v/>
      </c>
      <c r="M131" s="23" t="str">
        <f>IF(A131="","",IF(IF(OR(DATE($B$3,4,12)&gt;EOMONTH(DATE($B$3,4,1),0),NETWORKDAYS.INTL(DATE($B$3,4,12),DATE($B$3,4,12),1,'Non-working days'!$A$6:$A$45)=0),"",IF(COUNTIFS('Leave log'!$A$7:$A$306,Employees!$A$28,'Leave log'!$B$7:$B$306,"&lt;="&amp;DATE($B$3,4,12),'Leave log'!$C$7:$C$306,"&gt;="&amp;DATE($B$3,4,12),'Leave log'!$F$7:$F$306,"Approved")&gt;0,"A",""))="A","A",IF(OR(DATE($B$3,4,12)&gt;EOMONTH(DATE($B$3,4,1),0),NETWORKDAYS.INTL(DATE($B$3,4,12),DATE($B$3,4,12),1,'Non-working days'!$A$6:$A$45)=0),"",IF(COUNTIFS('Leave log'!$A$7:$A$306,Employees!$A$28,'Leave log'!$B$7:$B$306,"&lt;="&amp;DATE($B$3,4,12),'Leave log'!$C$7:$C$306,"&gt;="&amp;DATE($B$3,4,12),'Leave log'!$F$7:$F$306,"Pending")&gt;0,"P",""))))</f>
        <v/>
      </c>
      <c r="N131" s="23" t="str">
        <f>IF(A131="","",IF(IF(OR(DATE($B$3,4,13)&gt;EOMONTH(DATE($B$3,4,1),0),NETWORKDAYS.INTL(DATE($B$3,4,13),DATE($B$3,4,13),1,'Non-working days'!$A$6:$A$45)=0),"",IF(COUNTIFS('Leave log'!$A$7:$A$306,Employees!$A$28,'Leave log'!$B$7:$B$306,"&lt;="&amp;DATE($B$3,4,13),'Leave log'!$C$7:$C$306,"&gt;="&amp;DATE($B$3,4,13),'Leave log'!$F$7:$F$306,"Approved")&gt;0,"A",""))="A","A",IF(OR(DATE($B$3,4,13)&gt;EOMONTH(DATE($B$3,4,1),0),NETWORKDAYS.INTL(DATE($B$3,4,13),DATE($B$3,4,13),1,'Non-working days'!$A$6:$A$45)=0),"",IF(COUNTIFS('Leave log'!$A$7:$A$306,Employees!$A$28,'Leave log'!$B$7:$B$306,"&lt;="&amp;DATE($B$3,4,13),'Leave log'!$C$7:$C$306,"&gt;="&amp;DATE($B$3,4,13),'Leave log'!$F$7:$F$306,"Pending")&gt;0,"P",""))))</f>
        <v/>
      </c>
      <c r="O131" s="23" t="str">
        <f>IF(A131="","",IF(IF(OR(DATE($B$3,4,14)&gt;EOMONTH(DATE($B$3,4,1),0),NETWORKDAYS.INTL(DATE($B$3,4,14),DATE($B$3,4,14),1,'Non-working days'!$A$6:$A$45)=0),"",IF(COUNTIFS('Leave log'!$A$7:$A$306,Employees!$A$28,'Leave log'!$B$7:$B$306,"&lt;="&amp;DATE($B$3,4,14),'Leave log'!$C$7:$C$306,"&gt;="&amp;DATE($B$3,4,14),'Leave log'!$F$7:$F$306,"Approved")&gt;0,"A",""))="A","A",IF(OR(DATE($B$3,4,14)&gt;EOMONTH(DATE($B$3,4,1),0),NETWORKDAYS.INTL(DATE($B$3,4,14),DATE($B$3,4,14),1,'Non-working days'!$A$6:$A$45)=0),"",IF(COUNTIFS('Leave log'!$A$7:$A$306,Employees!$A$28,'Leave log'!$B$7:$B$306,"&lt;="&amp;DATE($B$3,4,14),'Leave log'!$C$7:$C$306,"&gt;="&amp;DATE($B$3,4,14),'Leave log'!$F$7:$F$306,"Pending")&gt;0,"P",""))))</f>
        <v/>
      </c>
      <c r="P131" s="23" t="str">
        <f>IF(A131="","",IF(IF(OR(DATE($B$3,4,15)&gt;EOMONTH(DATE($B$3,4,1),0),NETWORKDAYS.INTL(DATE($B$3,4,15),DATE($B$3,4,15),1,'Non-working days'!$A$6:$A$45)=0),"",IF(COUNTIFS('Leave log'!$A$7:$A$306,Employees!$A$28,'Leave log'!$B$7:$B$306,"&lt;="&amp;DATE($B$3,4,15),'Leave log'!$C$7:$C$306,"&gt;="&amp;DATE($B$3,4,15),'Leave log'!$F$7:$F$306,"Approved")&gt;0,"A",""))="A","A",IF(OR(DATE($B$3,4,15)&gt;EOMONTH(DATE($B$3,4,1),0),NETWORKDAYS.INTL(DATE($B$3,4,15),DATE($B$3,4,15),1,'Non-working days'!$A$6:$A$45)=0),"",IF(COUNTIFS('Leave log'!$A$7:$A$306,Employees!$A$28,'Leave log'!$B$7:$B$306,"&lt;="&amp;DATE($B$3,4,15),'Leave log'!$C$7:$C$306,"&gt;="&amp;DATE($B$3,4,15),'Leave log'!$F$7:$F$306,"Pending")&gt;0,"P",""))))</f>
        <v/>
      </c>
      <c r="Q131" s="23" t="str">
        <f>IF(A131="","",IF(IF(OR(DATE($B$3,4,16)&gt;EOMONTH(DATE($B$3,4,1),0),NETWORKDAYS.INTL(DATE($B$3,4,16),DATE($B$3,4,16),1,'Non-working days'!$A$6:$A$45)=0),"",IF(COUNTIFS('Leave log'!$A$7:$A$306,Employees!$A$28,'Leave log'!$B$7:$B$306,"&lt;="&amp;DATE($B$3,4,16),'Leave log'!$C$7:$C$306,"&gt;="&amp;DATE($B$3,4,16),'Leave log'!$F$7:$F$306,"Approved")&gt;0,"A",""))="A","A",IF(OR(DATE($B$3,4,16)&gt;EOMONTH(DATE($B$3,4,1),0),NETWORKDAYS.INTL(DATE($B$3,4,16),DATE($B$3,4,16),1,'Non-working days'!$A$6:$A$45)=0),"",IF(COUNTIFS('Leave log'!$A$7:$A$306,Employees!$A$28,'Leave log'!$B$7:$B$306,"&lt;="&amp;DATE($B$3,4,16),'Leave log'!$C$7:$C$306,"&gt;="&amp;DATE($B$3,4,16),'Leave log'!$F$7:$F$306,"Pending")&gt;0,"P",""))))</f>
        <v/>
      </c>
      <c r="R131" s="23" t="str">
        <f>IF(A131="","",IF(IF(OR(DATE($B$3,4,17)&gt;EOMONTH(DATE($B$3,4,1),0),NETWORKDAYS.INTL(DATE($B$3,4,17),DATE($B$3,4,17),1,'Non-working days'!$A$6:$A$45)=0),"",IF(COUNTIFS('Leave log'!$A$7:$A$306,Employees!$A$28,'Leave log'!$B$7:$B$306,"&lt;="&amp;DATE($B$3,4,17),'Leave log'!$C$7:$C$306,"&gt;="&amp;DATE($B$3,4,17),'Leave log'!$F$7:$F$306,"Approved")&gt;0,"A",""))="A","A",IF(OR(DATE($B$3,4,17)&gt;EOMONTH(DATE($B$3,4,1),0),NETWORKDAYS.INTL(DATE($B$3,4,17),DATE($B$3,4,17),1,'Non-working days'!$A$6:$A$45)=0),"",IF(COUNTIFS('Leave log'!$A$7:$A$306,Employees!$A$28,'Leave log'!$B$7:$B$306,"&lt;="&amp;DATE($B$3,4,17),'Leave log'!$C$7:$C$306,"&gt;="&amp;DATE($B$3,4,17),'Leave log'!$F$7:$F$306,"Pending")&gt;0,"P",""))))</f>
        <v/>
      </c>
      <c r="S131" s="23" t="str">
        <f>IF(A131="","",IF(IF(OR(DATE($B$3,4,18)&gt;EOMONTH(DATE($B$3,4,1),0),NETWORKDAYS.INTL(DATE($B$3,4,18),DATE($B$3,4,18),1,'Non-working days'!$A$6:$A$45)=0),"",IF(COUNTIFS('Leave log'!$A$7:$A$306,Employees!$A$28,'Leave log'!$B$7:$B$306,"&lt;="&amp;DATE($B$3,4,18),'Leave log'!$C$7:$C$306,"&gt;="&amp;DATE($B$3,4,18),'Leave log'!$F$7:$F$306,"Approved")&gt;0,"A",""))="A","A",IF(OR(DATE($B$3,4,18)&gt;EOMONTH(DATE($B$3,4,1),0),NETWORKDAYS.INTL(DATE($B$3,4,18),DATE($B$3,4,18),1,'Non-working days'!$A$6:$A$45)=0),"",IF(COUNTIFS('Leave log'!$A$7:$A$306,Employees!$A$28,'Leave log'!$B$7:$B$306,"&lt;="&amp;DATE($B$3,4,18),'Leave log'!$C$7:$C$306,"&gt;="&amp;DATE($B$3,4,18),'Leave log'!$F$7:$F$306,"Pending")&gt;0,"P",""))))</f>
        <v/>
      </c>
      <c r="T131" s="23" t="str">
        <f>IF(A131="","",IF(IF(OR(DATE($B$3,4,19)&gt;EOMONTH(DATE($B$3,4,1),0),NETWORKDAYS.INTL(DATE($B$3,4,19),DATE($B$3,4,19),1,'Non-working days'!$A$6:$A$45)=0),"",IF(COUNTIFS('Leave log'!$A$7:$A$306,Employees!$A$28,'Leave log'!$B$7:$B$306,"&lt;="&amp;DATE($B$3,4,19),'Leave log'!$C$7:$C$306,"&gt;="&amp;DATE($B$3,4,19),'Leave log'!$F$7:$F$306,"Approved")&gt;0,"A",""))="A","A",IF(OR(DATE($B$3,4,19)&gt;EOMONTH(DATE($B$3,4,1),0),NETWORKDAYS.INTL(DATE($B$3,4,19),DATE($B$3,4,19),1,'Non-working days'!$A$6:$A$45)=0),"",IF(COUNTIFS('Leave log'!$A$7:$A$306,Employees!$A$28,'Leave log'!$B$7:$B$306,"&lt;="&amp;DATE($B$3,4,19),'Leave log'!$C$7:$C$306,"&gt;="&amp;DATE($B$3,4,19),'Leave log'!$F$7:$F$306,"Pending")&gt;0,"P",""))))</f>
        <v/>
      </c>
      <c r="U131" s="23" t="str">
        <f>IF(A131="","",IF(IF(OR(DATE($B$3,4,20)&gt;EOMONTH(DATE($B$3,4,1),0),NETWORKDAYS.INTL(DATE($B$3,4,20),DATE($B$3,4,20),1,'Non-working days'!$A$6:$A$45)=0),"",IF(COUNTIFS('Leave log'!$A$7:$A$306,Employees!$A$28,'Leave log'!$B$7:$B$306,"&lt;="&amp;DATE($B$3,4,20),'Leave log'!$C$7:$C$306,"&gt;="&amp;DATE($B$3,4,20),'Leave log'!$F$7:$F$306,"Approved")&gt;0,"A",""))="A","A",IF(OR(DATE($B$3,4,20)&gt;EOMONTH(DATE($B$3,4,1),0),NETWORKDAYS.INTL(DATE($B$3,4,20),DATE($B$3,4,20),1,'Non-working days'!$A$6:$A$45)=0),"",IF(COUNTIFS('Leave log'!$A$7:$A$306,Employees!$A$28,'Leave log'!$B$7:$B$306,"&lt;="&amp;DATE($B$3,4,20),'Leave log'!$C$7:$C$306,"&gt;="&amp;DATE($B$3,4,20),'Leave log'!$F$7:$F$306,"Pending")&gt;0,"P",""))))</f>
        <v/>
      </c>
      <c r="V131" s="23" t="str">
        <f>IF(A131="","",IF(IF(OR(DATE($B$3,4,21)&gt;EOMONTH(DATE($B$3,4,1),0),NETWORKDAYS.INTL(DATE($B$3,4,21),DATE($B$3,4,21),1,'Non-working days'!$A$6:$A$45)=0),"",IF(COUNTIFS('Leave log'!$A$7:$A$306,Employees!$A$28,'Leave log'!$B$7:$B$306,"&lt;="&amp;DATE($B$3,4,21),'Leave log'!$C$7:$C$306,"&gt;="&amp;DATE($B$3,4,21),'Leave log'!$F$7:$F$306,"Approved")&gt;0,"A",""))="A","A",IF(OR(DATE($B$3,4,21)&gt;EOMONTH(DATE($B$3,4,1),0),NETWORKDAYS.INTL(DATE($B$3,4,21),DATE($B$3,4,21),1,'Non-working days'!$A$6:$A$45)=0),"",IF(COUNTIFS('Leave log'!$A$7:$A$306,Employees!$A$28,'Leave log'!$B$7:$B$306,"&lt;="&amp;DATE($B$3,4,21),'Leave log'!$C$7:$C$306,"&gt;="&amp;DATE($B$3,4,21),'Leave log'!$F$7:$F$306,"Pending")&gt;0,"P",""))))</f>
        <v/>
      </c>
      <c r="W131" s="23" t="str">
        <f>IF(A131="","",IF(IF(OR(DATE($B$3,4,22)&gt;EOMONTH(DATE($B$3,4,1),0),NETWORKDAYS.INTL(DATE($B$3,4,22),DATE($B$3,4,22),1,'Non-working days'!$A$6:$A$45)=0),"",IF(COUNTIFS('Leave log'!$A$7:$A$306,Employees!$A$28,'Leave log'!$B$7:$B$306,"&lt;="&amp;DATE($B$3,4,22),'Leave log'!$C$7:$C$306,"&gt;="&amp;DATE($B$3,4,22),'Leave log'!$F$7:$F$306,"Approved")&gt;0,"A",""))="A","A",IF(OR(DATE($B$3,4,22)&gt;EOMONTH(DATE($B$3,4,1),0),NETWORKDAYS.INTL(DATE($B$3,4,22),DATE($B$3,4,22),1,'Non-working days'!$A$6:$A$45)=0),"",IF(COUNTIFS('Leave log'!$A$7:$A$306,Employees!$A$28,'Leave log'!$B$7:$B$306,"&lt;="&amp;DATE($B$3,4,22),'Leave log'!$C$7:$C$306,"&gt;="&amp;DATE($B$3,4,22),'Leave log'!$F$7:$F$306,"Pending")&gt;0,"P",""))))</f>
        <v/>
      </c>
      <c r="X131" s="23" t="str">
        <f>IF(A131="","",IF(IF(OR(DATE($B$3,4,23)&gt;EOMONTH(DATE($B$3,4,1),0),NETWORKDAYS.INTL(DATE($B$3,4,23),DATE($B$3,4,23),1,'Non-working days'!$A$6:$A$45)=0),"",IF(COUNTIFS('Leave log'!$A$7:$A$306,Employees!$A$28,'Leave log'!$B$7:$B$306,"&lt;="&amp;DATE($B$3,4,23),'Leave log'!$C$7:$C$306,"&gt;="&amp;DATE($B$3,4,23),'Leave log'!$F$7:$F$306,"Approved")&gt;0,"A",""))="A","A",IF(OR(DATE($B$3,4,23)&gt;EOMONTH(DATE($B$3,4,1),0),NETWORKDAYS.INTL(DATE($B$3,4,23),DATE($B$3,4,23),1,'Non-working days'!$A$6:$A$45)=0),"",IF(COUNTIFS('Leave log'!$A$7:$A$306,Employees!$A$28,'Leave log'!$B$7:$B$306,"&lt;="&amp;DATE($B$3,4,23),'Leave log'!$C$7:$C$306,"&gt;="&amp;DATE($B$3,4,23),'Leave log'!$F$7:$F$306,"Pending")&gt;0,"P",""))))</f>
        <v/>
      </c>
      <c r="Y131" s="23" t="str">
        <f>IF(A131="","",IF(IF(OR(DATE($B$3,4,24)&gt;EOMONTH(DATE($B$3,4,1),0),NETWORKDAYS.INTL(DATE($B$3,4,24),DATE($B$3,4,24),1,'Non-working days'!$A$6:$A$45)=0),"",IF(COUNTIFS('Leave log'!$A$7:$A$306,Employees!$A$28,'Leave log'!$B$7:$B$306,"&lt;="&amp;DATE($B$3,4,24),'Leave log'!$C$7:$C$306,"&gt;="&amp;DATE($B$3,4,24),'Leave log'!$F$7:$F$306,"Approved")&gt;0,"A",""))="A","A",IF(OR(DATE($B$3,4,24)&gt;EOMONTH(DATE($B$3,4,1),0),NETWORKDAYS.INTL(DATE($B$3,4,24),DATE($B$3,4,24),1,'Non-working days'!$A$6:$A$45)=0),"",IF(COUNTIFS('Leave log'!$A$7:$A$306,Employees!$A$28,'Leave log'!$B$7:$B$306,"&lt;="&amp;DATE($B$3,4,24),'Leave log'!$C$7:$C$306,"&gt;="&amp;DATE($B$3,4,24),'Leave log'!$F$7:$F$306,"Pending")&gt;0,"P",""))))</f>
        <v/>
      </c>
      <c r="Z131" s="23" t="str">
        <f>IF(A131="","",IF(IF(OR(DATE($B$3,4,25)&gt;EOMONTH(DATE($B$3,4,1),0),NETWORKDAYS.INTL(DATE($B$3,4,25),DATE($B$3,4,25),1,'Non-working days'!$A$6:$A$45)=0),"",IF(COUNTIFS('Leave log'!$A$7:$A$306,Employees!$A$28,'Leave log'!$B$7:$B$306,"&lt;="&amp;DATE($B$3,4,25),'Leave log'!$C$7:$C$306,"&gt;="&amp;DATE($B$3,4,25),'Leave log'!$F$7:$F$306,"Approved")&gt;0,"A",""))="A","A",IF(OR(DATE($B$3,4,25)&gt;EOMONTH(DATE($B$3,4,1),0),NETWORKDAYS.INTL(DATE($B$3,4,25),DATE($B$3,4,25),1,'Non-working days'!$A$6:$A$45)=0),"",IF(COUNTIFS('Leave log'!$A$7:$A$306,Employees!$A$28,'Leave log'!$B$7:$B$306,"&lt;="&amp;DATE($B$3,4,25),'Leave log'!$C$7:$C$306,"&gt;="&amp;DATE($B$3,4,25),'Leave log'!$F$7:$F$306,"Pending")&gt;0,"P",""))))</f>
        <v/>
      </c>
      <c r="AA131" s="23" t="str">
        <f>IF(A131="","",IF(IF(OR(DATE($B$3,4,26)&gt;EOMONTH(DATE($B$3,4,1),0),NETWORKDAYS.INTL(DATE($B$3,4,26),DATE($B$3,4,26),1,'Non-working days'!$A$6:$A$45)=0),"",IF(COUNTIFS('Leave log'!$A$7:$A$306,Employees!$A$28,'Leave log'!$B$7:$B$306,"&lt;="&amp;DATE($B$3,4,26),'Leave log'!$C$7:$C$306,"&gt;="&amp;DATE($B$3,4,26),'Leave log'!$F$7:$F$306,"Approved")&gt;0,"A",""))="A","A",IF(OR(DATE($B$3,4,26)&gt;EOMONTH(DATE($B$3,4,1),0),NETWORKDAYS.INTL(DATE($B$3,4,26),DATE($B$3,4,26),1,'Non-working days'!$A$6:$A$45)=0),"",IF(COUNTIFS('Leave log'!$A$7:$A$306,Employees!$A$28,'Leave log'!$B$7:$B$306,"&lt;="&amp;DATE($B$3,4,26),'Leave log'!$C$7:$C$306,"&gt;="&amp;DATE($B$3,4,26),'Leave log'!$F$7:$F$306,"Pending")&gt;0,"P",""))))</f>
        <v/>
      </c>
      <c r="AB131" s="23" t="str">
        <f>IF(A131="","",IF(IF(OR(DATE($B$3,4,27)&gt;EOMONTH(DATE($B$3,4,1),0),NETWORKDAYS.INTL(DATE($B$3,4,27),DATE($B$3,4,27),1,'Non-working days'!$A$6:$A$45)=0),"",IF(COUNTIFS('Leave log'!$A$7:$A$306,Employees!$A$28,'Leave log'!$B$7:$B$306,"&lt;="&amp;DATE($B$3,4,27),'Leave log'!$C$7:$C$306,"&gt;="&amp;DATE($B$3,4,27),'Leave log'!$F$7:$F$306,"Approved")&gt;0,"A",""))="A","A",IF(OR(DATE($B$3,4,27)&gt;EOMONTH(DATE($B$3,4,1),0),NETWORKDAYS.INTL(DATE($B$3,4,27),DATE($B$3,4,27),1,'Non-working days'!$A$6:$A$45)=0),"",IF(COUNTIFS('Leave log'!$A$7:$A$306,Employees!$A$28,'Leave log'!$B$7:$B$306,"&lt;="&amp;DATE($B$3,4,27),'Leave log'!$C$7:$C$306,"&gt;="&amp;DATE($B$3,4,27),'Leave log'!$F$7:$F$306,"Pending")&gt;0,"P",""))))</f>
        <v/>
      </c>
      <c r="AC131" s="23" t="str">
        <f>IF(A131="","",IF(IF(OR(DATE($B$3,4,28)&gt;EOMONTH(DATE($B$3,4,1),0),NETWORKDAYS.INTL(DATE($B$3,4,28),DATE($B$3,4,28),1,'Non-working days'!$A$6:$A$45)=0),"",IF(COUNTIFS('Leave log'!$A$7:$A$306,Employees!$A$28,'Leave log'!$B$7:$B$306,"&lt;="&amp;DATE($B$3,4,28),'Leave log'!$C$7:$C$306,"&gt;="&amp;DATE($B$3,4,28),'Leave log'!$F$7:$F$306,"Approved")&gt;0,"A",""))="A","A",IF(OR(DATE($B$3,4,28)&gt;EOMONTH(DATE($B$3,4,1),0),NETWORKDAYS.INTL(DATE($B$3,4,28),DATE($B$3,4,28),1,'Non-working days'!$A$6:$A$45)=0),"",IF(COUNTIFS('Leave log'!$A$7:$A$306,Employees!$A$28,'Leave log'!$B$7:$B$306,"&lt;="&amp;DATE($B$3,4,28),'Leave log'!$C$7:$C$306,"&gt;="&amp;DATE($B$3,4,28),'Leave log'!$F$7:$F$306,"Pending")&gt;0,"P",""))))</f>
        <v/>
      </c>
      <c r="AD131" s="23" t="str">
        <f>IF(A131="","",IF(IF(OR(DATE($B$3,4,29)&gt;EOMONTH(DATE($B$3,4,1),0),NETWORKDAYS.INTL(DATE($B$3,4,29),DATE($B$3,4,29),1,'Non-working days'!$A$6:$A$45)=0),"",IF(COUNTIFS('Leave log'!$A$7:$A$306,Employees!$A$28,'Leave log'!$B$7:$B$306,"&lt;="&amp;DATE($B$3,4,29),'Leave log'!$C$7:$C$306,"&gt;="&amp;DATE($B$3,4,29),'Leave log'!$F$7:$F$306,"Approved")&gt;0,"A",""))="A","A",IF(OR(DATE($B$3,4,29)&gt;EOMONTH(DATE($B$3,4,1),0),NETWORKDAYS.INTL(DATE($B$3,4,29),DATE($B$3,4,29),1,'Non-working days'!$A$6:$A$45)=0),"",IF(COUNTIFS('Leave log'!$A$7:$A$306,Employees!$A$28,'Leave log'!$B$7:$B$306,"&lt;="&amp;DATE($B$3,4,29),'Leave log'!$C$7:$C$306,"&gt;="&amp;DATE($B$3,4,29),'Leave log'!$F$7:$F$306,"Pending")&gt;0,"P",""))))</f>
        <v/>
      </c>
      <c r="AE131" s="23" t="str">
        <f>IF(A131="","",IF(IF(OR(DATE($B$3,4,30)&gt;EOMONTH(DATE($B$3,4,1),0),NETWORKDAYS.INTL(DATE($B$3,4,30),DATE($B$3,4,30),1,'Non-working days'!$A$6:$A$45)=0),"",IF(COUNTIFS('Leave log'!$A$7:$A$306,Employees!$A$28,'Leave log'!$B$7:$B$306,"&lt;="&amp;DATE($B$3,4,30),'Leave log'!$C$7:$C$306,"&gt;="&amp;DATE($B$3,4,30),'Leave log'!$F$7:$F$306,"Approved")&gt;0,"A",""))="A","A",IF(OR(DATE($B$3,4,30)&gt;EOMONTH(DATE($B$3,4,1),0),NETWORKDAYS.INTL(DATE($B$3,4,30),DATE($B$3,4,30),1,'Non-working days'!$A$6:$A$45)=0),"",IF(COUNTIFS('Leave log'!$A$7:$A$306,Employees!$A$28,'Leave log'!$B$7:$B$306,"&lt;="&amp;DATE($B$3,4,30),'Leave log'!$C$7:$C$306,"&gt;="&amp;DATE($B$3,4,30),'Leave log'!$F$7:$F$306,"Pending")&gt;0,"P",""))))</f>
        <v/>
      </c>
      <c r="AF131" s="23" t="str">
        <f>IF(A131="","",IF(IF(OR(DATE($B$3,4,31)&gt;EOMONTH(DATE($B$3,4,1),0),NETWORKDAYS.INTL(DATE($B$3,4,31),DATE($B$3,4,31),1,'Non-working days'!$A$6:$A$45)=0),"",IF(COUNTIFS('Leave log'!$A$7:$A$306,Employees!$A$28,'Leave log'!$B$7:$B$306,"&lt;="&amp;DATE($B$3,4,31),'Leave log'!$C$7:$C$306,"&gt;="&amp;DATE($B$3,4,31),'Leave log'!$F$7:$F$306,"Approved")&gt;0,"A",""))="A","A",IF(OR(DATE($B$3,4,31)&gt;EOMONTH(DATE($B$3,4,1),0),NETWORKDAYS.INTL(DATE($B$3,4,31),DATE($B$3,4,31),1,'Non-working days'!$A$6:$A$45)=0),"",IF(COUNTIFS('Leave log'!$A$7:$A$306,Employees!$A$28,'Leave log'!$B$7:$B$306,"&lt;="&amp;DATE($B$3,4,31),'Leave log'!$C$7:$C$306,"&gt;="&amp;DATE($B$3,4,31),'Leave log'!$F$7:$F$306,"Pending")&gt;0,"P",""))))</f>
        <v/>
      </c>
    </row>
    <row r="132" spans="1:32" ht="18" customHeight="1" x14ac:dyDescent="0.3">
      <c r="A132" s="22" t="str">
        <f>IF(Employees!F29="Yes",Employees!B29,"")</f>
        <v/>
      </c>
      <c r="B132" s="23" t="str">
        <f>IF(A132="","",IF(IF(OR(DATE($B$3,4,1)&gt;EOMONTH(DATE($B$3,4,1),0),NETWORKDAYS.INTL(DATE($B$3,4,1),DATE($B$3,4,1),1,'Non-working days'!$A$6:$A$45)=0),"",IF(COUNTIFS('Leave log'!$A$7:$A$306,Employees!$A$29,'Leave log'!$B$7:$B$306,"&lt;="&amp;DATE($B$3,4,1),'Leave log'!$C$7:$C$306,"&gt;="&amp;DATE($B$3,4,1),'Leave log'!$F$7:$F$306,"Approved")&gt;0,"A",""))="A","A",IF(OR(DATE($B$3,4,1)&gt;EOMONTH(DATE($B$3,4,1),0),NETWORKDAYS.INTL(DATE($B$3,4,1),DATE($B$3,4,1),1,'Non-working days'!$A$6:$A$45)=0),"",IF(COUNTIFS('Leave log'!$A$7:$A$306,Employees!$A$29,'Leave log'!$B$7:$B$306,"&lt;="&amp;DATE($B$3,4,1),'Leave log'!$C$7:$C$306,"&gt;="&amp;DATE($B$3,4,1),'Leave log'!$F$7:$F$306,"Pending")&gt;0,"P",""))))</f>
        <v/>
      </c>
      <c r="C132" s="23" t="str">
        <f>IF(A132="","",IF(IF(OR(DATE($B$3,4,2)&gt;EOMONTH(DATE($B$3,4,1),0),NETWORKDAYS.INTL(DATE($B$3,4,2),DATE($B$3,4,2),1,'Non-working days'!$A$6:$A$45)=0),"",IF(COUNTIFS('Leave log'!$A$7:$A$306,Employees!$A$29,'Leave log'!$B$7:$B$306,"&lt;="&amp;DATE($B$3,4,2),'Leave log'!$C$7:$C$306,"&gt;="&amp;DATE($B$3,4,2),'Leave log'!$F$7:$F$306,"Approved")&gt;0,"A",""))="A","A",IF(OR(DATE($B$3,4,2)&gt;EOMONTH(DATE($B$3,4,1),0),NETWORKDAYS.INTL(DATE($B$3,4,2),DATE($B$3,4,2),1,'Non-working days'!$A$6:$A$45)=0),"",IF(COUNTIFS('Leave log'!$A$7:$A$306,Employees!$A$29,'Leave log'!$B$7:$B$306,"&lt;="&amp;DATE($B$3,4,2),'Leave log'!$C$7:$C$306,"&gt;="&amp;DATE($B$3,4,2),'Leave log'!$F$7:$F$306,"Pending")&gt;0,"P",""))))</f>
        <v/>
      </c>
      <c r="D132" s="23" t="str">
        <f>IF(A132="","",IF(IF(OR(DATE($B$3,4,3)&gt;EOMONTH(DATE($B$3,4,1),0),NETWORKDAYS.INTL(DATE($B$3,4,3),DATE($B$3,4,3),1,'Non-working days'!$A$6:$A$45)=0),"",IF(COUNTIFS('Leave log'!$A$7:$A$306,Employees!$A$29,'Leave log'!$B$7:$B$306,"&lt;="&amp;DATE($B$3,4,3),'Leave log'!$C$7:$C$306,"&gt;="&amp;DATE($B$3,4,3),'Leave log'!$F$7:$F$306,"Approved")&gt;0,"A",""))="A","A",IF(OR(DATE($B$3,4,3)&gt;EOMONTH(DATE($B$3,4,1),0),NETWORKDAYS.INTL(DATE($B$3,4,3),DATE($B$3,4,3),1,'Non-working days'!$A$6:$A$45)=0),"",IF(COUNTIFS('Leave log'!$A$7:$A$306,Employees!$A$29,'Leave log'!$B$7:$B$306,"&lt;="&amp;DATE($B$3,4,3),'Leave log'!$C$7:$C$306,"&gt;="&amp;DATE($B$3,4,3),'Leave log'!$F$7:$F$306,"Pending")&gt;0,"P",""))))</f>
        <v/>
      </c>
      <c r="E132" s="23" t="str">
        <f>IF(A132="","",IF(IF(OR(DATE($B$3,4,4)&gt;EOMONTH(DATE($B$3,4,1),0),NETWORKDAYS.INTL(DATE($B$3,4,4),DATE($B$3,4,4),1,'Non-working days'!$A$6:$A$45)=0),"",IF(COUNTIFS('Leave log'!$A$7:$A$306,Employees!$A$29,'Leave log'!$B$7:$B$306,"&lt;="&amp;DATE($B$3,4,4),'Leave log'!$C$7:$C$306,"&gt;="&amp;DATE($B$3,4,4),'Leave log'!$F$7:$F$306,"Approved")&gt;0,"A",""))="A","A",IF(OR(DATE($B$3,4,4)&gt;EOMONTH(DATE($B$3,4,1),0),NETWORKDAYS.INTL(DATE($B$3,4,4),DATE($B$3,4,4),1,'Non-working days'!$A$6:$A$45)=0),"",IF(COUNTIFS('Leave log'!$A$7:$A$306,Employees!$A$29,'Leave log'!$B$7:$B$306,"&lt;="&amp;DATE($B$3,4,4),'Leave log'!$C$7:$C$306,"&gt;="&amp;DATE($B$3,4,4),'Leave log'!$F$7:$F$306,"Pending")&gt;0,"P",""))))</f>
        <v/>
      </c>
      <c r="F132" s="23" t="str">
        <f>IF(A132="","",IF(IF(OR(DATE($B$3,4,5)&gt;EOMONTH(DATE($B$3,4,1),0),NETWORKDAYS.INTL(DATE($B$3,4,5),DATE($B$3,4,5),1,'Non-working days'!$A$6:$A$45)=0),"",IF(COUNTIFS('Leave log'!$A$7:$A$306,Employees!$A$29,'Leave log'!$B$7:$B$306,"&lt;="&amp;DATE($B$3,4,5),'Leave log'!$C$7:$C$306,"&gt;="&amp;DATE($B$3,4,5),'Leave log'!$F$7:$F$306,"Approved")&gt;0,"A",""))="A","A",IF(OR(DATE($B$3,4,5)&gt;EOMONTH(DATE($B$3,4,1),0),NETWORKDAYS.INTL(DATE($B$3,4,5),DATE($B$3,4,5),1,'Non-working days'!$A$6:$A$45)=0),"",IF(COUNTIFS('Leave log'!$A$7:$A$306,Employees!$A$29,'Leave log'!$B$7:$B$306,"&lt;="&amp;DATE($B$3,4,5),'Leave log'!$C$7:$C$306,"&gt;="&amp;DATE($B$3,4,5),'Leave log'!$F$7:$F$306,"Pending")&gt;0,"P",""))))</f>
        <v/>
      </c>
      <c r="G132" s="23" t="str">
        <f>IF(A132="","",IF(IF(OR(DATE($B$3,4,6)&gt;EOMONTH(DATE($B$3,4,1),0),NETWORKDAYS.INTL(DATE($B$3,4,6),DATE($B$3,4,6),1,'Non-working days'!$A$6:$A$45)=0),"",IF(COUNTIFS('Leave log'!$A$7:$A$306,Employees!$A$29,'Leave log'!$B$7:$B$306,"&lt;="&amp;DATE($B$3,4,6),'Leave log'!$C$7:$C$306,"&gt;="&amp;DATE($B$3,4,6),'Leave log'!$F$7:$F$306,"Approved")&gt;0,"A",""))="A","A",IF(OR(DATE($B$3,4,6)&gt;EOMONTH(DATE($B$3,4,1),0),NETWORKDAYS.INTL(DATE($B$3,4,6),DATE($B$3,4,6),1,'Non-working days'!$A$6:$A$45)=0),"",IF(COUNTIFS('Leave log'!$A$7:$A$306,Employees!$A$29,'Leave log'!$B$7:$B$306,"&lt;="&amp;DATE($B$3,4,6),'Leave log'!$C$7:$C$306,"&gt;="&amp;DATE($B$3,4,6),'Leave log'!$F$7:$F$306,"Pending")&gt;0,"P",""))))</f>
        <v/>
      </c>
      <c r="H132" s="23" t="str">
        <f>IF(A132="","",IF(IF(OR(DATE($B$3,4,7)&gt;EOMONTH(DATE($B$3,4,1),0),NETWORKDAYS.INTL(DATE($B$3,4,7),DATE($B$3,4,7),1,'Non-working days'!$A$6:$A$45)=0),"",IF(COUNTIFS('Leave log'!$A$7:$A$306,Employees!$A$29,'Leave log'!$B$7:$B$306,"&lt;="&amp;DATE($B$3,4,7),'Leave log'!$C$7:$C$306,"&gt;="&amp;DATE($B$3,4,7),'Leave log'!$F$7:$F$306,"Approved")&gt;0,"A",""))="A","A",IF(OR(DATE($B$3,4,7)&gt;EOMONTH(DATE($B$3,4,1),0),NETWORKDAYS.INTL(DATE($B$3,4,7),DATE($B$3,4,7),1,'Non-working days'!$A$6:$A$45)=0),"",IF(COUNTIFS('Leave log'!$A$7:$A$306,Employees!$A$29,'Leave log'!$B$7:$B$306,"&lt;="&amp;DATE($B$3,4,7),'Leave log'!$C$7:$C$306,"&gt;="&amp;DATE($B$3,4,7),'Leave log'!$F$7:$F$306,"Pending")&gt;0,"P",""))))</f>
        <v/>
      </c>
      <c r="I132" s="23" t="str">
        <f>IF(A132="","",IF(IF(OR(DATE($B$3,4,8)&gt;EOMONTH(DATE($B$3,4,1),0),NETWORKDAYS.INTL(DATE($B$3,4,8),DATE($B$3,4,8),1,'Non-working days'!$A$6:$A$45)=0),"",IF(COUNTIFS('Leave log'!$A$7:$A$306,Employees!$A$29,'Leave log'!$B$7:$B$306,"&lt;="&amp;DATE($B$3,4,8),'Leave log'!$C$7:$C$306,"&gt;="&amp;DATE($B$3,4,8),'Leave log'!$F$7:$F$306,"Approved")&gt;0,"A",""))="A","A",IF(OR(DATE($B$3,4,8)&gt;EOMONTH(DATE($B$3,4,1),0),NETWORKDAYS.INTL(DATE($B$3,4,8),DATE($B$3,4,8),1,'Non-working days'!$A$6:$A$45)=0),"",IF(COUNTIFS('Leave log'!$A$7:$A$306,Employees!$A$29,'Leave log'!$B$7:$B$306,"&lt;="&amp;DATE($B$3,4,8),'Leave log'!$C$7:$C$306,"&gt;="&amp;DATE($B$3,4,8),'Leave log'!$F$7:$F$306,"Pending")&gt;0,"P",""))))</f>
        <v/>
      </c>
      <c r="J132" s="23" t="str">
        <f>IF(A132="","",IF(IF(OR(DATE($B$3,4,9)&gt;EOMONTH(DATE($B$3,4,1),0),NETWORKDAYS.INTL(DATE($B$3,4,9),DATE($B$3,4,9),1,'Non-working days'!$A$6:$A$45)=0),"",IF(COUNTIFS('Leave log'!$A$7:$A$306,Employees!$A$29,'Leave log'!$B$7:$B$306,"&lt;="&amp;DATE($B$3,4,9),'Leave log'!$C$7:$C$306,"&gt;="&amp;DATE($B$3,4,9),'Leave log'!$F$7:$F$306,"Approved")&gt;0,"A",""))="A","A",IF(OR(DATE($B$3,4,9)&gt;EOMONTH(DATE($B$3,4,1),0),NETWORKDAYS.INTL(DATE($B$3,4,9),DATE($B$3,4,9),1,'Non-working days'!$A$6:$A$45)=0),"",IF(COUNTIFS('Leave log'!$A$7:$A$306,Employees!$A$29,'Leave log'!$B$7:$B$306,"&lt;="&amp;DATE($B$3,4,9),'Leave log'!$C$7:$C$306,"&gt;="&amp;DATE($B$3,4,9),'Leave log'!$F$7:$F$306,"Pending")&gt;0,"P",""))))</f>
        <v/>
      </c>
      <c r="K132" s="23" t="str">
        <f>IF(A132="","",IF(IF(OR(DATE($B$3,4,10)&gt;EOMONTH(DATE($B$3,4,1),0),NETWORKDAYS.INTL(DATE($B$3,4,10),DATE($B$3,4,10),1,'Non-working days'!$A$6:$A$45)=0),"",IF(COUNTIFS('Leave log'!$A$7:$A$306,Employees!$A$29,'Leave log'!$B$7:$B$306,"&lt;="&amp;DATE($B$3,4,10),'Leave log'!$C$7:$C$306,"&gt;="&amp;DATE($B$3,4,10),'Leave log'!$F$7:$F$306,"Approved")&gt;0,"A",""))="A","A",IF(OR(DATE($B$3,4,10)&gt;EOMONTH(DATE($B$3,4,1),0),NETWORKDAYS.INTL(DATE($B$3,4,10),DATE($B$3,4,10),1,'Non-working days'!$A$6:$A$45)=0),"",IF(COUNTIFS('Leave log'!$A$7:$A$306,Employees!$A$29,'Leave log'!$B$7:$B$306,"&lt;="&amp;DATE($B$3,4,10),'Leave log'!$C$7:$C$306,"&gt;="&amp;DATE($B$3,4,10),'Leave log'!$F$7:$F$306,"Pending")&gt;0,"P",""))))</f>
        <v/>
      </c>
      <c r="L132" s="23" t="str">
        <f>IF(A132="","",IF(IF(OR(DATE($B$3,4,11)&gt;EOMONTH(DATE($B$3,4,1),0),NETWORKDAYS.INTL(DATE($B$3,4,11),DATE($B$3,4,11),1,'Non-working days'!$A$6:$A$45)=0),"",IF(COUNTIFS('Leave log'!$A$7:$A$306,Employees!$A$29,'Leave log'!$B$7:$B$306,"&lt;="&amp;DATE($B$3,4,11),'Leave log'!$C$7:$C$306,"&gt;="&amp;DATE($B$3,4,11),'Leave log'!$F$7:$F$306,"Approved")&gt;0,"A",""))="A","A",IF(OR(DATE($B$3,4,11)&gt;EOMONTH(DATE($B$3,4,1),0),NETWORKDAYS.INTL(DATE($B$3,4,11),DATE($B$3,4,11),1,'Non-working days'!$A$6:$A$45)=0),"",IF(COUNTIFS('Leave log'!$A$7:$A$306,Employees!$A$29,'Leave log'!$B$7:$B$306,"&lt;="&amp;DATE($B$3,4,11),'Leave log'!$C$7:$C$306,"&gt;="&amp;DATE($B$3,4,11),'Leave log'!$F$7:$F$306,"Pending")&gt;0,"P",""))))</f>
        <v/>
      </c>
      <c r="M132" s="23" t="str">
        <f>IF(A132="","",IF(IF(OR(DATE($B$3,4,12)&gt;EOMONTH(DATE($B$3,4,1),0),NETWORKDAYS.INTL(DATE($B$3,4,12),DATE($B$3,4,12),1,'Non-working days'!$A$6:$A$45)=0),"",IF(COUNTIFS('Leave log'!$A$7:$A$306,Employees!$A$29,'Leave log'!$B$7:$B$306,"&lt;="&amp;DATE($B$3,4,12),'Leave log'!$C$7:$C$306,"&gt;="&amp;DATE($B$3,4,12),'Leave log'!$F$7:$F$306,"Approved")&gt;0,"A",""))="A","A",IF(OR(DATE($B$3,4,12)&gt;EOMONTH(DATE($B$3,4,1),0),NETWORKDAYS.INTL(DATE($B$3,4,12),DATE($B$3,4,12),1,'Non-working days'!$A$6:$A$45)=0),"",IF(COUNTIFS('Leave log'!$A$7:$A$306,Employees!$A$29,'Leave log'!$B$7:$B$306,"&lt;="&amp;DATE($B$3,4,12),'Leave log'!$C$7:$C$306,"&gt;="&amp;DATE($B$3,4,12),'Leave log'!$F$7:$F$306,"Pending")&gt;0,"P",""))))</f>
        <v/>
      </c>
      <c r="N132" s="23" t="str">
        <f>IF(A132="","",IF(IF(OR(DATE($B$3,4,13)&gt;EOMONTH(DATE($B$3,4,1),0),NETWORKDAYS.INTL(DATE($B$3,4,13),DATE($B$3,4,13),1,'Non-working days'!$A$6:$A$45)=0),"",IF(COUNTIFS('Leave log'!$A$7:$A$306,Employees!$A$29,'Leave log'!$B$7:$B$306,"&lt;="&amp;DATE($B$3,4,13),'Leave log'!$C$7:$C$306,"&gt;="&amp;DATE($B$3,4,13),'Leave log'!$F$7:$F$306,"Approved")&gt;0,"A",""))="A","A",IF(OR(DATE($B$3,4,13)&gt;EOMONTH(DATE($B$3,4,1),0),NETWORKDAYS.INTL(DATE($B$3,4,13),DATE($B$3,4,13),1,'Non-working days'!$A$6:$A$45)=0),"",IF(COUNTIFS('Leave log'!$A$7:$A$306,Employees!$A$29,'Leave log'!$B$7:$B$306,"&lt;="&amp;DATE($B$3,4,13),'Leave log'!$C$7:$C$306,"&gt;="&amp;DATE($B$3,4,13),'Leave log'!$F$7:$F$306,"Pending")&gt;0,"P",""))))</f>
        <v/>
      </c>
      <c r="O132" s="23" t="str">
        <f>IF(A132="","",IF(IF(OR(DATE($B$3,4,14)&gt;EOMONTH(DATE($B$3,4,1),0),NETWORKDAYS.INTL(DATE($B$3,4,14),DATE($B$3,4,14),1,'Non-working days'!$A$6:$A$45)=0),"",IF(COUNTIFS('Leave log'!$A$7:$A$306,Employees!$A$29,'Leave log'!$B$7:$B$306,"&lt;="&amp;DATE($B$3,4,14),'Leave log'!$C$7:$C$306,"&gt;="&amp;DATE($B$3,4,14),'Leave log'!$F$7:$F$306,"Approved")&gt;0,"A",""))="A","A",IF(OR(DATE($B$3,4,14)&gt;EOMONTH(DATE($B$3,4,1),0),NETWORKDAYS.INTL(DATE($B$3,4,14),DATE($B$3,4,14),1,'Non-working days'!$A$6:$A$45)=0),"",IF(COUNTIFS('Leave log'!$A$7:$A$306,Employees!$A$29,'Leave log'!$B$7:$B$306,"&lt;="&amp;DATE($B$3,4,14),'Leave log'!$C$7:$C$306,"&gt;="&amp;DATE($B$3,4,14),'Leave log'!$F$7:$F$306,"Pending")&gt;0,"P",""))))</f>
        <v/>
      </c>
      <c r="P132" s="23" t="str">
        <f>IF(A132="","",IF(IF(OR(DATE($B$3,4,15)&gt;EOMONTH(DATE($B$3,4,1),0),NETWORKDAYS.INTL(DATE($B$3,4,15),DATE($B$3,4,15),1,'Non-working days'!$A$6:$A$45)=0),"",IF(COUNTIFS('Leave log'!$A$7:$A$306,Employees!$A$29,'Leave log'!$B$7:$B$306,"&lt;="&amp;DATE($B$3,4,15),'Leave log'!$C$7:$C$306,"&gt;="&amp;DATE($B$3,4,15),'Leave log'!$F$7:$F$306,"Approved")&gt;0,"A",""))="A","A",IF(OR(DATE($B$3,4,15)&gt;EOMONTH(DATE($B$3,4,1),0),NETWORKDAYS.INTL(DATE($B$3,4,15),DATE($B$3,4,15),1,'Non-working days'!$A$6:$A$45)=0),"",IF(COUNTIFS('Leave log'!$A$7:$A$306,Employees!$A$29,'Leave log'!$B$7:$B$306,"&lt;="&amp;DATE($B$3,4,15),'Leave log'!$C$7:$C$306,"&gt;="&amp;DATE($B$3,4,15),'Leave log'!$F$7:$F$306,"Pending")&gt;0,"P",""))))</f>
        <v/>
      </c>
      <c r="Q132" s="23" t="str">
        <f>IF(A132="","",IF(IF(OR(DATE($B$3,4,16)&gt;EOMONTH(DATE($B$3,4,1),0),NETWORKDAYS.INTL(DATE($B$3,4,16),DATE($B$3,4,16),1,'Non-working days'!$A$6:$A$45)=0),"",IF(COUNTIFS('Leave log'!$A$7:$A$306,Employees!$A$29,'Leave log'!$B$7:$B$306,"&lt;="&amp;DATE($B$3,4,16),'Leave log'!$C$7:$C$306,"&gt;="&amp;DATE($B$3,4,16),'Leave log'!$F$7:$F$306,"Approved")&gt;0,"A",""))="A","A",IF(OR(DATE($B$3,4,16)&gt;EOMONTH(DATE($B$3,4,1),0),NETWORKDAYS.INTL(DATE($B$3,4,16),DATE($B$3,4,16),1,'Non-working days'!$A$6:$A$45)=0),"",IF(COUNTIFS('Leave log'!$A$7:$A$306,Employees!$A$29,'Leave log'!$B$7:$B$306,"&lt;="&amp;DATE($B$3,4,16),'Leave log'!$C$7:$C$306,"&gt;="&amp;DATE($B$3,4,16),'Leave log'!$F$7:$F$306,"Pending")&gt;0,"P",""))))</f>
        <v/>
      </c>
      <c r="R132" s="23" t="str">
        <f>IF(A132="","",IF(IF(OR(DATE($B$3,4,17)&gt;EOMONTH(DATE($B$3,4,1),0),NETWORKDAYS.INTL(DATE($B$3,4,17),DATE($B$3,4,17),1,'Non-working days'!$A$6:$A$45)=0),"",IF(COUNTIFS('Leave log'!$A$7:$A$306,Employees!$A$29,'Leave log'!$B$7:$B$306,"&lt;="&amp;DATE($B$3,4,17),'Leave log'!$C$7:$C$306,"&gt;="&amp;DATE($B$3,4,17),'Leave log'!$F$7:$F$306,"Approved")&gt;0,"A",""))="A","A",IF(OR(DATE($B$3,4,17)&gt;EOMONTH(DATE($B$3,4,1),0),NETWORKDAYS.INTL(DATE($B$3,4,17),DATE($B$3,4,17),1,'Non-working days'!$A$6:$A$45)=0),"",IF(COUNTIFS('Leave log'!$A$7:$A$306,Employees!$A$29,'Leave log'!$B$7:$B$306,"&lt;="&amp;DATE($B$3,4,17),'Leave log'!$C$7:$C$306,"&gt;="&amp;DATE($B$3,4,17),'Leave log'!$F$7:$F$306,"Pending")&gt;0,"P",""))))</f>
        <v/>
      </c>
      <c r="S132" s="23" t="str">
        <f>IF(A132="","",IF(IF(OR(DATE($B$3,4,18)&gt;EOMONTH(DATE($B$3,4,1),0),NETWORKDAYS.INTL(DATE($B$3,4,18),DATE($B$3,4,18),1,'Non-working days'!$A$6:$A$45)=0),"",IF(COUNTIFS('Leave log'!$A$7:$A$306,Employees!$A$29,'Leave log'!$B$7:$B$306,"&lt;="&amp;DATE($B$3,4,18),'Leave log'!$C$7:$C$306,"&gt;="&amp;DATE($B$3,4,18),'Leave log'!$F$7:$F$306,"Approved")&gt;0,"A",""))="A","A",IF(OR(DATE($B$3,4,18)&gt;EOMONTH(DATE($B$3,4,1),0),NETWORKDAYS.INTL(DATE($B$3,4,18),DATE($B$3,4,18),1,'Non-working days'!$A$6:$A$45)=0),"",IF(COUNTIFS('Leave log'!$A$7:$A$306,Employees!$A$29,'Leave log'!$B$7:$B$306,"&lt;="&amp;DATE($B$3,4,18),'Leave log'!$C$7:$C$306,"&gt;="&amp;DATE($B$3,4,18),'Leave log'!$F$7:$F$306,"Pending")&gt;0,"P",""))))</f>
        <v/>
      </c>
      <c r="T132" s="23" t="str">
        <f>IF(A132="","",IF(IF(OR(DATE($B$3,4,19)&gt;EOMONTH(DATE($B$3,4,1),0),NETWORKDAYS.INTL(DATE($B$3,4,19),DATE($B$3,4,19),1,'Non-working days'!$A$6:$A$45)=0),"",IF(COUNTIFS('Leave log'!$A$7:$A$306,Employees!$A$29,'Leave log'!$B$7:$B$306,"&lt;="&amp;DATE($B$3,4,19),'Leave log'!$C$7:$C$306,"&gt;="&amp;DATE($B$3,4,19),'Leave log'!$F$7:$F$306,"Approved")&gt;0,"A",""))="A","A",IF(OR(DATE($B$3,4,19)&gt;EOMONTH(DATE($B$3,4,1),0),NETWORKDAYS.INTL(DATE($B$3,4,19),DATE($B$3,4,19),1,'Non-working days'!$A$6:$A$45)=0),"",IF(COUNTIFS('Leave log'!$A$7:$A$306,Employees!$A$29,'Leave log'!$B$7:$B$306,"&lt;="&amp;DATE($B$3,4,19),'Leave log'!$C$7:$C$306,"&gt;="&amp;DATE($B$3,4,19),'Leave log'!$F$7:$F$306,"Pending")&gt;0,"P",""))))</f>
        <v/>
      </c>
      <c r="U132" s="23" t="str">
        <f>IF(A132="","",IF(IF(OR(DATE($B$3,4,20)&gt;EOMONTH(DATE($B$3,4,1),0),NETWORKDAYS.INTL(DATE($B$3,4,20),DATE($B$3,4,20),1,'Non-working days'!$A$6:$A$45)=0),"",IF(COUNTIFS('Leave log'!$A$7:$A$306,Employees!$A$29,'Leave log'!$B$7:$B$306,"&lt;="&amp;DATE($B$3,4,20),'Leave log'!$C$7:$C$306,"&gt;="&amp;DATE($B$3,4,20),'Leave log'!$F$7:$F$306,"Approved")&gt;0,"A",""))="A","A",IF(OR(DATE($B$3,4,20)&gt;EOMONTH(DATE($B$3,4,1),0),NETWORKDAYS.INTL(DATE($B$3,4,20),DATE($B$3,4,20),1,'Non-working days'!$A$6:$A$45)=0),"",IF(COUNTIFS('Leave log'!$A$7:$A$306,Employees!$A$29,'Leave log'!$B$7:$B$306,"&lt;="&amp;DATE($B$3,4,20),'Leave log'!$C$7:$C$306,"&gt;="&amp;DATE($B$3,4,20),'Leave log'!$F$7:$F$306,"Pending")&gt;0,"P",""))))</f>
        <v/>
      </c>
      <c r="V132" s="23" t="str">
        <f>IF(A132="","",IF(IF(OR(DATE($B$3,4,21)&gt;EOMONTH(DATE($B$3,4,1),0),NETWORKDAYS.INTL(DATE($B$3,4,21),DATE($B$3,4,21),1,'Non-working days'!$A$6:$A$45)=0),"",IF(COUNTIFS('Leave log'!$A$7:$A$306,Employees!$A$29,'Leave log'!$B$7:$B$306,"&lt;="&amp;DATE($B$3,4,21),'Leave log'!$C$7:$C$306,"&gt;="&amp;DATE($B$3,4,21),'Leave log'!$F$7:$F$306,"Approved")&gt;0,"A",""))="A","A",IF(OR(DATE($B$3,4,21)&gt;EOMONTH(DATE($B$3,4,1),0),NETWORKDAYS.INTL(DATE($B$3,4,21),DATE($B$3,4,21),1,'Non-working days'!$A$6:$A$45)=0),"",IF(COUNTIFS('Leave log'!$A$7:$A$306,Employees!$A$29,'Leave log'!$B$7:$B$306,"&lt;="&amp;DATE($B$3,4,21),'Leave log'!$C$7:$C$306,"&gt;="&amp;DATE($B$3,4,21),'Leave log'!$F$7:$F$306,"Pending")&gt;0,"P",""))))</f>
        <v/>
      </c>
      <c r="W132" s="23" t="str">
        <f>IF(A132="","",IF(IF(OR(DATE($B$3,4,22)&gt;EOMONTH(DATE($B$3,4,1),0),NETWORKDAYS.INTL(DATE($B$3,4,22),DATE($B$3,4,22),1,'Non-working days'!$A$6:$A$45)=0),"",IF(COUNTIFS('Leave log'!$A$7:$A$306,Employees!$A$29,'Leave log'!$B$7:$B$306,"&lt;="&amp;DATE($B$3,4,22),'Leave log'!$C$7:$C$306,"&gt;="&amp;DATE($B$3,4,22),'Leave log'!$F$7:$F$306,"Approved")&gt;0,"A",""))="A","A",IF(OR(DATE($B$3,4,22)&gt;EOMONTH(DATE($B$3,4,1),0),NETWORKDAYS.INTL(DATE($B$3,4,22),DATE($B$3,4,22),1,'Non-working days'!$A$6:$A$45)=0),"",IF(COUNTIFS('Leave log'!$A$7:$A$306,Employees!$A$29,'Leave log'!$B$7:$B$306,"&lt;="&amp;DATE($B$3,4,22),'Leave log'!$C$7:$C$306,"&gt;="&amp;DATE($B$3,4,22),'Leave log'!$F$7:$F$306,"Pending")&gt;0,"P",""))))</f>
        <v/>
      </c>
      <c r="X132" s="23" t="str">
        <f>IF(A132="","",IF(IF(OR(DATE($B$3,4,23)&gt;EOMONTH(DATE($B$3,4,1),0),NETWORKDAYS.INTL(DATE($B$3,4,23),DATE($B$3,4,23),1,'Non-working days'!$A$6:$A$45)=0),"",IF(COUNTIFS('Leave log'!$A$7:$A$306,Employees!$A$29,'Leave log'!$B$7:$B$306,"&lt;="&amp;DATE($B$3,4,23),'Leave log'!$C$7:$C$306,"&gt;="&amp;DATE($B$3,4,23),'Leave log'!$F$7:$F$306,"Approved")&gt;0,"A",""))="A","A",IF(OR(DATE($B$3,4,23)&gt;EOMONTH(DATE($B$3,4,1),0),NETWORKDAYS.INTL(DATE($B$3,4,23),DATE($B$3,4,23),1,'Non-working days'!$A$6:$A$45)=0),"",IF(COUNTIFS('Leave log'!$A$7:$A$306,Employees!$A$29,'Leave log'!$B$7:$B$306,"&lt;="&amp;DATE($B$3,4,23),'Leave log'!$C$7:$C$306,"&gt;="&amp;DATE($B$3,4,23),'Leave log'!$F$7:$F$306,"Pending")&gt;0,"P",""))))</f>
        <v/>
      </c>
      <c r="Y132" s="23" t="str">
        <f>IF(A132="","",IF(IF(OR(DATE($B$3,4,24)&gt;EOMONTH(DATE($B$3,4,1),0),NETWORKDAYS.INTL(DATE($B$3,4,24),DATE($B$3,4,24),1,'Non-working days'!$A$6:$A$45)=0),"",IF(COUNTIFS('Leave log'!$A$7:$A$306,Employees!$A$29,'Leave log'!$B$7:$B$306,"&lt;="&amp;DATE($B$3,4,24),'Leave log'!$C$7:$C$306,"&gt;="&amp;DATE($B$3,4,24),'Leave log'!$F$7:$F$306,"Approved")&gt;0,"A",""))="A","A",IF(OR(DATE($B$3,4,24)&gt;EOMONTH(DATE($B$3,4,1),0),NETWORKDAYS.INTL(DATE($B$3,4,24),DATE($B$3,4,24),1,'Non-working days'!$A$6:$A$45)=0),"",IF(COUNTIFS('Leave log'!$A$7:$A$306,Employees!$A$29,'Leave log'!$B$7:$B$306,"&lt;="&amp;DATE($B$3,4,24),'Leave log'!$C$7:$C$306,"&gt;="&amp;DATE($B$3,4,24),'Leave log'!$F$7:$F$306,"Pending")&gt;0,"P",""))))</f>
        <v/>
      </c>
      <c r="Z132" s="23" t="str">
        <f>IF(A132="","",IF(IF(OR(DATE($B$3,4,25)&gt;EOMONTH(DATE($B$3,4,1),0),NETWORKDAYS.INTL(DATE($B$3,4,25),DATE($B$3,4,25),1,'Non-working days'!$A$6:$A$45)=0),"",IF(COUNTIFS('Leave log'!$A$7:$A$306,Employees!$A$29,'Leave log'!$B$7:$B$306,"&lt;="&amp;DATE($B$3,4,25),'Leave log'!$C$7:$C$306,"&gt;="&amp;DATE($B$3,4,25),'Leave log'!$F$7:$F$306,"Approved")&gt;0,"A",""))="A","A",IF(OR(DATE($B$3,4,25)&gt;EOMONTH(DATE($B$3,4,1),0),NETWORKDAYS.INTL(DATE($B$3,4,25),DATE($B$3,4,25),1,'Non-working days'!$A$6:$A$45)=0),"",IF(COUNTIFS('Leave log'!$A$7:$A$306,Employees!$A$29,'Leave log'!$B$7:$B$306,"&lt;="&amp;DATE($B$3,4,25),'Leave log'!$C$7:$C$306,"&gt;="&amp;DATE($B$3,4,25),'Leave log'!$F$7:$F$306,"Pending")&gt;0,"P",""))))</f>
        <v/>
      </c>
      <c r="AA132" s="23" t="str">
        <f>IF(A132="","",IF(IF(OR(DATE($B$3,4,26)&gt;EOMONTH(DATE($B$3,4,1),0),NETWORKDAYS.INTL(DATE($B$3,4,26),DATE($B$3,4,26),1,'Non-working days'!$A$6:$A$45)=0),"",IF(COUNTIFS('Leave log'!$A$7:$A$306,Employees!$A$29,'Leave log'!$B$7:$B$306,"&lt;="&amp;DATE($B$3,4,26),'Leave log'!$C$7:$C$306,"&gt;="&amp;DATE($B$3,4,26),'Leave log'!$F$7:$F$306,"Approved")&gt;0,"A",""))="A","A",IF(OR(DATE($B$3,4,26)&gt;EOMONTH(DATE($B$3,4,1),0),NETWORKDAYS.INTL(DATE($B$3,4,26),DATE($B$3,4,26),1,'Non-working days'!$A$6:$A$45)=0),"",IF(COUNTIFS('Leave log'!$A$7:$A$306,Employees!$A$29,'Leave log'!$B$7:$B$306,"&lt;="&amp;DATE($B$3,4,26),'Leave log'!$C$7:$C$306,"&gt;="&amp;DATE($B$3,4,26),'Leave log'!$F$7:$F$306,"Pending")&gt;0,"P",""))))</f>
        <v/>
      </c>
      <c r="AB132" s="23" t="str">
        <f>IF(A132="","",IF(IF(OR(DATE($B$3,4,27)&gt;EOMONTH(DATE($B$3,4,1),0),NETWORKDAYS.INTL(DATE($B$3,4,27),DATE($B$3,4,27),1,'Non-working days'!$A$6:$A$45)=0),"",IF(COUNTIFS('Leave log'!$A$7:$A$306,Employees!$A$29,'Leave log'!$B$7:$B$306,"&lt;="&amp;DATE($B$3,4,27),'Leave log'!$C$7:$C$306,"&gt;="&amp;DATE($B$3,4,27),'Leave log'!$F$7:$F$306,"Approved")&gt;0,"A",""))="A","A",IF(OR(DATE($B$3,4,27)&gt;EOMONTH(DATE($B$3,4,1),0),NETWORKDAYS.INTL(DATE($B$3,4,27),DATE($B$3,4,27),1,'Non-working days'!$A$6:$A$45)=0),"",IF(COUNTIFS('Leave log'!$A$7:$A$306,Employees!$A$29,'Leave log'!$B$7:$B$306,"&lt;="&amp;DATE($B$3,4,27),'Leave log'!$C$7:$C$306,"&gt;="&amp;DATE($B$3,4,27),'Leave log'!$F$7:$F$306,"Pending")&gt;0,"P",""))))</f>
        <v/>
      </c>
      <c r="AC132" s="23" t="str">
        <f>IF(A132="","",IF(IF(OR(DATE($B$3,4,28)&gt;EOMONTH(DATE($B$3,4,1),0),NETWORKDAYS.INTL(DATE($B$3,4,28),DATE($B$3,4,28),1,'Non-working days'!$A$6:$A$45)=0),"",IF(COUNTIFS('Leave log'!$A$7:$A$306,Employees!$A$29,'Leave log'!$B$7:$B$306,"&lt;="&amp;DATE($B$3,4,28),'Leave log'!$C$7:$C$306,"&gt;="&amp;DATE($B$3,4,28),'Leave log'!$F$7:$F$306,"Approved")&gt;0,"A",""))="A","A",IF(OR(DATE($B$3,4,28)&gt;EOMONTH(DATE($B$3,4,1),0),NETWORKDAYS.INTL(DATE($B$3,4,28),DATE($B$3,4,28),1,'Non-working days'!$A$6:$A$45)=0),"",IF(COUNTIFS('Leave log'!$A$7:$A$306,Employees!$A$29,'Leave log'!$B$7:$B$306,"&lt;="&amp;DATE($B$3,4,28),'Leave log'!$C$7:$C$306,"&gt;="&amp;DATE($B$3,4,28),'Leave log'!$F$7:$F$306,"Pending")&gt;0,"P",""))))</f>
        <v/>
      </c>
      <c r="AD132" s="23" t="str">
        <f>IF(A132="","",IF(IF(OR(DATE($B$3,4,29)&gt;EOMONTH(DATE($B$3,4,1),0),NETWORKDAYS.INTL(DATE($B$3,4,29),DATE($B$3,4,29),1,'Non-working days'!$A$6:$A$45)=0),"",IF(COUNTIFS('Leave log'!$A$7:$A$306,Employees!$A$29,'Leave log'!$B$7:$B$306,"&lt;="&amp;DATE($B$3,4,29),'Leave log'!$C$7:$C$306,"&gt;="&amp;DATE($B$3,4,29),'Leave log'!$F$7:$F$306,"Approved")&gt;0,"A",""))="A","A",IF(OR(DATE($B$3,4,29)&gt;EOMONTH(DATE($B$3,4,1),0),NETWORKDAYS.INTL(DATE($B$3,4,29),DATE($B$3,4,29),1,'Non-working days'!$A$6:$A$45)=0),"",IF(COUNTIFS('Leave log'!$A$7:$A$306,Employees!$A$29,'Leave log'!$B$7:$B$306,"&lt;="&amp;DATE($B$3,4,29),'Leave log'!$C$7:$C$306,"&gt;="&amp;DATE($B$3,4,29),'Leave log'!$F$7:$F$306,"Pending")&gt;0,"P",""))))</f>
        <v/>
      </c>
      <c r="AE132" s="23" t="str">
        <f>IF(A132="","",IF(IF(OR(DATE($B$3,4,30)&gt;EOMONTH(DATE($B$3,4,1),0),NETWORKDAYS.INTL(DATE($B$3,4,30),DATE($B$3,4,30),1,'Non-working days'!$A$6:$A$45)=0),"",IF(COUNTIFS('Leave log'!$A$7:$A$306,Employees!$A$29,'Leave log'!$B$7:$B$306,"&lt;="&amp;DATE($B$3,4,30),'Leave log'!$C$7:$C$306,"&gt;="&amp;DATE($B$3,4,30),'Leave log'!$F$7:$F$306,"Approved")&gt;0,"A",""))="A","A",IF(OR(DATE($B$3,4,30)&gt;EOMONTH(DATE($B$3,4,1),0),NETWORKDAYS.INTL(DATE($B$3,4,30),DATE($B$3,4,30),1,'Non-working days'!$A$6:$A$45)=0),"",IF(COUNTIFS('Leave log'!$A$7:$A$306,Employees!$A$29,'Leave log'!$B$7:$B$306,"&lt;="&amp;DATE($B$3,4,30),'Leave log'!$C$7:$C$306,"&gt;="&amp;DATE($B$3,4,30),'Leave log'!$F$7:$F$306,"Pending")&gt;0,"P",""))))</f>
        <v/>
      </c>
      <c r="AF132" s="23" t="str">
        <f>IF(A132="","",IF(IF(OR(DATE($B$3,4,31)&gt;EOMONTH(DATE($B$3,4,1),0),NETWORKDAYS.INTL(DATE($B$3,4,31),DATE($B$3,4,31),1,'Non-working days'!$A$6:$A$45)=0),"",IF(COUNTIFS('Leave log'!$A$7:$A$306,Employees!$A$29,'Leave log'!$B$7:$B$306,"&lt;="&amp;DATE($B$3,4,31),'Leave log'!$C$7:$C$306,"&gt;="&amp;DATE($B$3,4,31),'Leave log'!$F$7:$F$306,"Approved")&gt;0,"A",""))="A","A",IF(OR(DATE($B$3,4,31)&gt;EOMONTH(DATE($B$3,4,1),0),NETWORKDAYS.INTL(DATE($B$3,4,31),DATE($B$3,4,31),1,'Non-working days'!$A$6:$A$45)=0),"",IF(COUNTIFS('Leave log'!$A$7:$A$306,Employees!$A$29,'Leave log'!$B$7:$B$306,"&lt;="&amp;DATE($B$3,4,31),'Leave log'!$C$7:$C$306,"&gt;="&amp;DATE($B$3,4,31),'Leave log'!$F$7:$F$306,"Pending")&gt;0,"P",""))))</f>
        <v/>
      </c>
    </row>
    <row r="133" spans="1:32" ht="18" customHeight="1" x14ac:dyDescent="0.3">
      <c r="A133" s="22" t="str">
        <f>IF(Employees!F30="Yes",Employees!B30,"")</f>
        <v/>
      </c>
      <c r="B133" s="23" t="str">
        <f>IF(A133="","",IF(IF(OR(DATE($B$3,4,1)&gt;EOMONTH(DATE($B$3,4,1),0),NETWORKDAYS.INTL(DATE($B$3,4,1),DATE($B$3,4,1),1,'Non-working days'!$A$6:$A$45)=0),"",IF(COUNTIFS('Leave log'!$A$7:$A$306,Employees!$A$30,'Leave log'!$B$7:$B$306,"&lt;="&amp;DATE($B$3,4,1),'Leave log'!$C$7:$C$306,"&gt;="&amp;DATE($B$3,4,1),'Leave log'!$F$7:$F$306,"Approved")&gt;0,"A",""))="A","A",IF(OR(DATE($B$3,4,1)&gt;EOMONTH(DATE($B$3,4,1),0),NETWORKDAYS.INTL(DATE($B$3,4,1),DATE($B$3,4,1),1,'Non-working days'!$A$6:$A$45)=0),"",IF(COUNTIFS('Leave log'!$A$7:$A$306,Employees!$A$30,'Leave log'!$B$7:$B$306,"&lt;="&amp;DATE($B$3,4,1),'Leave log'!$C$7:$C$306,"&gt;="&amp;DATE($B$3,4,1),'Leave log'!$F$7:$F$306,"Pending")&gt;0,"P",""))))</f>
        <v/>
      </c>
      <c r="C133" s="23" t="str">
        <f>IF(A133="","",IF(IF(OR(DATE($B$3,4,2)&gt;EOMONTH(DATE($B$3,4,1),0),NETWORKDAYS.INTL(DATE($B$3,4,2),DATE($B$3,4,2),1,'Non-working days'!$A$6:$A$45)=0),"",IF(COUNTIFS('Leave log'!$A$7:$A$306,Employees!$A$30,'Leave log'!$B$7:$B$306,"&lt;="&amp;DATE($B$3,4,2),'Leave log'!$C$7:$C$306,"&gt;="&amp;DATE($B$3,4,2),'Leave log'!$F$7:$F$306,"Approved")&gt;0,"A",""))="A","A",IF(OR(DATE($B$3,4,2)&gt;EOMONTH(DATE($B$3,4,1),0),NETWORKDAYS.INTL(DATE($B$3,4,2),DATE($B$3,4,2),1,'Non-working days'!$A$6:$A$45)=0),"",IF(COUNTIFS('Leave log'!$A$7:$A$306,Employees!$A$30,'Leave log'!$B$7:$B$306,"&lt;="&amp;DATE($B$3,4,2),'Leave log'!$C$7:$C$306,"&gt;="&amp;DATE($B$3,4,2),'Leave log'!$F$7:$F$306,"Pending")&gt;0,"P",""))))</f>
        <v/>
      </c>
      <c r="D133" s="23" t="str">
        <f>IF(A133="","",IF(IF(OR(DATE($B$3,4,3)&gt;EOMONTH(DATE($B$3,4,1),0),NETWORKDAYS.INTL(DATE($B$3,4,3),DATE($B$3,4,3),1,'Non-working days'!$A$6:$A$45)=0),"",IF(COUNTIFS('Leave log'!$A$7:$A$306,Employees!$A$30,'Leave log'!$B$7:$B$306,"&lt;="&amp;DATE($B$3,4,3),'Leave log'!$C$7:$C$306,"&gt;="&amp;DATE($B$3,4,3),'Leave log'!$F$7:$F$306,"Approved")&gt;0,"A",""))="A","A",IF(OR(DATE($B$3,4,3)&gt;EOMONTH(DATE($B$3,4,1),0),NETWORKDAYS.INTL(DATE($B$3,4,3),DATE($B$3,4,3),1,'Non-working days'!$A$6:$A$45)=0),"",IF(COUNTIFS('Leave log'!$A$7:$A$306,Employees!$A$30,'Leave log'!$B$7:$B$306,"&lt;="&amp;DATE($B$3,4,3),'Leave log'!$C$7:$C$306,"&gt;="&amp;DATE($B$3,4,3),'Leave log'!$F$7:$F$306,"Pending")&gt;0,"P",""))))</f>
        <v/>
      </c>
      <c r="E133" s="23" t="str">
        <f>IF(A133="","",IF(IF(OR(DATE($B$3,4,4)&gt;EOMONTH(DATE($B$3,4,1),0),NETWORKDAYS.INTL(DATE($B$3,4,4),DATE($B$3,4,4),1,'Non-working days'!$A$6:$A$45)=0),"",IF(COUNTIFS('Leave log'!$A$7:$A$306,Employees!$A$30,'Leave log'!$B$7:$B$306,"&lt;="&amp;DATE($B$3,4,4),'Leave log'!$C$7:$C$306,"&gt;="&amp;DATE($B$3,4,4),'Leave log'!$F$7:$F$306,"Approved")&gt;0,"A",""))="A","A",IF(OR(DATE($B$3,4,4)&gt;EOMONTH(DATE($B$3,4,1),0),NETWORKDAYS.INTL(DATE($B$3,4,4),DATE($B$3,4,4),1,'Non-working days'!$A$6:$A$45)=0),"",IF(COUNTIFS('Leave log'!$A$7:$A$306,Employees!$A$30,'Leave log'!$B$7:$B$306,"&lt;="&amp;DATE($B$3,4,4),'Leave log'!$C$7:$C$306,"&gt;="&amp;DATE($B$3,4,4),'Leave log'!$F$7:$F$306,"Pending")&gt;0,"P",""))))</f>
        <v/>
      </c>
      <c r="F133" s="23" t="str">
        <f>IF(A133="","",IF(IF(OR(DATE($B$3,4,5)&gt;EOMONTH(DATE($B$3,4,1),0),NETWORKDAYS.INTL(DATE($B$3,4,5),DATE($B$3,4,5),1,'Non-working days'!$A$6:$A$45)=0),"",IF(COUNTIFS('Leave log'!$A$7:$A$306,Employees!$A$30,'Leave log'!$B$7:$B$306,"&lt;="&amp;DATE($B$3,4,5),'Leave log'!$C$7:$C$306,"&gt;="&amp;DATE($B$3,4,5),'Leave log'!$F$7:$F$306,"Approved")&gt;0,"A",""))="A","A",IF(OR(DATE($B$3,4,5)&gt;EOMONTH(DATE($B$3,4,1),0),NETWORKDAYS.INTL(DATE($B$3,4,5),DATE($B$3,4,5),1,'Non-working days'!$A$6:$A$45)=0),"",IF(COUNTIFS('Leave log'!$A$7:$A$306,Employees!$A$30,'Leave log'!$B$7:$B$306,"&lt;="&amp;DATE($B$3,4,5),'Leave log'!$C$7:$C$306,"&gt;="&amp;DATE($B$3,4,5),'Leave log'!$F$7:$F$306,"Pending")&gt;0,"P",""))))</f>
        <v/>
      </c>
      <c r="G133" s="23" t="str">
        <f>IF(A133="","",IF(IF(OR(DATE($B$3,4,6)&gt;EOMONTH(DATE($B$3,4,1),0),NETWORKDAYS.INTL(DATE($B$3,4,6),DATE($B$3,4,6),1,'Non-working days'!$A$6:$A$45)=0),"",IF(COUNTIFS('Leave log'!$A$7:$A$306,Employees!$A$30,'Leave log'!$B$7:$B$306,"&lt;="&amp;DATE($B$3,4,6),'Leave log'!$C$7:$C$306,"&gt;="&amp;DATE($B$3,4,6),'Leave log'!$F$7:$F$306,"Approved")&gt;0,"A",""))="A","A",IF(OR(DATE($B$3,4,6)&gt;EOMONTH(DATE($B$3,4,1),0),NETWORKDAYS.INTL(DATE($B$3,4,6),DATE($B$3,4,6),1,'Non-working days'!$A$6:$A$45)=0),"",IF(COUNTIFS('Leave log'!$A$7:$A$306,Employees!$A$30,'Leave log'!$B$7:$B$306,"&lt;="&amp;DATE($B$3,4,6),'Leave log'!$C$7:$C$306,"&gt;="&amp;DATE($B$3,4,6),'Leave log'!$F$7:$F$306,"Pending")&gt;0,"P",""))))</f>
        <v/>
      </c>
      <c r="H133" s="23" t="str">
        <f>IF(A133="","",IF(IF(OR(DATE($B$3,4,7)&gt;EOMONTH(DATE($B$3,4,1),0),NETWORKDAYS.INTL(DATE($B$3,4,7),DATE($B$3,4,7),1,'Non-working days'!$A$6:$A$45)=0),"",IF(COUNTIFS('Leave log'!$A$7:$A$306,Employees!$A$30,'Leave log'!$B$7:$B$306,"&lt;="&amp;DATE($B$3,4,7),'Leave log'!$C$7:$C$306,"&gt;="&amp;DATE($B$3,4,7),'Leave log'!$F$7:$F$306,"Approved")&gt;0,"A",""))="A","A",IF(OR(DATE($B$3,4,7)&gt;EOMONTH(DATE($B$3,4,1),0),NETWORKDAYS.INTL(DATE($B$3,4,7),DATE($B$3,4,7),1,'Non-working days'!$A$6:$A$45)=0),"",IF(COUNTIFS('Leave log'!$A$7:$A$306,Employees!$A$30,'Leave log'!$B$7:$B$306,"&lt;="&amp;DATE($B$3,4,7),'Leave log'!$C$7:$C$306,"&gt;="&amp;DATE($B$3,4,7),'Leave log'!$F$7:$F$306,"Pending")&gt;0,"P",""))))</f>
        <v/>
      </c>
      <c r="I133" s="23" t="str">
        <f>IF(A133="","",IF(IF(OR(DATE($B$3,4,8)&gt;EOMONTH(DATE($B$3,4,1),0),NETWORKDAYS.INTL(DATE($B$3,4,8),DATE($B$3,4,8),1,'Non-working days'!$A$6:$A$45)=0),"",IF(COUNTIFS('Leave log'!$A$7:$A$306,Employees!$A$30,'Leave log'!$B$7:$B$306,"&lt;="&amp;DATE($B$3,4,8),'Leave log'!$C$7:$C$306,"&gt;="&amp;DATE($B$3,4,8),'Leave log'!$F$7:$F$306,"Approved")&gt;0,"A",""))="A","A",IF(OR(DATE($B$3,4,8)&gt;EOMONTH(DATE($B$3,4,1),0),NETWORKDAYS.INTL(DATE($B$3,4,8),DATE($B$3,4,8),1,'Non-working days'!$A$6:$A$45)=0),"",IF(COUNTIFS('Leave log'!$A$7:$A$306,Employees!$A$30,'Leave log'!$B$7:$B$306,"&lt;="&amp;DATE($B$3,4,8),'Leave log'!$C$7:$C$306,"&gt;="&amp;DATE($B$3,4,8),'Leave log'!$F$7:$F$306,"Pending")&gt;0,"P",""))))</f>
        <v/>
      </c>
      <c r="J133" s="23" t="str">
        <f>IF(A133="","",IF(IF(OR(DATE($B$3,4,9)&gt;EOMONTH(DATE($B$3,4,1),0),NETWORKDAYS.INTL(DATE($B$3,4,9),DATE($B$3,4,9),1,'Non-working days'!$A$6:$A$45)=0),"",IF(COUNTIFS('Leave log'!$A$7:$A$306,Employees!$A$30,'Leave log'!$B$7:$B$306,"&lt;="&amp;DATE($B$3,4,9),'Leave log'!$C$7:$C$306,"&gt;="&amp;DATE($B$3,4,9),'Leave log'!$F$7:$F$306,"Approved")&gt;0,"A",""))="A","A",IF(OR(DATE($B$3,4,9)&gt;EOMONTH(DATE($B$3,4,1),0),NETWORKDAYS.INTL(DATE($B$3,4,9),DATE($B$3,4,9),1,'Non-working days'!$A$6:$A$45)=0),"",IF(COUNTIFS('Leave log'!$A$7:$A$306,Employees!$A$30,'Leave log'!$B$7:$B$306,"&lt;="&amp;DATE($B$3,4,9),'Leave log'!$C$7:$C$306,"&gt;="&amp;DATE($B$3,4,9),'Leave log'!$F$7:$F$306,"Pending")&gt;0,"P",""))))</f>
        <v/>
      </c>
      <c r="K133" s="23" t="str">
        <f>IF(A133="","",IF(IF(OR(DATE($B$3,4,10)&gt;EOMONTH(DATE($B$3,4,1),0),NETWORKDAYS.INTL(DATE($B$3,4,10),DATE($B$3,4,10),1,'Non-working days'!$A$6:$A$45)=0),"",IF(COUNTIFS('Leave log'!$A$7:$A$306,Employees!$A$30,'Leave log'!$B$7:$B$306,"&lt;="&amp;DATE($B$3,4,10),'Leave log'!$C$7:$C$306,"&gt;="&amp;DATE($B$3,4,10),'Leave log'!$F$7:$F$306,"Approved")&gt;0,"A",""))="A","A",IF(OR(DATE($B$3,4,10)&gt;EOMONTH(DATE($B$3,4,1),0),NETWORKDAYS.INTL(DATE($B$3,4,10),DATE($B$3,4,10),1,'Non-working days'!$A$6:$A$45)=0),"",IF(COUNTIFS('Leave log'!$A$7:$A$306,Employees!$A$30,'Leave log'!$B$7:$B$306,"&lt;="&amp;DATE($B$3,4,10),'Leave log'!$C$7:$C$306,"&gt;="&amp;DATE($B$3,4,10),'Leave log'!$F$7:$F$306,"Pending")&gt;0,"P",""))))</f>
        <v/>
      </c>
      <c r="L133" s="23" t="str">
        <f>IF(A133="","",IF(IF(OR(DATE($B$3,4,11)&gt;EOMONTH(DATE($B$3,4,1),0),NETWORKDAYS.INTL(DATE($B$3,4,11),DATE($B$3,4,11),1,'Non-working days'!$A$6:$A$45)=0),"",IF(COUNTIFS('Leave log'!$A$7:$A$306,Employees!$A$30,'Leave log'!$B$7:$B$306,"&lt;="&amp;DATE($B$3,4,11),'Leave log'!$C$7:$C$306,"&gt;="&amp;DATE($B$3,4,11),'Leave log'!$F$7:$F$306,"Approved")&gt;0,"A",""))="A","A",IF(OR(DATE($B$3,4,11)&gt;EOMONTH(DATE($B$3,4,1),0),NETWORKDAYS.INTL(DATE($B$3,4,11),DATE($B$3,4,11),1,'Non-working days'!$A$6:$A$45)=0),"",IF(COUNTIFS('Leave log'!$A$7:$A$306,Employees!$A$30,'Leave log'!$B$7:$B$306,"&lt;="&amp;DATE($B$3,4,11),'Leave log'!$C$7:$C$306,"&gt;="&amp;DATE($B$3,4,11),'Leave log'!$F$7:$F$306,"Pending")&gt;0,"P",""))))</f>
        <v/>
      </c>
      <c r="M133" s="23" t="str">
        <f>IF(A133="","",IF(IF(OR(DATE($B$3,4,12)&gt;EOMONTH(DATE($B$3,4,1),0),NETWORKDAYS.INTL(DATE($B$3,4,12),DATE($B$3,4,12),1,'Non-working days'!$A$6:$A$45)=0),"",IF(COUNTIFS('Leave log'!$A$7:$A$306,Employees!$A$30,'Leave log'!$B$7:$B$306,"&lt;="&amp;DATE($B$3,4,12),'Leave log'!$C$7:$C$306,"&gt;="&amp;DATE($B$3,4,12),'Leave log'!$F$7:$F$306,"Approved")&gt;0,"A",""))="A","A",IF(OR(DATE($B$3,4,12)&gt;EOMONTH(DATE($B$3,4,1),0),NETWORKDAYS.INTL(DATE($B$3,4,12),DATE($B$3,4,12),1,'Non-working days'!$A$6:$A$45)=0),"",IF(COUNTIFS('Leave log'!$A$7:$A$306,Employees!$A$30,'Leave log'!$B$7:$B$306,"&lt;="&amp;DATE($B$3,4,12),'Leave log'!$C$7:$C$306,"&gt;="&amp;DATE($B$3,4,12),'Leave log'!$F$7:$F$306,"Pending")&gt;0,"P",""))))</f>
        <v/>
      </c>
      <c r="N133" s="23" t="str">
        <f>IF(A133="","",IF(IF(OR(DATE($B$3,4,13)&gt;EOMONTH(DATE($B$3,4,1),0),NETWORKDAYS.INTL(DATE($B$3,4,13),DATE($B$3,4,13),1,'Non-working days'!$A$6:$A$45)=0),"",IF(COUNTIFS('Leave log'!$A$7:$A$306,Employees!$A$30,'Leave log'!$B$7:$B$306,"&lt;="&amp;DATE($B$3,4,13),'Leave log'!$C$7:$C$306,"&gt;="&amp;DATE($B$3,4,13),'Leave log'!$F$7:$F$306,"Approved")&gt;0,"A",""))="A","A",IF(OR(DATE($B$3,4,13)&gt;EOMONTH(DATE($B$3,4,1),0),NETWORKDAYS.INTL(DATE($B$3,4,13),DATE($B$3,4,13),1,'Non-working days'!$A$6:$A$45)=0),"",IF(COUNTIFS('Leave log'!$A$7:$A$306,Employees!$A$30,'Leave log'!$B$7:$B$306,"&lt;="&amp;DATE($B$3,4,13),'Leave log'!$C$7:$C$306,"&gt;="&amp;DATE($B$3,4,13),'Leave log'!$F$7:$F$306,"Pending")&gt;0,"P",""))))</f>
        <v/>
      </c>
      <c r="O133" s="23" t="str">
        <f>IF(A133="","",IF(IF(OR(DATE($B$3,4,14)&gt;EOMONTH(DATE($B$3,4,1),0),NETWORKDAYS.INTL(DATE($B$3,4,14),DATE($B$3,4,14),1,'Non-working days'!$A$6:$A$45)=0),"",IF(COUNTIFS('Leave log'!$A$7:$A$306,Employees!$A$30,'Leave log'!$B$7:$B$306,"&lt;="&amp;DATE($B$3,4,14),'Leave log'!$C$7:$C$306,"&gt;="&amp;DATE($B$3,4,14),'Leave log'!$F$7:$F$306,"Approved")&gt;0,"A",""))="A","A",IF(OR(DATE($B$3,4,14)&gt;EOMONTH(DATE($B$3,4,1),0),NETWORKDAYS.INTL(DATE($B$3,4,14),DATE($B$3,4,14),1,'Non-working days'!$A$6:$A$45)=0),"",IF(COUNTIFS('Leave log'!$A$7:$A$306,Employees!$A$30,'Leave log'!$B$7:$B$306,"&lt;="&amp;DATE($B$3,4,14),'Leave log'!$C$7:$C$306,"&gt;="&amp;DATE($B$3,4,14),'Leave log'!$F$7:$F$306,"Pending")&gt;0,"P",""))))</f>
        <v/>
      </c>
      <c r="P133" s="23" t="str">
        <f>IF(A133="","",IF(IF(OR(DATE($B$3,4,15)&gt;EOMONTH(DATE($B$3,4,1),0),NETWORKDAYS.INTL(DATE($B$3,4,15),DATE($B$3,4,15),1,'Non-working days'!$A$6:$A$45)=0),"",IF(COUNTIFS('Leave log'!$A$7:$A$306,Employees!$A$30,'Leave log'!$B$7:$B$306,"&lt;="&amp;DATE($B$3,4,15),'Leave log'!$C$7:$C$306,"&gt;="&amp;DATE($B$3,4,15),'Leave log'!$F$7:$F$306,"Approved")&gt;0,"A",""))="A","A",IF(OR(DATE($B$3,4,15)&gt;EOMONTH(DATE($B$3,4,1),0),NETWORKDAYS.INTL(DATE($B$3,4,15),DATE($B$3,4,15),1,'Non-working days'!$A$6:$A$45)=0),"",IF(COUNTIFS('Leave log'!$A$7:$A$306,Employees!$A$30,'Leave log'!$B$7:$B$306,"&lt;="&amp;DATE($B$3,4,15),'Leave log'!$C$7:$C$306,"&gt;="&amp;DATE($B$3,4,15),'Leave log'!$F$7:$F$306,"Pending")&gt;0,"P",""))))</f>
        <v/>
      </c>
      <c r="Q133" s="23" t="str">
        <f>IF(A133="","",IF(IF(OR(DATE($B$3,4,16)&gt;EOMONTH(DATE($B$3,4,1),0),NETWORKDAYS.INTL(DATE($B$3,4,16),DATE($B$3,4,16),1,'Non-working days'!$A$6:$A$45)=0),"",IF(COUNTIFS('Leave log'!$A$7:$A$306,Employees!$A$30,'Leave log'!$B$7:$B$306,"&lt;="&amp;DATE($B$3,4,16),'Leave log'!$C$7:$C$306,"&gt;="&amp;DATE($B$3,4,16),'Leave log'!$F$7:$F$306,"Approved")&gt;0,"A",""))="A","A",IF(OR(DATE($B$3,4,16)&gt;EOMONTH(DATE($B$3,4,1),0),NETWORKDAYS.INTL(DATE($B$3,4,16),DATE($B$3,4,16),1,'Non-working days'!$A$6:$A$45)=0),"",IF(COUNTIFS('Leave log'!$A$7:$A$306,Employees!$A$30,'Leave log'!$B$7:$B$306,"&lt;="&amp;DATE($B$3,4,16),'Leave log'!$C$7:$C$306,"&gt;="&amp;DATE($B$3,4,16),'Leave log'!$F$7:$F$306,"Pending")&gt;0,"P",""))))</f>
        <v/>
      </c>
      <c r="R133" s="23" t="str">
        <f>IF(A133="","",IF(IF(OR(DATE($B$3,4,17)&gt;EOMONTH(DATE($B$3,4,1),0),NETWORKDAYS.INTL(DATE($B$3,4,17),DATE($B$3,4,17),1,'Non-working days'!$A$6:$A$45)=0),"",IF(COUNTIFS('Leave log'!$A$7:$A$306,Employees!$A$30,'Leave log'!$B$7:$B$306,"&lt;="&amp;DATE($B$3,4,17),'Leave log'!$C$7:$C$306,"&gt;="&amp;DATE($B$3,4,17),'Leave log'!$F$7:$F$306,"Approved")&gt;0,"A",""))="A","A",IF(OR(DATE($B$3,4,17)&gt;EOMONTH(DATE($B$3,4,1),0),NETWORKDAYS.INTL(DATE($B$3,4,17),DATE($B$3,4,17),1,'Non-working days'!$A$6:$A$45)=0),"",IF(COUNTIFS('Leave log'!$A$7:$A$306,Employees!$A$30,'Leave log'!$B$7:$B$306,"&lt;="&amp;DATE($B$3,4,17),'Leave log'!$C$7:$C$306,"&gt;="&amp;DATE($B$3,4,17),'Leave log'!$F$7:$F$306,"Pending")&gt;0,"P",""))))</f>
        <v/>
      </c>
      <c r="S133" s="23" t="str">
        <f>IF(A133="","",IF(IF(OR(DATE($B$3,4,18)&gt;EOMONTH(DATE($B$3,4,1),0),NETWORKDAYS.INTL(DATE($B$3,4,18),DATE($B$3,4,18),1,'Non-working days'!$A$6:$A$45)=0),"",IF(COUNTIFS('Leave log'!$A$7:$A$306,Employees!$A$30,'Leave log'!$B$7:$B$306,"&lt;="&amp;DATE($B$3,4,18),'Leave log'!$C$7:$C$306,"&gt;="&amp;DATE($B$3,4,18),'Leave log'!$F$7:$F$306,"Approved")&gt;0,"A",""))="A","A",IF(OR(DATE($B$3,4,18)&gt;EOMONTH(DATE($B$3,4,1),0),NETWORKDAYS.INTL(DATE($B$3,4,18),DATE($B$3,4,18),1,'Non-working days'!$A$6:$A$45)=0),"",IF(COUNTIFS('Leave log'!$A$7:$A$306,Employees!$A$30,'Leave log'!$B$7:$B$306,"&lt;="&amp;DATE($B$3,4,18),'Leave log'!$C$7:$C$306,"&gt;="&amp;DATE($B$3,4,18),'Leave log'!$F$7:$F$306,"Pending")&gt;0,"P",""))))</f>
        <v/>
      </c>
      <c r="T133" s="23" t="str">
        <f>IF(A133="","",IF(IF(OR(DATE($B$3,4,19)&gt;EOMONTH(DATE($B$3,4,1),0),NETWORKDAYS.INTL(DATE($B$3,4,19),DATE($B$3,4,19),1,'Non-working days'!$A$6:$A$45)=0),"",IF(COUNTIFS('Leave log'!$A$7:$A$306,Employees!$A$30,'Leave log'!$B$7:$B$306,"&lt;="&amp;DATE($B$3,4,19),'Leave log'!$C$7:$C$306,"&gt;="&amp;DATE($B$3,4,19),'Leave log'!$F$7:$F$306,"Approved")&gt;0,"A",""))="A","A",IF(OR(DATE($B$3,4,19)&gt;EOMONTH(DATE($B$3,4,1),0),NETWORKDAYS.INTL(DATE($B$3,4,19),DATE($B$3,4,19),1,'Non-working days'!$A$6:$A$45)=0),"",IF(COUNTIFS('Leave log'!$A$7:$A$306,Employees!$A$30,'Leave log'!$B$7:$B$306,"&lt;="&amp;DATE($B$3,4,19),'Leave log'!$C$7:$C$306,"&gt;="&amp;DATE($B$3,4,19),'Leave log'!$F$7:$F$306,"Pending")&gt;0,"P",""))))</f>
        <v/>
      </c>
      <c r="U133" s="23" t="str">
        <f>IF(A133="","",IF(IF(OR(DATE($B$3,4,20)&gt;EOMONTH(DATE($B$3,4,1),0),NETWORKDAYS.INTL(DATE($B$3,4,20),DATE($B$3,4,20),1,'Non-working days'!$A$6:$A$45)=0),"",IF(COUNTIFS('Leave log'!$A$7:$A$306,Employees!$A$30,'Leave log'!$B$7:$B$306,"&lt;="&amp;DATE($B$3,4,20),'Leave log'!$C$7:$C$306,"&gt;="&amp;DATE($B$3,4,20),'Leave log'!$F$7:$F$306,"Approved")&gt;0,"A",""))="A","A",IF(OR(DATE($B$3,4,20)&gt;EOMONTH(DATE($B$3,4,1),0),NETWORKDAYS.INTL(DATE($B$3,4,20),DATE($B$3,4,20),1,'Non-working days'!$A$6:$A$45)=0),"",IF(COUNTIFS('Leave log'!$A$7:$A$306,Employees!$A$30,'Leave log'!$B$7:$B$306,"&lt;="&amp;DATE($B$3,4,20),'Leave log'!$C$7:$C$306,"&gt;="&amp;DATE($B$3,4,20),'Leave log'!$F$7:$F$306,"Pending")&gt;0,"P",""))))</f>
        <v/>
      </c>
      <c r="V133" s="23" t="str">
        <f>IF(A133="","",IF(IF(OR(DATE($B$3,4,21)&gt;EOMONTH(DATE($B$3,4,1),0),NETWORKDAYS.INTL(DATE($B$3,4,21),DATE($B$3,4,21),1,'Non-working days'!$A$6:$A$45)=0),"",IF(COUNTIFS('Leave log'!$A$7:$A$306,Employees!$A$30,'Leave log'!$B$7:$B$306,"&lt;="&amp;DATE($B$3,4,21),'Leave log'!$C$7:$C$306,"&gt;="&amp;DATE($B$3,4,21),'Leave log'!$F$7:$F$306,"Approved")&gt;0,"A",""))="A","A",IF(OR(DATE($B$3,4,21)&gt;EOMONTH(DATE($B$3,4,1),0),NETWORKDAYS.INTL(DATE($B$3,4,21),DATE($B$3,4,21),1,'Non-working days'!$A$6:$A$45)=0),"",IF(COUNTIFS('Leave log'!$A$7:$A$306,Employees!$A$30,'Leave log'!$B$7:$B$306,"&lt;="&amp;DATE($B$3,4,21),'Leave log'!$C$7:$C$306,"&gt;="&amp;DATE($B$3,4,21),'Leave log'!$F$7:$F$306,"Pending")&gt;0,"P",""))))</f>
        <v/>
      </c>
      <c r="W133" s="23" t="str">
        <f>IF(A133="","",IF(IF(OR(DATE($B$3,4,22)&gt;EOMONTH(DATE($B$3,4,1),0),NETWORKDAYS.INTL(DATE($B$3,4,22),DATE($B$3,4,22),1,'Non-working days'!$A$6:$A$45)=0),"",IF(COUNTIFS('Leave log'!$A$7:$A$306,Employees!$A$30,'Leave log'!$B$7:$B$306,"&lt;="&amp;DATE($B$3,4,22),'Leave log'!$C$7:$C$306,"&gt;="&amp;DATE($B$3,4,22),'Leave log'!$F$7:$F$306,"Approved")&gt;0,"A",""))="A","A",IF(OR(DATE($B$3,4,22)&gt;EOMONTH(DATE($B$3,4,1),0),NETWORKDAYS.INTL(DATE($B$3,4,22),DATE($B$3,4,22),1,'Non-working days'!$A$6:$A$45)=0),"",IF(COUNTIFS('Leave log'!$A$7:$A$306,Employees!$A$30,'Leave log'!$B$7:$B$306,"&lt;="&amp;DATE($B$3,4,22),'Leave log'!$C$7:$C$306,"&gt;="&amp;DATE($B$3,4,22),'Leave log'!$F$7:$F$306,"Pending")&gt;0,"P",""))))</f>
        <v/>
      </c>
      <c r="X133" s="23" t="str">
        <f>IF(A133="","",IF(IF(OR(DATE($B$3,4,23)&gt;EOMONTH(DATE($B$3,4,1),0),NETWORKDAYS.INTL(DATE($B$3,4,23),DATE($B$3,4,23),1,'Non-working days'!$A$6:$A$45)=0),"",IF(COUNTIFS('Leave log'!$A$7:$A$306,Employees!$A$30,'Leave log'!$B$7:$B$306,"&lt;="&amp;DATE($B$3,4,23),'Leave log'!$C$7:$C$306,"&gt;="&amp;DATE($B$3,4,23),'Leave log'!$F$7:$F$306,"Approved")&gt;0,"A",""))="A","A",IF(OR(DATE($B$3,4,23)&gt;EOMONTH(DATE($B$3,4,1),0),NETWORKDAYS.INTL(DATE($B$3,4,23),DATE($B$3,4,23),1,'Non-working days'!$A$6:$A$45)=0),"",IF(COUNTIFS('Leave log'!$A$7:$A$306,Employees!$A$30,'Leave log'!$B$7:$B$306,"&lt;="&amp;DATE($B$3,4,23),'Leave log'!$C$7:$C$306,"&gt;="&amp;DATE($B$3,4,23),'Leave log'!$F$7:$F$306,"Pending")&gt;0,"P",""))))</f>
        <v/>
      </c>
      <c r="Y133" s="23" t="str">
        <f>IF(A133="","",IF(IF(OR(DATE($B$3,4,24)&gt;EOMONTH(DATE($B$3,4,1),0),NETWORKDAYS.INTL(DATE($B$3,4,24),DATE($B$3,4,24),1,'Non-working days'!$A$6:$A$45)=0),"",IF(COUNTIFS('Leave log'!$A$7:$A$306,Employees!$A$30,'Leave log'!$B$7:$B$306,"&lt;="&amp;DATE($B$3,4,24),'Leave log'!$C$7:$C$306,"&gt;="&amp;DATE($B$3,4,24),'Leave log'!$F$7:$F$306,"Approved")&gt;0,"A",""))="A","A",IF(OR(DATE($B$3,4,24)&gt;EOMONTH(DATE($B$3,4,1),0),NETWORKDAYS.INTL(DATE($B$3,4,24),DATE($B$3,4,24),1,'Non-working days'!$A$6:$A$45)=0),"",IF(COUNTIFS('Leave log'!$A$7:$A$306,Employees!$A$30,'Leave log'!$B$7:$B$306,"&lt;="&amp;DATE($B$3,4,24),'Leave log'!$C$7:$C$306,"&gt;="&amp;DATE($B$3,4,24),'Leave log'!$F$7:$F$306,"Pending")&gt;0,"P",""))))</f>
        <v/>
      </c>
      <c r="Z133" s="23" t="str">
        <f>IF(A133="","",IF(IF(OR(DATE($B$3,4,25)&gt;EOMONTH(DATE($B$3,4,1),0),NETWORKDAYS.INTL(DATE($B$3,4,25),DATE($B$3,4,25),1,'Non-working days'!$A$6:$A$45)=0),"",IF(COUNTIFS('Leave log'!$A$7:$A$306,Employees!$A$30,'Leave log'!$B$7:$B$306,"&lt;="&amp;DATE($B$3,4,25),'Leave log'!$C$7:$C$306,"&gt;="&amp;DATE($B$3,4,25),'Leave log'!$F$7:$F$306,"Approved")&gt;0,"A",""))="A","A",IF(OR(DATE($B$3,4,25)&gt;EOMONTH(DATE($B$3,4,1),0),NETWORKDAYS.INTL(DATE($B$3,4,25),DATE($B$3,4,25),1,'Non-working days'!$A$6:$A$45)=0),"",IF(COUNTIFS('Leave log'!$A$7:$A$306,Employees!$A$30,'Leave log'!$B$7:$B$306,"&lt;="&amp;DATE($B$3,4,25),'Leave log'!$C$7:$C$306,"&gt;="&amp;DATE($B$3,4,25),'Leave log'!$F$7:$F$306,"Pending")&gt;0,"P",""))))</f>
        <v/>
      </c>
      <c r="AA133" s="23" t="str">
        <f>IF(A133="","",IF(IF(OR(DATE($B$3,4,26)&gt;EOMONTH(DATE($B$3,4,1),0),NETWORKDAYS.INTL(DATE($B$3,4,26),DATE($B$3,4,26),1,'Non-working days'!$A$6:$A$45)=0),"",IF(COUNTIFS('Leave log'!$A$7:$A$306,Employees!$A$30,'Leave log'!$B$7:$B$306,"&lt;="&amp;DATE($B$3,4,26),'Leave log'!$C$7:$C$306,"&gt;="&amp;DATE($B$3,4,26),'Leave log'!$F$7:$F$306,"Approved")&gt;0,"A",""))="A","A",IF(OR(DATE($B$3,4,26)&gt;EOMONTH(DATE($B$3,4,1),0),NETWORKDAYS.INTL(DATE($B$3,4,26),DATE($B$3,4,26),1,'Non-working days'!$A$6:$A$45)=0),"",IF(COUNTIFS('Leave log'!$A$7:$A$306,Employees!$A$30,'Leave log'!$B$7:$B$306,"&lt;="&amp;DATE($B$3,4,26),'Leave log'!$C$7:$C$306,"&gt;="&amp;DATE($B$3,4,26),'Leave log'!$F$7:$F$306,"Pending")&gt;0,"P",""))))</f>
        <v/>
      </c>
      <c r="AB133" s="23" t="str">
        <f>IF(A133="","",IF(IF(OR(DATE($B$3,4,27)&gt;EOMONTH(DATE($B$3,4,1),0),NETWORKDAYS.INTL(DATE($B$3,4,27),DATE($B$3,4,27),1,'Non-working days'!$A$6:$A$45)=0),"",IF(COUNTIFS('Leave log'!$A$7:$A$306,Employees!$A$30,'Leave log'!$B$7:$B$306,"&lt;="&amp;DATE($B$3,4,27),'Leave log'!$C$7:$C$306,"&gt;="&amp;DATE($B$3,4,27),'Leave log'!$F$7:$F$306,"Approved")&gt;0,"A",""))="A","A",IF(OR(DATE($B$3,4,27)&gt;EOMONTH(DATE($B$3,4,1),0),NETWORKDAYS.INTL(DATE($B$3,4,27),DATE($B$3,4,27),1,'Non-working days'!$A$6:$A$45)=0),"",IF(COUNTIFS('Leave log'!$A$7:$A$306,Employees!$A$30,'Leave log'!$B$7:$B$306,"&lt;="&amp;DATE($B$3,4,27),'Leave log'!$C$7:$C$306,"&gt;="&amp;DATE($B$3,4,27),'Leave log'!$F$7:$F$306,"Pending")&gt;0,"P",""))))</f>
        <v/>
      </c>
      <c r="AC133" s="23" t="str">
        <f>IF(A133="","",IF(IF(OR(DATE($B$3,4,28)&gt;EOMONTH(DATE($B$3,4,1),0),NETWORKDAYS.INTL(DATE($B$3,4,28),DATE($B$3,4,28),1,'Non-working days'!$A$6:$A$45)=0),"",IF(COUNTIFS('Leave log'!$A$7:$A$306,Employees!$A$30,'Leave log'!$B$7:$B$306,"&lt;="&amp;DATE($B$3,4,28),'Leave log'!$C$7:$C$306,"&gt;="&amp;DATE($B$3,4,28),'Leave log'!$F$7:$F$306,"Approved")&gt;0,"A",""))="A","A",IF(OR(DATE($B$3,4,28)&gt;EOMONTH(DATE($B$3,4,1),0),NETWORKDAYS.INTL(DATE($B$3,4,28),DATE($B$3,4,28),1,'Non-working days'!$A$6:$A$45)=0),"",IF(COUNTIFS('Leave log'!$A$7:$A$306,Employees!$A$30,'Leave log'!$B$7:$B$306,"&lt;="&amp;DATE($B$3,4,28),'Leave log'!$C$7:$C$306,"&gt;="&amp;DATE($B$3,4,28),'Leave log'!$F$7:$F$306,"Pending")&gt;0,"P",""))))</f>
        <v/>
      </c>
      <c r="AD133" s="23" t="str">
        <f>IF(A133="","",IF(IF(OR(DATE($B$3,4,29)&gt;EOMONTH(DATE($B$3,4,1),0),NETWORKDAYS.INTL(DATE($B$3,4,29),DATE($B$3,4,29),1,'Non-working days'!$A$6:$A$45)=0),"",IF(COUNTIFS('Leave log'!$A$7:$A$306,Employees!$A$30,'Leave log'!$B$7:$B$306,"&lt;="&amp;DATE($B$3,4,29),'Leave log'!$C$7:$C$306,"&gt;="&amp;DATE($B$3,4,29),'Leave log'!$F$7:$F$306,"Approved")&gt;0,"A",""))="A","A",IF(OR(DATE($B$3,4,29)&gt;EOMONTH(DATE($B$3,4,1),0),NETWORKDAYS.INTL(DATE($B$3,4,29),DATE($B$3,4,29),1,'Non-working days'!$A$6:$A$45)=0),"",IF(COUNTIFS('Leave log'!$A$7:$A$306,Employees!$A$30,'Leave log'!$B$7:$B$306,"&lt;="&amp;DATE($B$3,4,29),'Leave log'!$C$7:$C$306,"&gt;="&amp;DATE($B$3,4,29),'Leave log'!$F$7:$F$306,"Pending")&gt;0,"P",""))))</f>
        <v/>
      </c>
      <c r="AE133" s="23" t="str">
        <f>IF(A133="","",IF(IF(OR(DATE($B$3,4,30)&gt;EOMONTH(DATE($B$3,4,1),0),NETWORKDAYS.INTL(DATE($B$3,4,30),DATE($B$3,4,30),1,'Non-working days'!$A$6:$A$45)=0),"",IF(COUNTIFS('Leave log'!$A$7:$A$306,Employees!$A$30,'Leave log'!$B$7:$B$306,"&lt;="&amp;DATE($B$3,4,30),'Leave log'!$C$7:$C$306,"&gt;="&amp;DATE($B$3,4,30),'Leave log'!$F$7:$F$306,"Approved")&gt;0,"A",""))="A","A",IF(OR(DATE($B$3,4,30)&gt;EOMONTH(DATE($B$3,4,1),0),NETWORKDAYS.INTL(DATE($B$3,4,30),DATE($B$3,4,30),1,'Non-working days'!$A$6:$A$45)=0),"",IF(COUNTIFS('Leave log'!$A$7:$A$306,Employees!$A$30,'Leave log'!$B$7:$B$306,"&lt;="&amp;DATE($B$3,4,30),'Leave log'!$C$7:$C$306,"&gt;="&amp;DATE($B$3,4,30),'Leave log'!$F$7:$F$306,"Pending")&gt;0,"P",""))))</f>
        <v/>
      </c>
      <c r="AF133" s="23" t="str">
        <f>IF(A133="","",IF(IF(OR(DATE($B$3,4,31)&gt;EOMONTH(DATE($B$3,4,1),0),NETWORKDAYS.INTL(DATE($B$3,4,31),DATE($B$3,4,31),1,'Non-working days'!$A$6:$A$45)=0),"",IF(COUNTIFS('Leave log'!$A$7:$A$306,Employees!$A$30,'Leave log'!$B$7:$B$306,"&lt;="&amp;DATE($B$3,4,31),'Leave log'!$C$7:$C$306,"&gt;="&amp;DATE($B$3,4,31),'Leave log'!$F$7:$F$306,"Approved")&gt;0,"A",""))="A","A",IF(OR(DATE($B$3,4,31)&gt;EOMONTH(DATE($B$3,4,1),0),NETWORKDAYS.INTL(DATE($B$3,4,31),DATE($B$3,4,31),1,'Non-working days'!$A$6:$A$45)=0),"",IF(COUNTIFS('Leave log'!$A$7:$A$306,Employees!$A$30,'Leave log'!$B$7:$B$306,"&lt;="&amp;DATE($B$3,4,31),'Leave log'!$C$7:$C$306,"&gt;="&amp;DATE($B$3,4,31),'Leave log'!$F$7:$F$306,"Pending")&gt;0,"P",""))))</f>
        <v/>
      </c>
    </row>
    <row r="134" spans="1:32" ht="18" customHeight="1" x14ac:dyDescent="0.3">
      <c r="A134" s="22" t="str">
        <f>IF(Employees!F31="Yes",Employees!B31,"")</f>
        <v/>
      </c>
      <c r="B134" s="23" t="str">
        <f>IF(A134="","",IF(IF(OR(DATE($B$3,4,1)&gt;EOMONTH(DATE($B$3,4,1),0),NETWORKDAYS.INTL(DATE($B$3,4,1),DATE($B$3,4,1),1,'Non-working days'!$A$6:$A$45)=0),"",IF(COUNTIFS('Leave log'!$A$7:$A$306,Employees!$A$31,'Leave log'!$B$7:$B$306,"&lt;="&amp;DATE($B$3,4,1),'Leave log'!$C$7:$C$306,"&gt;="&amp;DATE($B$3,4,1),'Leave log'!$F$7:$F$306,"Approved")&gt;0,"A",""))="A","A",IF(OR(DATE($B$3,4,1)&gt;EOMONTH(DATE($B$3,4,1),0),NETWORKDAYS.INTL(DATE($B$3,4,1),DATE($B$3,4,1),1,'Non-working days'!$A$6:$A$45)=0),"",IF(COUNTIFS('Leave log'!$A$7:$A$306,Employees!$A$31,'Leave log'!$B$7:$B$306,"&lt;="&amp;DATE($B$3,4,1),'Leave log'!$C$7:$C$306,"&gt;="&amp;DATE($B$3,4,1),'Leave log'!$F$7:$F$306,"Pending")&gt;0,"P",""))))</f>
        <v/>
      </c>
      <c r="C134" s="23" t="str">
        <f>IF(A134="","",IF(IF(OR(DATE($B$3,4,2)&gt;EOMONTH(DATE($B$3,4,1),0),NETWORKDAYS.INTL(DATE($B$3,4,2),DATE($B$3,4,2),1,'Non-working days'!$A$6:$A$45)=0),"",IF(COUNTIFS('Leave log'!$A$7:$A$306,Employees!$A$31,'Leave log'!$B$7:$B$306,"&lt;="&amp;DATE($B$3,4,2),'Leave log'!$C$7:$C$306,"&gt;="&amp;DATE($B$3,4,2),'Leave log'!$F$7:$F$306,"Approved")&gt;0,"A",""))="A","A",IF(OR(DATE($B$3,4,2)&gt;EOMONTH(DATE($B$3,4,1),0),NETWORKDAYS.INTL(DATE($B$3,4,2),DATE($B$3,4,2),1,'Non-working days'!$A$6:$A$45)=0),"",IF(COUNTIFS('Leave log'!$A$7:$A$306,Employees!$A$31,'Leave log'!$B$7:$B$306,"&lt;="&amp;DATE($B$3,4,2),'Leave log'!$C$7:$C$306,"&gt;="&amp;DATE($B$3,4,2),'Leave log'!$F$7:$F$306,"Pending")&gt;0,"P",""))))</f>
        <v/>
      </c>
      <c r="D134" s="23" t="str">
        <f>IF(A134="","",IF(IF(OR(DATE($B$3,4,3)&gt;EOMONTH(DATE($B$3,4,1),0),NETWORKDAYS.INTL(DATE($B$3,4,3),DATE($B$3,4,3),1,'Non-working days'!$A$6:$A$45)=0),"",IF(COUNTIFS('Leave log'!$A$7:$A$306,Employees!$A$31,'Leave log'!$B$7:$B$306,"&lt;="&amp;DATE($B$3,4,3),'Leave log'!$C$7:$C$306,"&gt;="&amp;DATE($B$3,4,3),'Leave log'!$F$7:$F$306,"Approved")&gt;0,"A",""))="A","A",IF(OR(DATE($B$3,4,3)&gt;EOMONTH(DATE($B$3,4,1),0),NETWORKDAYS.INTL(DATE($B$3,4,3),DATE($B$3,4,3),1,'Non-working days'!$A$6:$A$45)=0),"",IF(COUNTIFS('Leave log'!$A$7:$A$306,Employees!$A$31,'Leave log'!$B$7:$B$306,"&lt;="&amp;DATE($B$3,4,3),'Leave log'!$C$7:$C$306,"&gt;="&amp;DATE($B$3,4,3),'Leave log'!$F$7:$F$306,"Pending")&gt;0,"P",""))))</f>
        <v/>
      </c>
      <c r="E134" s="23" t="str">
        <f>IF(A134="","",IF(IF(OR(DATE($B$3,4,4)&gt;EOMONTH(DATE($B$3,4,1),0),NETWORKDAYS.INTL(DATE($B$3,4,4),DATE($B$3,4,4),1,'Non-working days'!$A$6:$A$45)=0),"",IF(COUNTIFS('Leave log'!$A$7:$A$306,Employees!$A$31,'Leave log'!$B$7:$B$306,"&lt;="&amp;DATE($B$3,4,4),'Leave log'!$C$7:$C$306,"&gt;="&amp;DATE($B$3,4,4),'Leave log'!$F$7:$F$306,"Approved")&gt;0,"A",""))="A","A",IF(OR(DATE($B$3,4,4)&gt;EOMONTH(DATE($B$3,4,1),0),NETWORKDAYS.INTL(DATE($B$3,4,4),DATE($B$3,4,4),1,'Non-working days'!$A$6:$A$45)=0),"",IF(COUNTIFS('Leave log'!$A$7:$A$306,Employees!$A$31,'Leave log'!$B$7:$B$306,"&lt;="&amp;DATE($B$3,4,4),'Leave log'!$C$7:$C$306,"&gt;="&amp;DATE($B$3,4,4),'Leave log'!$F$7:$F$306,"Pending")&gt;0,"P",""))))</f>
        <v/>
      </c>
      <c r="F134" s="23" t="str">
        <f>IF(A134="","",IF(IF(OR(DATE($B$3,4,5)&gt;EOMONTH(DATE($B$3,4,1),0),NETWORKDAYS.INTL(DATE($B$3,4,5),DATE($B$3,4,5),1,'Non-working days'!$A$6:$A$45)=0),"",IF(COUNTIFS('Leave log'!$A$7:$A$306,Employees!$A$31,'Leave log'!$B$7:$B$306,"&lt;="&amp;DATE($B$3,4,5),'Leave log'!$C$7:$C$306,"&gt;="&amp;DATE($B$3,4,5),'Leave log'!$F$7:$F$306,"Approved")&gt;0,"A",""))="A","A",IF(OR(DATE($B$3,4,5)&gt;EOMONTH(DATE($B$3,4,1),0),NETWORKDAYS.INTL(DATE($B$3,4,5),DATE($B$3,4,5),1,'Non-working days'!$A$6:$A$45)=0),"",IF(COUNTIFS('Leave log'!$A$7:$A$306,Employees!$A$31,'Leave log'!$B$7:$B$306,"&lt;="&amp;DATE($B$3,4,5),'Leave log'!$C$7:$C$306,"&gt;="&amp;DATE($B$3,4,5),'Leave log'!$F$7:$F$306,"Pending")&gt;0,"P",""))))</f>
        <v/>
      </c>
      <c r="G134" s="23" t="str">
        <f>IF(A134="","",IF(IF(OR(DATE($B$3,4,6)&gt;EOMONTH(DATE($B$3,4,1),0),NETWORKDAYS.INTL(DATE($B$3,4,6),DATE($B$3,4,6),1,'Non-working days'!$A$6:$A$45)=0),"",IF(COUNTIFS('Leave log'!$A$7:$A$306,Employees!$A$31,'Leave log'!$B$7:$B$306,"&lt;="&amp;DATE($B$3,4,6),'Leave log'!$C$7:$C$306,"&gt;="&amp;DATE($B$3,4,6),'Leave log'!$F$7:$F$306,"Approved")&gt;0,"A",""))="A","A",IF(OR(DATE($B$3,4,6)&gt;EOMONTH(DATE($B$3,4,1),0),NETWORKDAYS.INTL(DATE($B$3,4,6),DATE($B$3,4,6),1,'Non-working days'!$A$6:$A$45)=0),"",IF(COUNTIFS('Leave log'!$A$7:$A$306,Employees!$A$31,'Leave log'!$B$7:$B$306,"&lt;="&amp;DATE($B$3,4,6),'Leave log'!$C$7:$C$306,"&gt;="&amp;DATE($B$3,4,6),'Leave log'!$F$7:$F$306,"Pending")&gt;0,"P",""))))</f>
        <v/>
      </c>
      <c r="H134" s="23" t="str">
        <f>IF(A134="","",IF(IF(OR(DATE($B$3,4,7)&gt;EOMONTH(DATE($B$3,4,1),0),NETWORKDAYS.INTL(DATE($B$3,4,7),DATE($B$3,4,7),1,'Non-working days'!$A$6:$A$45)=0),"",IF(COUNTIFS('Leave log'!$A$7:$A$306,Employees!$A$31,'Leave log'!$B$7:$B$306,"&lt;="&amp;DATE($B$3,4,7),'Leave log'!$C$7:$C$306,"&gt;="&amp;DATE($B$3,4,7),'Leave log'!$F$7:$F$306,"Approved")&gt;0,"A",""))="A","A",IF(OR(DATE($B$3,4,7)&gt;EOMONTH(DATE($B$3,4,1),0),NETWORKDAYS.INTL(DATE($B$3,4,7),DATE($B$3,4,7),1,'Non-working days'!$A$6:$A$45)=0),"",IF(COUNTIFS('Leave log'!$A$7:$A$306,Employees!$A$31,'Leave log'!$B$7:$B$306,"&lt;="&amp;DATE($B$3,4,7),'Leave log'!$C$7:$C$306,"&gt;="&amp;DATE($B$3,4,7),'Leave log'!$F$7:$F$306,"Pending")&gt;0,"P",""))))</f>
        <v/>
      </c>
      <c r="I134" s="23" t="str">
        <f>IF(A134="","",IF(IF(OR(DATE($B$3,4,8)&gt;EOMONTH(DATE($B$3,4,1),0),NETWORKDAYS.INTL(DATE($B$3,4,8),DATE($B$3,4,8),1,'Non-working days'!$A$6:$A$45)=0),"",IF(COUNTIFS('Leave log'!$A$7:$A$306,Employees!$A$31,'Leave log'!$B$7:$B$306,"&lt;="&amp;DATE($B$3,4,8),'Leave log'!$C$7:$C$306,"&gt;="&amp;DATE($B$3,4,8),'Leave log'!$F$7:$F$306,"Approved")&gt;0,"A",""))="A","A",IF(OR(DATE($B$3,4,8)&gt;EOMONTH(DATE($B$3,4,1),0),NETWORKDAYS.INTL(DATE($B$3,4,8),DATE($B$3,4,8),1,'Non-working days'!$A$6:$A$45)=0),"",IF(COUNTIFS('Leave log'!$A$7:$A$306,Employees!$A$31,'Leave log'!$B$7:$B$306,"&lt;="&amp;DATE($B$3,4,8),'Leave log'!$C$7:$C$306,"&gt;="&amp;DATE($B$3,4,8),'Leave log'!$F$7:$F$306,"Pending")&gt;0,"P",""))))</f>
        <v/>
      </c>
      <c r="J134" s="23" t="str">
        <f>IF(A134="","",IF(IF(OR(DATE($B$3,4,9)&gt;EOMONTH(DATE($B$3,4,1),0),NETWORKDAYS.INTL(DATE($B$3,4,9),DATE($B$3,4,9),1,'Non-working days'!$A$6:$A$45)=0),"",IF(COUNTIFS('Leave log'!$A$7:$A$306,Employees!$A$31,'Leave log'!$B$7:$B$306,"&lt;="&amp;DATE($B$3,4,9),'Leave log'!$C$7:$C$306,"&gt;="&amp;DATE($B$3,4,9),'Leave log'!$F$7:$F$306,"Approved")&gt;0,"A",""))="A","A",IF(OR(DATE($B$3,4,9)&gt;EOMONTH(DATE($B$3,4,1),0),NETWORKDAYS.INTL(DATE($B$3,4,9),DATE($B$3,4,9),1,'Non-working days'!$A$6:$A$45)=0),"",IF(COUNTIFS('Leave log'!$A$7:$A$306,Employees!$A$31,'Leave log'!$B$7:$B$306,"&lt;="&amp;DATE($B$3,4,9),'Leave log'!$C$7:$C$306,"&gt;="&amp;DATE($B$3,4,9),'Leave log'!$F$7:$F$306,"Pending")&gt;0,"P",""))))</f>
        <v/>
      </c>
      <c r="K134" s="23" t="str">
        <f>IF(A134="","",IF(IF(OR(DATE($B$3,4,10)&gt;EOMONTH(DATE($B$3,4,1),0),NETWORKDAYS.INTL(DATE($B$3,4,10),DATE($B$3,4,10),1,'Non-working days'!$A$6:$A$45)=0),"",IF(COUNTIFS('Leave log'!$A$7:$A$306,Employees!$A$31,'Leave log'!$B$7:$B$306,"&lt;="&amp;DATE($B$3,4,10),'Leave log'!$C$7:$C$306,"&gt;="&amp;DATE($B$3,4,10),'Leave log'!$F$7:$F$306,"Approved")&gt;0,"A",""))="A","A",IF(OR(DATE($B$3,4,10)&gt;EOMONTH(DATE($B$3,4,1),0),NETWORKDAYS.INTL(DATE($B$3,4,10),DATE($B$3,4,10),1,'Non-working days'!$A$6:$A$45)=0),"",IF(COUNTIFS('Leave log'!$A$7:$A$306,Employees!$A$31,'Leave log'!$B$7:$B$306,"&lt;="&amp;DATE($B$3,4,10),'Leave log'!$C$7:$C$306,"&gt;="&amp;DATE($B$3,4,10),'Leave log'!$F$7:$F$306,"Pending")&gt;0,"P",""))))</f>
        <v/>
      </c>
      <c r="L134" s="23" t="str">
        <f>IF(A134="","",IF(IF(OR(DATE($B$3,4,11)&gt;EOMONTH(DATE($B$3,4,1),0),NETWORKDAYS.INTL(DATE($B$3,4,11),DATE($B$3,4,11),1,'Non-working days'!$A$6:$A$45)=0),"",IF(COUNTIFS('Leave log'!$A$7:$A$306,Employees!$A$31,'Leave log'!$B$7:$B$306,"&lt;="&amp;DATE($B$3,4,11),'Leave log'!$C$7:$C$306,"&gt;="&amp;DATE($B$3,4,11),'Leave log'!$F$7:$F$306,"Approved")&gt;0,"A",""))="A","A",IF(OR(DATE($B$3,4,11)&gt;EOMONTH(DATE($B$3,4,1),0),NETWORKDAYS.INTL(DATE($B$3,4,11),DATE($B$3,4,11),1,'Non-working days'!$A$6:$A$45)=0),"",IF(COUNTIFS('Leave log'!$A$7:$A$306,Employees!$A$31,'Leave log'!$B$7:$B$306,"&lt;="&amp;DATE($B$3,4,11),'Leave log'!$C$7:$C$306,"&gt;="&amp;DATE($B$3,4,11),'Leave log'!$F$7:$F$306,"Pending")&gt;0,"P",""))))</f>
        <v/>
      </c>
      <c r="M134" s="23" t="str">
        <f>IF(A134="","",IF(IF(OR(DATE($B$3,4,12)&gt;EOMONTH(DATE($B$3,4,1),0),NETWORKDAYS.INTL(DATE($B$3,4,12),DATE($B$3,4,12),1,'Non-working days'!$A$6:$A$45)=0),"",IF(COUNTIFS('Leave log'!$A$7:$A$306,Employees!$A$31,'Leave log'!$B$7:$B$306,"&lt;="&amp;DATE($B$3,4,12),'Leave log'!$C$7:$C$306,"&gt;="&amp;DATE($B$3,4,12),'Leave log'!$F$7:$F$306,"Approved")&gt;0,"A",""))="A","A",IF(OR(DATE($B$3,4,12)&gt;EOMONTH(DATE($B$3,4,1),0),NETWORKDAYS.INTL(DATE($B$3,4,12),DATE($B$3,4,12),1,'Non-working days'!$A$6:$A$45)=0),"",IF(COUNTIFS('Leave log'!$A$7:$A$306,Employees!$A$31,'Leave log'!$B$7:$B$306,"&lt;="&amp;DATE($B$3,4,12),'Leave log'!$C$7:$C$306,"&gt;="&amp;DATE($B$3,4,12),'Leave log'!$F$7:$F$306,"Pending")&gt;0,"P",""))))</f>
        <v/>
      </c>
      <c r="N134" s="23" t="str">
        <f>IF(A134="","",IF(IF(OR(DATE($B$3,4,13)&gt;EOMONTH(DATE($B$3,4,1),0),NETWORKDAYS.INTL(DATE($B$3,4,13),DATE($B$3,4,13),1,'Non-working days'!$A$6:$A$45)=0),"",IF(COUNTIFS('Leave log'!$A$7:$A$306,Employees!$A$31,'Leave log'!$B$7:$B$306,"&lt;="&amp;DATE($B$3,4,13),'Leave log'!$C$7:$C$306,"&gt;="&amp;DATE($B$3,4,13),'Leave log'!$F$7:$F$306,"Approved")&gt;0,"A",""))="A","A",IF(OR(DATE($B$3,4,13)&gt;EOMONTH(DATE($B$3,4,1),0),NETWORKDAYS.INTL(DATE($B$3,4,13),DATE($B$3,4,13),1,'Non-working days'!$A$6:$A$45)=0),"",IF(COUNTIFS('Leave log'!$A$7:$A$306,Employees!$A$31,'Leave log'!$B$7:$B$306,"&lt;="&amp;DATE($B$3,4,13),'Leave log'!$C$7:$C$306,"&gt;="&amp;DATE($B$3,4,13),'Leave log'!$F$7:$F$306,"Pending")&gt;0,"P",""))))</f>
        <v/>
      </c>
      <c r="O134" s="23" t="str">
        <f>IF(A134="","",IF(IF(OR(DATE($B$3,4,14)&gt;EOMONTH(DATE($B$3,4,1),0),NETWORKDAYS.INTL(DATE($B$3,4,14),DATE($B$3,4,14),1,'Non-working days'!$A$6:$A$45)=0),"",IF(COUNTIFS('Leave log'!$A$7:$A$306,Employees!$A$31,'Leave log'!$B$7:$B$306,"&lt;="&amp;DATE($B$3,4,14),'Leave log'!$C$7:$C$306,"&gt;="&amp;DATE($B$3,4,14),'Leave log'!$F$7:$F$306,"Approved")&gt;0,"A",""))="A","A",IF(OR(DATE($B$3,4,14)&gt;EOMONTH(DATE($B$3,4,1),0),NETWORKDAYS.INTL(DATE($B$3,4,14),DATE($B$3,4,14),1,'Non-working days'!$A$6:$A$45)=0),"",IF(COUNTIFS('Leave log'!$A$7:$A$306,Employees!$A$31,'Leave log'!$B$7:$B$306,"&lt;="&amp;DATE($B$3,4,14),'Leave log'!$C$7:$C$306,"&gt;="&amp;DATE($B$3,4,14),'Leave log'!$F$7:$F$306,"Pending")&gt;0,"P",""))))</f>
        <v/>
      </c>
      <c r="P134" s="23" t="str">
        <f>IF(A134="","",IF(IF(OR(DATE($B$3,4,15)&gt;EOMONTH(DATE($B$3,4,1),0),NETWORKDAYS.INTL(DATE($B$3,4,15),DATE($B$3,4,15),1,'Non-working days'!$A$6:$A$45)=0),"",IF(COUNTIFS('Leave log'!$A$7:$A$306,Employees!$A$31,'Leave log'!$B$7:$B$306,"&lt;="&amp;DATE($B$3,4,15),'Leave log'!$C$7:$C$306,"&gt;="&amp;DATE($B$3,4,15),'Leave log'!$F$7:$F$306,"Approved")&gt;0,"A",""))="A","A",IF(OR(DATE($B$3,4,15)&gt;EOMONTH(DATE($B$3,4,1),0),NETWORKDAYS.INTL(DATE($B$3,4,15),DATE($B$3,4,15),1,'Non-working days'!$A$6:$A$45)=0),"",IF(COUNTIFS('Leave log'!$A$7:$A$306,Employees!$A$31,'Leave log'!$B$7:$B$306,"&lt;="&amp;DATE($B$3,4,15),'Leave log'!$C$7:$C$306,"&gt;="&amp;DATE($B$3,4,15),'Leave log'!$F$7:$F$306,"Pending")&gt;0,"P",""))))</f>
        <v/>
      </c>
      <c r="Q134" s="23" t="str">
        <f>IF(A134="","",IF(IF(OR(DATE($B$3,4,16)&gt;EOMONTH(DATE($B$3,4,1),0),NETWORKDAYS.INTL(DATE($B$3,4,16),DATE($B$3,4,16),1,'Non-working days'!$A$6:$A$45)=0),"",IF(COUNTIFS('Leave log'!$A$7:$A$306,Employees!$A$31,'Leave log'!$B$7:$B$306,"&lt;="&amp;DATE($B$3,4,16),'Leave log'!$C$7:$C$306,"&gt;="&amp;DATE($B$3,4,16),'Leave log'!$F$7:$F$306,"Approved")&gt;0,"A",""))="A","A",IF(OR(DATE($B$3,4,16)&gt;EOMONTH(DATE($B$3,4,1),0),NETWORKDAYS.INTL(DATE($B$3,4,16),DATE($B$3,4,16),1,'Non-working days'!$A$6:$A$45)=0),"",IF(COUNTIFS('Leave log'!$A$7:$A$306,Employees!$A$31,'Leave log'!$B$7:$B$306,"&lt;="&amp;DATE($B$3,4,16),'Leave log'!$C$7:$C$306,"&gt;="&amp;DATE($B$3,4,16),'Leave log'!$F$7:$F$306,"Pending")&gt;0,"P",""))))</f>
        <v/>
      </c>
      <c r="R134" s="23" t="str">
        <f>IF(A134="","",IF(IF(OR(DATE($B$3,4,17)&gt;EOMONTH(DATE($B$3,4,1),0),NETWORKDAYS.INTL(DATE($B$3,4,17),DATE($B$3,4,17),1,'Non-working days'!$A$6:$A$45)=0),"",IF(COUNTIFS('Leave log'!$A$7:$A$306,Employees!$A$31,'Leave log'!$B$7:$B$306,"&lt;="&amp;DATE($B$3,4,17),'Leave log'!$C$7:$C$306,"&gt;="&amp;DATE($B$3,4,17),'Leave log'!$F$7:$F$306,"Approved")&gt;0,"A",""))="A","A",IF(OR(DATE($B$3,4,17)&gt;EOMONTH(DATE($B$3,4,1),0),NETWORKDAYS.INTL(DATE($B$3,4,17),DATE($B$3,4,17),1,'Non-working days'!$A$6:$A$45)=0),"",IF(COUNTIFS('Leave log'!$A$7:$A$306,Employees!$A$31,'Leave log'!$B$7:$B$306,"&lt;="&amp;DATE($B$3,4,17),'Leave log'!$C$7:$C$306,"&gt;="&amp;DATE($B$3,4,17),'Leave log'!$F$7:$F$306,"Pending")&gt;0,"P",""))))</f>
        <v/>
      </c>
      <c r="S134" s="23" t="str">
        <f>IF(A134="","",IF(IF(OR(DATE($B$3,4,18)&gt;EOMONTH(DATE($B$3,4,1),0),NETWORKDAYS.INTL(DATE($B$3,4,18),DATE($B$3,4,18),1,'Non-working days'!$A$6:$A$45)=0),"",IF(COUNTIFS('Leave log'!$A$7:$A$306,Employees!$A$31,'Leave log'!$B$7:$B$306,"&lt;="&amp;DATE($B$3,4,18),'Leave log'!$C$7:$C$306,"&gt;="&amp;DATE($B$3,4,18),'Leave log'!$F$7:$F$306,"Approved")&gt;0,"A",""))="A","A",IF(OR(DATE($B$3,4,18)&gt;EOMONTH(DATE($B$3,4,1),0),NETWORKDAYS.INTL(DATE($B$3,4,18),DATE($B$3,4,18),1,'Non-working days'!$A$6:$A$45)=0),"",IF(COUNTIFS('Leave log'!$A$7:$A$306,Employees!$A$31,'Leave log'!$B$7:$B$306,"&lt;="&amp;DATE($B$3,4,18),'Leave log'!$C$7:$C$306,"&gt;="&amp;DATE($B$3,4,18),'Leave log'!$F$7:$F$306,"Pending")&gt;0,"P",""))))</f>
        <v/>
      </c>
      <c r="T134" s="23" t="str">
        <f>IF(A134="","",IF(IF(OR(DATE($B$3,4,19)&gt;EOMONTH(DATE($B$3,4,1),0),NETWORKDAYS.INTL(DATE($B$3,4,19),DATE($B$3,4,19),1,'Non-working days'!$A$6:$A$45)=0),"",IF(COUNTIFS('Leave log'!$A$7:$A$306,Employees!$A$31,'Leave log'!$B$7:$B$306,"&lt;="&amp;DATE($B$3,4,19),'Leave log'!$C$7:$C$306,"&gt;="&amp;DATE($B$3,4,19),'Leave log'!$F$7:$F$306,"Approved")&gt;0,"A",""))="A","A",IF(OR(DATE($B$3,4,19)&gt;EOMONTH(DATE($B$3,4,1),0),NETWORKDAYS.INTL(DATE($B$3,4,19),DATE($B$3,4,19),1,'Non-working days'!$A$6:$A$45)=0),"",IF(COUNTIFS('Leave log'!$A$7:$A$306,Employees!$A$31,'Leave log'!$B$7:$B$306,"&lt;="&amp;DATE($B$3,4,19),'Leave log'!$C$7:$C$306,"&gt;="&amp;DATE($B$3,4,19),'Leave log'!$F$7:$F$306,"Pending")&gt;0,"P",""))))</f>
        <v/>
      </c>
      <c r="U134" s="23" t="str">
        <f>IF(A134="","",IF(IF(OR(DATE($B$3,4,20)&gt;EOMONTH(DATE($B$3,4,1),0),NETWORKDAYS.INTL(DATE($B$3,4,20),DATE($B$3,4,20),1,'Non-working days'!$A$6:$A$45)=0),"",IF(COUNTIFS('Leave log'!$A$7:$A$306,Employees!$A$31,'Leave log'!$B$7:$B$306,"&lt;="&amp;DATE($B$3,4,20),'Leave log'!$C$7:$C$306,"&gt;="&amp;DATE($B$3,4,20),'Leave log'!$F$7:$F$306,"Approved")&gt;0,"A",""))="A","A",IF(OR(DATE($B$3,4,20)&gt;EOMONTH(DATE($B$3,4,1),0),NETWORKDAYS.INTL(DATE($B$3,4,20),DATE($B$3,4,20),1,'Non-working days'!$A$6:$A$45)=0),"",IF(COUNTIFS('Leave log'!$A$7:$A$306,Employees!$A$31,'Leave log'!$B$7:$B$306,"&lt;="&amp;DATE($B$3,4,20),'Leave log'!$C$7:$C$306,"&gt;="&amp;DATE($B$3,4,20),'Leave log'!$F$7:$F$306,"Pending")&gt;0,"P",""))))</f>
        <v/>
      </c>
      <c r="V134" s="23" t="str">
        <f>IF(A134="","",IF(IF(OR(DATE($B$3,4,21)&gt;EOMONTH(DATE($B$3,4,1),0),NETWORKDAYS.INTL(DATE($B$3,4,21),DATE($B$3,4,21),1,'Non-working days'!$A$6:$A$45)=0),"",IF(COUNTIFS('Leave log'!$A$7:$A$306,Employees!$A$31,'Leave log'!$B$7:$B$306,"&lt;="&amp;DATE($B$3,4,21),'Leave log'!$C$7:$C$306,"&gt;="&amp;DATE($B$3,4,21),'Leave log'!$F$7:$F$306,"Approved")&gt;0,"A",""))="A","A",IF(OR(DATE($B$3,4,21)&gt;EOMONTH(DATE($B$3,4,1),0),NETWORKDAYS.INTL(DATE($B$3,4,21),DATE($B$3,4,21),1,'Non-working days'!$A$6:$A$45)=0),"",IF(COUNTIFS('Leave log'!$A$7:$A$306,Employees!$A$31,'Leave log'!$B$7:$B$306,"&lt;="&amp;DATE($B$3,4,21),'Leave log'!$C$7:$C$306,"&gt;="&amp;DATE($B$3,4,21),'Leave log'!$F$7:$F$306,"Pending")&gt;0,"P",""))))</f>
        <v/>
      </c>
      <c r="W134" s="23" t="str">
        <f>IF(A134="","",IF(IF(OR(DATE($B$3,4,22)&gt;EOMONTH(DATE($B$3,4,1),0),NETWORKDAYS.INTL(DATE($B$3,4,22),DATE($B$3,4,22),1,'Non-working days'!$A$6:$A$45)=0),"",IF(COUNTIFS('Leave log'!$A$7:$A$306,Employees!$A$31,'Leave log'!$B$7:$B$306,"&lt;="&amp;DATE($B$3,4,22),'Leave log'!$C$7:$C$306,"&gt;="&amp;DATE($B$3,4,22),'Leave log'!$F$7:$F$306,"Approved")&gt;0,"A",""))="A","A",IF(OR(DATE($B$3,4,22)&gt;EOMONTH(DATE($B$3,4,1),0),NETWORKDAYS.INTL(DATE($B$3,4,22),DATE($B$3,4,22),1,'Non-working days'!$A$6:$A$45)=0),"",IF(COUNTIFS('Leave log'!$A$7:$A$306,Employees!$A$31,'Leave log'!$B$7:$B$306,"&lt;="&amp;DATE($B$3,4,22),'Leave log'!$C$7:$C$306,"&gt;="&amp;DATE($B$3,4,22),'Leave log'!$F$7:$F$306,"Pending")&gt;0,"P",""))))</f>
        <v/>
      </c>
      <c r="X134" s="23" t="str">
        <f>IF(A134="","",IF(IF(OR(DATE($B$3,4,23)&gt;EOMONTH(DATE($B$3,4,1),0),NETWORKDAYS.INTL(DATE($B$3,4,23),DATE($B$3,4,23),1,'Non-working days'!$A$6:$A$45)=0),"",IF(COUNTIFS('Leave log'!$A$7:$A$306,Employees!$A$31,'Leave log'!$B$7:$B$306,"&lt;="&amp;DATE($B$3,4,23),'Leave log'!$C$7:$C$306,"&gt;="&amp;DATE($B$3,4,23),'Leave log'!$F$7:$F$306,"Approved")&gt;0,"A",""))="A","A",IF(OR(DATE($B$3,4,23)&gt;EOMONTH(DATE($B$3,4,1),0),NETWORKDAYS.INTL(DATE($B$3,4,23),DATE($B$3,4,23),1,'Non-working days'!$A$6:$A$45)=0),"",IF(COUNTIFS('Leave log'!$A$7:$A$306,Employees!$A$31,'Leave log'!$B$7:$B$306,"&lt;="&amp;DATE($B$3,4,23),'Leave log'!$C$7:$C$306,"&gt;="&amp;DATE($B$3,4,23),'Leave log'!$F$7:$F$306,"Pending")&gt;0,"P",""))))</f>
        <v/>
      </c>
      <c r="Y134" s="23" t="str">
        <f>IF(A134="","",IF(IF(OR(DATE($B$3,4,24)&gt;EOMONTH(DATE($B$3,4,1),0),NETWORKDAYS.INTL(DATE($B$3,4,24),DATE($B$3,4,24),1,'Non-working days'!$A$6:$A$45)=0),"",IF(COUNTIFS('Leave log'!$A$7:$A$306,Employees!$A$31,'Leave log'!$B$7:$B$306,"&lt;="&amp;DATE($B$3,4,24),'Leave log'!$C$7:$C$306,"&gt;="&amp;DATE($B$3,4,24),'Leave log'!$F$7:$F$306,"Approved")&gt;0,"A",""))="A","A",IF(OR(DATE($B$3,4,24)&gt;EOMONTH(DATE($B$3,4,1),0),NETWORKDAYS.INTL(DATE($B$3,4,24),DATE($B$3,4,24),1,'Non-working days'!$A$6:$A$45)=0),"",IF(COUNTIFS('Leave log'!$A$7:$A$306,Employees!$A$31,'Leave log'!$B$7:$B$306,"&lt;="&amp;DATE($B$3,4,24),'Leave log'!$C$7:$C$306,"&gt;="&amp;DATE($B$3,4,24),'Leave log'!$F$7:$F$306,"Pending")&gt;0,"P",""))))</f>
        <v/>
      </c>
      <c r="Z134" s="23" t="str">
        <f>IF(A134="","",IF(IF(OR(DATE($B$3,4,25)&gt;EOMONTH(DATE($B$3,4,1),0),NETWORKDAYS.INTL(DATE($B$3,4,25),DATE($B$3,4,25),1,'Non-working days'!$A$6:$A$45)=0),"",IF(COUNTIFS('Leave log'!$A$7:$A$306,Employees!$A$31,'Leave log'!$B$7:$B$306,"&lt;="&amp;DATE($B$3,4,25),'Leave log'!$C$7:$C$306,"&gt;="&amp;DATE($B$3,4,25),'Leave log'!$F$7:$F$306,"Approved")&gt;0,"A",""))="A","A",IF(OR(DATE($B$3,4,25)&gt;EOMONTH(DATE($B$3,4,1),0),NETWORKDAYS.INTL(DATE($B$3,4,25),DATE($B$3,4,25),1,'Non-working days'!$A$6:$A$45)=0),"",IF(COUNTIFS('Leave log'!$A$7:$A$306,Employees!$A$31,'Leave log'!$B$7:$B$306,"&lt;="&amp;DATE($B$3,4,25),'Leave log'!$C$7:$C$306,"&gt;="&amp;DATE($B$3,4,25),'Leave log'!$F$7:$F$306,"Pending")&gt;0,"P",""))))</f>
        <v/>
      </c>
      <c r="AA134" s="23" t="str">
        <f>IF(A134="","",IF(IF(OR(DATE($B$3,4,26)&gt;EOMONTH(DATE($B$3,4,1),0),NETWORKDAYS.INTL(DATE($B$3,4,26),DATE($B$3,4,26),1,'Non-working days'!$A$6:$A$45)=0),"",IF(COUNTIFS('Leave log'!$A$7:$A$306,Employees!$A$31,'Leave log'!$B$7:$B$306,"&lt;="&amp;DATE($B$3,4,26),'Leave log'!$C$7:$C$306,"&gt;="&amp;DATE($B$3,4,26),'Leave log'!$F$7:$F$306,"Approved")&gt;0,"A",""))="A","A",IF(OR(DATE($B$3,4,26)&gt;EOMONTH(DATE($B$3,4,1),0),NETWORKDAYS.INTL(DATE($B$3,4,26),DATE($B$3,4,26),1,'Non-working days'!$A$6:$A$45)=0),"",IF(COUNTIFS('Leave log'!$A$7:$A$306,Employees!$A$31,'Leave log'!$B$7:$B$306,"&lt;="&amp;DATE($B$3,4,26),'Leave log'!$C$7:$C$306,"&gt;="&amp;DATE($B$3,4,26),'Leave log'!$F$7:$F$306,"Pending")&gt;0,"P",""))))</f>
        <v/>
      </c>
      <c r="AB134" s="23" t="str">
        <f>IF(A134="","",IF(IF(OR(DATE($B$3,4,27)&gt;EOMONTH(DATE($B$3,4,1),0),NETWORKDAYS.INTL(DATE($B$3,4,27),DATE($B$3,4,27),1,'Non-working days'!$A$6:$A$45)=0),"",IF(COUNTIFS('Leave log'!$A$7:$A$306,Employees!$A$31,'Leave log'!$B$7:$B$306,"&lt;="&amp;DATE($B$3,4,27),'Leave log'!$C$7:$C$306,"&gt;="&amp;DATE($B$3,4,27),'Leave log'!$F$7:$F$306,"Approved")&gt;0,"A",""))="A","A",IF(OR(DATE($B$3,4,27)&gt;EOMONTH(DATE($B$3,4,1),0),NETWORKDAYS.INTL(DATE($B$3,4,27),DATE($B$3,4,27),1,'Non-working days'!$A$6:$A$45)=0),"",IF(COUNTIFS('Leave log'!$A$7:$A$306,Employees!$A$31,'Leave log'!$B$7:$B$306,"&lt;="&amp;DATE($B$3,4,27),'Leave log'!$C$7:$C$306,"&gt;="&amp;DATE($B$3,4,27),'Leave log'!$F$7:$F$306,"Pending")&gt;0,"P",""))))</f>
        <v/>
      </c>
      <c r="AC134" s="23" t="str">
        <f>IF(A134="","",IF(IF(OR(DATE($B$3,4,28)&gt;EOMONTH(DATE($B$3,4,1),0),NETWORKDAYS.INTL(DATE($B$3,4,28),DATE($B$3,4,28),1,'Non-working days'!$A$6:$A$45)=0),"",IF(COUNTIFS('Leave log'!$A$7:$A$306,Employees!$A$31,'Leave log'!$B$7:$B$306,"&lt;="&amp;DATE($B$3,4,28),'Leave log'!$C$7:$C$306,"&gt;="&amp;DATE($B$3,4,28),'Leave log'!$F$7:$F$306,"Approved")&gt;0,"A",""))="A","A",IF(OR(DATE($B$3,4,28)&gt;EOMONTH(DATE($B$3,4,1),0),NETWORKDAYS.INTL(DATE($B$3,4,28),DATE($B$3,4,28),1,'Non-working days'!$A$6:$A$45)=0),"",IF(COUNTIFS('Leave log'!$A$7:$A$306,Employees!$A$31,'Leave log'!$B$7:$B$306,"&lt;="&amp;DATE($B$3,4,28),'Leave log'!$C$7:$C$306,"&gt;="&amp;DATE($B$3,4,28),'Leave log'!$F$7:$F$306,"Pending")&gt;0,"P",""))))</f>
        <v/>
      </c>
      <c r="AD134" s="23" t="str">
        <f>IF(A134="","",IF(IF(OR(DATE($B$3,4,29)&gt;EOMONTH(DATE($B$3,4,1),0),NETWORKDAYS.INTL(DATE($B$3,4,29),DATE($B$3,4,29),1,'Non-working days'!$A$6:$A$45)=0),"",IF(COUNTIFS('Leave log'!$A$7:$A$306,Employees!$A$31,'Leave log'!$B$7:$B$306,"&lt;="&amp;DATE($B$3,4,29),'Leave log'!$C$7:$C$306,"&gt;="&amp;DATE($B$3,4,29),'Leave log'!$F$7:$F$306,"Approved")&gt;0,"A",""))="A","A",IF(OR(DATE($B$3,4,29)&gt;EOMONTH(DATE($B$3,4,1),0),NETWORKDAYS.INTL(DATE($B$3,4,29),DATE($B$3,4,29),1,'Non-working days'!$A$6:$A$45)=0),"",IF(COUNTIFS('Leave log'!$A$7:$A$306,Employees!$A$31,'Leave log'!$B$7:$B$306,"&lt;="&amp;DATE($B$3,4,29),'Leave log'!$C$7:$C$306,"&gt;="&amp;DATE($B$3,4,29),'Leave log'!$F$7:$F$306,"Pending")&gt;0,"P",""))))</f>
        <v/>
      </c>
      <c r="AE134" s="23" t="str">
        <f>IF(A134="","",IF(IF(OR(DATE($B$3,4,30)&gt;EOMONTH(DATE($B$3,4,1),0),NETWORKDAYS.INTL(DATE($B$3,4,30),DATE($B$3,4,30),1,'Non-working days'!$A$6:$A$45)=0),"",IF(COUNTIFS('Leave log'!$A$7:$A$306,Employees!$A$31,'Leave log'!$B$7:$B$306,"&lt;="&amp;DATE($B$3,4,30),'Leave log'!$C$7:$C$306,"&gt;="&amp;DATE($B$3,4,30),'Leave log'!$F$7:$F$306,"Approved")&gt;0,"A",""))="A","A",IF(OR(DATE($B$3,4,30)&gt;EOMONTH(DATE($B$3,4,1),0),NETWORKDAYS.INTL(DATE($B$3,4,30),DATE($B$3,4,30),1,'Non-working days'!$A$6:$A$45)=0),"",IF(COUNTIFS('Leave log'!$A$7:$A$306,Employees!$A$31,'Leave log'!$B$7:$B$306,"&lt;="&amp;DATE($B$3,4,30),'Leave log'!$C$7:$C$306,"&gt;="&amp;DATE($B$3,4,30),'Leave log'!$F$7:$F$306,"Pending")&gt;0,"P",""))))</f>
        <v/>
      </c>
      <c r="AF134" s="23" t="str">
        <f>IF(A134="","",IF(IF(OR(DATE($B$3,4,31)&gt;EOMONTH(DATE($B$3,4,1),0),NETWORKDAYS.INTL(DATE($B$3,4,31),DATE($B$3,4,31),1,'Non-working days'!$A$6:$A$45)=0),"",IF(COUNTIFS('Leave log'!$A$7:$A$306,Employees!$A$31,'Leave log'!$B$7:$B$306,"&lt;="&amp;DATE($B$3,4,31),'Leave log'!$C$7:$C$306,"&gt;="&amp;DATE($B$3,4,31),'Leave log'!$F$7:$F$306,"Approved")&gt;0,"A",""))="A","A",IF(OR(DATE($B$3,4,31)&gt;EOMONTH(DATE($B$3,4,1),0),NETWORKDAYS.INTL(DATE($B$3,4,31),DATE($B$3,4,31),1,'Non-working days'!$A$6:$A$45)=0),"",IF(COUNTIFS('Leave log'!$A$7:$A$306,Employees!$A$31,'Leave log'!$B$7:$B$306,"&lt;="&amp;DATE($B$3,4,31),'Leave log'!$C$7:$C$306,"&gt;="&amp;DATE($B$3,4,31),'Leave log'!$F$7:$F$306,"Pending")&gt;0,"P",""))))</f>
        <v/>
      </c>
    </row>
    <row r="135" spans="1:32" ht="18" customHeight="1" x14ac:dyDescent="0.3">
      <c r="A135" s="22" t="str">
        <f>IF(Employees!F32="Yes",Employees!B32,"")</f>
        <v/>
      </c>
      <c r="B135" s="23" t="str">
        <f>IF(A135="","",IF(IF(OR(DATE($B$3,4,1)&gt;EOMONTH(DATE($B$3,4,1),0),NETWORKDAYS.INTL(DATE($B$3,4,1),DATE($B$3,4,1),1,'Non-working days'!$A$6:$A$45)=0),"",IF(COUNTIFS('Leave log'!$A$7:$A$306,Employees!$A$32,'Leave log'!$B$7:$B$306,"&lt;="&amp;DATE($B$3,4,1),'Leave log'!$C$7:$C$306,"&gt;="&amp;DATE($B$3,4,1),'Leave log'!$F$7:$F$306,"Approved")&gt;0,"A",""))="A","A",IF(OR(DATE($B$3,4,1)&gt;EOMONTH(DATE($B$3,4,1),0),NETWORKDAYS.INTL(DATE($B$3,4,1),DATE($B$3,4,1),1,'Non-working days'!$A$6:$A$45)=0),"",IF(COUNTIFS('Leave log'!$A$7:$A$306,Employees!$A$32,'Leave log'!$B$7:$B$306,"&lt;="&amp;DATE($B$3,4,1),'Leave log'!$C$7:$C$306,"&gt;="&amp;DATE($B$3,4,1),'Leave log'!$F$7:$F$306,"Pending")&gt;0,"P",""))))</f>
        <v/>
      </c>
      <c r="C135" s="23" t="str">
        <f>IF(A135="","",IF(IF(OR(DATE($B$3,4,2)&gt;EOMONTH(DATE($B$3,4,1),0),NETWORKDAYS.INTL(DATE($B$3,4,2),DATE($B$3,4,2),1,'Non-working days'!$A$6:$A$45)=0),"",IF(COUNTIFS('Leave log'!$A$7:$A$306,Employees!$A$32,'Leave log'!$B$7:$B$306,"&lt;="&amp;DATE($B$3,4,2),'Leave log'!$C$7:$C$306,"&gt;="&amp;DATE($B$3,4,2),'Leave log'!$F$7:$F$306,"Approved")&gt;0,"A",""))="A","A",IF(OR(DATE($B$3,4,2)&gt;EOMONTH(DATE($B$3,4,1),0),NETWORKDAYS.INTL(DATE($B$3,4,2),DATE($B$3,4,2),1,'Non-working days'!$A$6:$A$45)=0),"",IF(COUNTIFS('Leave log'!$A$7:$A$306,Employees!$A$32,'Leave log'!$B$7:$B$306,"&lt;="&amp;DATE($B$3,4,2),'Leave log'!$C$7:$C$306,"&gt;="&amp;DATE($B$3,4,2),'Leave log'!$F$7:$F$306,"Pending")&gt;0,"P",""))))</f>
        <v/>
      </c>
      <c r="D135" s="23" t="str">
        <f>IF(A135="","",IF(IF(OR(DATE($B$3,4,3)&gt;EOMONTH(DATE($B$3,4,1),0),NETWORKDAYS.INTL(DATE($B$3,4,3),DATE($B$3,4,3),1,'Non-working days'!$A$6:$A$45)=0),"",IF(COUNTIFS('Leave log'!$A$7:$A$306,Employees!$A$32,'Leave log'!$B$7:$B$306,"&lt;="&amp;DATE($B$3,4,3),'Leave log'!$C$7:$C$306,"&gt;="&amp;DATE($B$3,4,3),'Leave log'!$F$7:$F$306,"Approved")&gt;0,"A",""))="A","A",IF(OR(DATE($B$3,4,3)&gt;EOMONTH(DATE($B$3,4,1),0),NETWORKDAYS.INTL(DATE($B$3,4,3),DATE($B$3,4,3),1,'Non-working days'!$A$6:$A$45)=0),"",IF(COUNTIFS('Leave log'!$A$7:$A$306,Employees!$A$32,'Leave log'!$B$7:$B$306,"&lt;="&amp;DATE($B$3,4,3),'Leave log'!$C$7:$C$306,"&gt;="&amp;DATE($B$3,4,3),'Leave log'!$F$7:$F$306,"Pending")&gt;0,"P",""))))</f>
        <v/>
      </c>
      <c r="E135" s="23" t="str">
        <f>IF(A135="","",IF(IF(OR(DATE($B$3,4,4)&gt;EOMONTH(DATE($B$3,4,1),0),NETWORKDAYS.INTL(DATE($B$3,4,4),DATE($B$3,4,4),1,'Non-working days'!$A$6:$A$45)=0),"",IF(COUNTIFS('Leave log'!$A$7:$A$306,Employees!$A$32,'Leave log'!$B$7:$B$306,"&lt;="&amp;DATE($B$3,4,4),'Leave log'!$C$7:$C$306,"&gt;="&amp;DATE($B$3,4,4),'Leave log'!$F$7:$F$306,"Approved")&gt;0,"A",""))="A","A",IF(OR(DATE($B$3,4,4)&gt;EOMONTH(DATE($B$3,4,1),0),NETWORKDAYS.INTL(DATE($B$3,4,4),DATE($B$3,4,4),1,'Non-working days'!$A$6:$A$45)=0),"",IF(COUNTIFS('Leave log'!$A$7:$A$306,Employees!$A$32,'Leave log'!$B$7:$B$306,"&lt;="&amp;DATE($B$3,4,4),'Leave log'!$C$7:$C$306,"&gt;="&amp;DATE($B$3,4,4),'Leave log'!$F$7:$F$306,"Pending")&gt;0,"P",""))))</f>
        <v/>
      </c>
      <c r="F135" s="23" t="str">
        <f>IF(A135="","",IF(IF(OR(DATE($B$3,4,5)&gt;EOMONTH(DATE($B$3,4,1),0),NETWORKDAYS.INTL(DATE($B$3,4,5),DATE($B$3,4,5),1,'Non-working days'!$A$6:$A$45)=0),"",IF(COUNTIFS('Leave log'!$A$7:$A$306,Employees!$A$32,'Leave log'!$B$7:$B$306,"&lt;="&amp;DATE($B$3,4,5),'Leave log'!$C$7:$C$306,"&gt;="&amp;DATE($B$3,4,5),'Leave log'!$F$7:$F$306,"Approved")&gt;0,"A",""))="A","A",IF(OR(DATE($B$3,4,5)&gt;EOMONTH(DATE($B$3,4,1),0),NETWORKDAYS.INTL(DATE($B$3,4,5),DATE($B$3,4,5),1,'Non-working days'!$A$6:$A$45)=0),"",IF(COUNTIFS('Leave log'!$A$7:$A$306,Employees!$A$32,'Leave log'!$B$7:$B$306,"&lt;="&amp;DATE($B$3,4,5),'Leave log'!$C$7:$C$306,"&gt;="&amp;DATE($B$3,4,5),'Leave log'!$F$7:$F$306,"Pending")&gt;0,"P",""))))</f>
        <v/>
      </c>
      <c r="G135" s="23" t="str">
        <f>IF(A135="","",IF(IF(OR(DATE($B$3,4,6)&gt;EOMONTH(DATE($B$3,4,1),0),NETWORKDAYS.INTL(DATE($B$3,4,6),DATE($B$3,4,6),1,'Non-working days'!$A$6:$A$45)=0),"",IF(COUNTIFS('Leave log'!$A$7:$A$306,Employees!$A$32,'Leave log'!$B$7:$B$306,"&lt;="&amp;DATE($B$3,4,6),'Leave log'!$C$7:$C$306,"&gt;="&amp;DATE($B$3,4,6),'Leave log'!$F$7:$F$306,"Approved")&gt;0,"A",""))="A","A",IF(OR(DATE($B$3,4,6)&gt;EOMONTH(DATE($B$3,4,1),0),NETWORKDAYS.INTL(DATE($B$3,4,6),DATE($B$3,4,6),1,'Non-working days'!$A$6:$A$45)=0),"",IF(COUNTIFS('Leave log'!$A$7:$A$306,Employees!$A$32,'Leave log'!$B$7:$B$306,"&lt;="&amp;DATE($B$3,4,6),'Leave log'!$C$7:$C$306,"&gt;="&amp;DATE($B$3,4,6),'Leave log'!$F$7:$F$306,"Pending")&gt;0,"P",""))))</f>
        <v/>
      </c>
      <c r="H135" s="23" t="str">
        <f>IF(A135="","",IF(IF(OR(DATE($B$3,4,7)&gt;EOMONTH(DATE($B$3,4,1),0),NETWORKDAYS.INTL(DATE($B$3,4,7),DATE($B$3,4,7),1,'Non-working days'!$A$6:$A$45)=0),"",IF(COUNTIFS('Leave log'!$A$7:$A$306,Employees!$A$32,'Leave log'!$B$7:$B$306,"&lt;="&amp;DATE($B$3,4,7),'Leave log'!$C$7:$C$306,"&gt;="&amp;DATE($B$3,4,7),'Leave log'!$F$7:$F$306,"Approved")&gt;0,"A",""))="A","A",IF(OR(DATE($B$3,4,7)&gt;EOMONTH(DATE($B$3,4,1),0),NETWORKDAYS.INTL(DATE($B$3,4,7),DATE($B$3,4,7),1,'Non-working days'!$A$6:$A$45)=0),"",IF(COUNTIFS('Leave log'!$A$7:$A$306,Employees!$A$32,'Leave log'!$B$7:$B$306,"&lt;="&amp;DATE($B$3,4,7),'Leave log'!$C$7:$C$306,"&gt;="&amp;DATE($B$3,4,7),'Leave log'!$F$7:$F$306,"Pending")&gt;0,"P",""))))</f>
        <v/>
      </c>
      <c r="I135" s="23" t="str">
        <f>IF(A135="","",IF(IF(OR(DATE($B$3,4,8)&gt;EOMONTH(DATE($B$3,4,1),0),NETWORKDAYS.INTL(DATE($B$3,4,8),DATE($B$3,4,8),1,'Non-working days'!$A$6:$A$45)=0),"",IF(COUNTIFS('Leave log'!$A$7:$A$306,Employees!$A$32,'Leave log'!$B$7:$B$306,"&lt;="&amp;DATE($B$3,4,8),'Leave log'!$C$7:$C$306,"&gt;="&amp;DATE($B$3,4,8),'Leave log'!$F$7:$F$306,"Approved")&gt;0,"A",""))="A","A",IF(OR(DATE($B$3,4,8)&gt;EOMONTH(DATE($B$3,4,1),0),NETWORKDAYS.INTL(DATE($B$3,4,8),DATE($B$3,4,8),1,'Non-working days'!$A$6:$A$45)=0),"",IF(COUNTIFS('Leave log'!$A$7:$A$306,Employees!$A$32,'Leave log'!$B$7:$B$306,"&lt;="&amp;DATE($B$3,4,8),'Leave log'!$C$7:$C$306,"&gt;="&amp;DATE($B$3,4,8),'Leave log'!$F$7:$F$306,"Pending")&gt;0,"P",""))))</f>
        <v/>
      </c>
      <c r="J135" s="23" t="str">
        <f>IF(A135="","",IF(IF(OR(DATE($B$3,4,9)&gt;EOMONTH(DATE($B$3,4,1),0),NETWORKDAYS.INTL(DATE($B$3,4,9),DATE($B$3,4,9),1,'Non-working days'!$A$6:$A$45)=0),"",IF(COUNTIFS('Leave log'!$A$7:$A$306,Employees!$A$32,'Leave log'!$B$7:$B$306,"&lt;="&amp;DATE($B$3,4,9),'Leave log'!$C$7:$C$306,"&gt;="&amp;DATE($B$3,4,9),'Leave log'!$F$7:$F$306,"Approved")&gt;0,"A",""))="A","A",IF(OR(DATE($B$3,4,9)&gt;EOMONTH(DATE($B$3,4,1),0),NETWORKDAYS.INTL(DATE($B$3,4,9),DATE($B$3,4,9),1,'Non-working days'!$A$6:$A$45)=0),"",IF(COUNTIFS('Leave log'!$A$7:$A$306,Employees!$A$32,'Leave log'!$B$7:$B$306,"&lt;="&amp;DATE($B$3,4,9),'Leave log'!$C$7:$C$306,"&gt;="&amp;DATE($B$3,4,9),'Leave log'!$F$7:$F$306,"Pending")&gt;0,"P",""))))</f>
        <v/>
      </c>
      <c r="K135" s="23" t="str">
        <f>IF(A135="","",IF(IF(OR(DATE($B$3,4,10)&gt;EOMONTH(DATE($B$3,4,1),0),NETWORKDAYS.INTL(DATE($B$3,4,10),DATE($B$3,4,10),1,'Non-working days'!$A$6:$A$45)=0),"",IF(COUNTIFS('Leave log'!$A$7:$A$306,Employees!$A$32,'Leave log'!$B$7:$B$306,"&lt;="&amp;DATE($B$3,4,10),'Leave log'!$C$7:$C$306,"&gt;="&amp;DATE($B$3,4,10),'Leave log'!$F$7:$F$306,"Approved")&gt;0,"A",""))="A","A",IF(OR(DATE($B$3,4,10)&gt;EOMONTH(DATE($B$3,4,1),0),NETWORKDAYS.INTL(DATE($B$3,4,10),DATE($B$3,4,10),1,'Non-working days'!$A$6:$A$45)=0),"",IF(COUNTIFS('Leave log'!$A$7:$A$306,Employees!$A$32,'Leave log'!$B$7:$B$306,"&lt;="&amp;DATE($B$3,4,10),'Leave log'!$C$7:$C$306,"&gt;="&amp;DATE($B$3,4,10),'Leave log'!$F$7:$F$306,"Pending")&gt;0,"P",""))))</f>
        <v/>
      </c>
      <c r="L135" s="23" t="str">
        <f>IF(A135="","",IF(IF(OR(DATE($B$3,4,11)&gt;EOMONTH(DATE($B$3,4,1),0),NETWORKDAYS.INTL(DATE($B$3,4,11),DATE($B$3,4,11),1,'Non-working days'!$A$6:$A$45)=0),"",IF(COUNTIFS('Leave log'!$A$7:$A$306,Employees!$A$32,'Leave log'!$B$7:$B$306,"&lt;="&amp;DATE($B$3,4,11),'Leave log'!$C$7:$C$306,"&gt;="&amp;DATE($B$3,4,11),'Leave log'!$F$7:$F$306,"Approved")&gt;0,"A",""))="A","A",IF(OR(DATE($B$3,4,11)&gt;EOMONTH(DATE($B$3,4,1),0),NETWORKDAYS.INTL(DATE($B$3,4,11),DATE($B$3,4,11),1,'Non-working days'!$A$6:$A$45)=0),"",IF(COUNTIFS('Leave log'!$A$7:$A$306,Employees!$A$32,'Leave log'!$B$7:$B$306,"&lt;="&amp;DATE($B$3,4,11),'Leave log'!$C$7:$C$306,"&gt;="&amp;DATE($B$3,4,11),'Leave log'!$F$7:$F$306,"Pending")&gt;0,"P",""))))</f>
        <v/>
      </c>
      <c r="M135" s="23" t="str">
        <f>IF(A135="","",IF(IF(OR(DATE($B$3,4,12)&gt;EOMONTH(DATE($B$3,4,1),0),NETWORKDAYS.INTL(DATE($B$3,4,12),DATE($B$3,4,12),1,'Non-working days'!$A$6:$A$45)=0),"",IF(COUNTIFS('Leave log'!$A$7:$A$306,Employees!$A$32,'Leave log'!$B$7:$B$306,"&lt;="&amp;DATE($B$3,4,12),'Leave log'!$C$7:$C$306,"&gt;="&amp;DATE($B$3,4,12),'Leave log'!$F$7:$F$306,"Approved")&gt;0,"A",""))="A","A",IF(OR(DATE($B$3,4,12)&gt;EOMONTH(DATE($B$3,4,1),0),NETWORKDAYS.INTL(DATE($B$3,4,12),DATE($B$3,4,12),1,'Non-working days'!$A$6:$A$45)=0),"",IF(COUNTIFS('Leave log'!$A$7:$A$306,Employees!$A$32,'Leave log'!$B$7:$B$306,"&lt;="&amp;DATE($B$3,4,12),'Leave log'!$C$7:$C$306,"&gt;="&amp;DATE($B$3,4,12),'Leave log'!$F$7:$F$306,"Pending")&gt;0,"P",""))))</f>
        <v/>
      </c>
      <c r="N135" s="23" t="str">
        <f>IF(A135="","",IF(IF(OR(DATE($B$3,4,13)&gt;EOMONTH(DATE($B$3,4,1),0),NETWORKDAYS.INTL(DATE($B$3,4,13),DATE($B$3,4,13),1,'Non-working days'!$A$6:$A$45)=0),"",IF(COUNTIFS('Leave log'!$A$7:$A$306,Employees!$A$32,'Leave log'!$B$7:$B$306,"&lt;="&amp;DATE($B$3,4,13),'Leave log'!$C$7:$C$306,"&gt;="&amp;DATE($B$3,4,13),'Leave log'!$F$7:$F$306,"Approved")&gt;0,"A",""))="A","A",IF(OR(DATE($B$3,4,13)&gt;EOMONTH(DATE($B$3,4,1),0),NETWORKDAYS.INTL(DATE($B$3,4,13),DATE($B$3,4,13),1,'Non-working days'!$A$6:$A$45)=0),"",IF(COUNTIFS('Leave log'!$A$7:$A$306,Employees!$A$32,'Leave log'!$B$7:$B$306,"&lt;="&amp;DATE($B$3,4,13),'Leave log'!$C$7:$C$306,"&gt;="&amp;DATE($B$3,4,13),'Leave log'!$F$7:$F$306,"Pending")&gt;0,"P",""))))</f>
        <v/>
      </c>
      <c r="O135" s="23" t="str">
        <f>IF(A135="","",IF(IF(OR(DATE($B$3,4,14)&gt;EOMONTH(DATE($B$3,4,1),0),NETWORKDAYS.INTL(DATE($B$3,4,14),DATE($B$3,4,14),1,'Non-working days'!$A$6:$A$45)=0),"",IF(COUNTIFS('Leave log'!$A$7:$A$306,Employees!$A$32,'Leave log'!$B$7:$B$306,"&lt;="&amp;DATE($B$3,4,14),'Leave log'!$C$7:$C$306,"&gt;="&amp;DATE($B$3,4,14),'Leave log'!$F$7:$F$306,"Approved")&gt;0,"A",""))="A","A",IF(OR(DATE($B$3,4,14)&gt;EOMONTH(DATE($B$3,4,1),0),NETWORKDAYS.INTL(DATE($B$3,4,14),DATE($B$3,4,14),1,'Non-working days'!$A$6:$A$45)=0),"",IF(COUNTIFS('Leave log'!$A$7:$A$306,Employees!$A$32,'Leave log'!$B$7:$B$306,"&lt;="&amp;DATE($B$3,4,14),'Leave log'!$C$7:$C$306,"&gt;="&amp;DATE($B$3,4,14),'Leave log'!$F$7:$F$306,"Pending")&gt;0,"P",""))))</f>
        <v/>
      </c>
      <c r="P135" s="23" t="str">
        <f>IF(A135="","",IF(IF(OR(DATE($B$3,4,15)&gt;EOMONTH(DATE($B$3,4,1),0),NETWORKDAYS.INTL(DATE($B$3,4,15),DATE($B$3,4,15),1,'Non-working days'!$A$6:$A$45)=0),"",IF(COUNTIFS('Leave log'!$A$7:$A$306,Employees!$A$32,'Leave log'!$B$7:$B$306,"&lt;="&amp;DATE($B$3,4,15),'Leave log'!$C$7:$C$306,"&gt;="&amp;DATE($B$3,4,15),'Leave log'!$F$7:$F$306,"Approved")&gt;0,"A",""))="A","A",IF(OR(DATE($B$3,4,15)&gt;EOMONTH(DATE($B$3,4,1),0),NETWORKDAYS.INTL(DATE($B$3,4,15),DATE($B$3,4,15),1,'Non-working days'!$A$6:$A$45)=0),"",IF(COUNTIFS('Leave log'!$A$7:$A$306,Employees!$A$32,'Leave log'!$B$7:$B$306,"&lt;="&amp;DATE($B$3,4,15),'Leave log'!$C$7:$C$306,"&gt;="&amp;DATE($B$3,4,15),'Leave log'!$F$7:$F$306,"Pending")&gt;0,"P",""))))</f>
        <v/>
      </c>
      <c r="Q135" s="23" t="str">
        <f>IF(A135="","",IF(IF(OR(DATE($B$3,4,16)&gt;EOMONTH(DATE($B$3,4,1),0),NETWORKDAYS.INTL(DATE($B$3,4,16),DATE($B$3,4,16),1,'Non-working days'!$A$6:$A$45)=0),"",IF(COUNTIFS('Leave log'!$A$7:$A$306,Employees!$A$32,'Leave log'!$B$7:$B$306,"&lt;="&amp;DATE($B$3,4,16),'Leave log'!$C$7:$C$306,"&gt;="&amp;DATE($B$3,4,16),'Leave log'!$F$7:$F$306,"Approved")&gt;0,"A",""))="A","A",IF(OR(DATE($B$3,4,16)&gt;EOMONTH(DATE($B$3,4,1),0),NETWORKDAYS.INTL(DATE($B$3,4,16),DATE($B$3,4,16),1,'Non-working days'!$A$6:$A$45)=0),"",IF(COUNTIFS('Leave log'!$A$7:$A$306,Employees!$A$32,'Leave log'!$B$7:$B$306,"&lt;="&amp;DATE($B$3,4,16),'Leave log'!$C$7:$C$306,"&gt;="&amp;DATE($B$3,4,16),'Leave log'!$F$7:$F$306,"Pending")&gt;0,"P",""))))</f>
        <v/>
      </c>
      <c r="R135" s="23" t="str">
        <f>IF(A135="","",IF(IF(OR(DATE($B$3,4,17)&gt;EOMONTH(DATE($B$3,4,1),0),NETWORKDAYS.INTL(DATE($B$3,4,17),DATE($B$3,4,17),1,'Non-working days'!$A$6:$A$45)=0),"",IF(COUNTIFS('Leave log'!$A$7:$A$306,Employees!$A$32,'Leave log'!$B$7:$B$306,"&lt;="&amp;DATE($B$3,4,17),'Leave log'!$C$7:$C$306,"&gt;="&amp;DATE($B$3,4,17),'Leave log'!$F$7:$F$306,"Approved")&gt;0,"A",""))="A","A",IF(OR(DATE($B$3,4,17)&gt;EOMONTH(DATE($B$3,4,1),0),NETWORKDAYS.INTL(DATE($B$3,4,17),DATE($B$3,4,17),1,'Non-working days'!$A$6:$A$45)=0),"",IF(COUNTIFS('Leave log'!$A$7:$A$306,Employees!$A$32,'Leave log'!$B$7:$B$306,"&lt;="&amp;DATE($B$3,4,17),'Leave log'!$C$7:$C$306,"&gt;="&amp;DATE($B$3,4,17),'Leave log'!$F$7:$F$306,"Pending")&gt;0,"P",""))))</f>
        <v/>
      </c>
      <c r="S135" s="23" t="str">
        <f>IF(A135="","",IF(IF(OR(DATE($B$3,4,18)&gt;EOMONTH(DATE($B$3,4,1),0),NETWORKDAYS.INTL(DATE($B$3,4,18),DATE($B$3,4,18),1,'Non-working days'!$A$6:$A$45)=0),"",IF(COUNTIFS('Leave log'!$A$7:$A$306,Employees!$A$32,'Leave log'!$B$7:$B$306,"&lt;="&amp;DATE($B$3,4,18),'Leave log'!$C$7:$C$306,"&gt;="&amp;DATE($B$3,4,18),'Leave log'!$F$7:$F$306,"Approved")&gt;0,"A",""))="A","A",IF(OR(DATE($B$3,4,18)&gt;EOMONTH(DATE($B$3,4,1),0),NETWORKDAYS.INTL(DATE($B$3,4,18),DATE($B$3,4,18),1,'Non-working days'!$A$6:$A$45)=0),"",IF(COUNTIFS('Leave log'!$A$7:$A$306,Employees!$A$32,'Leave log'!$B$7:$B$306,"&lt;="&amp;DATE($B$3,4,18),'Leave log'!$C$7:$C$306,"&gt;="&amp;DATE($B$3,4,18),'Leave log'!$F$7:$F$306,"Pending")&gt;0,"P",""))))</f>
        <v/>
      </c>
      <c r="T135" s="23" t="str">
        <f>IF(A135="","",IF(IF(OR(DATE($B$3,4,19)&gt;EOMONTH(DATE($B$3,4,1),0),NETWORKDAYS.INTL(DATE($B$3,4,19),DATE($B$3,4,19),1,'Non-working days'!$A$6:$A$45)=0),"",IF(COUNTIFS('Leave log'!$A$7:$A$306,Employees!$A$32,'Leave log'!$B$7:$B$306,"&lt;="&amp;DATE($B$3,4,19),'Leave log'!$C$7:$C$306,"&gt;="&amp;DATE($B$3,4,19),'Leave log'!$F$7:$F$306,"Approved")&gt;0,"A",""))="A","A",IF(OR(DATE($B$3,4,19)&gt;EOMONTH(DATE($B$3,4,1),0),NETWORKDAYS.INTL(DATE($B$3,4,19),DATE($B$3,4,19),1,'Non-working days'!$A$6:$A$45)=0),"",IF(COUNTIFS('Leave log'!$A$7:$A$306,Employees!$A$32,'Leave log'!$B$7:$B$306,"&lt;="&amp;DATE($B$3,4,19),'Leave log'!$C$7:$C$306,"&gt;="&amp;DATE($B$3,4,19),'Leave log'!$F$7:$F$306,"Pending")&gt;0,"P",""))))</f>
        <v/>
      </c>
      <c r="U135" s="23" t="str">
        <f>IF(A135="","",IF(IF(OR(DATE($B$3,4,20)&gt;EOMONTH(DATE($B$3,4,1),0),NETWORKDAYS.INTL(DATE($B$3,4,20),DATE($B$3,4,20),1,'Non-working days'!$A$6:$A$45)=0),"",IF(COUNTIFS('Leave log'!$A$7:$A$306,Employees!$A$32,'Leave log'!$B$7:$B$306,"&lt;="&amp;DATE($B$3,4,20),'Leave log'!$C$7:$C$306,"&gt;="&amp;DATE($B$3,4,20),'Leave log'!$F$7:$F$306,"Approved")&gt;0,"A",""))="A","A",IF(OR(DATE($B$3,4,20)&gt;EOMONTH(DATE($B$3,4,1),0),NETWORKDAYS.INTL(DATE($B$3,4,20),DATE($B$3,4,20),1,'Non-working days'!$A$6:$A$45)=0),"",IF(COUNTIFS('Leave log'!$A$7:$A$306,Employees!$A$32,'Leave log'!$B$7:$B$306,"&lt;="&amp;DATE($B$3,4,20),'Leave log'!$C$7:$C$306,"&gt;="&amp;DATE($B$3,4,20),'Leave log'!$F$7:$F$306,"Pending")&gt;0,"P",""))))</f>
        <v/>
      </c>
      <c r="V135" s="23" t="str">
        <f>IF(A135="","",IF(IF(OR(DATE($B$3,4,21)&gt;EOMONTH(DATE($B$3,4,1),0),NETWORKDAYS.INTL(DATE($B$3,4,21),DATE($B$3,4,21),1,'Non-working days'!$A$6:$A$45)=0),"",IF(COUNTIFS('Leave log'!$A$7:$A$306,Employees!$A$32,'Leave log'!$B$7:$B$306,"&lt;="&amp;DATE($B$3,4,21),'Leave log'!$C$7:$C$306,"&gt;="&amp;DATE($B$3,4,21),'Leave log'!$F$7:$F$306,"Approved")&gt;0,"A",""))="A","A",IF(OR(DATE($B$3,4,21)&gt;EOMONTH(DATE($B$3,4,1),0),NETWORKDAYS.INTL(DATE($B$3,4,21),DATE($B$3,4,21),1,'Non-working days'!$A$6:$A$45)=0),"",IF(COUNTIFS('Leave log'!$A$7:$A$306,Employees!$A$32,'Leave log'!$B$7:$B$306,"&lt;="&amp;DATE($B$3,4,21),'Leave log'!$C$7:$C$306,"&gt;="&amp;DATE($B$3,4,21),'Leave log'!$F$7:$F$306,"Pending")&gt;0,"P",""))))</f>
        <v/>
      </c>
      <c r="W135" s="23" t="str">
        <f>IF(A135="","",IF(IF(OR(DATE($B$3,4,22)&gt;EOMONTH(DATE($B$3,4,1),0),NETWORKDAYS.INTL(DATE($B$3,4,22),DATE($B$3,4,22),1,'Non-working days'!$A$6:$A$45)=0),"",IF(COUNTIFS('Leave log'!$A$7:$A$306,Employees!$A$32,'Leave log'!$B$7:$B$306,"&lt;="&amp;DATE($B$3,4,22),'Leave log'!$C$7:$C$306,"&gt;="&amp;DATE($B$3,4,22),'Leave log'!$F$7:$F$306,"Approved")&gt;0,"A",""))="A","A",IF(OR(DATE($B$3,4,22)&gt;EOMONTH(DATE($B$3,4,1),0),NETWORKDAYS.INTL(DATE($B$3,4,22),DATE($B$3,4,22),1,'Non-working days'!$A$6:$A$45)=0),"",IF(COUNTIFS('Leave log'!$A$7:$A$306,Employees!$A$32,'Leave log'!$B$7:$B$306,"&lt;="&amp;DATE($B$3,4,22),'Leave log'!$C$7:$C$306,"&gt;="&amp;DATE($B$3,4,22),'Leave log'!$F$7:$F$306,"Pending")&gt;0,"P",""))))</f>
        <v/>
      </c>
      <c r="X135" s="23" t="str">
        <f>IF(A135="","",IF(IF(OR(DATE($B$3,4,23)&gt;EOMONTH(DATE($B$3,4,1),0),NETWORKDAYS.INTL(DATE($B$3,4,23),DATE($B$3,4,23),1,'Non-working days'!$A$6:$A$45)=0),"",IF(COUNTIFS('Leave log'!$A$7:$A$306,Employees!$A$32,'Leave log'!$B$7:$B$306,"&lt;="&amp;DATE($B$3,4,23),'Leave log'!$C$7:$C$306,"&gt;="&amp;DATE($B$3,4,23),'Leave log'!$F$7:$F$306,"Approved")&gt;0,"A",""))="A","A",IF(OR(DATE($B$3,4,23)&gt;EOMONTH(DATE($B$3,4,1),0),NETWORKDAYS.INTL(DATE($B$3,4,23),DATE($B$3,4,23),1,'Non-working days'!$A$6:$A$45)=0),"",IF(COUNTIFS('Leave log'!$A$7:$A$306,Employees!$A$32,'Leave log'!$B$7:$B$306,"&lt;="&amp;DATE($B$3,4,23),'Leave log'!$C$7:$C$306,"&gt;="&amp;DATE($B$3,4,23),'Leave log'!$F$7:$F$306,"Pending")&gt;0,"P",""))))</f>
        <v/>
      </c>
      <c r="Y135" s="23" t="str">
        <f>IF(A135="","",IF(IF(OR(DATE($B$3,4,24)&gt;EOMONTH(DATE($B$3,4,1),0),NETWORKDAYS.INTL(DATE($B$3,4,24),DATE($B$3,4,24),1,'Non-working days'!$A$6:$A$45)=0),"",IF(COUNTIFS('Leave log'!$A$7:$A$306,Employees!$A$32,'Leave log'!$B$7:$B$306,"&lt;="&amp;DATE($B$3,4,24),'Leave log'!$C$7:$C$306,"&gt;="&amp;DATE($B$3,4,24),'Leave log'!$F$7:$F$306,"Approved")&gt;0,"A",""))="A","A",IF(OR(DATE($B$3,4,24)&gt;EOMONTH(DATE($B$3,4,1),0),NETWORKDAYS.INTL(DATE($B$3,4,24),DATE($B$3,4,24),1,'Non-working days'!$A$6:$A$45)=0),"",IF(COUNTIFS('Leave log'!$A$7:$A$306,Employees!$A$32,'Leave log'!$B$7:$B$306,"&lt;="&amp;DATE($B$3,4,24),'Leave log'!$C$7:$C$306,"&gt;="&amp;DATE($B$3,4,24),'Leave log'!$F$7:$F$306,"Pending")&gt;0,"P",""))))</f>
        <v/>
      </c>
      <c r="Z135" s="23" t="str">
        <f>IF(A135="","",IF(IF(OR(DATE($B$3,4,25)&gt;EOMONTH(DATE($B$3,4,1),0),NETWORKDAYS.INTL(DATE($B$3,4,25),DATE($B$3,4,25),1,'Non-working days'!$A$6:$A$45)=0),"",IF(COUNTIFS('Leave log'!$A$7:$A$306,Employees!$A$32,'Leave log'!$B$7:$B$306,"&lt;="&amp;DATE($B$3,4,25),'Leave log'!$C$7:$C$306,"&gt;="&amp;DATE($B$3,4,25),'Leave log'!$F$7:$F$306,"Approved")&gt;0,"A",""))="A","A",IF(OR(DATE($B$3,4,25)&gt;EOMONTH(DATE($B$3,4,1),0),NETWORKDAYS.INTL(DATE($B$3,4,25),DATE($B$3,4,25),1,'Non-working days'!$A$6:$A$45)=0),"",IF(COUNTIFS('Leave log'!$A$7:$A$306,Employees!$A$32,'Leave log'!$B$7:$B$306,"&lt;="&amp;DATE($B$3,4,25),'Leave log'!$C$7:$C$306,"&gt;="&amp;DATE($B$3,4,25),'Leave log'!$F$7:$F$306,"Pending")&gt;0,"P",""))))</f>
        <v/>
      </c>
      <c r="AA135" s="23" t="str">
        <f>IF(A135="","",IF(IF(OR(DATE($B$3,4,26)&gt;EOMONTH(DATE($B$3,4,1),0),NETWORKDAYS.INTL(DATE($B$3,4,26),DATE($B$3,4,26),1,'Non-working days'!$A$6:$A$45)=0),"",IF(COUNTIFS('Leave log'!$A$7:$A$306,Employees!$A$32,'Leave log'!$B$7:$B$306,"&lt;="&amp;DATE($B$3,4,26),'Leave log'!$C$7:$C$306,"&gt;="&amp;DATE($B$3,4,26),'Leave log'!$F$7:$F$306,"Approved")&gt;0,"A",""))="A","A",IF(OR(DATE($B$3,4,26)&gt;EOMONTH(DATE($B$3,4,1),0),NETWORKDAYS.INTL(DATE($B$3,4,26),DATE($B$3,4,26),1,'Non-working days'!$A$6:$A$45)=0),"",IF(COUNTIFS('Leave log'!$A$7:$A$306,Employees!$A$32,'Leave log'!$B$7:$B$306,"&lt;="&amp;DATE($B$3,4,26),'Leave log'!$C$7:$C$306,"&gt;="&amp;DATE($B$3,4,26),'Leave log'!$F$7:$F$306,"Pending")&gt;0,"P",""))))</f>
        <v/>
      </c>
      <c r="AB135" s="23" t="str">
        <f>IF(A135="","",IF(IF(OR(DATE($B$3,4,27)&gt;EOMONTH(DATE($B$3,4,1),0),NETWORKDAYS.INTL(DATE($B$3,4,27),DATE($B$3,4,27),1,'Non-working days'!$A$6:$A$45)=0),"",IF(COUNTIFS('Leave log'!$A$7:$A$306,Employees!$A$32,'Leave log'!$B$7:$B$306,"&lt;="&amp;DATE($B$3,4,27),'Leave log'!$C$7:$C$306,"&gt;="&amp;DATE($B$3,4,27),'Leave log'!$F$7:$F$306,"Approved")&gt;0,"A",""))="A","A",IF(OR(DATE($B$3,4,27)&gt;EOMONTH(DATE($B$3,4,1),0),NETWORKDAYS.INTL(DATE($B$3,4,27),DATE($B$3,4,27),1,'Non-working days'!$A$6:$A$45)=0),"",IF(COUNTIFS('Leave log'!$A$7:$A$306,Employees!$A$32,'Leave log'!$B$7:$B$306,"&lt;="&amp;DATE($B$3,4,27),'Leave log'!$C$7:$C$306,"&gt;="&amp;DATE($B$3,4,27),'Leave log'!$F$7:$F$306,"Pending")&gt;0,"P",""))))</f>
        <v/>
      </c>
      <c r="AC135" s="23" t="str">
        <f>IF(A135="","",IF(IF(OR(DATE($B$3,4,28)&gt;EOMONTH(DATE($B$3,4,1),0),NETWORKDAYS.INTL(DATE($B$3,4,28),DATE($B$3,4,28),1,'Non-working days'!$A$6:$A$45)=0),"",IF(COUNTIFS('Leave log'!$A$7:$A$306,Employees!$A$32,'Leave log'!$B$7:$B$306,"&lt;="&amp;DATE($B$3,4,28),'Leave log'!$C$7:$C$306,"&gt;="&amp;DATE($B$3,4,28),'Leave log'!$F$7:$F$306,"Approved")&gt;0,"A",""))="A","A",IF(OR(DATE($B$3,4,28)&gt;EOMONTH(DATE($B$3,4,1),0),NETWORKDAYS.INTL(DATE($B$3,4,28),DATE($B$3,4,28),1,'Non-working days'!$A$6:$A$45)=0),"",IF(COUNTIFS('Leave log'!$A$7:$A$306,Employees!$A$32,'Leave log'!$B$7:$B$306,"&lt;="&amp;DATE($B$3,4,28),'Leave log'!$C$7:$C$306,"&gt;="&amp;DATE($B$3,4,28),'Leave log'!$F$7:$F$306,"Pending")&gt;0,"P",""))))</f>
        <v/>
      </c>
      <c r="AD135" s="23" t="str">
        <f>IF(A135="","",IF(IF(OR(DATE($B$3,4,29)&gt;EOMONTH(DATE($B$3,4,1),0),NETWORKDAYS.INTL(DATE($B$3,4,29),DATE($B$3,4,29),1,'Non-working days'!$A$6:$A$45)=0),"",IF(COUNTIFS('Leave log'!$A$7:$A$306,Employees!$A$32,'Leave log'!$B$7:$B$306,"&lt;="&amp;DATE($B$3,4,29),'Leave log'!$C$7:$C$306,"&gt;="&amp;DATE($B$3,4,29),'Leave log'!$F$7:$F$306,"Approved")&gt;0,"A",""))="A","A",IF(OR(DATE($B$3,4,29)&gt;EOMONTH(DATE($B$3,4,1),0),NETWORKDAYS.INTL(DATE($B$3,4,29),DATE($B$3,4,29),1,'Non-working days'!$A$6:$A$45)=0),"",IF(COUNTIFS('Leave log'!$A$7:$A$306,Employees!$A$32,'Leave log'!$B$7:$B$306,"&lt;="&amp;DATE($B$3,4,29),'Leave log'!$C$7:$C$306,"&gt;="&amp;DATE($B$3,4,29),'Leave log'!$F$7:$F$306,"Pending")&gt;0,"P",""))))</f>
        <v/>
      </c>
      <c r="AE135" s="23" t="str">
        <f>IF(A135="","",IF(IF(OR(DATE($B$3,4,30)&gt;EOMONTH(DATE($B$3,4,1),0),NETWORKDAYS.INTL(DATE($B$3,4,30),DATE($B$3,4,30),1,'Non-working days'!$A$6:$A$45)=0),"",IF(COUNTIFS('Leave log'!$A$7:$A$306,Employees!$A$32,'Leave log'!$B$7:$B$306,"&lt;="&amp;DATE($B$3,4,30),'Leave log'!$C$7:$C$306,"&gt;="&amp;DATE($B$3,4,30),'Leave log'!$F$7:$F$306,"Approved")&gt;0,"A",""))="A","A",IF(OR(DATE($B$3,4,30)&gt;EOMONTH(DATE($B$3,4,1),0),NETWORKDAYS.INTL(DATE($B$3,4,30),DATE($B$3,4,30),1,'Non-working days'!$A$6:$A$45)=0),"",IF(COUNTIFS('Leave log'!$A$7:$A$306,Employees!$A$32,'Leave log'!$B$7:$B$306,"&lt;="&amp;DATE($B$3,4,30),'Leave log'!$C$7:$C$306,"&gt;="&amp;DATE($B$3,4,30),'Leave log'!$F$7:$F$306,"Pending")&gt;0,"P",""))))</f>
        <v/>
      </c>
      <c r="AF135" s="23" t="str">
        <f>IF(A135="","",IF(IF(OR(DATE($B$3,4,31)&gt;EOMONTH(DATE($B$3,4,1),0),NETWORKDAYS.INTL(DATE($B$3,4,31),DATE($B$3,4,31),1,'Non-working days'!$A$6:$A$45)=0),"",IF(COUNTIFS('Leave log'!$A$7:$A$306,Employees!$A$32,'Leave log'!$B$7:$B$306,"&lt;="&amp;DATE($B$3,4,31),'Leave log'!$C$7:$C$306,"&gt;="&amp;DATE($B$3,4,31),'Leave log'!$F$7:$F$306,"Approved")&gt;0,"A",""))="A","A",IF(OR(DATE($B$3,4,31)&gt;EOMONTH(DATE($B$3,4,1),0),NETWORKDAYS.INTL(DATE($B$3,4,31),DATE($B$3,4,31),1,'Non-working days'!$A$6:$A$45)=0),"",IF(COUNTIFS('Leave log'!$A$7:$A$306,Employees!$A$32,'Leave log'!$B$7:$B$306,"&lt;="&amp;DATE($B$3,4,31),'Leave log'!$C$7:$C$306,"&gt;="&amp;DATE($B$3,4,31),'Leave log'!$F$7:$F$306,"Pending")&gt;0,"P",""))))</f>
        <v/>
      </c>
    </row>
    <row r="136" spans="1:32" ht="18" customHeight="1" x14ac:dyDescent="0.3">
      <c r="A136" s="22" t="str">
        <f>IF(Employees!F33="Yes",Employees!B33,"")</f>
        <v/>
      </c>
      <c r="B136" s="23" t="str">
        <f>IF(A136="","",IF(IF(OR(DATE($B$3,4,1)&gt;EOMONTH(DATE($B$3,4,1),0),NETWORKDAYS.INTL(DATE($B$3,4,1),DATE($B$3,4,1),1,'Non-working days'!$A$6:$A$45)=0),"",IF(COUNTIFS('Leave log'!$A$7:$A$306,Employees!$A$33,'Leave log'!$B$7:$B$306,"&lt;="&amp;DATE($B$3,4,1),'Leave log'!$C$7:$C$306,"&gt;="&amp;DATE($B$3,4,1),'Leave log'!$F$7:$F$306,"Approved")&gt;0,"A",""))="A","A",IF(OR(DATE($B$3,4,1)&gt;EOMONTH(DATE($B$3,4,1),0),NETWORKDAYS.INTL(DATE($B$3,4,1),DATE($B$3,4,1),1,'Non-working days'!$A$6:$A$45)=0),"",IF(COUNTIFS('Leave log'!$A$7:$A$306,Employees!$A$33,'Leave log'!$B$7:$B$306,"&lt;="&amp;DATE($B$3,4,1),'Leave log'!$C$7:$C$306,"&gt;="&amp;DATE($B$3,4,1),'Leave log'!$F$7:$F$306,"Pending")&gt;0,"P",""))))</f>
        <v/>
      </c>
      <c r="C136" s="23" t="str">
        <f>IF(A136="","",IF(IF(OR(DATE($B$3,4,2)&gt;EOMONTH(DATE($B$3,4,1),0),NETWORKDAYS.INTL(DATE($B$3,4,2),DATE($B$3,4,2),1,'Non-working days'!$A$6:$A$45)=0),"",IF(COUNTIFS('Leave log'!$A$7:$A$306,Employees!$A$33,'Leave log'!$B$7:$B$306,"&lt;="&amp;DATE($B$3,4,2),'Leave log'!$C$7:$C$306,"&gt;="&amp;DATE($B$3,4,2),'Leave log'!$F$7:$F$306,"Approved")&gt;0,"A",""))="A","A",IF(OR(DATE($B$3,4,2)&gt;EOMONTH(DATE($B$3,4,1),0),NETWORKDAYS.INTL(DATE($B$3,4,2),DATE($B$3,4,2),1,'Non-working days'!$A$6:$A$45)=0),"",IF(COUNTIFS('Leave log'!$A$7:$A$306,Employees!$A$33,'Leave log'!$B$7:$B$306,"&lt;="&amp;DATE($B$3,4,2),'Leave log'!$C$7:$C$306,"&gt;="&amp;DATE($B$3,4,2),'Leave log'!$F$7:$F$306,"Pending")&gt;0,"P",""))))</f>
        <v/>
      </c>
      <c r="D136" s="23" t="str">
        <f>IF(A136="","",IF(IF(OR(DATE($B$3,4,3)&gt;EOMONTH(DATE($B$3,4,1),0),NETWORKDAYS.INTL(DATE($B$3,4,3),DATE($B$3,4,3),1,'Non-working days'!$A$6:$A$45)=0),"",IF(COUNTIFS('Leave log'!$A$7:$A$306,Employees!$A$33,'Leave log'!$B$7:$B$306,"&lt;="&amp;DATE($B$3,4,3),'Leave log'!$C$7:$C$306,"&gt;="&amp;DATE($B$3,4,3),'Leave log'!$F$7:$F$306,"Approved")&gt;0,"A",""))="A","A",IF(OR(DATE($B$3,4,3)&gt;EOMONTH(DATE($B$3,4,1),0),NETWORKDAYS.INTL(DATE($B$3,4,3),DATE($B$3,4,3),1,'Non-working days'!$A$6:$A$45)=0),"",IF(COUNTIFS('Leave log'!$A$7:$A$306,Employees!$A$33,'Leave log'!$B$7:$B$306,"&lt;="&amp;DATE($B$3,4,3),'Leave log'!$C$7:$C$306,"&gt;="&amp;DATE($B$3,4,3),'Leave log'!$F$7:$F$306,"Pending")&gt;0,"P",""))))</f>
        <v/>
      </c>
      <c r="E136" s="23" t="str">
        <f>IF(A136="","",IF(IF(OR(DATE($B$3,4,4)&gt;EOMONTH(DATE($B$3,4,1),0),NETWORKDAYS.INTL(DATE($B$3,4,4),DATE($B$3,4,4),1,'Non-working days'!$A$6:$A$45)=0),"",IF(COUNTIFS('Leave log'!$A$7:$A$306,Employees!$A$33,'Leave log'!$B$7:$B$306,"&lt;="&amp;DATE($B$3,4,4),'Leave log'!$C$7:$C$306,"&gt;="&amp;DATE($B$3,4,4),'Leave log'!$F$7:$F$306,"Approved")&gt;0,"A",""))="A","A",IF(OR(DATE($B$3,4,4)&gt;EOMONTH(DATE($B$3,4,1),0),NETWORKDAYS.INTL(DATE($B$3,4,4),DATE($B$3,4,4),1,'Non-working days'!$A$6:$A$45)=0),"",IF(COUNTIFS('Leave log'!$A$7:$A$306,Employees!$A$33,'Leave log'!$B$7:$B$306,"&lt;="&amp;DATE($B$3,4,4),'Leave log'!$C$7:$C$306,"&gt;="&amp;DATE($B$3,4,4),'Leave log'!$F$7:$F$306,"Pending")&gt;0,"P",""))))</f>
        <v/>
      </c>
      <c r="F136" s="23" t="str">
        <f>IF(A136="","",IF(IF(OR(DATE($B$3,4,5)&gt;EOMONTH(DATE($B$3,4,1),0),NETWORKDAYS.INTL(DATE($B$3,4,5),DATE($B$3,4,5),1,'Non-working days'!$A$6:$A$45)=0),"",IF(COUNTIFS('Leave log'!$A$7:$A$306,Employees!$A$33,'Leave log'!$B$7:$B$306,"&lt;="&amp;DATE($B$3,4,5),'Leave log'!$C$7:$C$306,"&gt;="&amp;DATE($B$3,4,5),'Leave log'!$F$7:$F$306,"Approved")&gt;0,"A",""))="A","A",IF(OR(DATE($B$3,4,5)&gt;EOMONTH(DATE($B$3,4,1),0),NETWORKDAYS.INTL(DATE($B$3,4,5),DATE($B$3,4,5),1,'Non-working days'!$A$6:$A$45)=0),"",IF(COUNTIFS('Leave log'!$A$7:$A$306,Employees!$A$33,'Leave log'!$B$7:$B$306,"&lt;="&amp;DATE($B$3,4,5),'Leave log'!$C$7:$C$306,"&gt;="&amp;DATE($B$3,4,5),'Leave log'!$F$7:$F$306,"Pending")&gt;0,"P",""))))</f>
        <v/>
      </c>
      <c r="G136" s="23" t="str">
        <f>IF(A136="","",IF(IF(OR(DATE($B$3,4,6)&gt;EOMONTH(DATE($B$3,4,1),0),NETWORKDAYS.INTL(DATE($B$3,4,6),DATE($B$3,4,6),1,'Non-working days'!$A$6:$A$45)=0),"",IF(COUNTIFS('Leave log'!$A$7:$A$306,Employees!$A$33,'Leave log'!$B$7:$B$306,"&lt;="&amp;DATE($B$3,4,6),'Leave log'!$C$7:$C$306,"&gt;="&amp;DATE($B$3,4,6),'Leave log'!$F$7:$F$306,"Approved")&gt;0,"A",""))="A","A",IF(OR(DATE($B$3,4,6)&gt;EOMONTH(DATE($B$3,4,1),0),NETWORKDAYS.INTL(DATE($B$3,4,6),DATE($B$3,4,6),1,'Non-working days'!$A$6:$A$45)=0),"",IF(COUNTIFS('Leave log'!$A$7:$A$306,Employees!$A$33,'Leave log'!$B$7:$B$306,"&lt;="&amp;DATE($B$3,4,6),'Leave log'!$C$7:$C$306,"&gt;="&amp;DATE($B$3,4,6),'Leave log'!$F$7:$F$306,"Pending")&gt;0,"P",""))))</f>
        <v/>
      </c>
      <c r="H136" s="23" t="str">
        <f>IF(A136="","",IF(IF(OR(DATE($B$3,4,7)&gt;EOMONTH(DATE($B$3,4,1),0),NETWORKDAYS.INTL(DATE($B$3,4,7),DATE($B$3,4,7),1,'Non-working days'!$A$6:$A$45)=0),"",IF(COUNTIFS('Leave log'!$A$7:$A$306,Employees!$A$33,'Leave log'!$B$7:$B$306,"&lt;="&amp;DATE($B$3,4,7),'Leave log'!$C$7:$C$306,"&gt;="&amp;DATE($B$3,4,7),'Leave log'!$F$7:$F$306,"Approved")&gt;0,"A",""))="A","A",IF(OR(DATE($B$3,4,7)&gt;EOMONTH(DATE($B$3,4,1),0),NETWORKDAYS.INTL(DATE($B$3,4,7),DATE($B$3,4,7),1,'Non-working days'!$A$6:$A$45)=0),"",IF(COUNTIFS('Leave log'!$A$7:$A$306,Employees!$A$33,'Leave log'!$B$7:$B$306,"&lt;="&amp;DATE($B$3,4,7),'Leave log'!$C$7:$C$306,"&gt;="&amp;DATE($B$3,4,7),'Leave log'!$F$7:$F$306,"Pending")&gt;0,"P",""))))</f>
        <v/>
      </c>
      <c r="I136" s="23" t="str">
        <f>IF(A136="","",IF(IF(OR(DATE($B$3,4,8)&gt;EOMONTH(DATE($B$3,4,1),0),NETWORKDAYS.INTL(DATE($B$3,4,8),DATE($B$3,4,8),1,'Non-working days'!$A$6:$A$45)=0),"",IF(COUNTIFS('Leave log'!$A$7:$A$306,Employees!$A$33,'Leave log'!$B$7:$B$306,"&lt;="&amp;DATE($B$3,4,8),'Leave log'!$C$7:$C$306,"&gt;="&amp;DATE($B$3,4,8),'Leave log'!$F$7:$F$306,"Approved")&gt;0,"A",""))="A","A",IF(OR(DATE($B$3,4,8)&gt;EOMONTH(DATE($B$3,4,1),0),NETWORKDAYS.INTL(DATE($B$3,4,8),DATE($B$3,4,8),1,'Non-working days'!$A$6:$A$45)=0),"",IF(COUNTIFS('Leave log'!$A$7:$A$306,Employees!$A$33,'Leave log'!$B$7:$B$306,"&lt;="&amp;DATE($B$3,4,8),'Leave log'!$C$7:$C$306,"&gt;="&amp;DATE($B$3,4,8),'Leave log'!$F$7:$F$306,"Pending")&gt;0,"P",""))))</f>
        <v/>
      </c>
      <c r="J136" s="23" t="str">
        <f>IF(A136="","",IF(IF(OR(DATE($B$3,4,9)&gt;EOMONTH(DATE($B$3,4,1),0),NETWORKDAYS.INTL(DATE($B$3,4,9),DATE($B$3,4,9),1,'Non-working days'!$A$6:$A$45)=0),"",IF(COUNTIFS('Leave log'!$A$7:$A$306,Employees!$A$33,'Leave log'!$B$7:$B$306,"&lt;="&amp;DATE($B$3,4,9),'Leave log'!$C$7:$C$306,"&gt;="&amp;DATE($B$3,4,9),'Leave log'!$F$7:$F$306,"Approved")&gt;0,"A",""))="A","A",IF(OR(DATE($B$3,4,9)&gt;EOMONTH(DATE($B$3,4,1),0),NETWORKDAYS.INTL(DATE($B$3,4,9),DATE($B$3,4,9),1,'Non-working days'!$A$6:$A$45)=0),"",IF(COUNTIFS('Leave log'!$A$7:$A$306,Employees!$A$33,'Leave log'!$B$7:$B$306,"&lt;="&amp;DATE($B$3,4,9),'Leave log'!$C$7:$C$306,"&gt;="&amp;DATE($B$3,4,9),'Leave log'!$F$7:$F$306,"Pending")&gt;0,"P",""))))</f>
        <v/>
      </c>
      <c r="K136" s="23" t="str">
        <f>IF(A136="","",IF(IF(OR(DATE($B$3,4,10)&gt;EOMONTH(DATE($B$3,4,1),0),NETWORKDAYS.INTL(DATE($B$3,4,10),DATE($B$3,4,10),1,'Non-working days'!$A$6:$A$45)=0),"",IF(COUNTIFS('Leave log'!$A$7:$A$306,Employees!$A$33,'Leave log'!$B$7:$B$306,"&lt;="&amp;DATE($B$3,4,10),'Leave log'!$C$7:$C$306,"&gt;="&amp;DATE($B$3,4,10),'Leave log'!$F$7:$F$306,"Approved")&gt;0,"A",""))="A","A",IF(OR(DATE($B$3,4,10)&gt;EOMONTH(DATE($B$3,4,1),0),NETWORKDAYS.INTL(DATE($B$3,4,10),DATE($B$3,4,10),1,'Non-working days'!$A$6:$A$45)=0),"",IF(COUNTIFS('Leave log'!$A$7:$A$306,Employees!$A$33,'Leave log'!$B$7:$B$306,"&lt;="&amp;DATE($B$3,4,10),'Leave log'!$C$7:$C$306,"&gt;="&amp;DATE($B$3,4,10),'Leave log'!$F$7:$F$306,"Pending")&gt;0,"P",""))))</f>
        <v/>
      </c>
      <c r="L136" s="23" t="str">
        <f>IF(A136="","",IF(IF(OR(DATE($B$3,4,11)&gt;EOMONTH(DATE($B$3,4,1),0),NETWORKDAYS.INTL(DATE($B$3,4,11),DATE($B$3,4,11),1,'Non-working days'!$A$6:$A$45)=0),"",IF(COUNTIFS('Leave log'!$A$7:$A$306,Employees!$A$33,'Leave log'!$B$7:$B$306,"&lt;="&amp;DATE($B$3,4,11),'Leave log'!$C$7:$C$306,"&gt;="&amp;DATE($B$3,4,11),'Leave log'!$F$7:$F$306,"Approved")&gt;0,"A",""))="A","A",IF(OR(DATE($B$3,4,11)&gt;EOMONTH(DATE($B$3,4,1),0),NETWORKDAYS.INTL(DATE($B$3,4,11),DATE($B$3,4,11),1,'Non-working days'!$A$6:$A$45)=0),"",IF(COUNTIFS('Leave log'!$A$7:$A$306,Employees!$A$33,'Leave log'!$B$7:$B$306,"&lt;="&amp;DATE($B$3,4,11),'Leave log'!$C$7:$C$306,"&gt;="&amp;DATE($B$3,4,11),'Leave log'!$F$7:$F$306,"Pending")&gt;0,"P",""))))</f>
        <v/>
      </c>
      <c r="M136" s="23" t="str">
        <f>IF(A136="","",IF(IF(OR(DATE($B$3,4,12)&gt;EOMONTH(DATE($B$3,4,1),0),NETWORKDAYS.INTL(DATE($B$3,4,12),DATE($B$3,4,12),1,'Non-working days'!$A$6:$A$45)=0),"",IF(COUNTIFS('Leave log'!$A$7:$A$306,Employees!$A$33,'Leave log'!$B$7:$B$306,"&lt;="&amp;DATE($B$3,4,12),'Leave log'!$C$7:$C$306,"&gt;="&amp;DATE($B$3,4,12),'Leave log'!$F$7:$F$306,"Approved")&gt;0,"A",""))="A","A",IF(OR(DATE($B$3,4,12)&gt;EOMONTH(DATE($B$3,4,1),0),NETWORKDAYS.INTL(DATE($B$3,4,12),DATE($B$3,4,12),1,'Non-working days'!$A$6:$A$45)=0),"",IF(COUNTIFS('Leave log'!$A$7:$A$306,Employees!$A$33,'Leave log'!$B$7:$B$306,"&lt;="&amp;DATE($B$3,4,12),'Leave log'!$C$7:$C$306,"&gt;="&amp;DATE($B$3,4,12),'Leave log'!$F$7:$F$306,"Pending")&gt;0,"P",""))))</f>
        <v/>
      </c>
      <c r="N136" s="23" t="str">
        <f>IF(A136="","",IF(IF(OR(DATE($B$3,4,13)&gt;EOMONTH(DATE($B$3,4,1),0),NETWORKDAYS.INTL(DATE($B$3,4,13),DATE($B$3,4,13),1,'Non-working days'!$A$6:$A$45)=0),"",IF(COUNTIFS('Leave log'!$A$7:$A$306,Employees!$A$33,'Leave log'!$B$7:$B$306,"&lt;="&amp;DATE($B$3,4,13),'Leave log'!$C$7:$C$306,"&gt;="&amp;DATE($B$3,4,13),'Leave log'!$F$7:$F$306,"Approved")&gt;0,"A",""))="A","A",IF(OR(DATE($B$3,4,13)&gt;EOMONTH(DATE($B$3,4,1),0),NETWORKDAYS.INTL(DATE($B$3,4,13),DATE($B$3,4,13),1,'Non-working days'!$A$6:$A$45)=0),"",IF(COUNTIFS('Leave log'!$A$7:$A$306,Employees!$A$33,'Leave log'!$B$7:$B$306,"&lt;="&amp;DATE($B$3,4,13),'Leave log'!$C$7:$C$306,"&gt;="&amp;DATE($B$3,4,13),'Leave log'!$F$7:$F$306,"Pending")&gt;0,"P",""))))</f>
        <v/>
      </c>
      <c r="O136" s="23" t="str">
        <f>IF(A136="","",IF(IF(OR(DATE($B$3,4,14)&gt;EOMONTH(DATE($B$3,4,1),0),NETWORKDAYS.INTL(DATE($B$3,4,14),DATE($B$3,4,14),1,'Non-working days'!$A$6:$A$45)=0),"",IF(COUNTIFS('Leave log'!$A$7:$A$306,Employees!$A$33,'Leave log'!$B$7:$B$306,"&lt;="&amp;DATE($B$3,4,14),'Leave log'!$C$7:$C$306,"&gt;="&amp;DATE($B$3,4,14),'Leave log'!$F$7:$F$306,"Approved")&gt;0,"A",""))="A","A",IF(OR(DATE($B$3,4,14)&gt;EOMONTH(DATE($B$3,4,1),0),NETWORKDAYS.INTL(DATE($B$3,4,14),DATE($B$3,4,14),1,'Non-working days'!$A$6:$A$45)=0),"",IF(COUNTIFS('Leave log'!$A$7:$A$306,Employees!$A$33,'Leave log'!$B$7:$B$306,"&lt;="&amp;DATE($B$3,4,14),'Leave log'!$C$7:$C$306,"&gt;="&amp;DATE($B$3,4,14),'Leave log'!$F$7:$F$306,"Pending")&gt;0,"P",""))))</f>
        <v/>
      </c>
      <c r="P136" s="23" t="str">
        <f>IF(A136="","",IF(IF(OR(DATE($B$3,4,15)&gt;EOMONTH(DATE($B$3,4,1),0),NETWORKDAYS.INTL(DATE($B$3,4,15),DATE($B$3,4,15),1,'Non-working days'!$A$6:$A$45)=0),"",IF(COUNTIFS('Leave log'!$A$7:$A$306,Employees!$A$33,'Leave log'!$B$7:$B$306,"&lt;="&amp;DATE($B$3,4,15),'Leave log'!$C$7:$C$306,"&gt;="&amp;DATE($B$3,4,15),'Leave log'!$F$7:$F$306,"Approved")&gt;0,"A",""))="A","A",IF(OR(DATE($B$3,4,15)&gt;EOMONTH(DATE($B$3,4,1),0),NETWORKDAYS.INTL(DATE($B$3,4,15),DATE($B$3,4,15),1,'Non-working days'!$A$6:$A$45)=0),"",IF(COUNTIFS('Leave log'!$A$7:$A$306,Employees!$A$33,'Leave log'!$B$7:$B$306,"&lt;="&amp;DATE($B$3,4,15),'Leave log'!$C$7:$C$306,"&gt;="&amp;DATE($B$3,4,15),'Leave log'!$F$7:$F$306,"Pending")&gt;0,"P",""))))</f>
        <v/>
      </c>
      <c r="Q136" s="23" t="str">
        <f>IF(A136="","",IF(IF(OR(DATE($B$3,4,16)&gt;EOMONTH(DATE($B$3,4,1),0),NETWORKDAYS.INTL(DATE($B$3,4,16),DATE($B$3,4,16),1,'Non-working days'!$A$6:$A$45)=0),"",IF(COUNTIFS('Leave log'!$A$7:$A$306,Employees!$A$33,'Leave log'!$B$7:$B$306,"&lt;="&amp;DATE($B$3,4,16),'Leave log'!$C$7:$C$306,"&gt;="&amp;DATE($B$3,4,16),'Leave log'!$F$7:$F$306,"Approved")&gt;0,"A",""))="A","A",IF(OR(DATE($B$3,4,16)&gt;EOMONTH(DATE($B$3,4,1),0),NETWORKDAYS.INTL(DATE($B$3,4,16),DATE($B$3,4,16),1,'Non-working days'!$A$6:$A$45)=0),"",IF(COUNTIFS('Leave log'!$A$7:$A$306,Employees!$A$33,'Leave log'!$B$7:$B$306,"&lt;="&amp;DATE($B$3,4,16),'Leave log'!$C$7:$C$306,"&gt;="&amp;DATE($B$3,4,16),'Leave log'!$F$7:$F$306,"Pending")&gt;0,"P",""))))</f>
        <v/>
      </c>
      <c r="R136" s="23" t="str">
        <f>IF(A136="","",IF(IF(OR(DATE($B$3,4,17)&gt;EOMONTH(DATE($B$3,4,1),0),NETWORKDAYS.INTL(DATE($B$3,4,17),DATE($B$3,4,17),1,'Non-working days'!$A$6:$A$45)=0),"",IF(COUNTIFS('Leave log'!$A$7:$A$306,Employees!$A$33,'Leave log'!$B$7:$B$306,"&lt;="&amp;DATE($B$3,4,17),'Leave log'!$C$7:$C$306,"&gt;="&amp;DATE($B$3,4,17),'Leave log'!$F$7:$F$306,"Approved")&gt;0,"A",""))="A","A",IF(OR(DATE($B$3,4,17)&gt;EOMONTH(DATE($B$3,4,1),0),NETWORKDAYS.INTL(DATE($B$3,4,17),DATE($B$3,4,17),1,'Non-working days'!$A$6:$A$45)=0),"",IF(COUNTIFS('Leave log'!$A$7:$A$306,Employees!$A$33,'Leave log'!$B$7:$B$306,"&lt;="&amp;DATE($B$3,4,17),'Leave log'!$C$7:$C$306,"&gt;="&amp;DATE($B$3,4,17),'Leave log'!$F$7:$F$306,"Pending")&gt;0,"P",""))))</f>
        <v/>
      </c>
      <c r="S136" s="23" t="str">
        <f>IF(A136="","",IF(IF(OR(DATE($B$3,4,18)&gt;EOMONTH(DATE($B$3,4,1),0),NETWORKDAYS.INTL(DATE($B$3,4,18),DATE($B$3,4,18),1,'Non-working days'!$A$6:$A$45)=0),"",IF(COUNTIFS('Leave log'!$A$7:$A$306,Employees!$A$33,'Leave log'!$B$7:$B$306,"&lt;="&amp;DATE($B$3,4,18),'Leave log'!$C$7:$C$306,"&gt;="&amp;DATE($B$3,4,18),'Leave log'!$F$7:$F$306,"Approved")&gt;0,"A",""))="A","A",IF(OR(DATE($B$3,4,18)&gt;EOMONTH(DATE($B$3,4,1),0),NETWORKDAYS.INTL(DATE($B$3,4,18),DATE($B$3,4,18),1,'Non-working days'!$A$6:$A$45)=0),"",IF(COUNTIFS('Leave log'!$A$7:$A$306,Employees!$A$33,'Leave log'!$B$7:$B$306,"&lt;="&amp;DATE($B$3,4,18),'Leave log'!$C$7:$C$306,"&gt;="&amp;DATE($B$3,4,18),'Leave log'!$F$7:$F$306,"Pending")&gt;0,"P",""))))</f>
        <v/>
      </c>
      <c r="T136" s="23" t="str">
        <f>IF(A136="","",IF(IF(OR(DATE($B$3,4,19)&gt;EOMONTH(DATE($B$3,4,1),0),NETWORKDAYS.INTL(DATE($B$3,4,19),DATE($B$3,4,19),1,'Non-working days'!$A$6:$A$45)=0),"",IF(COUNTIFS('Leave log'!$A$7:$A$306,Employees!$A$33,'Leave log'!$B$7:$B$306,"&lt;="&amp;DATE($B$3,4,19),'Leave log'!$C$7:$C$306,"&gt;="&amp;DATE($B$3,4,19),'Leave log'!$F$7:$F$306,"Approved")&gt;0,"A",""))="A","A",IF(OR(DATE($B$3,4,19)&gt;EOMONTH(DATE($B$3,4,1),0),NETWORKDAYS.INTL(DATE($B$3,4,19),DATE($B$3,4,19),1,'Non-working days'!$A$6:$A$45)=0),"",IF(COUNTIFS('Leave log'!$A$7:$A$306,Employees!$A$33,'Leave log'!$B$7:$B$306,"&lt;="&amp;DATE($B$3,4,19),'Leave log'!$C$7:$C$306,"&gt;="&amp;DATE($B$3,4,19),'Leave log'!$F$7:$F$306,"Pending")&gt;0,"P",""))))</f>
        <v/>
      </c>
      <c r="U136" s="23" t="str">
        <f>IF(A136="","",IF(IF(OR(DATE($B$3,4,20)&gt;EOMONTH(DATE($B$3,4,1),0),NETWORKDAYS.INTL(DATE($B$3,4,20),DATE($B$3,4,20),1,'Non-working days'!$A$6:$A$45)=0),"",IF(COUNTIFS('Leave log'!$A$7:$A$306,Employees!$A$33,'Leave log'!$B$7:$B$306,"&lt;="&amp;DATE($B$3,4,20),'Leave log'!$C$7:$C$306,"&gt;="&amp;DATE($B$3,4,20),'Leave log'!$F$7:$F$306,"Approved")&gt;0,"A",""))="A","A",IF(OR(DATE($B$3,4,20)&gt;EOMONTH(DATE($B$3,4,1),0),NETWORKDAYS.INTL(DATE($B$3,4,20),DATE($B$3,4,20),1,'Non-working days'!$A$6:$A$45)=0),"",IF(COUNTIFS('Leave log'!$A$7:$A$306,Employees!$A$33,'Leave log'!$B$7:$B$306,"&lt;="&amp;DATE($B$3,4,20),'Leave log'!$C$7:$C$306,"&gt;="&amp;DATE($B$3,4,20),'Leave log'!$F$7:$F$306,"Pending")&gt;0,"P",""))))</f>
        <v/>
      </c>
      <c r="V136" s="23" t="str">
        <f>IF(A136="","",IF(IF(OR(DATE($B$3,4,21)&gt;EOMONTH(DATE($B$3,4,1),0),NETWORKDAYS.INTL(DATE($B$3,4,21),DATE($B$3,4,21),1,'Non-working days'!$A$6:$A$45)=0),"",IF(COUNTIFS('Leave log'!$A$7:$A$306,Employees!$A$33,'Leave log'!$B$7:$B$306,"&lt;="&amp;DATE($B$3,4,21),'Leave log'!$C$7:$C$306,"&gt;="&amp;DATE($B$3,4,21),'Leave log'!$F$7:$F$306,"Approved")&gt;0,"A",""))="A","A",IF(OR(DATE($B$3,4,21)&gt;EOMONTH(DATE($B$3,4,1),0),NETWORKDAYS.INTL(DATE($B$3,4,21),DATE($B$3,4,21),1,'Non-working days'!$A$6:$A$45)=0),"",IF(COUNTIFS('Leave log'!$A$7:$A$306,Employees!$A$33,'Leave log'!$B$7:$B$306,"&lt;="&amp;DATE($B$3,4,21),'Leave log'!$C$7:$C$306,"&gt;="&amp;DATE($B$3,4,21),'Leave log'!$F$7:$F$306,"Pending")&gt;0,"P",""))))</f>
        <v/>
      </c>
      <c r="W136" s="23" t="str">
        <f>IF(A136="","",IF(IF(OR(DATE($B$3,4,22)&gt;EOMONTH(DATE($B$3,4,1),0),NETWORKDAYS.INTL(DATE($B$3,4,22),DATE($B$3,4,22),1,'Non-working days'!$A$6:$A$45)=0),"",IF(COUNTIFS('Leave log'!$A$7:$A$306,Employees!$A$33,'Leave log'!$B$7:$B$306,"&lt;="&amp;DATE($B$3,4,22),'Leave log'!$C$7:$C$306,"&gt;="&amp;DATE($B$3,4,22),'Leave log'!$F$7:$F$306,"Approved")&gt;0,"A",""))="A","A",IF(OR(DATE($B$3,4,22)&gt;EOMONTH(DATE($B$3,4,1),0),NETWORKDAYS.INTL(DATE($B$3,4,22),DATE($B$3,4,22),1,'Non-working days'!$A$6:$A$45)=0),"",IF(COUNTIFS('Leave log'!$A$7:$A$306,Employees!$A$33,'Leave log'!$B$7:$B$306,"&lt;="&amp;DATE($B$3,4,22),'Leave log'!$C$7:$C$306,"&gt;="&amp;DATE($B$3,4,22),'Leave log'!$F$7:$F$306,"Pending")&gt;0,"P",""))))</f>
        <v/>
      </c>
      <c r="X136" s="23" t="str">
        <f>IF(A136="","",IF(IF(OR(DATE($B$3,4,23)&gt;EOMONTH(DATE($B$3,4,1),0),NETWORKDAYS.INTL(DATE($B$3,4,23),DATE($B$3,4,23),1,'Non-working days'!$A$6:$A$45)=0),"",IF(COUNTIFS('Leave log'!$A$7:$A$306,Employees!$A$33,'Leave log'!$B$7:$B$306,"&lt;="&amp;DATE($B$3,4,23),'Leave log'!$C$7:$C$306,"&gt;="&amp;DATE($B$3,4,23),'Leave log'!$F$7:$F$306,"Approved")&gt;0,"A",""))="A","A",IF(OR(DATE($B$3,4,23)&gt;EOMONTH(DATE($B$3,4,1),0),NETWORKDAYS.INTL(DATE($B$3,4,23),DATE($B$3,4,23),1,'Non-working days'!$A$6:$A$45)=0),"",IF(COUNTIFS('Leave log'!$A$7:$A$306,Employees!$A$33,'Leave log'!$B$7:$B$306,"&lt;="&amp;DATE($B$3,4,23),'Leave log'!$C$7:$C$306,"&gt;="&amp;DATE($B$3,4,23),'Leave log'!$F$7:$F$306,"Pending")&gt;0,"P",""))))</f>
        <v/>
      </c>
      <c r="Y136" s="23" t="str">
        <f>IF(A136="","",IF(IF(OR(DATE($B$3,4,24)&gt;EOMONTH(DATE($B$3,4,1),0),NETWORKDAYS.INTL(DATE($B$3,4,24),DATE($B$3,4,24),1,'Non-working days'!$A$6:$A$45)=0),"",IF(COUNTIFS('Leave log'!$A$7:$A$306,Employees!$A$33,'Leave log'!$B$7:$B$306,"&lt;="&amp;DATE($B$3,4,24),'Leave log'!$C$7:$C$306,"&gt;="&amp;DATE($B$3,4,24),'Leave log'!$F$7:$F$306,"Approved")&gt;0,"A",""))="A","A",IF(OR(DATE($B$3,4,24)&gt;EOMONTH(DATE($B$3,4,1),0),NETWORKDAYS.INTL(DATE($B$3,4,24),DATE($B$3,4,24),1,'Non-working days'!$A$6:$A$45)=0),"",IF(COUNTIFS('Leave log'!$A$7:$A$306,Employees!$A$33,'Leave log'!$B$7:$B$306,"&lt;="&amp;DATE($B$3,4,24),'Leave log'!$C$7:$C$306,"&gt;="&amp;DATE($B$3,4,24),'Leave log'!$F$7:$F$306,"Pending")&gt;0,"P",""))))</f>
        <v/>
      </c>
      <c r="Z136" s="23" t="str">
        <f>IF(A136="","",IF(IF(OR(DATE($B$3,4,25)&gt;EOMONTH(DATE($B$3,4,1),0),NETWORKDAYS.INTL(DATE($B$3,4,25),DATE($B$3,4,25),1,'Non-working days'!$A$6:$A$45)=0),"",IF(COUNTIFS('Leave log'!$A$7:$A$306,Employees!$A$33,'Leave log'!$B$7:$B$306,"&lt;="&amp;DATE($B$3,4,25),'Leave log'!$C$7:$C$306,"&gt;="&amp;DATE($B$3,4,25),'Leave log'!$F$7:$F$306,"Approved")&gt;0,"A",""))="A","A",IF(OR(DATE($B$3,4,25)&gt;EOMONTH(DATE($B$3,4,1),0),NETWORKDAYS.INTL(DATE($B$3,4,25),DATE($B$3,4,25),1,'Non-working days'!$A$6:$A$45)=0),"",IF(COUNTIFS('Leave log'!$A$7:$A$306,Employees!$A$33,'Leave log'!$B$7:$B$306,"&lt;="&amp;DATE($B$3,4,25),'Leave log'!$C$7:$C$306,"&gt;="&amp;DATE($B$3,4,25),'Leave log'!$F$7:$F$306,"Pending")&gt;0,"P",""))))</f>
        <v/>
      </c>
      <c r="AA136" s="23" t="str">
        <f>IF(A136="","",IF(IF(OR(DATE($B$3,4,26)&gt;EOMONTH(DATE($B$3,4,1),0),NETWORKDAYS.INTL(DATE($B$3,4,26),DATE($B$3,4,26),1,'Non-working days'!$A$6:$A$45)=0),"",IF(COUNTIFS('Leave log'!$A$7:$A$306,Employees!$A$33,'Leave log'!$B$7:$B$306,"&lt;="&amp;DATE($B$3,4,26),'Leave log'!$C$7:$C$306,"&gt;="&amp;DATE($B$3,4,26),'Leave log'!$F$7:$F$306,"Approved")&gt;0,"A",""))="A","A",IF(OR(DATE($B$3,4,26)&gt;EOMONTH(DATE($B$3,4,1),0),NETWORKDAYS.INTL(DATE($B$3,4,26),DATE($B$3,4,26),1,'Non-working days'!$A$6:$A$45)=0),"",IF(COUNTIFS('Leave log'!$A$7:$A$306,Employees!$A$33,'Leave log'!$B$7:$B$306,"&lt;="&amp;DATE($B$3,4,26),'Leave log'!$C$7:$C$306,"&gt;="&amp;DATE($B$3,4,26),'Leave log'!$F$7:$F$306,"Pending")&gt;0,"P",""))))</f>
        <v/>
      </c>
      <c r="AB136" s="23" t="str">
        <f>IF(A136="","",IF(IF(OR(DATE($B$3,4,27)&gt;EOMONTH(DATE($B$3,4,1),0),NETWORKDAYS.INTL(DATE($B$3,4,27),DATE($B$3,4,27),1,'Non-working days'!$A$6:$A$45)=0),"",IF(COUNTIFS('Leave log'!$A$7:$A$306,Employees!$A$33,'Leave log'!$B$7:$B$306,"&lt;="&amp;DATE($B$3,4,27),'Leave log'!$C$7:$C$306,"&gt;="&amp;DATE($B$3,4,27),'Leave log'!$F$7:$F$306,"Approved")&gt;0,"A",""))="A","A",IF(OR(DATE($B$3,4,27)&gt;EOMONTH(DATE($B$3,4,1),0),NETWORKDAYS.INTL(DATE($B$3,4,27),DATE($B$3,4,27),1,'Non-working days'!$A$6:$A$45)=0),"",IF(COUNTIFS('Leave log'!$A$7:$A$306,Employees!$A$33,'Leave log'!$B$7:$B$306,"&lt;="&amp;DATE($B$3,4,27),'Leave log'!$C$7:$C$306,"&gt;="&amp;DATE($B$3,4,27),'Leave log'!$F$7:$F$306,"Pending")&gt;0,"P",""))))</f>
        <v/>
      </c>
      <c r="AC136" s="23" t="str">
        <f>IF(A136="","",IF(IF(OR(DATE($B$3,4,28)&gt;EOMONTH(DATE($B$3,4,1),0),NETWORKDAYS.INTL(DATE($B$3,4,28),DATE($B$3,4,28),1,'Non-working days'!$A$6:$A$45)=0),"",IF(COUNTIFS('Leave log'!$A$7:$A$306,Employees!$A$33,'Leave log'!$B$7:$B$306,"&lt;="&amp;DATE($B$3,4,28),'Leave log'!$C$7:$C$306,"&gt;="&amp;DATE($B$3,4,28),'Leave log'!$F$7:$F$306,"Approved")&gt;0,"A",""))="A","A",IF(OR(DATE($B$3,4,28)&gt;EOMONTH(DATE($B$3,4,1),0),NETWORKDAYS.INTL(DATE($B$3,4,28),DATE($B$3,4,28),1,'Non-working days'!$A$6:$A$45)=0),"",IF(COUNTIFS('Leave log'!$A$7:$A$306,Employees!$A$33,'Leave log'!$B$7:$B$306,"&lt;="&amp;DATE($B$3,4,28),'Leave log'!$C$7:$C$306,"&gt;="&amp;DATE($B$3,4,28),'Leave log'!$F$7:$F$306,"Pending")&gt;0,"P",""))))</f>
        <v/>
      </c>
      <c r="AD136" s="23" t="str">
        <f>IF(A136="","",IF(IF(OR(DATE($B$3,4,29)&gt;EOMONTH(DATE($B$3,4,1),0),NETWORKDAYS.INTL(DATE($B$3,4,29),DATE($B$3,4,29),1,'Non-working days'!$A$6:$A$45)=0),"",IF(COUNTIFS('Leave log'!$A$7:$A$306,Employees!$A$33,'Leave log'!$B$7:$B$306,"&lt;="&amp;DATE($B$3,4,29),'Leave log'!$C$7:$C$306,"&gt;="&amp;DATE($B$3,4,29),'Leave log'!$F$7:$F$306,"Approved")&gt;0,"A",""))="A","A",IF(OR(DATE($B$3,4,29)&gt;EOMONTH(DATE($B$3,4,1),0),NETWORKDAYS.INTL(DATE($B$3,4,29),DATE($B$3,4,29),1,'Non-working days'!$A$6:$A$45)=0),"",IF(COUNTIFS('Leave log'!$A$7:$A$306,Employees!$A$33,'Leave log'!$B$7:$B$306,"&lt;="&amp;DATE($B$3,4,29),'Leave log'!$C$7:$C$306,"&gt;="&amp;DATE($B$3,4,29),'Leave log'!$F$7:$F$306,"Pending")&gt;0,"P",""))))</f>
        <v/>
      </c>
      <c r="AE136" s="23" t="str">
        <f>IF(A136="","",IF(IF(OR(DATE($B$3,4,30)&gt;EOMONTH(DATE($B$3,4,1),0),NETWORKDAYS.INTL(DATE($B$3,4,30),DATE($B$3,4,30),1,'Non-working days'!$A$6:$A$45)=0),"",IF(COUNTIFS('Leave log'!$A$7:$A$306,Employees!$A$33,'Leave log'!$B$7:$B$306,"&lt;="&amp;DATE($B$3,4,30),'Leave log'!$C$7:$C$306,"&gt;="&amp;DATE($B$3,4,30),'Leave log'!$F$7:$F$306,"Approved")&gt;0,"A",""))="A","A",IF(OR(DATE($B$3,4,30)&gt;EOMONTH(DATE($B$3,4,1),0),NETWORKDAYS.INTL(DATE($B$3,4,30),DATE($B$3,4,30),1,'Non-working days'!$A$6:$A$45)=0),"",IF(COUNTIFS('Leave log'!$A$7:$A$306,Employees!$A$33,'Leave log'!$B$7:$B$306,"&lt;="&amp;DATE($B$3,4,30),'Leave log'!$C$7:$C$306,"&gt;="&amp;DATE($B$3,4,30),'Leave log'!$F$7:$F$306,"Pending")&gt;0,"P",""))))</f>
        <v/>
      </c>
      <c r="AF136" s="23" t="str">
        <f>IF(A136="","",IF(IF(OR(DATE($B$3,4,31)&gt;EOMONTH(DATE($B$3,4,1),0),NETWORKDAYS.INTL(DATE($B$3,4,31),DATE($B$3,4,31),1,'Non-working days'!$A$6:$A$45)=0),"",IF(COUNTIFS('Leave log'!$A$7:$A$306,Employees!$A$33,'Leave log'!$B$7:$B$306,"&lt;="&amp;DATE($B$3,4,31),'Leave log'!$C$7:$C$306,"&gt;="&amp;DATE($B$3,4,31),'Leave log'!$F$7:$F$306,"Approved")&gt;0,"A",""))="A","A",IF(OR(DATE($B$3,4,31)&gt;EOMONTH(DATE($B$3,4,1),0),NETWORKDAYS.INTL(DATE($B$3,4,31),DATE($B$3,4,31),1,'Non-working days'!$A$6:$A$45)=0),"",IF(COUNTIFS('Leave log'!$A$7:$A$306,Employees!$A$33,'Leave log'!$B$7:$B$306,"&lt;="&amp;DATE($B$3,4,31),'Leave log'!$C$7:$C$306,"&gt;="&amp;DATE($B$3,4,31),'Leave log'!$F$7:$F$306,"Pending")&gt;0,"P",""))))</f>
        <v/>
      </c>
    </row>
    <row r="137" spans="1:32" ht="18" customHeight="1" x14ac:dyDescent="0.3">
      <c r="A137" s="22" t="str">
        <f>IF(Employees!F34="Yes",Employees!B34,"")</f>
        <v/>
      </c>
      <c r="B137" s="23" t="str">
        <f>IF(A137="","",IF(IF(OR(DATE($B$3,4,1)&gt;EOMONTH(DATE($B$3,4,1),0),NETWORKDAYS.INTL(DATE($B$3,4,1),DATE($B$3,4,1),1,'Non-working days'!$A$6:$A$45)=0),"",IF(COUNTIFS('Leave log'!$A$7:$A$306,Employees!$A$34,'Leave log'!$B$7:$B$306,"&lt;="&amp;DATE($B$3,4,1),'Leave log'!$C$7:$C$306,"&gt;="&amp;DATE($B$3,4,1),'Leave log'!$F$7:$F$306,"Approved")&gt;0,"A",""))="A","A",IF(OR(DATE($B$3,4,1)&gt;EOMONTH(DATE($B$3,4,1),0),NETWORKDAYS.INTL(DATE($B$3,4,1),DATE($B$3,4,1),1,'Non-working days'!$A$6:$A$45)=0),"",IF(COUNTIFS('Leave log'!$A$7:$A$306,Employees!$A$34,'Leave log'!$B$7:$B$306,"&lt;="&amp;DATE($B$3,4,1),'Leave log'!$C$7:$C$306,"&gt;="&amp;DATE($B$3,4,1),'Leave log'!$F$7:$F$306,"Pending")&gt;0,"P",""))))</f>
        <v/>
      </c>
      <c r="C137" s="23" t="str">
        <f>IF(A137="","",IF(IF(OR(DATE($B$3,4,2)&gt;EOMONTH(DATE($B$3,4,1),0),NETWORKDAYS.INTL(DATE($B$3,4,2),DATE($B$3,4,2),1,'Non-working days'!$A$6:$A$45)=0),"",IF(COUNTIFS('Leave log'!$A$7:$A$306,Employees!$A$34,'Leave log'!$B$7:$B$306,"&lt;="&amp;DATE($B$3,4,2),'Leave log'!$C$7:$C$306,"&gt;="&amp;DATE($B$3,4,2),'Leave log'!$F$7:$F$306,"Approved")&gt;0,"A",""))="A","A",IF(OR(DATE($B$3,4,2)&gt;EOMONTH(DATE($B$3,4,1),0),NETWORKDAYS.INTL(DATE($B$3,4,2),DATE($B$3,4,2),1,'Non-working days'!$A$6:$A$45)=0),"",IF(COUNTIFS('Leave log'!$A$7:$A$306,Employees!$A$34,'Leave log'!$B$7:$B$306,"&lt;="&amp;DATE($B$3,4,2),'Leave log'!$C$7:$C$306,"&gt;="&amp;DATE($B$3,4,2),'Leave log'!$F$7:$F$306,"Pending")&gt;0,"P",""))))</f>
        <v/>
      </c>
      <c r="D137" s="23" t="str">
        <f>IF(A137="","",IF(IF(OR(DATE($B$3,4,3)&gt;EOMONTH(DATE($B$3,4,1),0),NETWORKDAYS.INTL(DATE($B$3,4,3),DATE($B$3,4,3),1,'Non-working days'!$A$6:$A$45)=0),"",IF(COUNTIFS('Leave log'!$A$7:$A$306,Employees!$A$34,'Leave log'!$B$7:$B$306,"&lt;="&amp;DATE($B$3,4,3),'Leave log'!$C$7:$C$306,"&gt;="&amp;DATE($B$3,4,3),'Leave log'!$F$7:$F$306,"Approved")&gt;0,"A",""))="A","A",IF(OR(DATE($B$3,4,3)&gt;EOMONTH(DATE($B$3,4,1),0),NETWORKDAYS.INTL(DATE($B$3,4,3),DATE($B$3,4,3),1,'Non-working days'!$A$6:$A$45)=0),"",IF(COUNTIFS('Leave log'!$A$7:$A$306,Employees!$A$34,'Leave log'!$B$7:$B$306,"&lt;="&amp;DATE($B$3,4,3),'Leave log'!$C$7:$C$306,"&gt;="&amp;DATE($B$3,4,3),'Leave log'!$F$7:$F$306,"Pending")&gt;0,"P",""))))</f>
        <v/>
      </c>
      <c r="E137" s="23" t="str">
        <f>IF(A137="","",IF(IF(OR(DATE($B$3,4,4)&gt;EOMONTH(DATE($B$3,4,1),0),NETWORKDAYS.INTL(DATE($B$3,4,4),DATE($B$3,4,4),1,'Non-working days'!$A$6:$A$45)=0),"",IF(COUNTIFS('Leave log'!$A$7:$A$306,Employees!$A$34,'Leave log'!$B$7:$B$306,"&lt;="&amp;DATE($B$3,4,4),'Leave log'!$C$7:$C$306,"&gt;="&amp;DATE($B$3,4,4),'Leave log'!$F$7:$F$306,"Approved")&gt;0,"A",""))="A","A",IF(OR(DATE($B$3,4,4)&gt;EOMONTH(DATE($B$3,4,1),0),NETWORKDAYS.INTL(DATE($B$3,4,4),DATE($B$3,4,4),1,'Non-working days'!$A$6:$A$45)=0),"",IF(COUNTIFS('Leave log'!$A$7:$A$306,Employees!$A$34,'Leave log'!$B$7:$B$306,"&lt;="&amp;DATE($B$3,4,4),'Leave log'!$C$7:$C$306,"&gt;="&amp;DATE($B$3,4,4),'Leave log'!$F$7:$F$306,"Pending")&gt;0,"P",""))))</f>
        <v/>
      </c>
      <c r="F137" s="23" t="str">
        <f>IF(A137="","",IF(IF(OR(DATE($B$3,4,5)&gt;EOMONTH(DATE($B$3,4,1),0),NETWORKDAYS.INTL(DATE($B$3,4,5),DATE($B$3,4,5),1,'Non-working days'!$A$6:$A$45)=0),"",IF(COUNTIFS('Leave log'!$A$7:$A$306,Employees!$A$34,'Leave log'!$B$7:$B$306,"&lt;="&amp;DATE($B$3,4,5),'Leave log'!$C$7:$C$306,"&gt;="&amp;DATE($B$3,4,5),'Leave log'!$F$7:$F$306,"Approved")&gt;0,"A",""))="A","A",IF(OR(DATE($B$3,4,5)&gt;EOMONTH(DATE($B$3,4,1),0),NETWORKDAYS.INTL(DATE($B$3,4,5),DATE($B$3,4,5),1,'Non-working days'!$A$6:$A$45)=0),"",IF(COUNTIFS('Leave log'!$A$7:$A$306,Employees!$A$34,'Leave log'!$B$7:$B$306,"&lt;="&amp;DATE($B$3,4,5),'Leave log'!$C$7:$C$306,"&gt;="&amp;DATE($B$3,4,5),'Leave log'!$F$7:$F$306,"Pending")&gt;0,"P",""))))</f>
        <v/>
      </c>
      <c r="G137" s="23" t="str">
        <f>IF(A137="","",IF(IF(OR(DATE($B$3,4,6)&gt;EOMONTH(DATE($B$3,4,1),0),NETWORKDAYS.INTL(DATE($B$3,4,6),DATE($B$3,4,6),1,'Non-working days'!$A$6:$A$45)=0),"",IF(COUNTIFS('Leave log'!$A$7:$A$306,Employees!$A$34,'Leave log'!$B$7:$B$306,"&lt;="&amp;DATE($B$3,4,6),'Leave log'!$C$7:$C$306,"&gt;="&amp;DATE($B$3,4,6),'Leave log'!$F$7:$F$306,"Approved")&gt;0,"A",""))="A","A",IF(OR(DATE($B$3,4,6)&gt;EOMONTH(DATE($B$3,4,1),0),NETWORKDAYS.INTL(DATE($B$3,4,6),DATE($B$3,4,6),1,'Non-working days'!$A$6:$A$45)=0),"",IF(COUNTIFS('Leave log'!$A$7:$A$306,Employees!$A$34,'Leave log'!$B$7:$B$306,"&lt;="&amp;DATE($B$3,4,6),'Leave log'!$C$7:$C$306,"&gt;="&amp;DATE($B$3,4,6),'Leave log'!$F$7:$F$306,"Pending")&gt;0,"P",""))))</f>
        <v/>
      </c>
      <c r="H137" s="23" t="str">
        <f>IF(A137="","",IF(IF(OR(DATE($B$3,4,7)&gt;EOMONTH(DATE($B$3,4,1),0),NETWORKDAYS.INTL(DATE($B$3,4,7),DATE($B$3,4,7),1,'Non-working days'!$A$6:$A$45)=0),"",IF(COUNTIFS('Leave log'!$A$7:$A$306,Employees!$A$34,'Leave log'!$B$7:$B$306,"&lt;="&amp;DATE($B$3,4,7),'Leave log'!$C$7:$C$306,"&gt;="&amp;DATE($B$3,4,7),'Leave log'!$F$7:$F$306,"Approved")&gt;0,"A",""))="A","A",IF(OR(DATE($B$3,4,7)&gt;EOMONTH(DATE($B$3,4,1),0),NETWORKDAYS.INTL(DATE($B$3,4,7),DATE($B$3,4,7),1,'Non-working days'!$A$6:$A$45)=0),"",IF(COUNTIFS('Leave log'!$A$7:$A$306,Employees!$A$34,'Leave log'!$B$7:$B$306,"&lt;="&amp;DATE($B$3,4,7),'Leave log'!$C$7:$C$306,"&gt;="&amp;DATE($B$3,4,7),'Leave log'!$F$7:$F$306,"Pending")&gt;0,"P",""))))</f>
        <v/>
      </c>
      <c r="I137" s="23" t="str">
        <f>IF(A137="","",IF(IF(OR(DATE($B$3,4,8)&gt;EOMONTH(DATE($B$3,4,1),0),NETWORKDAYS.INTL(DATE($B$3,4,8),DATE($B$3,4,8),1,'Non-working days'!$A$6:$A$45)=0),"",IF(COUNTIFS('Leave log'!$A$7:$A$306,Employees!$A$34,'Leave log'!$B$7:$B$306,"&lt;="&amp;DATE($B$3,4,8),'Leave log'!$C$7:$C$306,"&gt;="&amp;DATE($B$3,4,8),'Leave log'!$F$7:$F$306,"Approved")&gt;0,"A",""))="A","A",IF(OR(DATE($B$3,4,8)&gt;EOMONTH(DATE($B$3,4,1),0),NETWORKDAYS.INTL(DATE($B$3,4,8),DATE($B$3,4,8),1,'Non-working days'!$A$6:$A$45)=0),"",IF(COUNTIFS('Leave log'!$A$7:$A$306,Employees!$A$34,'Leave log'!$B$7:$B$306,"&lt;="&amp;DATE($B$3,4,8),'Leave log'!$C$7:$C$306,"&gt;="&amp;DATE($B$3,4,8),'Leave log'!$F$7:$F$306,"Pending")&gt;0,"P",""))))</f>
        <v/>
      </c>
      <c r="J137" s="23" t="str">
        <f>IF(A137="","",IF(IF(OR(DATE($B$3,4,9)&gt;EOMONTH(DATE($B$3,4,1),0),NETWORKDAYS.INTL(DATE($B$3,4,9),DATE($B$3,4,9),1,'Non-working days'!$A$6:$A$45)=0),"",IF(COUNTIFS('Leave log'!$A$7:$A$306,Employees!$A$34,'Leave log'!$B$7:$B$306,"&lt;="&amp;DATE($B$3,4,9),'Leave log'!$C$7:$C$306,"&gt;="&amp;DATE($B$3,4,9),'Leave log'!$F$7:$F$306,"Approved")&gt;0,"A",""))="A","A",IF(OR(DATE($B$3,4,9)&gt;EOMONTH(DATE($B$3,4,1),0),NETWORKDAYS.INTL(DATE($B$3,4,9),DATE($B$3,4,9),1,'Non-working days'!$A$6:$A$45)=0),"",IF(COUNTIFS('Leave log'!$A$7:$A$306,Employees!$A$34,'Leave log'!$B$7:$B$306,"&lt;="&amp;DATE($B$3,4,9),'Leave log'!$C$7:$C$306,"&gt;="&amp;DATE($B$3,4,9),'Leave log'!$F$7:$F$306,"Pending")&gt;0,"P",""))))</f>
        <v/>
      </c>
      <c r="K137" s="23" t="str">
        <f>IF(A137="","",IF(IF(OR(DATE($B$3,4,10)&gt;EOMONTH(DATE($B$3,4,1),0),NETWORKDAYS.INTL(DATE($B$3,4,10),DATE($B$3,4,10),1,'Non-working days'!$A$6:$A$45)=0),"",IF(COUNTIFS('Leave log'!$A$7:$A$306,Employees!$A$34,'Leave log'!$B$7:$B$306,"&lt;="&amp;DATE($B$3,4,10),'Leave log'!$C$7:$C$306,"&gt;="&amp;DATE($B$3,4,10),'Leave log'!$F$7:$F$306,"Approved")&gt;0,"A",""))="A","A",IF(OR(DATE($B$3,4,10)&gt;EOMONTH(DATE($B$3,4,1),0),NETWORKDAYS.INTL(DATE($B$3,4,10),DATE($B$3,4,10),1,'Non-working days'!$A$6:$A$45)=0),"",IF(COUNTIFS('Leave log'!$A$7:$A$306,Employees!$A$34,'Leave log'!$B$7:$B$306,"&lt;="&amp;DATE($B$3,4,10),'Leave log'!$C$7:$C$306,"&gt;="&amp;DATE($B$3,4,10),'Leave log'!$F$7:$F$306,"Pending")&gt;0,"P",""))))</f>
        <v/>
      </c>
      <c r="L137" s="23" t="str">
        <f>IF(A137="","",IF(IF(OR(DATE($B$3,4,11)&gt;EOMONTH(DATE($B$3,4,1),0),NETWORKDAYS.INTL(DATE($B$3,4,11),DATE($B$3,4,11),1,'Non-working days'!$A$6:$A$45)=0),"",IF(COUNTIFS('Leave log'!$A$7:$A$306,Employees!$A$34,'Leave log'!$B$7:$B$306,"&lt;="&amp;DATE($B$3,4,11),'Leave log'!$C$7:$C$306,"&gt;="&amp;DATE($B$3,4,11),'Leave log'!$F$7:$F$306,"Approved")&gt;0,"A",""))="A","A",IF(OR(DATE($B$3,4,11)&gt;EOMONTH(DATE($B$3,4,1),0),NETWORKDAYS.INTL(DATE($B$3,4,11),DATE($B$3,4,11),1,'Non-working days'!$A$6:$A$45)=0),"",IF(COUNTIFS('Leave log'!$A$7:$A$306,Employees!$A$34,'Leave log'!$B$7:$B$306,"&lt;="&amp;DATE($B$3,4,11),'Leave log'!$C$7:$C$306,"&gt;="&amp;DATE($B$3,4,11),'Leave log'!$F$7:$F$306,"Pending")&gt;0,"P",""))))</f>
        <v/>
      </c>
      <c r="M137" s="23" t="str">
        <f>IF(A137="","",IF(IF(OR(DATE($B$3,4,12)&gt;EOMONTH(DATE($B$3,4,1),0),NETWORKDAYS.INTL(DATE($B$3,4,12),DATE($B$3,4,12),1,'Non-working days'!$A$6:$A$45)=0),"",IF(COUNTIFS('Leave log'!$A$7:$A$306,Employees!$A$34,'Leave log'!$B$7:$B$306,"&lt;="&amp;DATE($B$3,4,12),'Leave log'!$C$7:$C$306,"&gt;="&amp;DATE($B$3,4,12),'Leave log'!$F$7:$F$306,"Approved")&gt;0,"A",""))="A","A",IF(OR(DATE($B$3,4,12)&gt;EOMONTH(DATE($B$3,4,1),0),NETWORKDAYS.INTL(DATE($B$3,4,12),DATE($B$3,4,12),1,'Non-working days'!$A$6:$A$45)=0),"",IF(COUNTIFS('Leave log'!$A$7:$A$306,Employees!$A$34,'Leave log'!$B$7:$B$306,"&lt;="&amp;DATE($B$3,4,12),'Leave log'!$C$7:$C$306,"&gt;="&amp;DATE($B$3,4,12),'Leave log'!$F$7:$F$306,"Pending")&gt;0,"P",""))))</f>
        <v/>
      </c>
      <c r="N137" s="23" t="str">
        <f>IF(A137="","",IF(IF(OR(DATE($B$3,4,13)&gt;EOMONTH(DATE($B$3,4,1),0),NETWORKDAYS.INTL(DATE($B$3,4,13),DATE($B$3,4,13),1,'Non-working days'!$A$6:$A$45)=0),"",IF(COUNTIFS('Leave log'!$A$7:$A$306,Employees!$A$34,'Leave log'!$B$7:$B$306,"&lt;="&amp;DATE($B$3,4,13),'Leave log'!$C$7:$C$306,"&gt;="&amp;DATE($B$3,4,13),'Leave log'!$F$7:$F$306,"Approved")&gt;0,"A",""))="A","A",IF(OR(DATE($B$3,4,13)&gt;EOMONTH(DATE($B$3,4,1),0),NETWORKDAYS.INTL(DATE($B$3,4,13),DATE($B$3,4,13),1,'Non-working days'!$A$6:$A$45)=0),"",IF(COUNTIFS('Leave log'!$A$7:$A$306,Employees!$A$34,'Leave log'!$B$7:$B$306,"&lt;="&amp;DATE($B$3,4,13),'Leave log'!$C$7:$C$306,"&gt;="&amp;DATE($B$3,4,13),'Leave log'!$F$7:$F$306,"Pending")&gt;0,"P",""))))</f>
        <v/>
      </c>
      <c r="O137" s="23" t="str">
        <f>IF(A137="","",IF(IF(OR(DATE($B$3,4,14)&gt;EOMONTH(DATE($B$3,4,1),0),NETWORKDAYS.INTL(DATE($B$3,4,14),DATE($B$3,4,14),1,'Non-working days'!$A$6:$A$45)=0),"",IF(COUNTIFS('Leave log'!$A$7:$A$306,Employees!$A$34,'Leave log'!$B$7:$B$306,"&lt;="&amp;DATE($B$3,4,14),'Leave log'!$C$7:$C$306,"&gt;="&amp;DATE($B$3,4,14),'Leave log'!$F$7:$F$306,"Approved")&gt;0,"A",""))="A","A",IF(OR(DATE($B$3,4,14)&gt;EOMONTH(DATE($B$3,4,1),0),NETWORKDAYS.INTL(DATE($B$3,4,14),DATE($B$3,4,14),1,'Non-working days'!$A$6:$A$45)=0),"",IF(COUNTIFS('Leave log'!$A$7:$A$306,Employees!$A$34,'Leave log'!$B$7:$B$306,"&lt;="&amp;DATE($B$3,4,14),'Leave log'!$C$7:$C$306,"&gt;="&amp;DATE($B$3,4,14),'Leave log'!$F$7:$F$306,"Pending")&gt;0,"P",""))))</f>
        <v/>
      </c>
      <c r="P137" s="23" t="str">
        <f>IF(A137="","",IF(IF(OR(DATE($B$3,4,15)&gt;EOMONTH(DATE($B$3,4,1),0),NETWORKDAYS.INTL(DATE($B$3,4,15),DATE($B$3,4,15),1,'Non-working days'!$A$6:$A$45)=0),"",IF(COUNTIFS('Leave log'!$A$7:$A$306,Employees!$A$34,'Leave log'!$B$7:$B$306,"&lt;="&amp;DATE($B$3,4,15),'Leave log'!$C$7:$C$306,"&gt;="&amp;DATE($B$3,4,15),'Leave log'!$F$7:$F$306,"Approved")&gt;0,"A",""))="A","A",IF(OR(DATE($B$3,4,15)&gt;EOMONTH(DATE($B$3,4,1),0),NETWORKDAYS.INTL(DATE($B$3,4,15),DATE($B$3,4,15),1,'Non-working days'!$A$6:$A$45)=0),"",IF(COUNTIFS('Leave log'!$A$7:$A$306,Employees!$A$34,'Leave log'!$B$7:$B$306,"&lt;="&amp;DATE($B$3,4,15),'Leave log'!$C$7:$C$306,"&gt;="&amp;DATE($B$3,4,15),'Leave log'!$F$7:$F$306,"Pending")&gt;0,"P",""))))</f>
        <v/>
      </c>
      <c r="Q137" s="23" t="str">
        <f>IF(A137="","",IF(IF(OR(DATE($B$3,4,16)&gt;EOMONTH(DATE($B$3,4,1),0),NETWORKDAYS.INTL(DATE($B$3,4,16),DATE($B$3,4,16),1,'Non-working days'!$A$6:$A$45)=0),"",IF(COUNTIFS('Leave log'!$A$7:$A$306,Employees!$A$34,'Leave log'!$B$7:$B$306,"&lt;="&amp;DATE($B$3,4,16),'Leave log'!$C$7:$C$306,"&gt;="&amp;DATE($B$3,4,16),'Leave log'!$F$7:$F$306,"Approved")&gt;0,"A",""))="A","A",IF(OR(DATE($B$3,4,16)&gt;EOMONTH(DATE($B$3,4,1),0),NETWORKDAYS.INTL(DATE($B$3,4,16),DATE($B$3,4,16),1,'Non-working days'!$A$6:$A$45)=0),"",IF(COUNTIFS('Leave log'!$A$7:$A$306,Employees!$A$34,'Leave log'!$B$7:$B$306,"&lt;="&amp;DATE($B$3,4,16),'Leave log'!$C$7:$C$306,"&gt;="&amp;DATE($B$3,4,16),'Leave log'!$F$7:$F$306,"Pending")&gt;0,"P",""))))</f>
        <v/>
      </c>
      <c r="R137" s="23" t="str">
        <f>IF(A137="","",IF(IF(OR(DATE($B$3,4,17)&gt;EOMONTH(DATE($B$3,4,1),0),NETWORKDAYS.INTL(DATE($B$3,4,17),DATE($B$3,4,17),1,'Non-working days'!$A$6:$A$45)=0),"",IF(COUNTIFS('Leave log'!$A$7:$A$306,Employees!$A$34,'Leave log'!$B$7:$B$306,"&lt;="&amp;DATE($B$3,4,17),'Leave log'!$C$7:$C$306,"&gt;="&amp;DATE($B$3,4,17),'Leave log'!$F$7:$F$306,"Approved")&gt;0,"A",""))="A","A",IF(OR(DATE($B$3,4,17)&gt;EOMONTH(DATE($B$3,4,1),0),NETWORKDAYS.INTL(DATE($B$3,4,17),DATE($B$3,4,17),1,'Non-working days'!$A$6:$A$45)=0),"",IF(COUNTIFS('Leave log'!$A$7:$A$306,Employees!$A$34,'Leave log'!$B$7:$B$306,"&lt;="&amp;DATE($B$3,4,17),'Leave log'!$C$7:$C$306,"&gt;="&amp;DATE($B$3,4,17),'Leave log'!$F$7:$F$306,"Pending")&gt;0,"P",""))))</f>
        <v/>
      </c>
      <c r="S137" s="23" t="str">
        <f>IF(A137="","",IF(IF(OR(DATE($B$3,4,18)&gt;EOMONTH(DATE($B$3,4,1),0),NETWORKDAYS.INTL(DATE($B$3,4,18),DATE($B$3,4,18),1,'Non-working days'!$A$6:$A$45)=0),"",IF(COUNTIFS('Leave log'!$A$7:$A$306,Employees!$A$34,'Leave log'!$B$7:$B$306,"&lt;="&amp;DATE($B$3,4,18),'Leave log'!$C$7:$C$306,"&gt;="&amp;DATE($B$3,4,18),'Leave log'!$F$7:$F$306,"Approved")&gt;0,"A",""))="A","A",IF(OR(DATE($B$3,4,18)&gt;EOMONTH(DATE($B$3,4,1),0),NETWORKDAYS.INTL(DATE($B$3,4,18),DATE($B$3,4,18),1,'Non-working days'!$A$6:$A$45)=0),"",IF(COUNTIFS('Leave log'!$A$7:$A$306,Employees!$A$34,'Leave log'!$B$7:$B$306,"&lt;="&amp;DATE($B$3,4,18),'Leave log'!$C$7:$C$306,"&gt;="&amp;DATE($B$3,4,18),'Leave log'!$F$7:$F$306,"Pending")&gt;0,"P",""))))</f>
        <v/>
      </c>
      <c r="T137" s="23" t="str">
        <f>IF(A137="","",IF(IF(OR(DATE($B$3,4,19)&gt;EOMONTH(DATE($B$3,4,1),0),NETWORKDAYS.INTL(DATE($B$3,4,19),DATE($B$3,4,19),1,'Non-working days'!$A$6:$A$45)=0),"",IF(COUNTIFS('Leave log'!$A$7:$A$306,Employees!$A$34,'Leave log'!$B$7:$B$306,"&lt;="&amp;DATE($B$3,4,19),'Leave log'!$C$7:$C$306,"&gt;="&amp;DATE($B$3,4,19),'Leave log'!$F$7:$F$306,"Approved")&gt;0,"A",""))="A","A",IF(OR(DATE($B$3,4,19)&gt;EOMONTH(DATE($B$3,4,1),0),NETWORKDAYS.INTL(DATE($B$3,4,19),DATE($B$3,4,19),1,'Non-working days'!$A$6:$A$45)=0),"",IF(COUNTIFS('Leave log'!$A$7:$A$306,Employees!$A$34,'Leave log'!$B$7:$B$306,"&lt;="&amp;DATE($B$3,4,19),'Leave log'!$C$7:$C$306,"&gt;="&amp;DATE($B$3,4,19),'Leave log'!$F$7:$F$306,"Pending")&gt;0,"P",""))))</f>
        <v/>
      </c>
      <c r="U137" s="23" t="str">
        <f>IF(A137="","",IF(IF(OR(DATE($B$3,4,20)&gt;EOMONTH(DATE($B$3,4,1),0),NETWORKDAYS.INTL(DATE($B$3,4,20),DATE($B$3,4,20),1,'Non-working days'!$A$6:$A$45)=0),"",IF(COUNTIFS('Leave log'!$A$7:$A$306,Employees!$A$34,'Leave log'!$B$7:$B$306,"&lt;="&amp;DATE($B$3,4,20),'Leave log'!$C$7:$C$306,"&gt;="&amp;DATE($B$3,4,20),'Leave log'!$F$7:$F$306,"Approved")&gt;0,"A",""))="A","A",IF(OR(DATE($B$3,4,20)&gt;EOMONTH(DATE($B$3,4,1),0),NETWORKDAYS.INTL(DATE($B$3,4,20),DATE($B$3,4,20),1,'Non-working days'!$A$6:$A$45)=0),"",IF(COUNTIFS('Leave log'!$A$7:$A$306,Employees!$A$34,'Leave log'!$B$7:$B$306,"&lt;="&amp;DATE($B$3,4,20),'Leave log'!$C$7:$C$306,"&gt;="&amp;DATE($B$3,4,20),'Leave log'!$F$7:$F$306,"Pending")&gt;0,"P",""))))</f>
        <v/>
      </c>
      <c r="V137" s="23" t="str">
        <f>IF(A137="","",IF(IF(OR(DATE($B$3,4,21)&gt;EOMONTH(DATE($B$3,4,1),0),NETWORKDAYS.INTL(DATE($B$3,4,21),DATE($B$3,4,21),1,'Non-working days'!$A$6:$A$45)=0),"",IF(COUNTIFS('Leave log'!$A$7:$A$306,Employees!$A$34,'Leave log'!$B$7:$B$306,"&lt;="&amp;DATE($B$3,4,21),'Leave log'!$C$7:$C$306,"&gt;="&amp;DATE($B$3,4,21),'Leave log'!$F$7:$F$306,"Approved")&gt;0,"A",""))="A","A",IF(OR(DATE($B$3,4,21)&gt;EOMONTH(DATE($B$3,4,1),0),NETWORKDAYS.INTL(DATE($B$3,4,21),DATE($B$3,4,21),1,'Non-working days'!$A$6:$A$45)=0),"",IF(COUNTIFS('Leave log'!$A$7:$A$306,Employees!$A$34,'Leave log'!$B$7:$B$306,"&lt;="&amp;DATE($B$3,4,21),'Leave log'!$C$7:$C$306,"&gt;="&amp;DATE($B$3,4,21),'Leave log'!$F$7:$F$306,"Pending")&gt;0,"P",""))))</f>
        <v/>
      </c>
      <c r="W137" s="23" t="str">
        <f>IF(A137="","",IF(IF(OR(DATE($B$3,4,22)&gt;EOMONTH(DATE($B$3,4,1),0),NETWORKDAYS.INTL(DATE($B$3,4,22),DATE($B$3,4,22),1,'Non-working days'!$A$6:$A$45)=0),"",IF(COUNTIFS('Leave log'!$A$7:$A$306,Employees!$A$34,'Leave log'!$B$7:$B$306,"&lt;="&amp;DATE($B$3,4,22),'Leave log'!$C$7:$C$306,"&gt;="&amp;DATE($B$3,4,22),'Leave log'!$F$7:$F$306,"Approved")&gt;0,"A",""))="A","A",IF(OR(DATE($B$3,4,22)&gt;EOMONTH(DATE($B$3,4,1),0),NETWORKDAYS.INTL(DATE($B$3,4,22),DATE($B$3,4,22),1,'Non-working days'!$A$6:$A$45)=0),"",IF(COUNTIFS('Leave log'!$A$7:$A$306,Employees!$A$34,'Leave log'!$B$7:$B$306,"&lt;="&amp;DATE($B$3,4,22),'Leave log'!$C$7:$C$306,"&gt;="&amp;DATE($B$3,4,22),'Leave log'!$F$7:$F$306,"Pending")&gt;0,"P",""))))</f>
        <v/>
      </c>
      <c r="X137" s="23" t="str">
        <f>IF(A137="","",IF(IF(OR(DATE($B$3,4,23)&gt;EOMONTH(DATE($B$3,4,1),0),NETWORKDAYS.INTL(DATE($B$3,4,23),DATE($B$3,4,23),1,'Non-working days'!$A$6:$A$45)=0),"",IF(COUNTIFS('Leave log'!$A$7:$A$306,Employees!$A$34,'Leave log'!$B$7:$B$306,"&lt;="&amp;DATE($B$3,4,23),'Leave log'!$C$7:$C$306,"&gt;="&amp;DATE($B$3,4,23),'Leave log'!$F$7:$F$306,"Approved")&gt;0,"A",""))="A","A",IF(OR(DATE($B$3,4,23)&gt;EOMONTH(DATE($B$3,4,1),0),NETWORKDAYS.INTL(DATE($B$3,4,23),DATE($B$3,4,23),1,'Non-working days'!$A$6:$A$45)=0),"",IF(COUNTIFS('Leave log'!$A$7:$A$306,Employees!$A$34,'Leave log'!$B$7:$B$306,"&lt;="&amp;DATE($B$3,4,23),'Leave log'!$C$7:$C$306,"&gt;="&amp;DATE($B$3,4,23),'Leave log'!$F$7:$F$306,"Pending")&gt;0,"P",""))))</f>
        <v/>
      </c>
      <c r="Y137" s="23" t="str">
        <f>IF(A137="","",IF(IF(OR(DATE($B$3,4,24)&gt;EOMONTH(DATE($B$3,4,1),0),NETWORKDAYS.INTL(DATE($B$3,4,24),DATE($B$3,4,24),1,'Non-working days'!$A$6:$A$45)=0),"",IF(COUNTIFS('Leave log'!$A$7:$A$306,Employees!$A$34,'Leave log'!$B$7:$B$306,"&lt;="&amp;DATE($B$3,4,24),'Leave log'!$C$7:$C$306,"&gt;="&amp;DATE($B$3,4,24),'Leave log'!$F$7:$F$306,"Approved")&gt;0,"A",""))="A","A",IF(OR(DATE($B$3,4,24)&gt;EOMONTH(DATE($B$3,4,1),0),NETWORKDAYS.INTL(DATE($B$3,4,24),DATE($B$3,4,24),1,'Non-working days'!$A$6:$A$45)=0),"",IF(COUNTIFS('Leave log'!$A$7:$A$306,Employees!$A$34,'Leave log'!$B$7:$B$306,"&lt;="&amp;DATE($B$3,4,24),'Leave log'!$C$7:$C$306,"&gt;="&amp;DATE($B$3,4,24),'Leave log'!$F$7:$F$306,"Pending")&gt;0,"P",""))))</f>
        <v/>
      </c>
      <c r="Z137" s="23" t="str">
        <f>IF(A137="","",IF(IF(OR(DATE($B$3,4,25)&gt;EOMONTH(DATE($B$3,4,1),0),NETWORKDAYS.INTL(DATE($B$3,4,25),DATE($B$3,4,25),1,'Non-working days'!$A$6:$A$45)=0),"",IF(COUNTIFS('Leave log'!$A$7:$A$306,Employees!$A$34,'Leave log'!$B$7:$B$306,"&lt;="&amp;DATE($B$3,4,25),'Leave log'!$C$7:$C$306,"&gt;="&amp;DATE($B$3,4,25),'Leave log'!$F$7:$F$306,"Approved")&gt;0,"A",""))="A","A",IF(OR(DATE($B$3,4,25)&gt;EOMONTH(DATE($B$3,4,1),0),NETWORKDAYS.INTL(DATE($B$3,4,25),DATE($B$3,4,25),1,'Non-working days'!$A$6:$A$45)=0),"",IF(COUNTIFS('Leave log'!$A$7:$A$306,Employees!$A$34,'Leave log'!$B$7:$B$306,"&lt;="&amp;DATE($B$3,4,25),'Leave log'!$C$7:$C$306,"&gt;="&amp;DATE($B$3,4,25),'Leave log'!$F$7:$F$306,"Pending")&gt;0,"P",""))))</f>
        <v/>
      </c>
      <c r="AA137" s="23" t="str">
        <f>IF(A137="","",IF(IF(OR(DATE($B$3,4,26)&gt;EOMONTH(DATE($B$3,4,1),0),NETWORKDAYS.INTL(DATE($B$3,4,26),DATE($B$3,4,26),1,'Non-working days'!$A$6:$A$45)=0),"",IF(COUNTIFS('Leave log'!$A$7:$A$306,Employees!$A$34,'Leave log'!$B$7:$B$306,"&lt;="&amp;DATE($B$3,4,26),'Leave log'!$C$7:$C$306,"&gt;="&amp;DATE($B$3,4,26),'Leave log'!$F$7:$F$306,"Approved")&gt;0,"A",""))="A","A",IF(OR(DATE($B$3,4,26)&gt;EOMONTH(DATE($B$3,4,1),0),NETWORKDAYS.INTL(DATE($B$3,4,26),DATE($B$3,4,26),1,'Non-working days'!$A$6:$A$45)=0),"",IF(COUNTIFS('Leave log'!$A$7:$A$306,Employees!$A$34,'Leave log'!$B$7:$B$306,"&lt;="&amp;DATE($B$3,4,26),'Leave log'!$C$7:$C$306,"&gt;="&amp;DATE($B$3,4,26),'Leave log'!$F$7:$F$306,"Pending")&gt;0,"P",""))))</f>
        <v/>
      </c>
      <c r="AB137" s="23" t="str">
        <f>IF(A137="","",IF(IF(OR(DATE($B$3,4,27)&gt;EOMONTH(DATE($B$3,4,1),0),NETWORKDAYS.INTL(DATE($B$3,4,27),DATE($B$3,4,27),1,'Non-working days'!$A$6:$A$45)=0),"",IF(COUNTIFS('Leave log'!$A$7:$A$306,Employees!$A$34,'Leave log'!$B$7:$B$306,"&lt;="&amp;DATE($B$3,4,27),'Leave log'!$C$7:$C$306,"&gt;="&amp;DATE($B$3,4,27),'Leave log'!$F$7:$F$306,"Approved")&gt;0,"A",""))="A","A",IF(OR(DATE($B$3,4,27)&gt;EOMONTH(DATE($B$3,4,1),0),NETWORKDAYS.INTL(DATE($B$3,4,27),DATE($B$3,4,27),1,'Non-working days'!$A$6:$A$45)=0),"",IF(COUNTIFS('Leave log'!$A$7:$A$306,Employees!$A$34,'Leave log'!$B$7:$B$306,"&lt;="&amp;DATE($B$3,4,27),'Leave log'!$C$7:$C$306,"&gt;="&amp;DATE($B$3,4,27),'Leave log'!$F$7:$F$306,"Pending")&gt;0,"P",""))))</f>
        <v/>
      </c>
      <c r="AC137" s="23" t="str">
        <f>IF(A137="","",IF(IF(OR(DATE($B$3,4,28)&gt;EOMONTH(DATE($B$3,4,1),0),NETWORKDAYS.INTL(DATE($B$3,4,28),DATE($B$3,4,28),1,'Non-working days'!$A$6:$A$45)=0),"",IF(COUNTIFS('Leave log'!$A$7:$A$306,Employees!$A$34,'Leave log'!$B$7:$B$306,"&lt;="&amp;DATE($B$3,4,28),'Leave log'!$C$7:$C$306,"&gt;="&amp;DATE($B$3,4,28),'Leave log'!$F$7:$F$306,"Approved")&gt;0,"A",""))="A","A",IF(OR(DATE($B$3,4,28)&gt;EOMONTH(DATE($B$3,4,1),0),NETWORKDAYS.INTL(DATE($B$3,4,28),DATE($B$3,4,28),1,'Non-working days'!$A$6:$A$45)=0),"",IF(COUNTIFS('Leave log'!$A$7:$A$306,Employees!$A$34,'Leave log'!$B$7:$B$306,"&lt;="&amp;DATE($B$3,4,28),'Leave log'!$C$7:$C$306,"&gt;="&amp;DATE($B$3,4,28),'Leave log'!$F$7:$F$306,"Pending")&gt;0,"P",""))))</f>
        <v/>
      </c>
      <c r="AD137" s="23" t="str">
        <f>IF(A137="","",IF(IF(OR(DATE($B$3,4,29)&gt;EOMONTH(DATE($B$3,4,1),0),NETWORKDAYS.INTL(DATE($B$3,4,29),DATE($B$3,4,29),1,'Non-working days'!$A$6:$A$45)=0),"",IF(COUNTIFS('Leave log'!$A$7:$A$306,Employees!$A$34,'Leave log'!$B$7:$B$306,"&lt;="&amp;DATE($B$3,4,29),'Leave log'!$C$7:$C$306,"&gt;="&amp;DATE($B$3,4,29),'Leave log'!$F$7:$F$306,"Approved")&gt;0,"A",""))="A","A",IF(OR(DATE($B$3,4,29)&gt;EOMONTH(DATE($B$3,4,1),0),NETWORKDAYS.INTL(DATE($B$3,4,29),DATE($B$3,4,29),1,'Non-working days'!$A$6:$A$45)=0),"",IF(COUNTIFS('Leave log'!$A$7:$A$306,Employees!$A$34,'Leave log'!$B$7:$B$306,"&lt;="&amp;DATE($B$3,4,29),'Leave log'!$C$7:$C$306,"&gt;="&amp;DATE($B$3,4,29),'Leave log'!$F$7:$F$306,"Pending")&gt;0,"P",""))))</f>
        <v/>
      </c>
      <c r="AE137" s="23" t="str">
        <f>IF(A137="","",IF(IF(OR(DATE($B$3,4,30)&gt;EOMONTH(DATE($B$3,4,1),0),NETWORKDAYS.INTL(DATE($B$3,4,30),DATE($B$3,4,30),1,'Non-working days'!$A$6:$A$45)=0),"",IF(COUNTIFS('Leave log'!$A$7:$A$306,Employees!$A$34,'Leave log'!$B$7:$B$306,"&lt;="&amp;DATE($B$3,4,30),'Leave log'!$C$7:$C$306,"&gt;="&amp;DATE($B$3,4,30),'Leave log'!$F$7:$F$306,"Approved")&gt;0,"A",""))="A","A",IF(OR(DATE($B$3,4,30)&gt;EOMONTH(DATE($B$3,4,1),0),NETWORKDAYS.INTL(DATE($B$3,4,30),DATE($B$3,4,30),1,'Non-working days'!$A$6:$A$45)=0),"",IF(COUNTIFS('Leave log'!$A$7:$A$306,Employees!$A$34,'Leave log'!$B$7:$B$306,"&lt;="&amp;DATE($B$3,4,30),'Leave log'!$C$7:$C$306,"&gt;="&amp;DATE($B$3,4,30),'Leave log'!$F$7:$F$306,"Pending")&gt;0,"P",""))))</f>
        <v/>
      </c>
      <c r="AF137" s="23" t="str">
        <f>IF(A137="","",IF(IF(OR(DATE($B$3,4,31)&gt;EOMONTH(DATE($B$3,4,1),0),NETWORKDAYS.INTL(DATE($B$3,4,31),DATE($B$3,4,31),1,'Non-working days'!$A$6:$A$45)=0),"",IF(COUNTIFS('Leave log'!$A$7:$A$306,Employees!$A$34,'Leave log'!$B$7:$B$306,"&lt;="&amp;DATE($B$3,4,31),'Leave log'!$C$7:$C$306,"&gt;="&amp;DATE($B$3,4,31),'Leave log'!$F$7:$F$306,"Approved")&gt;0,"A",""))="A","A",IF(OR(DATE($B$3,4,31)&gt;EOMONTH(DATE($B$3,4,1),0),NETWORKDAYS.INTL(DATE($B$3,4,31),DATE($B$3,4,31),1,'Non-working days'!$A$6:$A$45)=0),"",IF(COUNTIFS('Leave log'!$A$7:$A$306,Employees!$A$34,'Leave log'!$B$7:$B$306,"&lt;="&amp;DATE($B$3,4,31),'Leave log'!$C$7:$C$306,"&gt;="&amp;DATE($B$3,4,31),'Leave log'!$F$7:$F$306,"Pending")&gt;0,"P",""))))</f>
        <v/>
      </c>
    </row>
    <row r="138" spans="1:32" ht="18" customHeight="1" x14ac:dyDescent="0.3">
      <c r="A138" s="22" t="str">
        <f>IF(Employees!F35="Yes",Employees!B35,"")</f>
        <v/>
      </c>
      <c r="B138" s="23" t="str">
        <f>IF(A138="","",IF(IF(OR(DATE($B$3,4,1)&gt;EOMONTH(DATE($B$3,4,1),0),NETWORKDAYS.INTL(DATE($B$3,4,1),DATE($B$3,4,1),1,'Non-working days'!$A$6:$A$45)=0),"",IF(COUNTIFS('Leave log'!$A$7:$A$306,Employees!$A$35,'Leave log'!$B$7:$B$306,"&lt;="&amp;DATE($B$3,4,1),'Leave log'!$C$7:$C$306,"&gt;="&amp;DATE($B$3,4,1),'Leave log'!$F$7:$F$306,"Approved")&gt;0,"A",""))="A","A",IF(OR(DATE($B$3,4,1)&gt;EOMONTH(DATE($B$3,4,1),0),NETWORKDAYS.INTL(DATE($B$3,4,1),DATE($B$3,4,1),1,'Non-working days'!$A$6:$A$45)=0),"",IF(COUNTIFS('Leave log'!$A$7:$A$306,Employees!$A$35,'Leave log'!$B$7:$B$306,"&lt;="&amp;DATE($B$3,4,1),'Leave log'!$C$7:$C$306,"&gt;="&amp;DATE($B$3,4,1),'Leave log'!$F$7:$F$306,"Pending")&gt;0,"P",""))))</f>
        <v/>
      </c>
      <c r="C138" s="23" t="str">
        <f>IF(A138="","",IF(IF(OR(DATE($B$3,4,2)&gt;EOMONTH(DATE($B$3,4,1),0),NETWORKDAYS.INTL(DATE($B$3,4,2),DATE($B$3,4,2),1,'Non-working days'!$A$6:$A$45)=0),"",IF(COUNTIFS('Leave log'!$A$7:$A$306,Employees!$A$35,'Leave log'!$B$7:$B$306,"&lt;="&amp;DATE($B$3,4,2),'Leave log'!$C$7:$C$306,"&gt;="&amp;DATE($B$3,4,2),'Leave log'!$F$7:$F$306,"Approved")&gt;0,"A",""))="A","A",IF(OR(DATE($B$3,4,2)&gt;EOMONTH(DATE($B$3,4,1),0),NETWORKDAYS.INTL(DATE($B$3,4,2),DATE($B$3,4,2),1,'Non-working days'!$A$6:$A$45)=0),"",IF(COUNTIFS('Leave log'!$A$7:$A$306,Employees!$A$35,'Leave log'!$B$7:$B$306,"&lt;="&amp;DATE($B$3,4,2),'Leave log'!$C$7:$C$306,"&gt;="&amp;DATE($B$3,4,2),'Leave log'!$F$7:$F$306,"Pending")&gt;0,"P",""))))</f>
        <v/>
      </c>
      <c r="D138" s="23" t="str">
        <f>IF(A138="","",IF(IF(OR(DATE($B$3,4,3)&gt;EOMONTH(DATE($B$3,4,1),0),NETWORKDAYS.INTL(DATE($B$3,4,3),DATE($B$3,4,3),1,'Non-working days'!$A$6:$A$45)=0),"",IF(COUNTIFS('Leave log'!$A$7:$A$306,Employees!$A$35,'Leave log'!$B$7:$B$306,"&lt;="&amp;DATE($B$3,4,3),'Leave log'!$C$7:$C$306,"&gt;="&amp;DATE($B$3,4,3),'Leave log'!$F$7:$F$306,"Approved")&gt;0,"A",""))="A","A",IF(OR(DATE($B$3,4,3)&gt;EOMONTH(DATE($B$3,4,1),0),NETWORKDAYS.INTL(DATE($B$3,4,3),DATE($B$3,4,3),1,'Non-working days'!$A$6:$A$45)=0),"",IF(COUNTIFS('Leave log'!$A$7:$A$306,Employees!$A$35,'Leave log'!$B$7:$B$306,"&lt;="&amp;DATE($B$3,4,3),'Leave log'!$C$7:$C$306,"&gt;="&amp;DATE($B$3,4,3),'Leave log'!$F$7:$F$306,"Pending")&gt;0,"P",""))))</f>
        <v/>
      </c>
      <c r="E138" s="23" t="str">
        <f>IF(A138="","",IF(IF(OR(DATE($B$3,4,4)&gt;EOMONTH(DATE($B$3,4,1),0),NETWORKDAYS.INTL(DATE($B$3,4,4),DATE($B$3,4,4),1,'Non-working days'!$A$6:$A$45)=0),"",IF(COUNTIFS('Leave log'!$A$7:$A$306,Employees!$A$35,'Leave log'!$B$7:$B$306,"&lt;="&amp;DATE($B$3,4,4),'Leave log'!$C$7:$C$306,"&gt;="&amp;DATE($B$3,4,4),'Leave log'!$F$7:$F$306,"Approved")&gt;0,"A",""))="A","A",IF(OR(DATE($B$3,4,4)&gt;EOMONTH(DATE($B$3,4,1),0),NETWORKDAYS.INTL(DATE($B$3,4,4),DATE($B$3,4,4),1,'Non-working days'!$A$6:$A$45)=0),"",IF(COUNTIFS('Leave log'!$A$7:$A$306,Employees!$A$35,'Leave log'!$B$7:$B$306,"&lt;="&amp;DATE($B$3,4,4),'Leave log'!$C$7:$C$306,"&gt;="&amp;DATE($B$3,4,4),'Leave log'!$F$7:$F$306,"Pending")&gt;0,"P",""))))</f>
        <v/>
      </c>
      <c r="F138" s="23" t="str">
        <f>IF(A138="","",IF(IF(OR(DATE($B$3,4,5)&gt;EOMONTH(DATE($B$3,4,1),0),NETWORKDAYS.INTL(DATE($B$3,4,5),DATE($B$3,4,5),1,'Non-working days'!$A$6:$A$45)=0),"",IF(COUNTIFS('Leave log'!$A$7:$A$306,Employees!$A$35,'Leave log'!$B$7:$B$306,"&lt;="&amp;DATE($B$3,4,5),'Leave log'!$C$7:$C$306,"&gt;="&amp;DATE($B$3,4,5),'Leave log'!$F$7:$F$306,"Approved")&gt;0,"A",""))="A","A",IF(OR(DATE($B$3,4,5)&gt;EOMONTH(DATE($B$3,4,1),0),NETWORKDAYS.INTL(DATE($B$3,4,5),DATE($B$3,4,5),1,'Non-working days'!$A$6:$A$45)=0),"",IF(COUNTIFS('Leave log'!$A$7:$A$306,Employees!$A$35,'Leave log'!$B$7:$B$306,"&lt;="&amp;DATE($B$3,4,5),'Leave log'!$C$7:$C$306,"&gt;="&amp;DATE($B$3,4,5),'Leave log'!$F$7:$F$306,"Pending")&gt;0,"P",""))))</f>
        <v/>
      </c>
      <c r="G138" s="23" t="str">
        <f>IF(A138="","",IF(IF(OR(DATE($B$3,4,6)&gt;EOMONTH(DATE($B$3,4,1),0),NETWORKDAYS.INTL(DATE($B$3,4,6),DATE($B$3,4,6),1,'Non-working days'!$A$6:$A$45)=0),"",IF(COUNTIFS('Leave log'!$A$7:$A$306,Employees!$A$35,'Leave log'!$B$7:$B$306,"&lt;="&amp;DATE($B$3,4,6),'Leave log'!$C$7:$C$306,"&gt;="&amp;DATE($B$3,4,6),'Leave log'!$F$7:$F$306,"Approved")&gt;0,"A",""))="A","A",IF(OR(DATE($B$3,4,6)&gt;EOMONTH(DATE($B$3,4,1),0),NETWORKDAYS.INTL(DATE($B$3,4,6),DATE($B$3,4,6),1,'Non-working days'!$A$6:$A$45)=0),"",IF(COUNTIFS('Leave log'!$A$7:$A$306,Employees!$A$35,'Leave log'!$B$7:$B$306,"&lt;="&amp;DATE($B$3,4,6),'Leave log'!$C$7:$C$306,"&gt;="&amp;DATE($B$3,4,6),'Leave log'!$F$7:$F$306,"Pending")&gt;0,"P",""))))</f>
        <v/>
      </c>
      <c r="H138" s="23" t="str">
        <f>IF(A138="","",IF(IF(OR(DATE($B$3,4,7)&gt;EOMONTH(DATE($B$3,4,1),0),NETWORKDAYS.INTL(DATE($B$3,4,7),DATE($B$3,4,7),1,'Non-working days'!$A$6:$A$45)=0),"",IF(COUNTIFS('Leave log'!$A$7:$A$306,Employees!$A$35,'Leave log'!$B$7:$B$306,"&lt;="&amp;DATE($B$3,4,7),'Leave log'!$C$7:$C$306,"&gt;="&amp;DATE($B$3,4,7),'Leave log'!$F$7:$F$306,"Approved")&gt;0,"A",""))="A","A",IF(OR(DATE($B$3,4,7)&gt;EOMONTH(DATE($B$3,4,1),0),NETWORKDAYS.INTL(DATE($B$3,4,7),DATE($B$3,4,7),1,'Non-working days'!$A$6:$A$45)=0),"",IF(COUNTIFS('Leave log'!$A$7:$A$306,Employees!$A$35,'Leave log'!$B$7:$B$306,"&lt;="&amp;DATE($B$3,4,7),'Leave log'!$C$7:$C$306,"&gt;="&amp;DATE($B$3,4,7),'Leave log'!$F$7:$F$306,"Pending")&gt;0,"P",""))))</f>
        <v/>
      </c>
      <c r="I138" s="23" t="str">
        <f>IF(A138="","",IF(IF(OR(DATE($B$3,4,8)&gt;EOMONTH(DATE($B$3,4,1),0),NETWORKDAYS.INTL(DATE($B$3,4,8),DATE($B$3,4,8),1,'Non-working days'!$A$6:$A$45)=0),"",IF(COUNTIFS('Leave log'!$A$7:$A$306,Employees!$A$35,'Leave log'!$B$7:$B$306,"&lt;="&amp;DATE($B$3,4,8),'Leave log'!$C$7:$C$306,"&gt;="&amp;DATE($B$3,4,8),'Leave log'!$F$7:$F$306,"Approved")&gt;0,"A",""))="A","A",IF(OR(DATE($B$3,4,8)&gt;EOMONTH(DATE($B$3,4,1),0),NETWORKDAYS.INTL(DATE($B$3,4,8),DATE($B$3,4,8),1,'Non-working days'!$A$6:$A$45)=0),"",IF(COUNTIFS('Leave log'!$A$7:$A$306,Employees!$A$35,'Leave log'!$B$7:$B$306,"&lt;="&amp;DATE($B$3,4,8),'Leave log'!$C$7:$C$306,"&gt;="&amp;DATE($B$3,4,8),'Leave log'!$F$7:$F$306,"Pending")&gt;0,"P",""))))</f>
        <v/>
      </c>
      <c r="J138" s="23" t="str">
        <f>IF(A138="","",IF(IF(OR(DATE($B$3,4,9)&gt;EOMONTH(DATE($B$3,4,1),0),NETWORKDAYS.INTL(DATE($B$3,4,9),DATE($B$3,4,9),1,'Non-working days'!$A$6:$A$45)=0),"",IF(COUNTIFS('Leave log'!$A$7:$A$306,Employees!$A$35,'Leave log'!$B$7:$B$306,"&lt;="&amp;DATE($B$3,4,9),'Leave log'!$C$7:$C$306,"&gt;="&amp;DATE($B$3,4,9),'Leave log'!$F$7:$F$306,"Approved")&gt;0,"A",""))="A","A",IF(OR(DATE($B$3,4,9)&gt;EOMONTH(DATE($B$3,4,1),0),NETWORKDAYS.INTL(DATE($B$3,4,9),DATE($B$3,4,9),1,'Non-working days'!$A$6:$A$45)=0),"",IF(COUNTIFS('Leave log'!$A$7:$A$306,Employees!$A$35,'Leave log'!$B$7:$B$306,"&lt;="&amp;DATE($B$3,4,9),'Leave log'!$C$7:$C$306,"&gt;="&amp;DATE($B$3,4,9),'Leave log'!$F$7:$F$306,"Pending")&gt;0,"P",""))))</f>
        <v/>
      </c>
      <c r="K138" s="23" t="str">
        <f>IF(A138="","",IF(IF(OR(DATE($B$3,4,10)&gt;EOMONTH(DATE($B$3,4,1),0),NETWORKDAYS.INTL(DATE($B$3,4,10),DATE($B$3,4,10),1,'Non-working days'!$A$6:$A$45)=0),"",IF(COUNTIFS('Leave log'!$A$7:$A$306,Employees!$A$35,'Leave log'!$B$7:$B$306,"&lt;="&amp;DATE($B$3,4,10),'Leave log'!$C$7:$C$306,"&gt;="&amp;DATE($B$3,4,10),'Leave log'!$F$7:$F$306,"Approved")&gt;0,"A",""))="A","A",IF(OR(DATE($B$3,4,10)&gt;EOMONTH(DATE($B$3,4,1),0),NETWORKDAYS.INTL(DATE($B$3,4,10),DATE($B$3,4,10),1,'Non-working days'!$A$6:$A$45)=0),"",IF(COUNTIFS('Leave log'!$A$7:$A$306,Employees!$A$35,'Leave log'!$B$7:$B$306,"&lt;="&amp;DATE($B$3,4,10),'Leave log'!$C$7:$C$306,"&gt;="&amp;DATE($B$3,4,10),'Leave log'!$F$7:$F$306,"Pending")&gt;0,"P",""))))</f>
        <v/>
      </c>
      <c r="L138" s="23" t="str">
        <f>IF(A138="","",IF(IF(OR(DATE($B$3,4,11)&gt;EOMONTH(DATE($B$3,4,1),0),NETWORKDAYS.INTL(DATE($B$3,4,11),DATE($B$3,4,11),1,'Non-working days'!$A$6:$A$45)=0),"",IF(COUNTIFS('Leave log'!$A$7:$A$306,Employees!$A$35,'Leave log'!$B$7:$B$306,"&lt;="&amp;DATE($B$3,4,11),'Leave log'!$C$7:$C$306,"&gt;="&amp;DATE($B$3,4,11),'Leave log'!$F$7:$F$306,"Approved")&gt;0,"A",""))="A","A",IF(OR(DATE($B$3,4,11)&gt;EOMONTH(DATE($B$3,4,1),0),NETWORKDAYS.INTL(DATE($B$3,4,11),DATE($B$3,4,11),1,'Non-working days'!$A$6:$A$45)=0),"",IF(COUNTIFS('Leave log'!$A$7:$A$306,Employees!$A$35,'Leave log'!$B$7:$B$306,"&lt;="&amp;DATE($B$3,4,11),'Leave log'!$C$7:$C$306,"&gt;="&amp;DATE($B$3,4,11),'Leave log'!$F$7:$F$306,"Pending")&gt;0,"P",""))))</f>
        <v/>
      </c>
      <c r="M138" s="23" t="str">
        <f>IF(A138="","",IF(IF(OR(DATE($B$3,4,12)&gt;EOMONTH(DATE($B$3,4,1),0),NETWORKDAYS.INTL(DATE($B$3,4,12),DATE($B$3,4,12),1,'Non-working days'!$A$6:$A$45)=0),"",IF(COUNTIFS('Leave log'!$A$7:$A$306,Employees!$A$35,'Leave log'!$B$7:$B$306,"&lt;="&amp;DATE($B$3,4,12),'Leave log'!$C$7:$C$306,"&gt;="&amp;DATE($B$3,4,12),'Leave log'!$F$7:$F$306,"Approved")&gt;0,"A",""))="A","A",IF(OR(DATE($B$3,4,12)&gt;EOMONTH(DATE($B$3,4,1),0),NETWORKDAYS.INTL(DATE($B$3,4,12),DATE($B$3,4,12),1,'Non-working days'!$A$6:$A$45)=0),"",IF(COUNTIFS('Leave log'!$A$7:$A$306,Employees!$A$35,'Leave log'!$B$7:$B$306,"&lt;="&amp;DATE($B$3,4,12),'Leave log'!$C$7:$C$306,"&gt;="&amp;DATE($B$3,4,12),'Leave log'!$F$7:$F$306,"Pending")&gt;0,"P",""))))</f>
        <v/>
      </c>
      <c r="N138" s="23" t="str">
        <f>IF(A138="","",IF(IF(OR(DATE($B$3,4,13)&gt;EOMONTH(DATE($B$3,4,1),0),NETWORKDAYS.INTL(DATE($B$3,4,13),DATE($B$3,4,13),1,'Non-working days'!$A$6:$A$45)=0),"",IF(COUNTIFS('Leave log'!$A$7:$A$306,Employees!$A$35,'Leave log'!$B$7:$B$306,"&lt;="&amp;DATE($B$3,4,13),'Leave log'!$C$7:$C$306,"&gt;="&amp;DATE($B$3,4,13),'Leave log'!$F$7:$F$306,"Approved")&gt;0,"A",""))="A","A",IF(OR(DATE($B$3,4,13)&gt;EOMONTH(DATE($B$3,4,1),0),NETWORKDAYS.INTL(DATE($B$3,4,13),DATE($B$3,4,13),1,'Non-working days'!$A$6:$A$45)=0),"",IF(COUNTIFS('Leave log'!$A$7:$A$306,Employees!$A$35,'Leave log'!$B$7:$B$306,"&lt;="&amp;DATE($B$3,4,13),'Leave log'!$C$7:$C$306,"&gt;="&amp;DATE($B$3,4,13),'Leave log'!$F$7:$F$306,"Pending")&gt;0,"P",""))))</f>
        <v/>
      </c>
      <c r="O138" s="23" t="str">
        <f>IF(A138="","",IF(IF(OR(DATE($B$3,4,14)&gt;EOMONTH(DATE($B$3,4,1),0),NETWORKDAYS.INTL(DATE($B$3,4,14),DATE($B$3,4,14),1,'Non-working days'!$A$6:$A$45)=0),"",IF(COUNTIFS('Leave log'!$A$7:$A$306,Employees!$A$35,'Leave log'!$B$7:$B$306,"&lt;="&amp;DATE($B$3,4,14),'Leave log'!$C$7:$C$306,"&gt;="&amp;DATE($B$3,4,14),'Leave log'!$F$7:$F$306,"Approved")&gt;0,"A",""))="A","A",IF(OR(DATE($B$3,4,14)&gt;EOMONTH(DATE($B$3,4,1),0),NETWORKDAYS.INTL(DATE($B$3,4,14),DATE($B$3,4,14),1,'Non-working days'!$A$6:$A$45)=0),"",IF(COUNTIFS('Leave log'!$A$7:$A$306,Employees!$A$35,'Leave log'!$B$7:$B$306,"&lt;="&amp;DATE($B$3,4,14),'Leave log'!$C$7:$C$306,"&gt;="&amp;DATE($B$3,4,14),'Leave log'!$F$7:$F$306,"Pending")&gt;0,"P",""))))</f>
        <v/>
      </c>
      <c r="P138" s="23" t="str">
        <f>IF(A138="","",IF(IF(OR(DATE($B$3,4,15)&gt;EOMONTH(DATE($B$3,4,1),0),NETWORKDAYS.INTL(DATE($B$3,4,15),DATE($B$3,4,15),1,'Non-working days'!$A$6:$A$45)=0),"",IF(COUNTIFS('Leave log'!$A$7:$A$306,Employees!$A$35,'Leave log'!$B$7:$B$306,"&lt;="&amp;DATE($B$3,4,15),'Leave log'!$C$7:$C$306,"&gt;="&amp;DATE($B$3,4,15),'Leave log'!$F$7:$F$306,"Approved")&gt;0,"A",""))="A","A",IF(OR(DATE($B$3,4,15)&gt;EOMONTH(DATE($B$3,4,1),0),NETWORKDAYS.INTL(DATE($B$3,4,15),DATE($B$3,4,15),1,'Non-working days'!$A$6:$A$45)=0),"",IF(COUNTIFS('Leave log'!$A$7:$A$306,Employees!$A$35,'Leave log'!$B$7:$B$306,"&lt;="&amp;DATE($B$3,4,15),'Leave log'!$C$7:$C$306,"&gt;="&amp;DATE($B$3,4,15),'Leave log'!$F$7:$F$306,"Pending")&gt;0,"P",""))))</f>
        <v/>
      </c>
      <c r="Q138" s="23" t="str">
        <f>IF(A138="","",IF(IF(OR(DATE($B$3,4,16)&gt;EOMONTH(DATE($B$3,4,1),0),NETWORKDAYS.INTL(DATE($B$3,4,16),DATE($B$3,4,16),1,'Non-working days'!$A$6:$A$45)=0),"",IF(COUNTIFS('Leave log'!$A$7:$A$306,Employees!$A$35,'Leave log'!$B$7:$B$306,"&lt;="&amp;DATE($B$3,4,16),'Leave log'!$C$7:$C$306,"&gt;="&amp;DATE($B$3,4,16),'Leave log'!$F$7:$F$306,"Approved")&gt;0,"A",""))="A","A",IF(OR(DATE($B$3,4,16)&gt;EOMONTH(DATE($B$3,4,1),0),NETWORKDAYS.INTL(DATE($B$3,4,16),DATE($B$3,4,16),1,'Non-working days'!$A$6:$A$45)=0),"",IF(COUNTIFS('Leave log'!$A$7:$A$306,Employees!$A$35,'Leave log'!$B$7:$B$306,"&lt;="&amp;DATE($B$3,4,16),'Leave log'!$C$7:$C$306,"&gt;="&amp;DATE($B$3,4,16),'Leave log'!$F$7:$F$306,"Pending")&gt;0,"P",""))))</f>
        <v/>
      </c>
      <c r="R138" s="23" t="str">
        <f>IF(A138="","",IF(IF(OR(DATE($B$3,4,17)&gt;EOMONTH(DATE($B$3,4,1),0),NETWORKDAYS.INTL(DATE($B$3,4,17),DATE($B$3,4,17),1,'Non-working days'!$A$6:$A$45)=0),"",IF(COUNTIFS('Leave log'!$A$7:$A$306,Employees!$A$35,'Leave log'!$B$7:$B$306,"&lt;="&amp;DATE($B$3,4,17),'Leave log'!$C$7:$C$306,"&gt;="&amp;DATE($B$3,4,17),'Leave log'!$F$7:$F$306,"Approved")&gt;0,"A",""))="A","A",IF(OR(DATE($B$3,4,17)&gt;EOMONTH(DATE($B$3,4,1),0),NETWORKDAYS.INTL(DATE($B$3,4,17),DATE($B$3,4,17),1,'Non-working days'!$A$6:$A$45)=0),"",IF(COUNTIFS('Leave log'!$A$7:$A$306,Employees!$A$35,'Leave log'!$B$7:$B$306,"&lt;="&amp;DATE($B$3,4,17),'Leave log'!$C$7:$C$306,"&gt;="&amp;DATE($B$3,4,17),'Leave log'!$F$7:$F$306,"Pending")&gt;0,"P",""))))</f>
        <v/>
      </c>
      <c r="S138" s="23" t="str">
        <f>IF(A138="","",IF(IF(OR(DATE($B$3,4,18)&gt;EOMONTH(DATE($B$3,4,1),0),NETWORKDAYS.INTL(DATE($B$3,4,18),DATE($B$3,4,18),1,'Non-working days'!$A$6:$A$45)=0),"",IF(COUNTIFS('Leave log'!$A$7:$A$306,Employees!$A$35,'Leave log'!$B$7:$B$306,"&lt;="&amp;DATE($B$3,4,18),'Leave log'!$C$7:$C$306,"&gt;="&amp;DATE($B$3,4,18),'Leave log'!$F$7:$F$306,"Approved")&gt;0,"A",""))="A","A",IF(OR(DATE($B$3,4,18)&gt;EOMONTH(DATE($B$3,4,1),0),NETWORKDAYS.INTL(DATE($B$3,4,18),DATE($B$3,4,18),1,'Non-working days'!$A$6:$A$45)=0),"",IF(COUNTIFS('Leave log'!$A$7:$A$306,Employees!$A$35,'Leave log'!$B$7:$B$306,"&lt;="&amp;DATE($B$3,4,18),'Leave log'!$C$7:$C$306,"&gt;="&amp;DATE($B$3,4,18),'Leave log'!$F$7:$F$306,"Pending")&gt;0,"P",""))))</f>
        <v/>
      </c>
      <c r="T138" s="23" t="str">
        <f>IF(A138="","",IF(IF(OR(DATE($B$3,4,19)&gt;EOMONTH(DATE($B$3,4,1),0),NETWORKDAYS.INTL(DATE($B$3,4,19),DATE($B$3,4,19),1,'Non-working days'!$A$6:$A$45)=0),"",IF(COUNTIFS('Leave log'!$A$7:$A$306,Employees!$A$35,'Leave log'!$B$7:$B$306,"&lt;="&amp;DATE($B$3,4,19),'Leave log'!$C$7:$C$306,"&gt;="&amp;DATE($B$3,4,19),'Leave log'!$F$7:$F$306,"Approved")&gt;0,"A",""))="A","A",IF(OR(DATE($B$3,4,19)&gt;EOMONTH(DATE($B$3,4,1),0),NETWORKDAYS.INTL(DATE($B$3,4,19),DATE($B$3,4,19),1,'Non-working days'!$A$6:$A$45)=0),"",IF(COUNTIFS('Leave log'!$A$7:$A$306,Employees!$A$35,'Leave log'!$B$7:$B$306,"&lt;="&amp;DATE($B$3,4,19),'Leave log'!$C$7:$C$306,"&gt;="&amp;DATE($B$3,4,19),'Leave log'!$F$7:$F$306,"Pending")&gt;0,"P",""))))</f>
        <v/>
      </c>
      <c r="U138" s="23" t="str">
        <f>IF(A138="","",IF(IF(OR(DATE($B$3,4,20)&gt;EOMONTH(DATE($B$3,4,1),0),NETWORKDAYS.INTL(DATE($B$3,4,20),DATE($B$3,4,20),1,'Non-working days'!$A$6:$A$45)=0),"",IF(COUNTIFS('Leave log'!$A$7:$A$306,Employees!$A$35,'Leave log'!$B$7:$B$306,"&lt;="&amp;DATE($B$3,4,20),'Leave log'!$C$7:$C$306,"&gt;="&amp;DATE($B$3,4,20),'Leave log'!$F$7:$F$306,"Approved")&gt;0,"A",""))="A","A",IF(OR(DATE($B$3,4,20)&gt;EOMONTH(DATE($B$3,4,1),0),NETWORKDAYS.INTL(DATE($B$3,4,20),DATE($B$3,4,20),1,'Non-working days'!$A$6:$A$45)=0),"",IF(COUNTIFS('Leave log'!$A$7:$A$306,Employees!$A$35,'Leave log'!$B$7:$B$306,"&lt;="&amp;DATE($B$3,4,20),'Leave log'!$C$7:$C$306,"&gt;="&amp;DATE($B$3,4,20),'Leave log'!$F$7:$F$306,"Pending")&gt;0,"P",""))))</f>
        <v/>
      </c>
      <c r="V138" s="23" t="str">
        <f>IF(A138="","",IF(IF(OR(DATE($B$3,4,21)&gt;EOMONTH(DATE($B$3,4,1),0),NETWORKDAYS.INTL(DATE($B$3,4,21),DATE($B$3,4,21),1,'Non-working days'!$A$6:$A$45)=0),"",IF(COUNTIFS('Leave log'!$A$7:$A$306,Employees!$A$35,'Leave log'!$B$7:$B$306,"&lt;="&amp;DATE($B$3,4,21),'Leave log'!$C$7:$C$306,"&gt;="&amp;DATE($B$3,4,21),'Leave log'!$F$7:$F$306,"Approved")&gt;0,"A",""))="A","A",IF(OR(DATE($B$3,4,21)&gt;EOMONTH(DATE($B$3,4,1),0),NETWORKDAYS.INTL(DATE($B$3,4,21),DATE($B$3,4,21),1,'Non-working days'!$A$6:$A$45)=0),"",IF(COUNTIFS('Leave log'!$A$7:$A$306,Employees!$A$35,'Leave log'!$B$7:$B$306,"&lt;="&amp;DATE($B$3,4,21),'Leave log'!$C$7:$C$306,"&gt;="&amp;DATE($B$3,4,21),'Leave log'!$F$7:$F$306,"Pending")&gt;0,"P",""))))</f>
        <v/>
      </c>
      <c r="W138" s="23" t="str">
        <f>IF(A138="","",IF(IF(OR(DATE($B$3,4,22)&gt;EOMONTH(DATE($B$3,4,1),0),NETWORKDAYS.INTL(DATE($B$3,4,22),DATE($B$3,4,22),1,'Non-working days'!$A$6:$A$45)=0),"",IF(COUNTIFS('Leave log'!$A$7:$A$306,Employees!$A$35,'Leave log'!$B$7:$B$306,"&lt;="&amp;DATE($B$3,4,22),'Leave log'!$C$7:$C$306,"&gt;="&amp;DATE($B$3,4,22),'Leave log'!$F$7:$F$306,"Approved")&gt;0,"A",""))="A","A",IF(OR(DATE($B$3,4,22)&gt;EOMONTH(DATE($B$3,4,1),0),NETWORKDAYS.INTL(DATE($B$3,4,22),DATE($B$3,4,22),1,'Non-working days'!$A$6:$A$45)=0),"",IF(COUNTIFS('Leave log'!$A$7:$A$306,Employees!$A$35,'Leave log'!$B$7:$B$306,"&lt;="&amp;DATE($B$3,4,22),'Leave log'!$C$7:$C$306,"&gt;="&amp;DATE($B$3,4,22),'Leave log'!$F$7:$F$306,"Pending")&gt;0,"P",""))))</f>
        <v/>
      </c>
      <c r="X138" s="23" t="str">
        <f>IF(A138="","",IF(IF(OR(DATE($B$3,4,23)&gt;EOMONTH(DATE($B$3,4,1),0),NETWORKDAYS.INTL(DATE($B$3,4,23),DATE($B$3,4,23),1,'Non-working days'!$A$6:$A$45)=0),"",IF(COUNTIFS('Leave log'!$A$7:$A$306,Employees!$A$35,'Leave log'!$B$7:$B$306,"&lt;="&amp;DATE($B$3,4,23),'Leave log'!$C$7:$C$306,"&gt;="&amp;DATE($B$3,4,23),'Leave log'!$F$7:$F$306,"Approved")&gt;0,"A",""))="A","A",IF(OR(DATE($B$3,4,23)&gt;EOMONTH(DATE($B$3,4,1),0),NETWORKDAYS.INTL(DATE($B$3,4,23),DATE($B$3,4,23),1,'Non-working days'!$A$6:$A$45)=0),"",IF(COUNTIFS('Leave log'!$A$7:$A$306,Employees!$A$35,'Leave log'!$B$7:$B$306,"&lt;="&amp;DATE($B$3,4,23),'Leave log'!$C$7:$C$306,"&gt;="&amp;DATE($B$3,4,23),'Leave log'!$F$7:$F$306,"Pending")&gt;0,"P",""))))</f>
        <v/>
      </c>
      <c r="Y138" s="23" t="str">
        <f>IF(A138="","",IF(IF(OR(DATE($B$3,4,24)&gt;EOMONTH(DATE($B$3,4,1),0),NETWORKDAYS.INTL(DATE($B$3,4,24),DATE($B$3,4,24),1,'Non-working days'!$A$6:$A$45)=0),"",IF(COUNTIFS('Leave log'!$A$7:$A$306,Employees!$A$35,'Leave log'!$B$7:$B$306,"&lt;="&amp;DATE($B$3,4,24),'Leave log'!$C$7:$C$306,"&gt;="&amp;DATE($B$3,4,24),'Leave log'!$F$7:$F$306,"Approved")&gt;0,"A",""))="A","A",IF(OR(DATE($B$3,4,24)&gt;EOMONTH(DATE($B$3,4,1),0),NETWORKDAYS.INTL(DATE($B$3,4,24),DATE($B$3,4,24),1,'Non-working days'!$A$6:$A$45)=0),"",IF(COUNTIFS('Leave log'!$A$7:$A$306,Employees!$A$35,'Leave log'!$B$7:$B$306,"&lt;="&amp;DATE($B$3,4,24),'Leave log'!$C$7:$C$306,"&gt;="&amp;DATE($B$3,4,24),'Leave log'!$F$7:$F$306,"Pending")&gt;0,"P",""))))</f>
        <v/>
      </c>
      <c r="Z138" s="23" t="str">
        <f>IF(A138="","",IF(IF(OR(DATE($B$3,4,25)&gt;EOMONTH(DATE($B$3,4,1),0),NETWORKDAYS.INTL(DATE($B$3,4,25),DATE($B$3,4,25),1,'Non-working days'!$A$6:$A$45)=0),"",IF(COUNTIFS('Leave log'!$A$7:$A$306,Employees!$A$35,'Leave log'!$B$7:$B$306,"&lt;="&amp;DATE($B$3,4,25),'Leave log'!$C$7:$C$306,"&gt;="&amp;DATE($B$3,4,25),'Leave log'!$F$7:$F$306,"Approved")&gt;0,"A",""))="A","A",IF(OR(DATE($B$3,4,25)&gt;EOMONTH(DATE($B$3,4,1),0),NETWORKDAYS.INTL(DATE($B$3,4,25),DATE($B$3,4,25),1,'Non-working days'!$A$6:$A$45)=0),"",IF(COUNTIFS('Leave log'!$A$7:$A$306,Employees!$A$35,'Leave log'!$B$7:$B$306,"&lt;="&amp;DATE($B$3,4,25),'Leave log'!$C$7:$C$306,"&gt;="&amp;DATE($B$3,4,25),'Leave log'!$F$7:$F$306,"Pending")&gt;0,"P",""))))</f>
        <v/>
      </c>
      <c r="AA138" s="23" t="str">
        <f>IF(A138="","",IF(IF(OR(DATE($B$3,4,26)&gt;EOMONTH(DATE($B$3,4,1),0),NETWORKDAYS.INTL(DATE($B$3,4,26),DATE($B$3,4,26),1,'Non-working days'!$A$6:$A$45)=0),"",IF(COUNTIFS('Leave log'!$A$7:$A$306,Employees!$A$35,'Leave log'!$B$7:$B$306,"&lt;="&amp;DATE($B$3,4,26),'Leave log'!$C$7:$C$306,"&gt;="&amp;DATE($B$3,4,26),'Leave log'!$F$7:$F$306,"Approved")&gt;0,"A",""))="A","A",IF(OR(DATE($B$3,4,26)&gt;EOMONTH(DATE($B$3,4,1),0),NETWORKDAYS.INTL(DATE($B$3,4,26),DATE($B$3,4,26),1,'Non-working days'!$A$6:$A$45)=0),"",IF(COUNTIFS('Leave log'!$A$7:$A$306,Employees!$A$35,'Leave log'!$B$7:$B$306,"&lt;="&amp;DATE($B$3,4,26),'Leave log'!$C$7:$C$306,"&gt;="&amp;DATE($B$3,4,26),'Leave log'!$F$7:$F$306,"Pending")&gt;0,"P",""))))</f>
        <v/>
      </c>
      <c r="AB138" s="23" t="str">
        <f>IF(A138="","",IF(IF(OR(DATE($B$3,4,27)&gt;EOMONTH(DATE($B$3,4,1),0),NETWORKDAYS.INTL(DATE($B$3,4,27),DATE($B$3,4,27),1,'Non-working days'!$A$6:$A$45)=0),"",IF(COUNTIFS('Leave log'!$A$7:$A$306,Employees!$A$35,'Leave log'!$B$7:$B$306,"&lt;="&amp;DATE($B$3,4,27),'Leave log'!$C$7:$C$306,"&gt;="&amp;DATE($B$3,4,27),'Leave log'!$F$7:$F$306,"Approved")&gt;0,"A",""))="A","A",IF(OR(DATE($B$3,4,27)&gt;EOMONTH(DATE($B$3,4,1),0),NETWORKDAYS.INTL(DATE($B$3,4,27),DATE($B$3,4,27),1,'Non-working days'!$A$6:$A$45)=0),"",IF(COUNTIFS('Leave log'!$A$7:$A$306,Employees!$A$35,'Leave log'!$B$7:$B$306,"&lt;="&amp;DATE($B$3,4,27),'Leave log'!$C$7:$C$306,"&gt;="&amp;DATE($B$3,4,27),'Leave log'!$F$7:$F$306,"Pending")&gt;0,"P",""))))</f>
        <v/>
      </c>
      <c r="AC138" s="23" t="str">
        <f>IF(A138="","",IF(IF(OR(DATE($B$3,4,28)&gt;EOMONTH(DATE($B$3,4,1),0),NETWORKDAYS.INTL(DATE($B$3,4,28),DATE($B$3,4,28),1,'Non-working days'!$A$6:$A$45)=0),"",IF(COUNTIFS('Leave log'!$A$7:$A$306,Employees!$A$35,'Leave log'!$B$7:$B$306,"&lt;="&amp;DATE($B$3,4,28),'Leave log'!$C$7:$C$306,"&gt;="&amp;DATE($B$3,4,28),'Leave log'!$F$7:$F$306,"Approved")&gt;0,"A",""))="A","A",IF(OR(DATE($B$3,4,28)&gt;EOMONTH(DATE($B$3,4,1),0),NETWORKDAYS.INTL(DATE($B$3,4,28),DATE($B$3,4,28),1,'Non-working days'!$A$6:$A$45)=0),"",IF(COUNTIFS('Leave log'!$A$7:$A$306,Employees!$A$35,'Leave log'!$B$7:$B$306,"&lt;="&amp;DATE($B$3,4,28),'Leave log'!$C$7:$C$306,"&gt;="&amp;DATE($B$3,4,28),'Leave log'!$F$7:$F$306,"Pending")&gt;0,"P",""))))</f>
        <v/>
      </c>
      <c r="AD138" s="23" t="str">
        <f>IF(A138="","",IF(IF(OR(DATE($B$3,4,29)&gt;EOMONTH(DATE($B$3,4,1),0),NETWORKDAYS.INTL(DATE($B$3,4,29),DATE($B$3,4,29),1,'Non-working days'!$A$6:$A$45)=0),"",IF(COUNTIFS('Leave log'!$A$7:$A$306,Employees!$A$35,'Leave log'!$B$7:$B$306,"&lt;="&amp;DATE($B$3,4,29),'Leave log'!$C$7:$C$306,"&gt;="&amp;DATE($B$3,4,29),'Leave log'!$F$7:$F$306,"Approved")&gt;0,"A",""))="A","A",IF(OR(DATE($B$3,4,29)&gt;EOMONTH(DATE($B$3,4,1),0),NETWORKDAYS.INTL(DATE($B$3,4,29),DATE($B$3,4,29),1,'Non-working days'!$A$6:$A$45)=0),"",IF(COUNTIFS('Leave log'!$A$7:$A$306,Employees!$A$35,'Leave log'!$B$7:$B$306,"&lt;="&amp;DATE($B$3,4,29),'Leave log'!$C$7:$C$306,"&gt;="&amp;DATE($B$3,4,29),'Leave log'!$F$7:$F$306,"Pending")&gt;0,"P",""))))</f>
        <v/>
      </c>
      <c r="AE138" s="23" t="str">
        <f>IF(A138="","",IF(IF(OR(DATE($B$3,4,30)&gt;EOMONTH(DATE($B$3,4,1),0),NETWORKDAYS.INTL(DATE($B$3,4,30),DATE($B$3,4,30),1,'Non-working days'!$A$6:$A$45)=0),"",IF(COUNTIFS('Leave log'!$A$7:$A$306,Employees!$A$35,'Leave log'!$B$7:$B$306,"&lt;="&amp;DATE($B$3,4,30),'Leave log'!$C$7:$C$306,"&gt;="&amp;DATE($B$3,4,30),'Leave log'!$F$7:$F$306,"Approved")&gt;0,"A",""))="A","A",IF(OR(DATE($B$3,4,30)&gt;EOMONTH(DATE($B$3,4,1),0),NETWORKDAYS.INTL(DATE($B$3,4,30),DATE($B$3,4,30),1,'Non-working days'!$A$6:$A$45)=0),"",IF(COUNTIFS('Leave log'!$A$7:$A$306,Employees!$A$35,'Leave log'!$B$7:$B$306,"&lt;="&amp;DATE($B$3,4,30),'Leave log'!$C$7:$C$306,"&gt;="&amp;DATE($B$3,4,30),'Leave log'!$F$7:$F$306,"Pending")&gt;0,"P",""))))</f>
        <v/>
      </c>
      <c r="AF138" s="23" t="str">
        <f>IF(A138="","",IF(IF(OR(DATE($B$3,4,31)&gt;EOMONTH(DATE($B$3,4,1),0),NETWORKDAYS.INTL(DATE($B$3,4,31),DATE($B$3,4,31),1,'Non-working days'!$A$6:$A$45)=0),"",IF(COUNTIFS('Leave log'!$A$7:$A$306,Employees!$A$35,'Leave log'!$B$7:$B$306,"&lt;="&amp;DATE($B$3,4,31),'Leave log'!$C$7:$C$306,"&gt;="&amp;DATE($B$3,4,31),'Leave log'!$F$7:$F$306,"Approved")&gt;0,"A",""))="A","A",IF(OR(DATE($B$3,4,31)&gt;EOMONTH(DATE($B$3,4,1),0),NETWORKDAYS.INTL(DATE($B$3,4,31),DATE($B$3,4,31),1,'Non-working days'!$A$6:$A$45)=0),"",IF(COUNTIFS('Leave log'!$A$7:$A$306,Employees!$A$35,'Leave log'!$B$7:$B$306,"&lt;="&amp;DATE($B$3,4,31),'Leave log'!$C$7:$C$306,"&gt;="&amp;DATE($B$3,4,31),'Leave log'!$F$7:$F$306,"Pending")&gt;0,"P",""))))</f>
        <v/>
      </c>
    </row>
    <row r="141" spans="1:32" ht="15.6" x14ac:dyDescent="0.3">
      <c r="A141" s="31" t="s">
        <v>79</v>
      </c>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row>
    <row r="142" spans="1:32" x14ac:dyDescent="0.3">
      <c r="A142" s="20" t="s">
        <v>75</v>
      </c>
      <c r="B142" s="21">
        <v>1</v>
      </c>
      <c r="C142" s="21">
        <v>2</v>
      </c>
      <c r="D142" s="21">
        <v>3</v>
      </c>
      <c r="E142" s="21">
        <v>4</v>
      </c>
      <c r="F142" s="21">
        <v>5</v>
      </c>
      <c r="G142" s="21">
        <v>6</v>
      </c>
      <c r="H142" s="21">
        <v>7</v>
      </c>
      <c r="I142" s="21">
        <v>8</v>
      </c>
      <c r="J142" s="21">
        <v>9</v>
      </c>
      <c r="K142" s="21">
        <v>10</v>
      </c>
      <c r="L142" s="21">
        <v>11</v>
      </c>
      <c r="M142" s="21">
        <v>12</v>
      </c>
      <c r="N142" s="21">
        <v>13</v>
      </c>
      <c r="O142" s="21">
        <v>14</v>
      </c>
      <c r="P142" s="21">
        <v>15</v>
      </c>
      <c r="Q142" s="21">
        <v>16</v>
      </c>
      <c r="R142" s="21">
        <v>17</v>
      </c>
      <c r="S142" s="21">
        <v>18</v>
      </c>
      <c r="T142" s="21">
        <v>19</v>
      </c>
      <c r="U142" s="21">
        <v>20</v>
      </c>
      <c r="V142" s="21">
        <v>21</v>
      </c>
      <c r="W142" s="21">
        <v>22</v>
      </c>
      <c r="X142" s="21">
        <v>23</v>
      </c>
      <c r="Y142" s="21">
        <v>24</v>
      </c>
      <c r="Z142" s="21">
        <v>25</v>
      </c>
      <c r="AA142" s="21">
        <v>26</v>
      </c>
      <c r="AB142" s="21">
        <v>27</v>
      </c>
      <c r="AC142" s="21">
        <v>28</v>
      </c>
      <c r="AD142" s="21">
        <v>29</v>
      </c>
      <c r="AE142" s="21">
        <v>30</v>
      </c>
      <c r="AF142" s="21">
        <v>31</v>
      </c>
    </row>
    <row r="143" spans="1:32" ht="18" customHeight="1" x14ac:dyDescent="0.3">
      <c r="A143" s="22" t="str">
        <f>IF(Employees!F6="Yes",Employees!B6,"")</f>
        <v>Alex Morgan</v>
      </c>
      <c r="B143" s="23" t="str">
        <f>IF(A143="","",IF(IF(OR(DATE($B$3,5,1)&gt;EOMONTH(DATE($B$3,5,1),0),NETWORKDAYS.INTL(DATE($B$3,5,1),DATE($B$3,5,1),1,'Non-working days'!$A$6:$A$45)=0),"",IF(COUNTIFS('Leave log'!$A$7:$A$306,Employees!$A$6,'Leave log'!$B$7:$B$306,"&lt;="&amp;DATE($B$3,5,1),'Leave log'!$C$7:$C$306,"&gt;="&amp;DATE($B$3,5,1),'Leave log'!$F$7:$F$306,"Approved")&gt;0,"A",""))="A","A",IF(OR(DATE($B$3,5,1)&gt;EOMONTH(DATE($B$3,5,1),0),NETWORKDAYS.INTL(DATE($B$3,5,1),DATE($B$3,5,1),1,'Non-working days'!$A$6:$A$45)=0),"",IF(COUNTIFS('Leave log'!$A$7:$A$306,Employees!$A$6,'Leave log'!$B$7:$B$306,"&lt;="&amp;DATE($B$3,5,1),'Leave log'!$C$7:$C$306,"&gt;="&amp;DATE($B$3,5,1),'Leave log'!$F$7:$F$306,"Pending")&gt;0,"P",""))))</f>
        <v/>
      </c>
      <c r="C143" s="23" t="str">
        <f>IF(A143="","",IF(IF(OR(DATE($B$3,5,2)&gt;EOMONTH(DATE($B$3,5,1),0),NETWORKDAYS.INTL(DATE($B$3,5,2),DATE($B$3,5,2),1,'Non-working days'!$A$6:$A$45)=0),"",IF(COUNTIFS('Leave log'!$A$7:$A$306,Employees!$A$6,'Leave log'!$B$7:$B$306,"&lt;="&amp;DATE($B$3,5,2),'Leave log'!$C$7:$C$306,"&gt;="&amp;DATE($B$3,5,2),'Leave log'!$F$7:$F$306,"Approved")&gt;0,"A",""))="A","A",IF(OR(DATE($B$3,5,2)&gt;EOMONTH(DATE($B$3,5,1),0),NETWORKDAYS.INTL(DATE($B$3,5,2),DATE($B$3,5,2),1,'Non-working days'!$A$6:$A$45)=0),"",IF(COUNTIFS('Leave log'!$A$7:$A$306,Employees!$A$6,'Leave log'!$B$7:$B$306,"&lt;="&amp;DATE($B$3,5,2),'Leave log'!$C$7:$C$306,"&gt;="&amp;DATE($B$3,5,2),'Leave log'!$F$7:$F$306,"Pending")&gt;0,"P",""))))</f>
        <v/>
      </c>
      <c r="D143" s="23" t="str">
        <f>IF(A143="","",IF(IF(OR(DATE($B$3,5,3)&gt;EOMONTH(DATE($B$3,5,1),0),NETWORKDAYS.INTL(DATE($B$3,5,3),DATE($B$3,5,3),1,'Non-working days'!$A$6:$A$45)=0),"",IF(COUNTIFS('Leave log'!$A$7:$A$306,Employees!$A$6,'Leave log'!$B$7:$B$306,"&lt;="&amp;DATE($B$3,5,3),'Leave log'!$C$7:$C$306,"&gt;="&amp;DATE($B$3,5,3),'Leave log'!$F$7:$F$306,"Approved")&gt;0,"A",""))="A","A",IF(OR(DATE($B$3,5,3)&gt;EOMONTH(DATE($B$3,5,1),0),NETWORKDAYS.INTL(DATE($B$3,5,3),DATE($B$3,5,3),1,'Non-working days'!$A$6:$A$45)=0),"",IF(COUNTIFS('Leave log'!$A$7:$A$306,Employees!$A$6,'Leave log'!$B$7:$B$306,"&lt;="&amp;DATE($B$3,5,3),'Leave log'!$C$7:$C$306,"&gt;="&amp;DATE($B$3,5,3),'Leave log'!$F$7:$F$306,"Pending")&gt;0,"P",""))))</f>
        <v/>
      </c>
      <c r="E143" s="23" t="str">
        <f>IF(A143="","",IF(IF(OR(DATE($B$3,5,4)&gt;EOMONTH(DATE($B$3,5,1),0),NETWORKDAYS.INTL(DATE($B$3,5,4),DATE($B$3,5,4),1,'Non-working days'!$A$6:$A$45)=0),"",IF(COUNTIFS('Leave log'!$A$7:$A$306,Employees!$A$6,'Leave log'!$B$7:$B$306,"&lt;="&amp;DATE($B$3,5,4),'Leave log'!$C$7:$C$306,"&gt;="&amp;DATE($B$3,5,4),'Leave log'!$F$7:$F$306,"Approved")&gt;0,"A",""))="A","A",IF(OR(DATE($B$3,5,4)&gt;EOMONTH(DATE($B$3,5,1),0),NETWORKDAYS.INTL(DATE($B$3,5,4),DATE($B$3,5,4),1,'Non-working days'!$A$6:$A$45)=0),"",IF(COUNTIFS('Leave log'!$A$7:$A$306,Employees!$A$6,'Leave log'!$B$7:$B$306,"&lt;="&amp;DATE($B$3,5,4),'Leave log'!$C$7:$C$306,"&gt;="&amp;DATE($B$3,5,4),'Leave log'!$F$7:$F$306,"Pending")&gt;0,"P",""))))</f>
        <v/>
      </c>
      <c r="F143" s="23" t="str">
        <f>IF(A143="","",IF(IF(OR(DATE($B$3,5,5)&gt;EOMONTH(DATE($B$3,5,1),0),NETWORKDAYS.INTL(DATE($B$3,5,5),DATE($B$3,5,5),1,'Non-working days'!$A$6:$A$45)=0),"",IF(COUNTIFS('Leave log'!$A$7:$A$306,Employees!$A$6,'Leave log'!$B$7:$B$306,"&lt;="&amp;DATE($B$3,5,5),'Leave log'!$C$7:$C$306,"&gt;="&amp;DATE($B$3,5,5),'Leave log'!$F$7:$F$306,"Approved")&gt;0,"A",""))="A","A",IF(OR(DATE($B$3,5,5)&gt;EOMONTH(DATE($B$3,5,1),0),NETWORKDAYS.INTL(DATE($B$3,5,5),DATE($B$3,5,5),1,'Non-working days'!$A$6:$A$45)=0),"",IF(COUNTIFS('Leave log'!$A$7:$A$306,Employees!$A$6,'Leave log'!$B$7:$B$306,"&lt;="&amp;DATE($B$3,5,5),'Leave log'!$C$7:$C$306,"&gt;="&amp;DATE($B$3,5,5),'Leave log'!$F$7:$F$306,"Pending")&gt;0,"P",""))))</f>
        <v/>
      </c>
      <c r="G143" s="23" t="str">
        <f>IF(A143="","",IF(IF(OR(DATE($B$3,5,6)&gt;EOMONTH(DATE($B$3,5,1),0),NETWORKDAYS.INTL(DATE($B$3,5,6),DATE($B$3,5,6),1,'Non-working days'!$A$6:$A$45)=0),"",IF(COUNTIFS('Leave log'!$A$7:$A$306,Employees!$A$6,'Leave log'!$B$7:$B$306,"&lt;="&amp;DATE($B$3,5,6),'Leave log'!$C$7:$C$306,"&gt;="&amp;DATE($B$3,5,6),'Leave log'!$F$7:$F$306,"Approved")&gt;0,"A",""))="A","A",IF(OR(DATE($B$3,5,6)&gt;EOMONTH(DATE($B$3,5,1),0),NETWORKDAYS.INTL(DATE($B$3,5,6),DATE($B$3,5,6),1,'Non-working days'!$A$6:$A$45)=0),"",IF(COUNTIFS('Leave log'!$A$7:$A$306,Employees!$A$6,'Leave log'!$B$7:$B$306,"&lt;="&amp;DATE($B$3,5,6),'Leave log'!$C$7:$C$306,"&gt;="&amp;DATE($B$3,5,6),'Leave log'!$F$7:$F$306,"Pending")&gt;0,"P",""))))</f>
        <v/>
      </c>
      <c r="H143" s="23" t="str">
        <f>IF(A143="","",IF(IF(OR(DATE($B$3,5,7)&gt;EOMONTH(DATE($B$3,5,1),0),NETWORKDAYS.INTL(DATE($B$3,5,7),DATE($B$3,5,7),1,'Non-working days'!$A$6:$A$45)=0),"",IF(COUNTIFS('Leave log'!$A$7:$A$306,Employees!$A$6,'Leave log'!$B$7:$B$306,"&lt;="&amp;DATE($B$3,5,7),'Leave log'!$C$7:$C$306,"&gt;="&amp;DATE($B$3,5,7),'Leave log'!$F$7:$F$306,"Approved")&gt;0,"A",""))="A","A",IF(OR(DATE($B$3,5,7)&gt;EOMONTH(DATE($B$3,5,1),0),NETWORKDAYS.INTL(DATE($B$3,5,7),DATE($B$3,5,7),1,'Non-working days'!$A$6:$A$45)=0),"",IF(COUNTIFS('Leave log'!$A$7:$A$306,Employees!$A$6,'Leave log'!$B$7:$B$306,"&lt;="&amp;DATE($B$3,5,7),'Leave log'!$C$7:$C$306,"&gt;="&amp;DATE($B$3,5,7),'Leave log'!$F$7:$F$306,"Pending")&gt;0,"P",""))))</f>
        <v/>
      </c>
      <c r="I143" s="23" t="str">
        <f>IF(A143="","",IF(IF(OR(DATE($B$3,5,8)&gt;EOMONTH(DATE($B$3,5,1),0),NETWORKDAYS.INTL(DATE($B$3,5,8),DATE($B$3,5,8),1,'Non-working days'!$A$6:$A$45)=0),"",IF(COUNTIFS('Leave log'!$A$7:$A$306,Employees!$A$6,'Leave log'!$B$7:$B$306,"&lt;="&amp;DATE($B$3,5,8),'Leave log'!$C$7:$C$306,"&gt;="&amp;DATE($B$3,5,8),'Leave log'!$F$7:$F$306,"Approved")&gt;0,"A",""))="A","A",IF(OR(DATE($B$3,5,8)&gt;EOMONTH(DATE($B$3,5,1),0),NETWORKDAYS.INTL(DATE($B$3,5,8),DATE($B$3,5,8),1,'Non-working days'!$A$6:$A$45)=0),"",IF(COUNTIFS('Leave log'!$A$7:$A$306,Employees!$A$6,'Leave log'!$B$7:$B$306,"&lt;="&amp;DATE($B$3,5,8),'Leave log'!$C$7:$C$306,"&gt;="&amp;DATE($B$3,5,8),'Leave log'!$F$7:$F$306,"Pending")&gt;0,"P",""))))</f>
        <v/>
      </c>
      <c r="J143" s="23" t="str">
        <f>IF(A143="","",IF(IF(OR(DATE($B$3,5,9)&gt;EOMONTH(DATE($B$3,5,1),0),NETWORKDAYS.INTL(DATE($B$3,5,9),DATE($B$3,5,9),1,'Non-working days'!$A$6:$A$45)=0),"",IF(COUNTIFS('Leave log'!$A$7:$A$306,Employees!$A$6,'Leave log'!$B$7:$B$306,"&lt;="&amp;DATE($B$3,5,9),'Leave log'!$C$7:$C$306,"&gt;="&amp;DATE($B$3,5,9),'Leave log'!$F$7:$F$306,"Approved")&gt;0,"A",""))="A","A",IF(OR(DATE($B$3,5,9)&gt;EOMONTH(DATE($B$3,5,1),0),NETWORKDAYS.INTL(DATE($B$3,5,9),DATE($B$3,5,9),1,'Non-working days'!$A$6:$A$45)=0),"",IF(COUNTIFS('Leave log'!$A$7:$A$306,Employees!$A$6,'Leave log'!$B$7:$B$306,"&lt;="&amp;DATE($B$3,5,9),'Leave log'!$C$7:$C$306,"&gt;="&amp;DATE($B$3,5,9),'Leave log'!$F$7:$F$306,"Pending")&gt;0,"P",""))))</f>
        <v/>
      </c>
      <c r="K143" s="23" t="str">
        <f>IF(A143="","",IF(IF(OR(DATE($B$3,5,10)&gt;EOMONTH(DATE($B$3,5,1),0),NETWORKDAYS.INTL(DATE($B$3,5,10),DATE($B$3,5,10),1,'Non-working days'!$A$6:$A$45)=0),"",IF(COUNTIFS('Leave log'!$A$7:$A$306,Employees!$A$6,'Leave log'!$B$7:$B$306,"&lt;="&amp;DATE($B$3,5,10),'Leave log'!$C$7:$C$306,"&gt;="&amp;DATE($B$3,5,10),'Leave log'!$F$7:$F$306,"Approved")&gt;0,"A",""))="A","A",IF(OR(DATE($B$3,5,10)&gt;EOMONTH(DATE($B$3,5,1),0),NETWORKDAYS.INTL(DATE($B$3,5,10),DATE($B$3,5,10),1,'Non-working days'!$A$6:$A$45)=0),"",IF(COUNTIFS('Leave log'!$A$7:$A$306,Employees!$A$6,'Leave log'!$B$7:$B$306,"&lt;="&amp;DATE($B$3,5,10),'Leave log'!$C$7:$C$306,"&gt;="&amp;DATE($B$3,5,10),'Leave log'!$F$7:$F$306,"Pending")&gt;0,"P",""))))</f>
        <v/>
      </c>
      <c r="L143" s="23" t="str">
        <f>IF(A143="","",IF(IF(OR(DATE($B$3,5,11)&gt;EOMONTH(DATE($B$3,5,1),0),NETWORKDAYS.INTL(DATE($B$3,5,11),DATE($B$3,5,11),1,'Non-working days'!$A$6:$A$45)=0),"",IF(COUNTIFS('Leave log'!$A$7:$A$306,Employees!$A$6,'Leave log'!$B$7:$B$306,"&lt;="&amp;DATE($B$3,5,11),'Leave log'!$C$7:$C$306,"&gt;="&amp;DATE($B$3,5,11),'Leave log'!$F$7:$F$306,"Approved")&gt;0,"A",""))="A","A",IF(OR(DATE($B$3,5,11)&gt;EOMONTH(DATE($B$3,5,1),0),NETWORKDAYS.INTL(DATE($B$3,5,11),DATE($B$3,5,11),1,'Non-working days'!$A$6:$A$45)=0),"",IF(COUNTIFS('Leave log'!$A$7:$A$306,Employees!$A$6,'Leave log'!$B$7:$B$306,"&lt;="&amp;DATE($B$3,5,11),'Leave log'!$C$7:$C$306,"&gt;="&amp;DATE($B$3,5,11),'Leave log'!$F$7:$F$306,"Pending")&gt;0,"P",""))))</f>
        <v/>
      </c>
      <c r="M143" s="23" t="str">
        <f>IF(A143="","",IF(IF(OR(DATE($B$3,5,12)&gt;EOMONTH(DATE($B$3,5,1),0),NETWORKDAYS.INTL(DATE($B$3,5,12),DATE($B$3,5,12),1,'Non-working days'!$A$6:$A$45)=0),"",IF(COUNTIFS('Leave log'!$A$7:$A$306,Employees!$A$6,'Leave log'!$B$7:$B$306,"&lt;="&amp;DATE($B$3,5,12),'Leave log'!$C$7:$C$306,"&gt;="&amp;DATE($B$3,5,12),'Leave log'!$F$7:$F$306,"Approved")&gt;0,"A",""))="A","A",IF(OR(DATE($B$3,5,12)&gt;EOMONTH(DATE($B$3,5,1),0),NETWORKDAYS.INTL(DATE($B$3,5,12),DATE($B$3,5,12),1,'Non-working days'!$A$6:$A$45)=0),"",IF(COUNTIFS('Leave log'!$A$7:$A$306,Employees!$A$6,'Leave log'!$B$7:$B$306,"&lt;="&amp;DATE($B$3,5,12),'Leave log'!$C$7:$C$306,"&gt;="&amp;DATE($B$3,5,12),'Leave log'!$F$7:$F$306,"Pending")&gt;0,"P",""))))</f>
        <v/>
      </c>
      <c r="N143" s="23" t="str">
        <f>IF(A143="","",IF(IF(OR(DATE($B$3,5,13)&gt;EOMONTH(DATE($B$3,5,1),0),NETWORKDAYS.INTL(DATE($B$3,5,13),DATE($B$3,5,13),1,'Non-working days'!$A$6:$A$45)=0),"",IF(COUNTIFS('Leave log'!$A$7:$A$306,Employees!$A$6,'Leave log'!$B$7:$B$306,"&lt;="&amp;DATE($B$3,5,13),'Leave log'!$C$7:$C$306,"&gt;="&amp;DATE($B$3,5,13),'Leave log'!$F$7:$F$306,"Approved")&gt;0,"A",""))="A","A",IF(OR(DATE($B$3,5,13)&gt;EOMONTH(DATE($B$3,5,1),0),NETWORKDAYS.INTL(DATE($B$3,5,13),DATE($B$3,5,13),1,'Non-working days'!$A$6:$A$45)=0),"",IF(COUNTIFS('Leave log'!$A$7:$A$306,Employees!$A$6,'Leave log'!$B$7:$B$306,"&lt;="&amp;DATE($B$3,5,13),'Leave log'!$C$7:$C$306,"&gt;="&amp;DATE($B$3,5,13),'Leave log'!$F$7:$F$306,"Pending")&gt;0,"P",""))))</f>
        <v/>
      </c>
      <c r="O143" s="23" t="str">
        <f>IF(A143="","",IF(IF(OR(DATE($B$3,5,14)&gt;EOMONTH(DATE($B$3,5,1),0),NETWORKDAYS.INTL(DATE($B$3,5,14),DATE($B$3,5,14),1,'Non-working days'!$A$6:$A$45)=0),"",IF(COUNTIFS('Leave log'!$A$7:$A$306,Employees!$A$6,'Leave log'!$B$7:$B$306,"&lt;="&amp;DATE($B$3,5,14),'Leave log'!$C$7:$C$306,"&gt;="&amp;DATE($B$3,5,14),'Leave log'!$F$7:$F$306,"Approved")&gt;0,"A",""))="A","A",IF(OR(DATE($B$3,5,14)&gt;EOMONTH(DATE($B$3,5,1),0),NETWORKDAYS.INTL(DATE($B$3,5,14),DATE($B$3,5,14),1,'Non-working days'!$A$6:$A$45)=0),"",IF(COUNTIFS('Leave log'!$A$7:$A$306,Employees!$A$6,'Leave log'!$B$7:$B$306,"&lt;="&amp;DATE($B$3,5,14),'Leave log'!$C$7:$C$306,"&gt;="&amp;DATE($B$3,5,14),'Leave log'!$F$7:$F$306,"Pending")&gt;0,"P",""))))</f>
        <v/>
      </c>
      <c r="P143" s="23" t="str">
        <f>IF(A143="","",IF(IF(OR(DATE($B$3,5,15)&gt;EOMONTH(DATE($B$3,5,1),0),NETWORKDAYS.INTL(DATE($B$3,5,15),DATE($B$3,5,15),1,'Non-working days'!$A$6:$A$45)=0),"",IF(COUNTIFS('Leave log'!$A$7:$A$306,Employees!$A$6,'Leave log'!$B$7:$B$306,"&lt;="&amp;DATE($B$3,5,15),'Leave log'!$C$7:$C$306,"&gt;="&amp;DATE($B$3,5,15),'Leave log'!$F$7:$F$306,"Approved")&gt;0,"A",""))="A","A",IF(OR(DATE($B$3,5,15)&gt;EOMONTH(DATE($B$3,5,1),0),NETWORKDAYS.INTL(DATE($B$3,5,15),DATE($B$3,5,15),1,'Non-working days'!$A$6:$A$45)=0),"",IF(COUNTIFS('Leave log'!$A$7:$A$306,Employees!$A$6,'Leave log'!$B$7:$B$306,"&lt;="&amp;DATE($B$3,5,15),'Leave log'!$C$7:$C$306,"&gt;="&amp;DATE($B$3,5,15),'Leave log'!$F$7:$F$306,"Pending")&gt;0,"P",""))))</f>
        <v/>
      </c>
      <c r="Q143" s="23" t="str">
        <f>IF(A143="","",IF(IF(OR(DATE($B$3,5,16)&gt;EOMONTH(DATE($B$3,5,1),0),NETWORKDAYS.INTL(DATE($B$3,5,16),DATE($B$3,5,16),1,'Non-working days'!$A$6:$A$45)=0),"",IF(COUNTIFS('Leave log'!$A$7:$A$306,Employees!$A$6,'Leave log'!$B$7:$B$306,"&lt;="&amp;DATE($B$3,5,16),'Leave log'!$C$7:$C$306,"&gt;="&amp;DATE($B$3,5,16),'Leave log'!$F$7:$F$306,"Approved")&gt;0,"A",""))="A","A",IF(OR(DATE($B$3,5,16)&gt;EOMONTH(DATE($B$3,5,1),0),NETWORKDAYS.INTL(DATE($B$3,5,16),DATE($B$3,5,16),1,'Non-working days'!$A$6:$A$45)=0),"",IF(COUNTIFS('Leave log'!$A$7:$A$306,Employees!$A$6,'Leave log'!$B$7:$B$306,"&lt;="&amp;DATE($B$3,5,16),'Leave log'!$C$7:$C$306,"&gt;="&amp;DATE($B$3,5,16),'Leave log'!$F$7:$F$306,"Pending")&gt;0,"P",""))))</f>
        <v/>
      </c>
      <c r="R143" s="23" t="str">
        <f>IF(A143="","",IF(IF(OR(DATE($B$3,5,17)&gt;EOMONTH(DATE($B$3,5,1),0),NETWORKDAYS.INTL(DATE($B$3,5,17),DATE($B$3,5,17),1,'Non-working days'!$A$6:$A$45)=0),"",IF(COUNTIFS('Leave log'!$A$7:$A$306,Employees!$A$6,'Leave log'!$B$7:$B$306,"&lt;="&amp;DATE($B$3,5,17),'Leave log'!$C$7:$C$306,"&gt;="&amp;DATE($B$3,5,17),'Leave log'!$F$7:$F$306,"Approved")&gt;0,"A",""))="A","A",IF(OR(DATE($B$3,5,17)&gt;EOMONTH(DATE($B$3,5,1),0),NETWORKDAYS.INTL(DATE($B$3,5,17),DATE($B$3,5,17),1,'Non-working days'!$A$6:$A$45)=0),"",IF(COUNTIFS('Leave log'!$A$7:$A$306,Employees!$A$6,'Leave log'!$B$7:$B$306,"&lt;="&amp;DATE($B$3,5,17),'Leave log'!$C$7:$C$306,"&gt;="&amp;DATE($B$3,5,17),'Leave log'!$F$7:$F$306,"Pending")&gt;0,"P",""))))</f>
        <v/>
      </c>
      <c r="S143" s="23" t="str">
        <f>IF(A143="","",IF(IF(OR(DATE($B$3,5,18)&gt;EOMONTH(DATE($B$3,5,1),0),NETWORKDAYS.INTL(DATE($B$3,5,18),DATE($B$3,5,18),1,'Non-working days'!$A$6:$A$45)=0),"",IF(COUNTIFS('Leave log'!$A$7:$A$306,Employees!$A$6,'Leave log'!$B$7:$B$306,"&lt;="&amp;DATE($B$3,5,18),'Leave log'!$C$7:$C$306,"&gt;="&amp;DATE($B$3,5,18),'Leave log'!$F$7:$F$306,"Approved")&gt;0,"A",""))="A","A",IF(OR(DATE($B$3,5,18)&gt;EOMONTH(DATE($B$3,5,1),0),NETWORKDAYS.INTL(DATE($B$3,5,18),DATE($B$3,5,18),1,'Non-working days'!$A$6:$A$45)=0),"",IF(COUNTIFS('Leave log'!$A$7:$A$306,Employees!$A$6,'Leave log'!$B$7:$B$306,"&lt;="&amp;DATE($B$3,5,18),'Leave log'!$C$7:$C$306,"&gt;="&amp;DATE($B$3,5,18),'Leave log'!$F$7:$F$306,"Pending")&gt;0,"P",""))))</f>
        <v/>
      </c>
      <c r="T143" s="23" t="str">
        <f>IF(A143="","",IF(IF(OR(DATE($B$3,5,19)&gt;EOMONTH(DATE($B$3,5,1),0),NETWORKDAYS.INTL(DATE($B$3,5,19),DATE($B$3,5,19),1,'Non-working days'!$A$6:$A$45)=0),"",IF(COUNTIFS('Leave log'!$A$7:$A$306,Employees!$A$6,'Leave log'!$B$7:$B$306,"&lt;="&amp;DATE($B$3,5,19),'Leave log'!$C$7:$C$306,"&gt;="&amp;DATE($B$3,5,19),'Leave log'!$F$7:$F$306,"Approved")&gt;0,"A",""))="A","A",IF(OR(DATE($B$3,5,19)&gt;EOMONTH(DATE($B$3,5,1),0),NETWORKDAYS.INTL(DATE($B$3,5,19),DATE($B$3,5,19),1,'Non-working days'!$A$6:$A$45)=0),"",IF(COUNTIFS('Leave log'!$A$7:$A$306,Employees!$A$6,'Leave log'!$B$7:$B$306,"&lt;="&amp;DATE($B$3,5,19),'Leave log'!$C$7:$C$306,"&gt;="&amp;DATE($B$3,5,19),'Leave log'!$F$7:$F$306,"Pending")&gt;0,"P",""))))</f>
        <v/>
      </c>
      <c r="U143" s="23" t="str">
        <f>IF(A143="","",IF(IF(OR(DATE($B$3,5,20)&gt;EOMONTH(DATE($B$3,5,1),0),NETWORKDAYS.INTL(DATE($B$3,5,20),DATE($B$3,5,20),1,'Non-working days'!$A$6:$A$45)=0),"",IF(COUNTIFS('Leave log'!$A$7:$A$306,Employees!$A$6,'Leave log'!$B$7:$B$306,"&lt;="&amp;DATE($B$3,5,20),'Leave log'!$C$7:$C$306,"&gt;="&amp;DATE($B$3,5,20),'Leave log'!$F$7:$F$306,"Approved")&gt;0,"A",""))="A","A",IF(OR(DATE($B$3,5,20)&gt;EOMONTH(DATE($B$3,5,1),0),NETWORKDAYS.INTL(DATE($B$3,5,20),DATE($B$3,5,20),1,'Non-working days'!$A$6:$A$45)=0),"",IF(COUNTIFS('Leave log'!$A$7:$A$306,Employees!$A$6,'Leave log'!$B$7:$B$306,"&lt;="&amp;DATE($B$3,5,20),'Leave log'!$C$7:$C$306,"&gt;="&amp;DATE($B$3,5,20),'Leave log'!$F$7:$F$306,"Pending")&gt;0,"P",""))))</f>
        <v/>
      </c>
      <c r="V143" s="23" t="str">
        <f>IF(A143="","",IF(IF(OR(DATE($B$3,5,21)&gt;EOMONTH(DATE($B$3,5,1),0),NETWORKDAYS.INTL(DATE($B$3,5,21),DATE($B$3,5,21),1,'Non-working days'!$A$6:$A$45)=0),"",IF(COUNTIFS('Leave log'!$A$7:$A$306,Employees!$A$6,'Leave log'!$B$7:$B$306,"&lt;="&amp;DATE($B$3,5,21),'Leave log'!$C$7:$C$306,"&gt;="&amp;DATE($B$3,5,21),'Leave log'!$F$7:$F$306,"Approved")&gt;0,"A",""))="A","A",IF(OR(DATE($B$3,5,21)&gt;EOMONTH(DATE($B$3,5,1),0),NETWORKDAYS.INTL(DATE($B$3,5,21),DATE($B$3,5,21),1,'Non-working days'!$A$6:$A$45)=0),"",IF(COUNTIFS('Leave log'!$A$7:$A$306,Employees!$A$6,'Leave log'!$B$7:$B$306,"&lt;="&amp;DATE($B$3,5,21),'Leave log'!$C$7:$C$306,"&gt;="&amp;DATE($B$3,5,21),'Leave log'!$F$7:$F$306,"Pending")&gt;0,"P",""))))</f>
        <v/>
      </c>
      <c r="W143" s="23" t="str">
        <f>IF(A143="","",IF(IF(OR(DATE($B$3,5,22)&gt;EOMONTH(DATE($B$3,5,1),0),NETWORKDAYS.INTL(DATE($B$3,5,22),DATE($B$3,5,22),1,'Non-working days'!$A$6:$A$45)=0),"",IF(COUNTIFS('Leave log'!$A$7:$A$306,Employees!$A$6,'Leave log'!$B$7:$B$306,"&lt;="&amp;DATE($B$3,5,22),'Leave log'!$C$7:$C$306,"&gt;="&amp;DATE($B$3,5,22),'Leave log'!$F$7:$F$306,"Approved")&gt;0,"A",""))="A","A",IF(OR(DATE($B$3,5,22)&gt;EOMONTH(DATE($B$3,5,1),0),NETWORKDAYS.INTL(DATE($B$3,5,22),DATE($B$3,5,22),1,'Non-working days'!$A$6:$A$45)=0),"",IF(COUNTIFS('Leave log'!$A$7:$A$306,Employees!$A$6,'Leave log'!$B$7:$B$306,"&lt;="&amp;DATE($B$3,5,22),'Leave log'!$C$7:$C$306,"&gt;="&amp;DATE($B$3,5,22),'Leave log'!$F$7:$F$306,"Pending")&gt;0,"P",""))))</f>
        <v/>
      </c>
      <c r="X143" s="23" t="str">
        <f>IF(A143="","",IF(IF(OR(DATE($B$3,5,23)&gt;EOMONTH(DATE($B$3,5,1),0),NETWORKDAYS.INTL(DATE($B$3,5,23),DATE($B$3,5,23),1,'Non-working days'!$A$6:$A$45)=0),"",IF(COUNTIFS('Leave log'!$A$7:$A$306,Employees!$A$6,'Leave log'!$B$7:$B$306,"&lt;="&amp;DATE($B$3,5,23),'Leave log'!$C$7:$C$306,"&gt;="&amp;DATE($B$3,5,23),'Leave log'!$F$7:$F$306,"Approved")&gt;0,"A",""))="A","A",IF(OR(DATE($B$3,5,23)&gt;EOMONTH(DATE($B$3,5,1),0),NETWORKDAYS.INTL(DATE($B$3,5,23),DATE($B$3,5,23),1,'Non-working days'!$A$6:$A$45)=0),"",IF(COUNTIFS('Leave log'!$A$7:$A$306,Employees!$A$6,'Leave log'!$B$7:$B$306,"&lt;="&amp;DATE($B$3,5,23),'Leave log'!$C$7:$C$306,"&gt;="&amp;DATE($B$3,5,23),'Leave log'!$F$7:$F$306,"Pending")&gt;0,"P",""))))</f>
        <v/>
      </c>
      <c r="Y143" s="23" t="str">
        <f>IF(A143="","",IF(IF(OR(DATE($B$3,5,24)&gt;EOMONTH(DATE($B$3,5,1),0),NETWORKDAYS.INTL(DATE($B$3,5,24),DATE($B$3,5,24),1,'Non-working days'!$A$6:$A$45)=0),"",IF(COUNTIFS('Leave log'!$A$7:$A$306,Employees!$A$6,'Leave log'!$B$7:$B$306,"&lt;="&amp;DATE($B$3,5,24),'Leave log'!$C$7:$C$306,"&gt;="&amp;DATE($B$3,5,24),'Leave log'!$F$7:$F$306,"Approved")&gt;0,"A",""))="A","A",IF(OR(DATE($B$3,5,24)&gt;EOMONTH(DATE($B$3,5,1),0),NETWORKDAYS.INTL(DATE($B$3,5,24),DATE($B$3,5,24),1,'Non-working days'!$A$6:$A$45)=0),"",IF(COUNTIFS('Leave log'!$A$7:$A$306,Employees!$A$6,'Leave log'!$B$7:$B$306,"&lt;="&amp;DATE($B$3,5,24),'Leave log'!$C$7:$C$306,"&gt;="&amp;DATE($B$3,5,24),'Leave log'!$F$7:$F$306,"Pending")&gt;0,"P",""))))</f>
        <v/>
      </c>
      <c r="Z143" s="23" t="str">
        <f>IF(A143="","",IF(IF(OR(DATE($B$3,5,25)&gt;EOMONTH(DATE($B$3,5,1),0),NETWORKDAYS.INTL(DATE($B$3,5,25),DATE($B$3,5,25),1,'Non-working days'!$A$6:$A$45)=0),"",IF(COUNTIFS('Leave log'!$A$7:$A$306,Employees!$A$6,'Leave log'!$B$7:$B$306,"&lt;="&amp;DATE($B$3,5,25),'Leave log'!$C$7:$C$306,"&gt;="&amp;DATE($B$3,5,25),'Leave log'!$F$7:$F$306,"Approved")&gt;0,"A",""))="A","A",IF(OR(DATE($B$3,5,25)&gt;EOMONTH(DATE($B$3,5,1),0),NETWORKDAYS.INTL(DATE($B$3,5,25),DATE($B$3,5,25),1,'Non-working days'!$A$6:$A$45)=0),"",IF(COUNTIFS('Leave log'!$A$7:$A$306,Employees!$A$6,'Leave log'!$B$7:$B$306,"&lt;="&amp;DATE($B$3,5,25),'Leave log'!$C$7:$C$306,"&gt;="&amp;DATE($B$3,5,25),'Leave log'!$F$7:$F$306,"Pending")&gt;0,"P",""))))</f>
        <v/>
      </c>
      <c r="AA143" s="23" t="str">
        <f>IF(A143="","",IF(IF(OR(DATE($B$3,5,26)&gt;EOMONTH(DATE($B$3,5,1),0),NETWORKDAYS.INTL(DATE($B$3,5,26),DATE($B$3,5,26),1,'Non-working days'!$A$6:$A$45)=0),"",IF(COUNTIFS('Leave log'!$A$7:$A$306,Employees!$A$6,'Leave log'!$B$7:$B$306,"&lt;="&amp;DATE($B$3,5,26),'Leave log'!$C$7:$C$306,"&gt;="&amp;DATE($B$3,5,26),'Leave log'!$F$7:$F$306,"Approved")&gt;0,"A",""))="A","A",IF(OR(DATE($B$3,5,26)&gt;EOMONTH(DATE($B$3,5,1),0),NETWORKDAYS.INTL(DATE($B$3,5,26),DATE($B$3,5,26),1,'Non-working days'!$A$6:$A$45)=0),"",IF(COUNTIFS('Leave log'!$A$7:$A$306,Employees!$A$6,'Leave log'!$B$7:$B$306,"&lt;="&amp;DATE($B$3,5,26),'Leave log'!$C$7:$C$306,"&gt;="&amp;DATE($B$3,5,26),'Leave log'!$F$7:$F$306,"Pending")&gt;0,"P",""))))</f>
        <v/>
      </c>
      <c r="AB143" s="23" t="str">
        <f>IF(A143="","",IF(IF(OR(DATE($B$3,5,27)&gt;EOMONTH(DATE($B$3,5,1),0),NETWORKDAYS.INTL(DATE($B$3,5,27),DATE($B$3,5,27),1,'Non-working days'!$A$6:$A$45)=0),"",IF(COUNTIFS('Leave log'!$A$7:$A$306,Employees!$A$6,'Leave log'!$B$7:$B$306,"&lt;="&amp;DATE($B$3,5,27),'Leave log'!$C$7:$C$306,"&gt;="&amp;DATE($B$3,5,27),'Leave log'!$F$7:$F$306,"Approved")&gt;0,"A",""))="A","A",IF(OR(DATE($B$3,5,27)&gt;EOMONTH(DATE($B$3,5,1),0),NETWORKDAYS.INTL(DATE($B$3,5,27),DATE($B$3,5,27),1,'Non-working days'!$A$6:$A$45)=0),"",IF(COUNTIFS('Leave log'!$A$7:$A$306,Employees!$A$6,'Leave log'!$B$7:$B$306,"&lt;="&amp;DATE($B$3,5,27),'Leave log'!$C$7:$C$306,"&gt;="&amp;DATE($B$3,5,27),'Leave log'!$F$7:$F$306,"Pending")&gt;0,"P",""))))</f>
        <v/>
      </c>
      <c r="AC143" s="23" t="str">
        <f>IF(A143="","",IF(IF(OR(DATE($B$3,5,28)&gt;EOMONTH(DATE($B$3,5,1),0),NETWORKDAYS.INTL(DATE($B$3,5,28),DATE($B$3,5,28),1,'Non-working days'!$A$6:$A$45)=0),"",IF(COUNTIFS('Leave log'!$A$7:$A$306,Employees!$A$6,'Leave log'!$B$7:$B$306,"&lt;="&amp;DATE($B$3,5,28),'Leave log'!$C$7:$C$306,"&gt;="&amp;DATE($B$3,5,28),'Leave log'!$F$7:$F$306,"Approved")&gt;0,"A",""))="A","A",IF(OR(DATE($B$3,5,28)&gt;EOMONTH(DATE($B$3,5,1),0),NETWORKDAYS.INTL(DATE($B$3,5,28),DATE($B$3,5,28),1,'Non-working days'!$A$6:$A$45)=0),"",IF(COUNTIFS('Leave log'!$A$7:$A$306,Employees!$A$6,'Leave log'!$B$7:$B$306,"&lt;="&amp;DATE($B$3,5,28),'Leave log'!$C$7:$C$306,"&gt;="&amp;DATE($B$3,5,28),'Leave log'!$F$7:$F$306,"Pending")&gt;0,"P",""))))</f>
        <v/>
      </c>
      <c r="AD143" s="23" t="str">
        <f>IF(A143="","",IF(IF(OR(DATE($B$3,5,29)&gt;EOMONTH(DATE($B$3,5,1),0),NETWORKDAYS.INTL(DATE($B$3,5,29),DATE($B$3,5,29),1,'Non-working days'!$A$6:$A$45)=0),"",IF(COUNTIFS('Leave log'!$A$7:$A$306,Employees!$A$6,'Leave log'!$B$7:$B$306,"&lt;="&amp;DATE($B$3,5,29),'Leave log'!$C$7:$C$306,"&gt;="&amp;DATE($B$3,5,29),'Leave log'!$F$7:$F$306,"Approved")&gt;0,"A",""))="A","A",IF(OR(DATE($B$3,5,29)&gt;EOMONTH(DATE($B$3,5,1),0),NETWORKDAYS.INTL(DATE($B$3,5,29),DATE($B$3,5,29),1,'Non-working days'!$A$6:$A$45)=0),"",IF(COUNTIFS('Leave log'!$A$7:$A$306,Employees!$A$6,'Leave log'!$B$7:$B$306,"&lt;="&amp;DATE($B$3,5,29),'Leave log'!$C$7:$C$306,"&gt;="&amp;DATE($B$3,5,29),'Leave log'!$F$7:$F$306,"Pending")&gt;0,"P",""))))</f>
        <v/>
      </c>
      <c r="AE143" s="23" t="str">
        <f>IF(A143="","",IF(IF(OR(DATE($B$3,5,30)&gt;EOMONTH(DATE($B$3,5,1),0),NETWORKDAYS.INTL(DATE($B$3,5,30),DATE($B$3,5,30),1,'Non-working days'!$A$6:$A$45)=0),"",IF(COUNTIFS('Leave log'!$A$7:$A$306,Employees!$A$6,'Leave log'!$B$7:$B$306,"&lt;="&amp;DATE($B$3,5,30),'Leave log'!$C$7:$C$306,"&gt;="&amp;DATE($B$3,5,30),'Leave log'!$F$7:$F$306,"Approved")&gt;0,"A",""))="A","A",IF(OR(DATE($B$3,5,30)&gt;EOMONTH(DATE($B$3,5,1),0),NETWORKDAYS.INTL(DATE($B$3,5,30),DATE($B$3,5,30),1,'Non-working days'!$A$6:$A$45)=0),"",IF(COUNTIFS('Leave log'!$A$7:$A$306,Employees!$A$6,'Leave log'!$B$7:$B$306,"&lt;="&amp;DATE($B$3,5,30),'Leave log'!$C$7:$C$306,"&gt;="&amp;DATE($B$3,5,30),'Leave log'!$F$7:$F$306,"Pending")&gt;0,"P",""))))</f>
        <v/>
      </c>
      <c r="AF143" s="23" t="str">
        <f>IF(A143="","",IF(IF(OR(DATE($B$3,5,31)&gt;EOMONTH(DATE($B$3,5,1),0),NETWORKDAYS.INTL(DATE($B$3,5,31),DATE($B$3,5,31),1,'Non-working days'!$A$6:$A$45)=0),"",IF(COUNTIFS('Leave log'!$A$7:$A$306,Employees!$A$6,'Leave log'!$B$7:$B$306,"&lt;="&amp;DATE($B$3,5,31),'Leave log'!$C$7:$C$306,"&gt;="&amp;DATE($B$3,5,31),'Leave log'!$F$7:$F$306,"Approved")&gt;0,"A",""))="A","A",IF(OR(DATE($B$3,5,31)&gt;EOMONTH(DATE($B$3,5,1),0),NETWORKDAYS.INTL(DATE($B$3,5,31),DATE($B$3,5,31),1,'Non-working days'!$A$6:$A$45)=0),"",IF(COUNTIFS('Leave log'!$A$7:$A$306,Employees!$A$6,'Leave log'!$B$7:$B$306,"&lt;="&amp;DATE($B$3,5,31),'Leave log'!$C$7:$C$306,"&gt;="&amp;DATE($B$3,5,31),'Leave log'!$F$7:$F$306,"Pending")&gt;0,"P",""))))</f>
        <v/>
      </c>
    </row>
    <row r="144" spans="1:32" ht="18" customHeight="1" x14ac:dyDescent="0.3">
      <c r="A144" s="22" t="str">
        <f>IF(Employees!F7="Yes",Employees!B7,"")</f>
        <v/>
      </c>
      <c r="B144" s="23" t="str">
        <f>IF(A144="","",IF(IF(OR(DATE($B$3,5,1)&gt;EOMONTH(DATE($B$3,5,1),0),NETWORKDAYS.INTL(DATE($B$3,5,1),DATE($B$3,5,1),1,'Non-working days'!$A$6:$A$45)=0),"",IF(COUNTIFS('Leave log'!$A$7:$A$306,Employees!$A$7,'Leave log'!$B$7:$B$306,"&lt;="&amp;DATE($B$3,5,1),'Leave log'!$C$7:$C$306,"&gt;="&amp;DATE($B$3,5,1),'Leave log'!$F$7:$F$306,"Approved")&gt;0,"A",""))="A","A",IF(OR(DATE($B$3,5,1)&gt;EOMONTH(DATE($B$3,5,1),0),NETWORKDAYS.INTL(DATE($B$3,5,1),DATE($B$3,5,1),1,'Non-working days'!$A$6:$A$45)=0),"",IF(COUNTIFS('Leave log'!$A$7:$A$306,Employees!$A$7,'Leave log'!$B$7:$B$306,"&lt;="&amp;DATE($B$3,5,1),'Leave log'!$C$7:$C$306,"&gt;="&amp;DATE($B$3,5,1),'Leave log'!$F$7:$F$306,"Pending")&gt;0,"P",""))))</f>
        <v/>
      </c>
      <c r="C144" s="23" t="str">
        <f>IF(A144="","",IF(IF(OR(DATE($B$3,5,2)&gt;EOMONTH(DATE($B$3,5,1),0),NETWORKDAYS.INTL(DATE($B$3,5,2),DATE($B$3,5,2),1,'Non-working days'!$A$6:$A$45)=0),"",IF(COUNTIFS('Leave log'!$A$7:$A$306,Employees!$A$7,'Leave log'!$B$7:$B$306,"&lt;="&amp;DATE($B$3,5,2),'Leave log'!$C$7:$C$306,"&gt;="&amp;DATE($B$3,5,2),'Leave log'!$F$7:$F$306,"Approved")&gt;0,"A",""))="A","A",IF(OR(DATE($B$3,5,2)&gt;EOMONTH(DATE($B$3,5,1),0),NETWORKDAYS.INTL(DATE($B$3,5,2),DATE($B$3,5,2),1,'Non-working days'!$A$6:$A$45)=0),"",IF(COUNTIFS('Leave log'!$A$7:$A$306,Employees!$A$7,'Leave log'!$B$7:$B$306,"&lt;="&amp;DATE($B$3,5,2),'Leave log'!$C$7:$C$306,"&gt;="&amp;DATE($B$3,5,2),'Leave log'!$F$7:$F$306,"Pending")&gt;0,"P",""))))</f>
        <v/>
      </c>
      <c r="D144" s="23" t="str">
        <f>IF(A144="","",IF(IF(OR(DATE($B$3,5,3)&gt;EOMONTH(DATE($B$3,5,1),0),NETWORKDAYS.INTL(DATE($B$3,5,3),DATE($B$3,5,3),1,'Non-working days'!$A$6:$A$45)=0),"",IF(COUNTIFS('Leave log'!$A$7:$A$306,Employees!$A$7,'Leave log'!$B$7:$B$306,"&lt;="&amp;DATE($B$3,5,3),'Leave log'!$C$7:$C$306,"&gt;="&amp;DATE($B$3,5,3),'Leave log'!$F$7:$F$306,"Approved")&gt;0,"A",""))="A","A",IF(OR(DATE($B$3,5,3)&gt;EOMONTH(DATE($B$3,5,1),0),NETWORKDAYS.INTL(DATE($B$3,5,3),DATE($B$3,5,3),1,'Non-working days'!$A$6:$A$45)=0),"",IF(COUNTIFS('Leave log'!$A$7:$A$306,Employees!$A$7,'Leave log'!$B$7:$B$306,"&lt;="&amp;DATE($B$3,5,3),'Leave log'!$C$7:$C$306,"&gt;="&amp;DATE($B$3,5,3),'Leave log'!$F$7:$F$306,"Pending")&gt;0,"P",""))))</f>
        <v/>
      </c>
      <c r="E144" s="23" t="str">
        <f>IF(A144="","",IF(IF(OR(DATE($B$3,5,4)&gt;EOMONTH(DATE($B$3,5,1),0),NETWORKDAYS.INTL(DATE($B$3,5,4),DATE($B$3,5,4),1,'Non-working days'!$A$6:$A$45)=0),"",IF(COUNTIFS('Leave log'!$A$7:$A$306,Employees!$A$7,'Leave log'!$B$7:$B$306,"&lt;="&amp;DATE($B$3,5,4),'Leave log'!$C$7:$C$306,"&gt;="&amp;DATE($B$3,5,4),'Leave log'!$F$7:$F$306,"Approved")&gt;0,"A",""))="A","A",IF(OR(DATE($B$3,5,4)&gt;EOMONTH(DATE($B$3,5,1),0),NETWORKDAYS.INTL(DATE($B$3,5,4),DATE($B$3,5,4),1,'Non-working days'!$A$6:$A$45)=0),"",IF(COUNTIFS('Leave log'!$A$7:$A$306,Employees!$A$7,'Leave log'!$B$7:$B$306,"&lt;="&amp;DATE($B$3,5,4),'Leave log'!$C$7:$C$306,"&gt;="&amp;DATE($B$3,5,4),'Leave log'!$F$7:$F$306,"Pending")&gt;0,"P",""))))</f>
        <v/>
      </c>
      <c r="F144" s="23" t="str">
        <f>IF(A144="","",IF(IF(OR(DATE($B$3,5,5)&gt;EOMONTH(DATE($B$3,5,1),0),NETWORKDAYS.INTL(DATE($B$3,5,5),DATE($B$3,5,5),1,'Non-working days'!$A$6:$A$45)=0),"",IF(COUNTIFS('Leave log'!$A$7:$A$306,Employees!$A$7,'Leave log'!$B$7:$B$306,"&lt;="&amp;DATE($B$3,5,5),'Leave log'!$C$7:$C$306,"&gt;="&amp;DATE($B$3,5,5),'Leave log'!$F$7:$F$306,"Approved")&gt;0,"A",""))="A","A",IF(OR(DATE($B$3,5,5)&gt;EOMONTH(DATE($B$3,5,1),0),NETWORKDAYS.INTL(DATE($B$3,5,5),DATE($B$3,5,5),1,'Non-working days'!$A$6:$A$45)=0),"",IF(COUNTIFS('Leave log'!$A$7:$A$306,Employees!$A$7,'Leave log'!$B$7:$B$306,"&lt;="&amp;DATE($B$3,5,5),'Leave log'!$C$7:$C$306,"&gt;="&amp;DATE($B$3,5,5),'Leave log'!$F$7:$F$306,"Pending")&gt;0,"P",""))))</f>
        <v/>
      </c>
      <c r="G144" s="23" t="str">
        <f>IF(A144="","",IF(IF(OR(DATE($B$3,5,6)&gt;EOMONTH(DATE($B$3,5,1),0),NETWORKDAYS.INTL(DATE($B$3,5,6),DATE($B$3,5,6),1,'Non-working days'!$A$6:$A$45)=0),"",IF(COUNTIFS('Leave log'!$A$7:$A$306,Employees!$A$7,'Leave log'!$B$7:$B$306,"&lt;="&amp;DATE($B$3,5,6),'Leave log'!$C$7:$C$306,"&gt;="&amp;DATE($B$3,5,6),'Leave log'!$F$7:$F$306,"Approved")&gt;0,"A",""))="A","A",IF(OR(DATE($B$3,5,6)&gt;EOMONTH(DATE($B$3,5,1),0),NETWORKDAYS.INTL(DATE($B$3,5,6),DATE($B$3,5,6),1,'Non-working days'!$A$6:$A$45)=0),"",IF(COUNTIFS('Leave log'!$A$7:$A$306,Employees!$A$7,'Leave log'!$B$7:$B$306,"&lt;="&amp;DATE($B$3,5,6),'Leave log'!$C$7:$C$306,"&gt;="&amp;DATE($B$3,5,6),'Leave log'!$F$7:$F$306,"Pending")&gt;0,"P",""))))</f>
        <v/>
      </c>
      <c r="H144" s="23" t="str">
        <f>IF(A144="","",IF(IF(OR(DATE($B$3,5,7)&gt;EOMONTH(DATE($B$3,5,1),0),NETWORKDAYS.INTL(DATE($B$3,5,7),DATE($B$3,5,7),1,'Non-working days'!$A$6:$A$45)=0),"",IF(COUNTIFS('Leave log'!$A$7:$A$306,Employees!$A$7,'Leave log'!$B$7:$B$306,"&lt;="&amp;DATE($B$3,5,7),'Leave log'!$C$7:$C$306,"&gt;="&amp;DATE($B$3,5,7),'Leave log'!$F$7:$F$306,"Approved")&gt;0,"A",""))="A","A",IF(OR(DATE($B$3,5,7)&gt;EOMONTH(DATE($B$3,5,1),0),NETWORKDAYS.INTL(DATE($B$3,5,7),DATE($B$3,5,7),1,'Non-working days'!$A$6:$A$45)=0),"",IF(COUNTIFS('Leave log'!$A$7:$A$306,Employees!$A$7,'Leave log'!$B$7:$B$306,"&lt;="&amp;DATE($B$3,5,7),'Leave log'!$C$7:$C$306,"&gt;="&amp;DATE($B$3,5,7),'Leave log'!$F$7:$F$306,"Pending")&gt;0,"P",""))))</f>
        <v/>
      </c>
      <c r="I144" s="23" t="str">
        <f>IF(A144="","",IF(IF(OR(DATE($B$3,5,8)&gt;EOMONTH(DATE($B$3,5,1),0),NETWORKDAYS.INTL(DATE($B$3,5,8),DATE($B$3,5,8),1,'Non-working days'!$A$6:$A$45)=0),"",IF(COUNTIFS('Leave log'!$A$7:$A$306,Employees!$A$7,'Leave log'!$B$7:$B$306,"&lt;="&amp;DATE($B$3,5,8),'Leave log'!$C$7:$C$306,"&gt;="&amp;DATE($B$3,5,8),'Leave log'!$F$7:$F$306,"Approved")&gt;0,"A",""))="A","A",IF(OR(DATE($B$3,5,8)&gt;EOMONTH(DATE($B$3,5,1),0),NETWORKDAYS.INTL(DATE($B$3,5,8),DATE($B$3,5,8),1,'Non-working days'!$A$6:$A$45)=0),"",IF(COUNTIFS('Leave log'!$A$7:$A$306,Employees!$A$7,'Leave log'!$B$7:$B$306,"&lt;="&amp;DATE($B$3,5,8),'Leave log'!$C$7:$C$306,"&gt;="&amp;DATE($B$3,5,8),'Leave log'!$F$7:$F$306,"Pending")&gt;0,"P",""))))</f>
        <v/>
      </c>
      <c r="J144" s="23" t="str">
        <f>IF(A144="","",IF(IF(OR(DATE($B$3,5,9)&gt;EOMONTH(DATE($B$3,5,1),0),NETWORKDAYS.INTL(DATE($B$3,5,9),DATE($B$3,5,9),1,'Non-working days'!$A$6:$A$45)=0),"",IF(COUNTIFS('Leave log'!$A$7:$A$306,Employees!$A$7,'Leave log'!$B$7:$B$306,"&lt;="&amp;DATE($B$3,5,9),'Leave log'!$C$7:$C$306,"&gt;="&amp;DATE($B$3,5,9),'Leave log'!$F$7:$F$306,"Approved")&gt;0,"A",""))="A","A",IF(OR(DATE($B$3,5,9)&gt;EOMONTH(DATE($B$3,5,1),0),NETWORKDAYS.INTL(DATE($B$3,5,9),DATE($B$3,5,9),1,'Non-working days'!$A$6:$A$45)=0),"",IF(COUNTIFS('Leave log'!$A$7:$A$306,Employees!$A$7,'Leave log'!$B$7:$B$306,"&lt;="&amp;DATE($B$3,5,9),'Leave log'!$C$7:$C$306,"&gt;="&amp;DATE($B$3,5,9),'Leave log'!$F$7:$F$306,"Pending")&gt;0,"P",""))))</f>
        <v/>
      </c>
      <c r="K144" s="23" t="str">
        <f>IF(A144="","",IF(IF(OR(DATE($B$3,5,10)&gt;EOMONTH(DATE($B$3,5,1),0),NETWORKDAYS.INTL(DATE($B$3,5,10),DATE($B$3,5,10),1,'Non-working days'!$A$6:$A$45)=0),"",IF(COUNTIFS('Leave log'!$A$7:$A$306,Employees!$A$7,'Leave log'!$B$7:$B$306,"&lt;="&amp;DATE($B$3,5,10),'Leave log'!$C$7:$C$306,"&gt;="&amp;DATE($B$3,5,10),'Leave log'!$F$7:$F$306,"Approved")&gt;0,"A",""))="A","A",IF(OR(DATE($B$3,5,10)&gt;EOMONTH(DATE($B$3,5,1),0),NETWORKDAYS.INTL(DATE($B$3,5,10),DATE($B$3,5,10),1,'Non-working days'!$A$6:$A$45)=0),"",IF(COUNTIFS('Leave log'!$A$7:$A$306,Employees!$A$7,'Leave log'!$B$7:$B$306,"&lt;="&amp;DATE($B$3,5,10),'Leave log'!$C$7:$C$306,"&gt;="&amp;DATE($B$3,5,10),'Leave log'!$F$7:$F$306,"Pending")&gt;0,"P",""))))</f>
        <v/>
      </c>
      <c r="L144" s="23" t="str">
        <f>IF(A144="","",IF(IF(OR(DATE($B$3,5,11)&gt;EOMONTH(DATE($B$3,5,1),0),NETWORKDAYS.INTL(DATE($B$3,5,11),DATE($B$3,5,11),1,'Non-working days'!$A$6:$A$45)=0),"",IF(COUNTIFS('Leave log'!$A$7:$A$306,Employees!$A$7,'Leave log'!$B$7:$B$306,"&lt;="&amp;DATE($B$3,5,11),'Leave log'!$C$7:$C$306,"&gt;="&amp;DATE($B$3,5,11),'Leave log'!$F$7:$F$306,"Approved")&gt;0,"A",""))="A","A",IF(OR(DATE($B$3,5,11)&gt;EOMONTH(DATE($B$3,5,1),0),NETWORKDAYS.INTL(DATE($B$3,5,11),DATE($B$3,5,11),1,'Non-working days'!$A$6:$A$45)=0),"",IF(COUNTIFS('Leave log'!$A$7:$A$306,Employees!$A$7,'Leave log'!$B$7:$B$306,"&lt;="&amp;DATE($B$3,5,11),'Leave log'!$C$7:$C$306,"&gt;="&amp;DATE($B$3,5,11),'Leave log'!$F$7:$F$306,"Pending")&gt;0,"P",""))))</f>
        <v/>
      </c>
      <c r="M144" s="23" t="str">
        <f>IF(A144="","",IF(IF(OR(DATE($B$3,5,12)&gt;EOMONTH(DATE($B$3,5,1),0),NETWORKDAYS.INTL(DATE($B$3,5,12),DATE($B$3,5,12),1,'Non-working days'!$A$6:$A$45)=0),"",IF(COUNTIFS('Leave log'!$A$7:$A$306,Employees!$A$7,'Leave log'!$B$7:$B$306,"&lt;="&amp;DATE($B$3,5,12),'Leave log'!$C$7:$C$306,"&gt;="&amp;DATE($B$3,5,12),'Leave log'!$F$7:$F$306,"Approved")&gt;0,"A",""))="A","A",IF(OR(DATE($B$3,5,12)&gt;EOMONTH(DATE($B$3,5,1),0),NETWORKDAYS.INTL(DATE($B$3,5,12),DATE($B$3,5,12),1,'Non-working days'!$A$6:$A$45)=0),"",IF(COUNTIFS('Leave log'!$A$7:$A$306,Employees!$A$7,'Leave log'!$B$7:$B$306,"&lt;="&amp;DATE($B$3,5,12),'Leave log'!$C$7:$C$306,"&gt;="&amp;DATE($B$3,5,12),'Leave log'!$F$7:$F$306,"Pending")&gt;0,"P",""))))</f>
        <v/>
      </c>
      <c r="N144" s="23" t="str">
        <f>IF(A144="","",IF(IF(OR(DATE($B$3,5,13)&gt;EOMONTH(DATE($B$3,5,1),0),NETWORKDAYS.INTL(DATE($B$3,5,13),DATE($B$3,5,13),1,'Non-working days'!$A$6:$A$45)=0),"",IF(COUNTIFS('Leave log'!$A$7:$A$306,Employees!$A$7,'Leave log'!$B$7:$B$306,"&lt;="&amp;DATE($B$3,5,13),'Leave log'!$C$7:$C$306,"&gt;="&amp;DATE($B$3,5,13),'Leave log'!$F$7:$F$306,"Approved")&gt;0,"A",""))="A","A",IF(OR(DATE($B$3,5,13)&gt;EOMONTH(DATE($B$3,5,1),0),NETWORKDAYS.INTL(DATE($B$3,5,13),DATE($B$3,5,13),1,'Non-working days'!$A$6:$A$45)=0),"",IF(COUNTIFS('Leave log'!$A$7:$A$306,Employees!$A$7,'Leave log'!$B$7:$B$306,"&lt;="&amp;DATE($B$3,5,13),'Leave log'!$C$7:$C$306,"&gt;="&amp;DATE($B$3,5,13),'Leave log'!$F$7:$F$306,"Pending")&gt;0,"P",""))))</f>
        <v/>
      </c>
      <c r="O144" s="23" t="str">
        <f>IF(A144="","",IF(IF(OR(DATE($B$3,5,14)&gt;EOMONTH(DATE($B$3,5,1),0),NETWORKDAYS.INTL(DATE($B$3,5,14),DATE($B$3,5,14),1,'Non-working days'!$A$6:$A$45)=0),"",IF(COUNTIFS('Leave log'!$A$7:$A$306,Employees!$A$7,'Leave log'!$B$7:$B$306,"&lt;="&amp;DATE($B$3,5,14),'Leave log'!$C$7:$C$306,"&gt;="&amp;DATE($B$3,5,14),'Leave log'!$F$7:$F$306,"Approved")&gt;0,"A",""))="A","A",IF(OR(DATE($B$3,5,14)&gt;EOMONTH(DATE($B$3,5,1),0),NETWORKDAYS.INTL(DATE($B$3,5,14),DATE($B$3,5,14),1,'Non-working days'!$A$6:$A$45)=0),"",IF(COUNTIFS('Leave log'!$A$7:$A$306,Employees!$A$7,'Leave log'!$B$7:$B$306,"&lt;="&amp;DATE($B$3,5,14),'Leave log'!$C$7:$C$306,"&gt;="&amp;DATE($B$3,5,14),'Leave log'!$F$7:$F$306,"Pending")&gt;0,"P",""))))</f>
        <v/>
      </c>
      <c r="P144" s="23" t="str">
        <f>IF(A144="","",IF(IF(OR(DATE($B$3,5,15)&gt;EOMONTH(DATE($B$3,5,1),0),NETWORKDAYS.INTL(DATE($B$3,5,15),DATE($B$3,5,15),1,'Non-working days'!$A$6:$A$45)=0),"",IF(COUNTIFS('Leave log'!$A$7:$A$306,Employees!$A$7,'Leave log'!$B$7:$B$306,"&lt;="&amp;DATE($B$3,5,15),'Leave log'!$C$7:$C$306,"&gt;="&amp;DATE($B$3,5,15),'Leave log'!$F$7:$F$306,"Approved")&gt;0,"A",""))="A","A",IF(OR(DATE($B$3,5,15)&gt;EOMONTH(DATE($B$3,5,1),0),NETWORKDAYS.INTL(DATE($B$3,5,15),DATE($B$3,5,15),1,'Non-working days'!$A$6:$A$45)=0),"",IF(COUNTIFS('Leave log'!$A$7:$A$306,Employees!$A$7,'Leave log'!$B$7:$B$306,"&lt;="&amp;DATE($B$3,5,15),'Leave log'!$C$7:$C$306,"&gt;="&amp;DATE($B$3,5,15),'Leave log'!$F$7:$F$306,"Pending")&gt;0,"P",""))))</f>
        <v/>
      </c>
      <c r="Q144" s="23" t="str">
        <f>IF(A144="","",IF(IF(OR(DATE($B$3,5,16)&gt;EOMONTH(DATE($B$3,5,1),0),NETWORKDAYS.INTL(DATE($B$3,5,16),DATE($B$3,5,16),1,'Non-working days'!$A$6:$A$45)=0),"",IF(COUNTIFS('Leave log'!$A$7:$A$306,Employees!$A$7,'Leave log'!$B$7:$B$306,"&lt;="&amp;DATE($B$3,5,16),'Leave log'!$C$7:$C$306,"&gt;="&amp;DATE($B$3,5,16),'Leave log'!$F$7:$F$306,"Approved")&gt;0,"A",""))="A","A",IF(OR(DATE($B$3,5,16)&gt;EOMONTH(DATE($B$3,5,1),0),NETWORKDAYS.INTL(DATE($B$3,5,16),DATE($B$3,5,16),1,'Non-working days'!$A$6:$A$45)=0),"",IF(COUNTIFS('Leave log'!$A$7:$A$306,Employees!$A$7,'Leave log'!$B$7:$B$306,"&lt;="&amp;DATE($B$3,5,16),'Leave log'!$C$7:$C$306,"&gt;="&amp;DATE($B$3,5,16),'Leave log'!$F$7:$F$306,"Pending")&gt;0,"P",""))))</f>
        <v/>
      </c>
      <c r="R144" s="23" t="str">
        <f>IF(A144="","",IF(IF(OR(DATE($B$3,5,17)&gt;EOMONTH(DATE($B$3,5,1),0),NETWORKDAYS.INTL(DATE($B$3,5,17),DATE($B$3,5,17),1,'Non-working days'!$A$6:$A$45)=0),"",IF(COUNTIFS('Leave log'!$A$7:$A$306,Employees!$A$7,'Leave log'!$B$7:$B$306,"&lt;="&amp;DATE($B$3,5,17),'Leave log'!$C$7:$C$306,"&gt;="&amp;DATE($B$3,5,17),'Leave log'!$F$7:$F$306,"Approved")&gt;0,"A",""))="A","A",IF(OR(DATE($B$3,5,17)&gt;EOMONTH(DATE($B$3,5,1),0),NETWORKDAYS.INTL(DATE($B$3,5,17),DATE($B$3,5,17),1,'Non-working days'!$A$6:$A$45)=0),"",IF(COUNTIFS('Leave log'!$A$7:$A$306,Employees!$A$7,'Leave log'!$B$7:$B$306,"&lt;="&amp;DATE($B$3,5,17),'Leave log'!$C$7:$C$306,"&gt;="&amp;DATE($B$3,5,17),'Leave log'!$F$7:$F$306,"Pending")&gt;0,"P",""))))</f>
        <v/>
      </c>
      <c r="S144" s="23" t="str">
        <f>IF(A144="","",IF(IF(OR(DATE($B$3,5,18)&gt;EOMONTH(DATE($B$3,5,1),0),NETWORKDAYS.INTL(DATE($B$3,5,18),DATE($B$3,5,18),1,'Non-working days'!$A$6:$A$45)=0),"",IF(COUNTIFS('Leave log'!$A$7:$A$306,Employees!$A$7,'Leave log'!$B$7:$B$306,"&lt;="&amp;DATE($B$3,5,18),'Leave log'!$C$7:$C$306,"&gt;="&amp;DATE($B$3,5,18),'Leave log'!$F$7:$F$306,"Approved")&gt;0,"A",""))="A","A",IF(OR(DATE($B$3,5,18)&gt;EOMONTH(DATE($B$3,5,1),0),NETWORKDAYS.INTL(DATE($B$3,5,18),DATE($B$3,5,18),1,'Non-working days'!$A$6:$A$45)=0),"",IF(COUNTIFS('Leave log'!$A$7:$A$306,Employees!$A$7,'Leave log'!$B$7:$B$306,"&lt;="&amp;DATE($B$3,5,18),'Leave log'!$C$7:$C$306,"&gt;="&amp;DATE($B$3,5,18),'Leave log'!$F$7:$F$306,"Pending")&gt;0,"P",""))))</f>
        <v/>
      </c>
      <c r="T144" s="23" t="str">
        <f>IF(A144="","",IF(IF(OR(DATE($B$3,5,19)&gt;EOMONTH(DATE($B$3,5,1),0),NETWORKDAYS.INTL(DATE($B$3,5,19),DATE($B$3,5,19),1,'Non-working days'!$A$6:$A$45)=0),"",IF(COUNTIFS('Leave log'!$A$7:$A$306,Employees!$A$7,'Leave log'!$B$7:$B$306,"&lt;="&amp;DATE($B$3,5,19),'Leave log'!$C$7:$C$306,"&gt;="&amp;DATE($B$3,5,19),'Leave log'!$F$7:$F$306,"Approved")&gt;0,"A",""))="A","A",IF(OR(DATE($B$3,5,19)&gt;EOMONTH(DATE($B$3,5,1),0),NETWORKDAYS.INTL(DATE($B$3,5,19),DATE($B$3,5,19),1,'Non-working days'!$A$6:$A$45)=0),"",IF(COUNTIFS('Leave log'!$A$7:$A$306,Employees!$A$7,'Leave log'!$B$7:$B$306,"&lt;="&amp;DATE($B$3,5,19),'Leave log'!$C$7:$C$306,"&gt;="&amp;DATE($B$3,5,19),'Leave log'!$F$7:$F$306,"Pending")&gt;0,"P",""))))</f>
        <v/>
      </c>
      <c r="U144" s="23" t="str">
        <f>IF(A144="","",IF(IF(OR(DATE($B$3,5,20)&gt;EOMONTH(DATE($B$3,5,1),0),NETWORKDAYS.INTL(DATE($B$3,5,20),DATE($B$3,5,20),1,'Non-working days'!$A$6:$A$45)=0),"",IF(COUNTIFS('Leave log'!$A$7:$A$306,Employees!$A$7,'Leave log'!$B$7:$B$306,"&lt;="&amp;DATE($B$3,5,20),'Leave log'!$C$7:$C$306,"&gt;="&amp;DATE($B$3,5,20),'Leave log'!$F$7:$F$306,"Approved")&gt;0,"A",""))="A","A",IF(OR(DATE($B$3,5,20)&gt;EOMONTH(DATE($B$3,5,1),0),NETWORKDAYS.INTL(DATE($B$3,5,20),DATE($B$3,5,20),1,'Non-working days'!$A$6:$A$45)=0),"",IF(COUNTIFS('Leave log'!$A$7:$A$306,Employees!$A$7,'Leave log'!$B$7:$B$306,"&lt;="&amp;DATE($B$3,5,20),'Leave log'!$C$7:$C$306,"&gt;="&amp;DATE($B$3,5,20),'Leave log'!$F$7:$F$306,"Pending")&gt;0,"P",""))))</f>
        <v/>
      </c>
      <c r="V144" s="23" t="str">
        <f>IF(A144="","",IF(IF(OR(DATE($B$3,5,21)&gt;EOMONTH(DATE($B$3,5,1),0),NETWORKDAYS.INTL(DATE($B$3,5,21),DATE($B$3,5,21),1,'Non-working days'!$A$6:$A$45)=0),"",IF(COUNTIFS('Leave log'!$A$7:$A$306,Employees!$A$7,'Leave log'!$B$7:$B$306,"&lt;="&amp;DATE($B$3,5,21),'Leave log'!$C$7:$C$306,"&gt;="&amp;DATE($B$3,5,21),'Leave log'!$F$7:$F$306,"Approved")&gt;0,"A",""))="A","A",IF(OR(DATE($B$3,5,21)&gt;EOMONTH(DATE($B$3,5,1),0),NETWORKDAYS.INTL(DATE($B$3,5,21),DATE($B$3,5,21),1,'Non-working days'!$A$6:$A$45)=0),"",IF(COUNTIFS('Leave log'!$A$7:$A$306,Employees!$A$7,'Leave log'!$B$7:$B$306,"&lt;="&amp;DATE($B$3,5,21),'Leave log'!$C$7:$C$306,"&gt;="&amp;DATE($B$3,5,21),'Leave log'!$F$7:$F$306,"Pending")&gt;0,"P",""))))</f>
        <v/>
      </c>
      <c r="W144" s="23" t="str">
        <f>IF(A144="","",IF(IF(OR(DATE($B$3,5,22)&gt;EOMONTH(DATE($B$3,5,1),0),NETWORKDAYS.INTL(DATE($B$3,5,22),DATE($B$3,5,22),1,'Non-working days'!$A$6:$A$45)=0),"",IF(COUNTIFS('Leave log'!$A$7:$A$306,Employees!$A$7,'Leave log'!$B$7:$B$306,"&lt;="&amp;DATE($B$3,5,22),'Leave log'!$C$7:$C$306,"&gt;="&amp;DATE($B$3,5,22),'Leave log'!$F$7:$F$306,"Approved")&gt;0,"A",""))="A","A",IF(OR(DATE($B$3,5,22)&gt;EOMONTH(DATE($B$3,5,1),0),NETWORKDAYS.INTL(DATE($B$3,5,22),DATE($B$3,5,22),1,'Non-working days'!$A$6:$A$45)=0),"",IF(COUNTIFS('Leave log'!$A$7:$A$306,Employees!$A$7,'Leave log'!$B$7:$B$306,"&lt;="&amp;DATE($B$3,5,22),'Leave log'!$C$7:$C$306,"&gt;="&amp;DATE($B$3,5,22),'Leave log'!$F$7:$F$306,"Pending")&gt;0,"P",""))))</f>
        <v/>
      </c>
      <c r="X144" s="23" t="str">
        <f>IF(A144="","",IF(IF(OR(DATE($B$3,5,23)&gt;EOMONTH(DATE($B$3,5,1),0),NETWORKDAYS.INTL(DATE($B$3,5,23),DATE($B$3,5,23),1,'Non-working days'!$A$6:$A$45)=0),"",IF(COUNTIFS('Leave log'!$A$7:$A$306,Employees!$A$7,'Leave log'!$B$7:$B$306,"&lt;="&amp;DATE($B$3,5,23),'Leave log'!$C$7:$C$306,"&gt;="&amp;DATE($B$3,5,23),'Leave log'!$F$7:$F$306,"Approved")&gt;0,"A",""))="A","A",IF(OR(DATE($B$3,5,23)&gt;EOMONTH(DATE($B$3,5,1),0),NETWORKDAYS.INTL(DATE($B$3,5,23),DATE($B$3,5,23),1,'Non-working days'!$A$6:$A$45)=0),"",IF(COUNTIFS('Leave log'!$A$7:$A$306,Employees!$A$7,'Leave log'!$B$7:$B$306,"&lt;="&amp;DATE($B$3,5,23),'Leave log'!$C$7:$C$306,"&gt;="&amp;DATE($B$3,5,23),'Leave log'!$F$7:$F$306,"Pending")&gt;0,"P",""))))</f>
        <v/>
      </c>
      <c r="Y144" s="23" t="str">
        <f>IF(A144="","",IF(IF(OR(DATE($B$3,5,24)&gt;EOMONTH(DATE($B$3,5,1),0),NETWORKDAYS.INTL(DATE($B$3,5,24),DATE($B$3,5,24),1,'Non-working days'!$A$6:$A$45)=0),"",IF(COUNTIFS('Leave log'!$A$7:$A$306,Employees!$A$7,'Leave log'!$B$7:$B$306,"&lt;="&amp;DATE($B$3,5,24),'Leave log'!$C$7:$C$306,"&gt;="&amp;DATE($B$3,5,24),'Leave log'!$F$7:$F$306,"Approved")&gt;0,"A",""))="A","A",IF(OR(DATE($B$3,5,24)&gt;EOMONTH(DATE($B$3,5,1),0),NETWORKDAYS.INTL(DATE($B$3,5,24),DATE($B$3,5,24),1,'Non-working days'!$A$6:$A$45)=0),"",IF(COUNTIFS('Leave log'!$A$7:$A$306,Employees!$A$7,'Leave log'!$B$7:$B$306,"&lt;="&amp;DATE($B$3,5,24),'Leave log'!$C$7:$C$306,"&gt;="&amp;DATE($B$3,5,24),'Leave log'!$F$7:$F$306,"Pending")&gt;0,"P",""))))</f>
        <v/>
      </c>
      <c r="Z144" s="23" t="str">
        <f>IF(A144="","",IF(IF(OR(DATE($B$3,5,25)&gt;EOMONTH(DATE($B$3,5,1),0),NETWORKDAYS.INTL(DATE($B$3,5,25),DATE($B$3,5,25),1,'Non-working days'!$A$6:$A$45)=0),"",IF(COUNTIFS('Leave log'!$A$7:$A$306,Employees!$A$7,'Leave log'!$B$7:$B$306,"&lt;="&amp;DATE($B$3,5,25),'Leave log'!$C$7:$C$306,"&gt;="&amp;DATE($B$3,5,25),'Leave log'!$F$7:$F$306,"Approved")&gt;0,"A",""))="A","A",IF(OR(DATE($B$3,5,25)&gt;EOMONTH(DATE($B$3,5,1),0),NETWORKDAYS.INTL(DATE($B$3,5,25),DATE($B$3,5,25),1,'Non-working days'!$A$6:$A$45)=0),"",IF(COUNTIFS('Leave log'!$A$7:$A$306,Employees!$A$7,'Leave log'!$B$7:$B$306,"&lt;="&amp;DATE($B$3,5,25),'Leave log'!$C$7:$C$306,"&gt;="&amp;DATE($B$3,5,25),'Leave log'!$F$7:$F$306,"Pending")&gt;0,"P",""))))</f>
        <v/>
      </c>
      <c r="AA144" s="23" t="str">
        <f>IF(A144="","",IF(IF(OR(DATE($B$3,5,26)&gt;EOMONTH(DATE($B$3,5,1),0),NETWORKDAYS.INTL(DATE($B$3,5,26),DATE($B$3,5,26),1,'Non-working days'!$A$6:$A$45)=0),"",IF(COUNTIFS('Leave log'!$A$7:$A$306,Employees!$A$7,'Leave log'!$B$7:$B$306,"&lt;="&amp;DATE($B$3,5,26),'Leave log'!$C$7:$C$306,"&gt;="&amp;DATE($B$3,5,26),'Leave log'!$F$7:$F$306,"Approved")&gt;0,"A",""))="A","A",IF(OR(DATE($B$3,5,26)&gt;EOMONTH(DATE($B$3,5,1),0),NETWORKDAYS.INTL(DATE($B$3,5,26),DATE($B$3,5,26),1,'Non-working days'!$A$6:$A$45)=0),"",IF(COUNTIFS('Leave log'!$A$7:$A$306,Employees!$A$7,'Leave log'!$B$7:$B$306,"&lt;="&amp;DATE($B$3,5,26),'Leave log'!$C$7:$C$306,"&gt;="&amp;DATE($B$3,5,26),'Leave log'!$F$7:$F$306,"Pending")&gt;0,"P",""))))</f>
        <v/>
      </c>
      <c r="AB144" s="23" t="str">
        <f>IF(A144="","",IF(IF(OR(DATE($B$3,5,27)&gt;EOMONTH(DATE($B$3,5,1),0),NETWORKDAYS.INTL(DATE($B$3,5,27),DATE($B$3,5,27),1,'Non-working days'!$A$6:$A$45)=0),"",IF(COUNTIFS('Leave log'!$A$7:$A$306,Employees!$A$7,'Leave log'!$B$7:$B$306,"&lt;="&amp;DATE($B$3,5,27),'Leave log'!$C$7:$C$306,"&gt;="&amp;DATE($B$3,5,27),'Leave log'!$F$7:$F$306,"Approved")&gt;0,"A",""))="A","A",IF(OR(DATE($B$3,5,27)&gt;EOMONTH(DATE($B$3,5,1),0),NETWORKDAYS.INTL(DATE($B$3,5,27),DATE($B$3,5,27),1,'Non-working days'!$A$6:$A$45)=0),"",IF(COUNTIFS('Leave log'!$A$7:$A$306,Employees!$A$7,'Leave log'!$B$7:$B$306,"&lt;="&amp;DATE($B$3,5,27),'Leave log'!$C$7:$C$306,"&gt;="&amp;DATE($B$3,5,27),'Leave log'!$F$7:$F$306,"Pending")&gt;0,"P",""))))</f>
        <v/>
      </c>
      <c r="AC144" s="23" t="str">
        <f>IF(A144="","",IF(IF(OR(DATE($B$3,5,28)&gt;EOMONTH(DATE($B$3,5,1),0),NETWORKDAYS.INTL(DATE($B$3,5,28),DATE($B$3,5,28),1,'Non-working days'!$A$6:$A$45)=0),"",IF(COUNTIFS('Leave log'!$A$7:$A$306,Employees!$A$7,'Leave log'!$B$7:$B$306,"&lt;="&amp;DATE($B$3,5,28),'Leave log'!$C$7:$C$306,"&gt;="&amp;DATE($B$3,5,28),'Leave log'!$F$7:$F$306,"Approved")&gt;0,"A",""))="A","A",IF(OR(DATE($B$3,5,28)&gt;EOMONTH(DATE($B$3,5,1),0),NETWORKDAYS.INTL(DATE($B$3,5,28),DATE($B$3,5,28),1,'Non-working days'!$A$6:$A$45)=0),"",IF(COUNTIFS('Leave log'!$A$7:$A$306,Employees!$A$7,'Leave log'!$B$7:$B$306,"&lt;="&amp;DATE($B$3,5,28),'Leave log'!$C$7:$C$306,"&gt;="&amp;DATE($B$3,5,28),'Leave log'!$F$7:$F$306,"Pending")&gt;0,"P",""))))</f>
        <v/>
      </c>
      <c r="AD144" s="23" t="str">
        <f>IF(A144="","",IF(IF(OR(DATE($B$3,5,29)&gt;EOMONTH(DATE($B$3,5,1),0),NETWORKDAYS.INTL(DATE($B$3,5,29),DATE($B$3,5,29),1,'Non-working days'!$A$6:$A$45)=0),"",IF(COUNTIFS('Leave log'!$A$7:$A$306,Employees!$A$7,'Leave log'!$B$7:$B$306,"&lt;="&amp;DATE($B$3,5,29),'Leave log'!$C$7:$C$306,"&gt;="&amp;DATE($B$3,5,29),'Leave log'!$F$7:$F$306,"Approved")&gt;0,"A",""))="A","A",IF(OR(DATE($B$3,5,29)&gt;EOMONTH(DATE($B$3,5,1),0),NETWORKDAYS.INTL(DATE($B$3,5,29),DATE($B$3,5,29),1,'Non-working days'!$A$6:$A$45)=0),"",IF(COUNTIFS('Leave log'!$A$7:$A$306,Employees!$A$7,'Leave log'!$B$7:$B$306,"&lt;="&amp;DATE($B$3,5,29),'Leave log'!$C$7:$C$306,"&gt;="&amp;DATE($B$3,5,29),'Leave log'!$F$7:$F$306,"Pending")&gt;0,"P",""))))</f>
        <v/>
      </c>
      <c r="AE144" s="23" t="str">
        <f>IF(A144="","",IF(IF(OR(DATE($B$3,5,30)&gt;EOMONTH(DATE($B$3,5,1),0),NETWORKDAYS.INTL(DATE($B$3,5,30),DATE($B$3,5,30),1,'Non-working days'!$A$6:$A$45)=0),"",IF(COUNTIFS('Leave log'!$A$7:$A$306,Employees!$A$7,'Leave log'!$B$7:$B$306,"&lt;="&amp;DATE($B$3,5,30),'Leave log'!$C$7:$C$306,"&gt;="&amp;DATE($B$3,5,30),'Leave log'!$F$7:$F$306,"Approved")&gt;0,"A",""))="A","A",IF(OR(DATE($B$3,5,30)&gt;EOMONTH(DATE($B$3,5,1),0),NETWORKDAYS.INTL(DATE($B$3,5,30),DATE($B$3,5,30),1,'Non-working days'!$A$6:$A$45)=0),"",IF(COUNTIFS('Leave log'!$A$7:$A$306,Employees!$A$7,'Leave log'!$B$7:$B$306,"&lt;="&amp;DATE($B$3,5,30),'Leave log'!$C$7:$C$306,"&gt;="&amp;DATE($B$3,5,30),'Leave log'!$F$7:$F$306,"Pending")&gt;0,"P",""))))</f>
        <v/>
      </c>
      <c r="AF144" s="23" t="str">
        <f>IF(A144="","",IF(IF(OR(DATE($B$3,5,31)&gt;EOMONTH(DATE($B$3,5,1),0),NETWORKDAYS.INTL(DATE($B$3,5,31),DATE($B$3,5,31),1,'Non-working days'!$A$6:$A$45)=0),"",IF(COUNTIFS('Leave log'!$A$7:$A$306,Employees!$A$7,'Leave log'!$B$7:$B$306,"&lt;="&amp;DATE($B$3,5,31),'Leave log'!$C$7:$C$306,"&gt;="&amp;DATE($B$3,5,31),'Leave log'!$F$7:$F$306,"Approved")&gt;0,"A",""))="A","A",IF(OR(DATE($B$3,5,31)&gt;EOMONTH(DATE($B$3,5,1),0),NETWORKDAYS.INTL(DATE($B$3,5,31),DATE($B$3,5,31),1,'Non-working days'!$A$6:$A$45)=0),"",IF(COUNTIFS('Leave log'!$A$7:$A$306,Employees!$A$7,'Leave log'!$B$7:$B$306,"&lt;="&amp;DATE($B$3,5,31),'Leave log'!$C$7:$C$306,"&gt;="&amp;DATE($B$3,5,31),'Leave log'!$F$7:$F$306,"Pending")&gt;0,"P",""))))</f>
        <v/>
      </c>
    </row>
    <row r="145" spans="1:32" ht="18" customHeight="1" x14ac:dyDescent="0.3">
      <c r="A145" s="22" t="str">
        <f>IF(Employees!F8="Yes",Employees!B8,"")</f>
        <v/>
      </c>
      <c r="B145" s="23" t="str">
        <f>IF(A145="","",IF(IF(OR(DATE($B$3,5,1)&gt;EOMONTH(DATE($B$3,5,1),0),NETWORKDAYS.INTL(DATE($B$3,5,1),DATE($B$3,5,1),1,'Non-working days'!$A$6:$A$45)=0),"",IF(COUNTIFS('Leave log'!$A$7:$A$306,Employees!$A$8,'Leave log'!$B$7:$B$306,"&lt;="&amp;DATE($B$3,5,1),'Leave log'!$C$7:$C$306,"&gt;="&amp;DATE($B$3,5,1),'Leave log'!$F$7:$F$306,"Approved")&gt;0,"A",""))="A","A",IF(OR(DATE($B$3,5,1)&gt;EOMONTH(DATE($B$3,5,1),0),NETWORKDAYS.INTL(DATE($B$3,5,1),DATE($B$3,5,1),1,'Non-working days'!$A$6:$A$45)=0),"",IF(COUNTIFS('Leave log'!$A$7:$A$306,Employees!$A$8,'Leave log'!$B$7:$B$306,"&lt;="&amp;DATE($B$3,5,1),'Leave log'!$C$7:$C$306,"&gt;="&amp;DATE($B$3,5,1),'Leave log'!$F$7:$F$306,"Pending")&gt;0,"P",""))))</f>
        <v/>
      </c>
      <c r="C145" s="23" t="str">
        <f>IF(A145="","",IF(IF(OR(DATE($B$3,5,2)&gt;EOMONTH(DATE($B$3,5,1),0),NETWORKDAYS.INTL(DATE($B$3,5,2),DATE($B$3,5,2),1,'Non-working days'!$A$6:$A$45)=0),"",IF(COUNTIFS('Leave log'!$A$7:$A$306,Employees!$A$8,'Leave log'!$B$7:$B$306,"&lt;="&amp;DATE($B$3,5,2),'Leave log'!$C$7:$C$306,"&gt;="&amp;DATE($B$3,5,2),'Leave log'!$F$7:$F$306,"Approved")&gt;0,"A",""))="A","A",IF(OR(DATE($B$3,5,2)&gt;EOMONTH(DATE($B$3,5,1),0),NETWORKDAYS.INTL(DATE($B$3,5,2),DATE($B$3,5,2),1,'Non-working days'!$A$6:$A$45)=0),"",IF(COUNTIFS('Leave log'!$A$7:$A$306,Employees!$A$8,'Leave log'!$B$7:$B$306,"&lt;="&amp;DATE($B$3,5,2),'Leave log'!$C$7:$C$306,"&gt;="&amp;DATE($B$3,5,2),'Leave log'!$F$7:$F$306,"Pending")&gt;0,"P",""))))</f>
        <v/>
      </c>
      <c r="D145" s="23" t="str">
        <f>IF(A145="","",IF(IF(OR(DATE($B$3,5,3)&gt;EOMONTH(DATE($B$3,5,1),0),NETWORKDAYS.INTL(DATE($B$3,5,3),DATE($B$3,5,3),1,'Non-working days'!$A$6:$A$45)=0),"",IF(COUNTIFS('Leave log'!$A$7:$A$306,Employees!$A$8,'Leave log'!$B$7:$B$306,"&lt;="&amp;DATE($B$3,5,3),'Leave log'!$C$7:$C$306,"&gt;="&amp;DATE($B$3,5,3),'Leave log'!$F$7:$F$306,"Approved")&gt;0,"A",""))="A","A",IF(OR(DATE($B$3,5,3)&gt;EOMONTH(DATE($B$3,5,1),0),NETWORKDAYS.INTL(DATE($B$3,5,3),DATE($B$3,5,3),1,'Non-working days'!$A$6:$A$45)=0),"",IF(COUNTIFS('Leave log'!$A$7:$A$306,Employees!$A$8,'Leave log'!$B$7:$B$306,"&lt;="&amp;DATE($B$3,5,3),'Leave log'!$C$7:$C$306,"&gt;="&amp;DATE($B$3,5,3),'Leave log'!$F$7:$F$306,"Pending")&gt;0,"P",""))))</f>
        <v/>
      </c>
      <c r="E145" s="23" t="str">
        <f>IF(A145="","",IF(IF(OR(DATE($B$3,5,4)&gt;EOMONTH(DATE($B$3,5,1),0),NETWORKDAYS.INTL(DATE($B$3,5,4),DATE($B$3,5,4),1,'Non-working days'!$A$6:$A$45)=0),"",IF(COUNTIFS('Leave log'!$A$7:$A$306,Employees!$A$8,'Leave log'!$B$7:$B$306,"&lt;="&amp;DATE($B$3,5,4),'Leave log'!$C$7:$C$306,"&gt;="&amp;DATE($B$3,5,4),'Leave log'!$F$7:$F$306,"Approved")&gt;0,"A",""))="A","A",IF(OR(DATE($B$3,5,4)&gt;EOMONTH(DATE($B$3,5,1),0),NETWORKDAYS.INTL(DATE($B$3,5,4),DATE($B$3,5,4),1,'Non-working days'!$A$6:$A$45)=0),"",IF(COUNTIFS('Leave log'!$A$7:$A$306,Employees!$A$8,'Leave log'!$B$7:$B$306,"&lt;="&amp;DATE($B$3,5,4),'Leave log'!$C$7:$C$306,"&gt;="&amp;DATE($B$3,5,4),'Leave log'!$F$7:$F$306,"Pending")&gt;0,"P",""))))</f>
        <v/>
      </c>
      <c r="F145" s="23" t="str">
        <f>IF(A145="","",IF(IF(OR(DATE($B$3,5,5)&gt;EOMONTH(DATE($B$3,5,1),0),NETWORKDAYS.INTL(DATE($B$3,5,5),DATE($B$3,5,5),1,'Non-working days'!$A$6:$A$45)=0),"",IF(COUNTIFS('Leave log'!$A$7:$A$306,Employees!$A$8,'Leave log'!$B$7:$B$306,"&lt;="&amp;DATE($B$3,5,5),'Leave log'!$C$7:$C$306,"&gt;="&amp;DATE($B$3,5,5),'Leave log'!$F$7:$F$306,"Approved")&gt;0,"A",""))="A","A",IF(OR(DATE($B$3,5,5)&gt;EOMONTH(DATE($B$3,5,1),0),NETWORKDAYS.INTL(DATE($B$3,5,5),DATE($B$3,5,5),1,'Non-working days'!$A$6:$A$45)=0),"",IF(COUNTIFS('Leave log'!$A$7:$A$306,Employees!$A$8,'Leave log'!$B$7:$B$306,"&lt;="&amp;DATE($B$3,5,5),'Leave log'!$C$7:$C$306,"&gt;="&amp;DATE($B$3,5,5),'Leave log'!$F$7:$F$306,"Pending")&gt;0,"P",""))))</f>
        <v/>
      </c>
      <c r="G145" s="23" t="str">
        <f>IF(A145="","",IF(IF(OR(DATE($B$3,5,6)&gt;EOMONTH(DATE($B$3,5,1),0),NETWORKDAYS.INTL(DATE($B$3,5,6),DATE($B$3,5,6),1,'Non-working days'!$A$6:$A$45)=0),"",IF(COUNTIFS('Leave log'!$A$7:$A$306,Employees!$A$8,'Leave log'!$B$7:$B$306,"&lt;="&amp;DATE($B$3,5,6),'Leave log'!$C$7:$C$306,"&gt;="&amp;DATE($B$3,5,6),'Leave log'!$F$7:$F$306,"Approved")&gt;0,"A",""))="A","A",IF(OR(DATE($B$3,5,6)&gt;EOMONTH(DATE($B$3,5,1),0),NETWORKDAYS.INTL(DATE($B$3,5,6),DATE($B$3,5,6),1,'Non-working days'!$A$6:$A$45)=0),"",IF(COUNTIFS('Leave log'!$A$7:$A$306,Employees!$A$8,'Leave log'!$B$7:$B$306,"&lt;="&amp;DATE($B$3,5,6),'Leave log'!$C$7:$C$306,"&gt;="&amp;DATE($B$3,5,6),'Leave log'!$F$7:$F$306,"Pending")&gt;0,"P",""))))</f>
        <v/>
      </c>
      <c r="H145" s="23" t="str">
        <f>IF(A145="","",IF(IF(OR(DATE($B$3,5,7)&gt;EOMONTH(DATE($B$3,5,1),0),NETWORKDAYS.INTL(DATE($B$3,5,7),DATE($B$3,5,7),1,'Non-working days'!$A$6:$A$45)=0),"",IF(COUNTIFS('Leave log'!$A$7:$A$306,Employees!$A$8,'Leave log'!$B$7:$B$306,"&lt;="&amp;DATE($B$3,5,7),'Leave log'!$C$7:$C$306,"&gt;="&amp;DATE($B$3,5,7),'Leave log'!$F$7:$F$306,"Approved")&gt;0,"A",""))="A","A",IF(OR(DATE($B$3,5,7)&gt;EOMONTH(DATE($B$3,5,1),0),NETWORKDAYS.INTL(DATE($B$3,5,7),DATE($B$3,5,7),1,'Non-working days'!$A$6:$A$45)=0),"",IF(COUNTIFS('Leave log'!$A$7:$A$306,Employees!$A$8,'Leave log'!$B$7:$B$306,"&lt;="&amp;DATE($B$3,5,7),'Leave log'!$C$7:$C$306,"&gt;="&amp;DATE($B$3,5,7),'Leave log'!$F$7:$F$306,"Pending")&gt;0,"P",""))))</f>
        <v/>
      </c>
      <c r="I145" s="23" t="str">
        <f>IF(A145="","",IF(IF(OR(DATE($B$3,5,8)&gt;EOMONTH(DATE($B$3,5,1),0),NETWORKDAYS.INTL(DATE($B$3,5,8),DATE($B$3,5,8),1,'Non-working days'!$A$6:$A$45)=0),"",IF(COUNTIFS('Leave log'!$A$7:$A$306,Employees!$A$8,'Leave log'!$B$7:$B$306,"&lt;="&amp;DATE($B$3,5,8),'Leave log'!$C$7:$C$306,"&gt;="&amp;DATE($B$3,5,8),'Leave log'!$F$7:$F$306,"Approved")&gt;0,"A",""))="A","A",IF(OR(DATE($B$3,5,8)&gt;EOMONTH(DATE($B$3,5,1),0),NETWORKDAYS.INTL(DATE($B$3,5,8),DATE($B$3,5,8),1,'Non-working days'!$A$6:$A$45)=0),"",IF(COUNTIFS('Leave log'!$A$7:$A$306,Employees!$A$8,'Leave log'!$B$7:$B$306,"&lt;="&amp;DATE($B$3,5,8),'Leave log'!$C$7:$C$306,"&gt;="&amp;DATE($B$3,5,8),'Leave log'!$F$7:$F$306,"Pending")&gt;0,"P",""))))</f>
        <v/>
      </c>
      <c r="J145" s="23" t="str">
        <f>IF(A145="","",IF(IF(OR(DATE($B$3,5,9)&gt;EOMONTH(DATE($B$3,5,1),0),NETWORKDAYS.INTL(DATE($B$3,5,9),DATE($B$3,5,9),1,'Non-working days'!$A$6:$A$45)=0),"",IF(COUNTIFS('Leave log'!$A$7:$A$306,Employees!$A$8,'Leave log'!$B$7:$B$306,"&lt;="&amp;DATE($B$3,5,9),'Leave log'!$C$7:$C$306,"&gt;="&amp;DATE($B$3,5,9),'Leave log'!$F$7:$F$306,"Approved")&gt;0,"A",""))="A","A",IF(OR(DATE($B$3,5,9)&gt;EOMONTH(DATE($B$3,5,1),0),NETWORKDAYS.INTL(DATE($B$3,5,9),DATE($B$3,5,9),1,'Non-working days'!$A$6:$A$45)=0),"",IF(COUNTIFS('Leave log'!$A$7:$A$306,Employees!$A$8,'Leave log'!$B$7:$B$306,"&lt;="&amp;DATE($B$3,5,9),'Leave log'!$C$7:$C$306,"&gt;="&amp;DATE($B$3,5,9),'Leave log'!$F$7:$F$306,"Pending")&gt;0,"P",""))))</f>
        <v/>
      </c>
      <c r="K145" s="23" t="str">
        <f>IF(A145="","",IF(IF(OR(DATE($B$3,5,10)&gt;EOMONTH(DATE($B$3,5,1),0),NETWORKDAYS.INTL(DATE($B$3,5,10),DATE($B$3,5,10),1,'Non-working days'!$A$6:$A$45)=0),"",IF(COUNTIFS('Leave log'!$A$7:$A$306,Employees!$A$8,'Leave log'!$B$7:$B$306,"&lt;="&amp;DATE($B$3,5,10),'Leave log'!$C$7:$C$306,"&gt;="&amp;DATE($B$3,5,10),'Leave log'!$F$7:$F$306,"Approved")&gt;0,"A",""))="A","A",IF(OR(DATE($B$3,5,10)&gt;EOMONTH(DATE($B$3,5,1),0),NETWORKDAYS.INTL(DATE($B$3,5,10),DATE($B$3,5,10),1,'Non-working days'!$A$6:$A$45)=0),"",IF(COUNTIFS('Leave log'!$A$7:$A$306,Employees!$A$8,'Leave log'!$B$7:$B$306,"&lt;="&amp;DATE($B$3,5,10),'Leave log'!$C$7:$C$306,"&gt;="&amp;DATE($B$3,5,10),'Leave log'!$F$7:$F$306,"Pending")&gt;0,"P",""))))</f>
        <v/>
      </c>
      <c r="L145" s="23" t="str">
        <f>IF(A145="","",IF(IF(OR(DATE($B$3,5,11)&gt;EOMONTH(DATE($B$3,5,1),0),NETWORKDAYS.INTL(DATE($B$3,5,11),DATE($B$3,5,11),1,'Non-working days'!$A$6:$A$45)=0),"",IF(COUNTIFS('Leave log'!$A$7:$A$306,Employees!$A$8,'Leave log'!$B$7:$B$306,"&lt;="&amp;DATE($B$3,5,11),'Leave log'!$C$7:$C$306,"&gt;="&amp;DATE($B$3,5,11),'Leave log'!$F$7:$F$306,"Approved")&gt;0,"A",""))="A","A",IF(OR(DATE($B$3,5,11)&gt;EOMONTH(DATE($B$3,5,1),0),NETWORKDAYS.INTL(DATE($B$3,5,11),DATE($B$3,5,11),1,'Non-working days'!$A$6:$A$45)=0),"",IF(COUNTIFS('Leave log'!$A$7:$A$306,Employees!$A$8,'Leave log'!$B$7:$B$306,"&lt;="&amp;DATE($B$3,5,11),'Leave log'!$C$7:$C$306,"&gt;="&amp;DATE($B$3,5,11),'Leave log'!$F$7:$F$306,"Pending")&gt;0,"P",""))))</f>
        <v/>
      </c>
      <c r="M145" s="23" t="str">
        <f>IF(A145="","",IF(IF(OR(DATE($B$3,5,12)&gt;EOMONTH(DATE($B$3,5,1),0),NETWORKDAYS.INTL(DATE($B$3,5,12),DATE($B$3,5,12),1,'Non-working days'!$A$6:$A$45)=0),"",IF(COUNTIFS('Leave log'!$A$7:$A$306,Employees!$A$8,'Leave log'!$B$7:$B$306,"&lt;="&amp;DATE($B$3,5,12),'Leave log'!$C$7:$C$306,"&gt;="&amp;DATE($B$3,5,12),'Leave log'!$F$7:$F$306,"Approved")&gt;0,"A",""))="A","A",IF(OR(DATE($B$3,5,12)&gt;EOMONTH(DATE($B$3,5,1),0),NETWORKDAYS.INTL(DATE($B$3,5,12),DATE($B$3,5,12),1,'Non-working days'!$A$6:$A$45)=0),"",IF(COUNTIFS('Leave log'!$A$7:$A$306,Employees!$A$8,'Leave log'!$B$7:$B$306,"&lt;="&amp;DATE($B$3,5,12),'Leave log'!$C$7:$C$306,"&gt;="&amp;DATE($B$3,5,12),'Leave log'!$F$7:$F$306,"Pending")&gt;0,"P",""))))</f>
        <v/>
      </c>
      <c r="N145" s="23" t="str">
        <f>IF(A145="","",IF(IF(OR(DATE($B$3,5,13)&gt;EOMONTH(DATE($B$3,5,1),0),NETWORKDAYS.INTL(DATE($B$3,5,13),DATE($B$3,5,13),1,'Non-working days'!$A$6:$A$45)=0),"",IF(COUNTIFS('Leave log'!$A$7:$A$306,Employees!$A$8,'Leave log'!$B$7:$B$306,"&lt;="&amp;DATE($B$3,5,13),'Leave log'!$C$7:$C$306,"&gt;="&amp;DATE($B$3,5,13),'Leave log'!$F$7:$F$306,"Approved")&gt;0,"A",""))="A","A",IF(OR(DATE($B$3,5,13)&gt;EOMONTH(DATE($B$3,5,1),0),NETWORKDAYS.INTL(DATE($B$3,5,13),DATE($B$3,5,13),1,'Non-working days'!$A$6:$A$45)=0),"",IF(COUNTIFS('Leave log'!$A$7:$A$306,Employees!$A$8,'Leave log'!$B$7:$B$306,"&lt;="&amp;DATE($B$3,5,13),'Leave log'!$C$7:$C$306,"&gt;="&amp;DATE($B$3,5,13),'Leave log'!$F$7:$F$306,"Pending")&gt;0,"P",""))))</f>
        <v/>
      </c>
      <c r="O145" s="23" t="str">
        <f>IF(A145="","",IF(IF(OR(DATE($B$3,5,14)&gt;EOMONTH(DATE($B$3,5,1),0),NETWORKDAYS.INTL(DATE($B$3,5,14),DATE($B$3,5,14),1,'Non-working days'!$A$6:$A$45)=0),"",IF(COUNTIFS('Leave log'!$A$7:$A$306,Employees!$A$8,'Leave log'!$B$7:$B$306,"&lt;="&amp;DATE($B$3,5,14),'Leave log'!$C$7:$C$306,"&gt;="&amp;DATE($B$3,5,14),'Leave log'!$F$7:$F$306,"Approved")&gt;0,"A",""))="A","A",IF(OR(DATE($B$3,5,14)&gt;EOMONTH(DATE($B$3,5,1),0),NETWORKDAYS.INTL(DATE($B$3,5,14),DATE($B$3,5,14),1,'Non-working days'!$A$6:$A$45)=0),"",IF(COUNTIFS('Leave log'!$A$7:$A$306,Employees!$A$8,'Leave log'!$B$7:$B$306,"&lt;="&amp;DATE($B$3,5,14),'Leave log'!$C$7:$C$306,"&gt;="&amp;DATE($B$3,5,14),'Leave log'!$F$7:$F$306,"Pending")&gt;0,"P",""))))</f>
        <v/>
      </c>
      <c r="P145" s="23" t="str">
        <f>IF(A145="","",IF(IF(OR(DATE($B$3,5,15)&gt;EOMONTH(DATE($B$3,5,1),0),NETWORKDAYS.INTL(DATE($B$3,5,15),DATE($B$3,5,15),1,'Non-working days'!$A$6:$A$45)=0),"",IF(COUNTIFS('Leave log'!$A$7:$A$306,Employees!$A$8,'Leave log'!$B$7:$B$306,"&lt;="&amp;DATE($B$3,5,15),'Leave log'!$C$7:$C$306,"&gt;="&amp;DATE($B$3,5,15),'Leave log'!$F$7:$F$306,"Approved")&gt;0,"A",""))="A","A",IF(OR(DATE($B$3,5,15)&gt;EOMONTH(DATE($B$3,5,1),0),NETWORKDAYS.INTL(DATE($B$3,5,15),DATE($B$3,5,15),1,'Non-working days'!$A$6:$A$45)=0),"",IF(COUNTIFS('Leave log'!$A$7:$A$306,Employees!$A$8,'Leave log'!$B$7:$B$306,"&lt;="&amp;DATE($B$3,5,15),'Leave log'!$C$7:$C$306,"&gt;="&amp;DATE($B$3,5,15),'Leave log'!$F$7:$F$306,"Pending")&gt;0,"P",""))))</f>
        <v/>
      </c>
      <c r="Q145" s="23" t="str">
        <f>IF(A145="","",IF(IF(OR(DATE($B$3,5,16)&gt;EOMONTH(DATE($B$3,5,1),0),NETWORKDAYS.INTL(DATE($B$3,5,16),DATE($B$3,5,16),1,'Non-working days'!$A$6:$A$45)=0),"",IF(COUNTIFS('Leave log'!$A$7:$A$306,Employees!$A$8,'Leave log'!$B$7:$B$306,"&lt;="&amp;DATE($B$3,5,16),'Leave log'!$C$7:$C$306,"&gt;="&amp;DATE($B$3,5,16),'Leave log'!$F$7:$F$306,"Approved")&gt;0,"A",""))="A","A",IF(OR(DATE($B$3,5,16)&gt;EOMONTH(DATE($B$3,5,1),0),NETWORKDAYS.INTL(DATE($B$3,5,16),DATE($B$3,5,16),1,'Non-working days'!$A$6:$A$45)=0),"",IF(COUNTIFS('Leave log'!$A$7:$A$306,Employees!$A$8,'Leave log'!$B$7:$B$306,"&lt;="&amp;DATE($B$3,5,16),'Leave log'!$C$7:$C$306,"&gt;="&amp;DATE($B$3,5,16),'Leave log'!$F$7:$F$306,"Pending")&gt;0,"P",""))))</f>
        <v/>
      </c>
      <c r="R145" s="23" t="str">
        <f>IF(A145="","",IF(IF(OR(DATE($B$3,5,17)&gt;EOMONTH(DATE($B$3,5,1),0),NETWORKDAYS.INTL(DATE($B$3,5,17),DATE($B$3,5,17),1,'Non-working days'!$A$6:$A$45)=0),"",IF(COUNTIFS('Leave log'!$A$7:$A$306,Employees!$A$8,'Leave log'!$B$7:$B$306,"&lt;="&amp;DATE($B$3,5,17),'Leave log'!$C$7:$C$306,"&gt;="&amp;DATE($B$3,5,17),'Leave log'!$F$7:$F$306,"Approved")&gt;0,"A",""))="A","A",IF(OR(DATE($B$3,5,17)&gt;EOMONTH(DATE($B$3,5,1),0),NETWORKDAYS.INTL(DATE($B$3,5,17),DATE($B$3,5,17),1,'Non-working days'!$A$6:$A$45)=0),"",IF(COUNTIFS('Leave log'!$A$7:$A$306,Employees!$A$8,'Leave log'!$B$7:$B$306,"&lt;="&amp;DATE($B$3,5,17),'Leave log'!$C$7:$C$306,"&gt;="&amp;DATE($B$3,5,17),'Leave log'!$F$7:$F$306,"Pending")&gt;0,"P",""))))</f>
        <v/>
      </c>
      <c r="S145" s="23" t="str">
        <f>IF(A145="","",IF(IF(OR(DATE($B$3,5,18)&gt;EOMONTH(DATE($B$3,5,1),0),NETWORKDAYS.INTL(DATE($B$3,5,18),DATE($B$3,5,18),1,'Non-working days'!$A$6:$A$45)=0),"",IF(COUNTIFS('Leave log'!$A$7:$A$306,Employees!$A$8,'Leave log'!$B$7:$B$306,"&lt;="&amp;DATE($B$3,5,18),'Leave log'!$C$7:$C$306,"&gt;="&amp;DATE($B$3,5,18),'Leave log'!$F$7:$F$306,"Approved")&gt;0,"A",""))="A","A",IF(OR(DATE($B$3,5,18)&gt;EOMONTH(DATE($B$3,5,1),0),NETWORKDAYS.INTL(DATE($B$3,5,18),DATE($B$3,5,18),1,'Non-working days'!$A$6:$A$45)=0),"",IF(COUNTIFS('Leave log'!$A$7:$A$306,Employees!$A$8,'Leave log'!$B$7:$B$306,"&lt;="&amp;DATE($B$3,5,18),'Leave log'!$C$7:$C$306,"&gt;="&amp;DATE($B$3,5,18),'Leave log'!$F$7:$F$306,"Pending")&gt;0,"P",""))))</f>
        <v/>
      </c>
      <c r="T145" s="23" t="str">
        <f>IF(A145="","",IF(IF(OR(DATE($B$3,5,19)&gt;EOMONTH(DATE($B$3,5,1),0),NETWORKDAYS.INTL(DATE($B$3,5,19),DATE($B$3,5,19),1,'Non-working days'!$A$6:$A$45)=0),"",IF(COUNTIFS('Leave log'!$A$7:$A$306,Employees!$A$8,'Leave log'!$B$7:$B$306,"&lt;="&amp;DATE($B$3,5,19),'Leave log'!$C$7:$C$306,"&gt;="&amp;DATE($B$3,5,19),'Leave log'!$F$7:$F$306,"Approved")&gt;0,"A",""))="A","A",IF(OR(DATE($B$3,5,19)&gt;EOMONTH(DATE($B$3,5,1),0),NETWORKDAYS.INTL(DATE($B$3,5,19),DATE($B$3,5,19),1,'Non-working days'!$A$6:$A$45)=0),"",IF(COUNTIFS('Leave log'!$A$7:$A$306,Employees!$A$8,'Leave log'!$B$7:$B$306,"&lt;="&amp;DATE($B$3,5,19),'Leave log'!$C$7:$C$306,"&gt;="&amp;DATE($B$3,5,19),'Leave log'!$F$7:$F$306,"Pending")&gt;0,"P",""))))</f>
        <v/>
      </c>
      <c r="U145" s="23" t="str">
        <f>IF(A145="","",IF(IF(OR(DATE($B$3,5,20)&gt;EOMONTH(DATE($B$3,5,1),0),NETWORKDAYS.INTL(DATE($B$3,5,20),DATE($B$3,5,20),1,'Non-working days'!$A$6:$A$45)=0),"",IF(COUNTIFS('Leave log'!$A$7:$A$306,Employees!$A$8,'Leave log'!$B$7:$B$306,"&lt;="&amp;DATE($B$3,5,20),'Leave log'!$C$7:$C$306,"&gt;="&amp;DATE($B$3,5,20),'Leave log'!$F$7:$F$306,"Approved")&gt;0,"A",""))="A","A",IF(OR(DATE($B$3,5,20)&gt;EOMONTH(DATE($B$3,5,1),0),NETWORKDAYS.INTL(DATE($B$3,5,20),DATE($B$3,5,20),1,'Non-working days'!$A$6:$A$45)=0),"",IF(COUNTIFS('Leave log'!$A$7:$A$306,Employees!$A$8,'Leave log'!$B$7:$B$306,"&lt;="&amp;DATE($B$3,5,20),'Leave log'!$C$7:$C$306,"&gt;="&amp;DATE($B$3,5,20),'Leave log'!$F$7:$F$306,"Pending")&gt;0,"P",""))))</f>
        <v/>
      </c>
      <c r="V145" s="23" t="str">
        <f>IF(A145="","",IF(IF(OR(DATE($B$3,5,21)&gt;EOMONTH(DATE($B$3,5,1),0),NETWORKDAYS.INTL(DATE($B$3,5,21),DATE($B$3,5,21),1,'Non-working days'!$A$6:$A$45)=0),"",IF(COUNTIFS('Leave log'!$A$7:$A$306,Employees!$A$8,'Leave log'!$B$7:$B$306,"&lt;="&amp;DATE($B$3,5,21),'Leave log'!$C$7:$C$306,"&gt;="&amp;DATE($B$3,5,21),'Leave log'!$F$7:$F$306,"Approved")&gt;0,"A",""))="A","A",IF(OR(DATE($B$3,5,21)&gt;EOMONTH(DATE($B$3,5,1),0),NETWORKDAYS.INTL(DATE($B$3,5,21),DATE($B$3,5,21),1,'Non-working days'!$A$6:$A$45)=0),"",IF(COUNTIFS('Leave log'!$A$7:$A$306,Employees!$A$8,'Leave log'!$B$7:$B$306,"&lt;="&amp;DATE($B$3,5,21),'Leave log'!$C$7:$C$306,"&gt;="&amp;DATE($B$3,5,21),'Leave log'!$F$7:$F$306,"Pending")&gt;0,"P",""))))</f>
        <v/>
      </c>
      <c r="W145" s="23" t="str">
        <f>IF(A145="","",IF(IF(OR(DATE($B$3,5,22)&gt;EOMONTH(DATE($B$3,5,1),0),NETWORKDAYS.INTL(DATE($B$3,5,22),DATE($B$3,5,22),1,'Non-working days'!$A$6:$A$45)=0),"",IF(COUNTIFS('Leave log'!$A$7:$A$306,Employees!$A$8,'Leave log'!$B$7:$B$306,"&lt;="&amp;DATE($B$3,5,22),'Leave log'!$C$7:$C$306,"&gt;="&amp;DATE($B$3,5,22),'Leave log'!$F$7:$F$306,"Approved")&gt;0,"A",""))="A","A",IF(OR(DATE($B$3,5,22)&gt;EOMONTH(DATE($B$3,5,1),0),NETWORKDAYS.INTL(DATE($B$3,5,22),DATE($B$3,5,22),1,'Non-working days'!$A$6:$A$45)=0),"",IF(COUNTIFS('Leave log'!$A$7:$A$306,Employees!$A$8,'Leave log'!$B$7:$B$306,"&lt;="&amp;DATE($B$3,5,22),'Leave log'!$C$7:$C$306,"&gt;="&amp;DATE($B$3,5,22),'Leave log'!$F$7:$F$306,"Pending")&gt;0,"P",""))))</f>
        <v/>
      </c>
      <c r="X145" s="23" t="str">
        <f>IF(A145="","",IF(IF(OR(DATE($B$3,5,23)&gt;EOMONTH(DATE($B$3,5,1),0),NETWORKDAYS.INTL(DATE($B$3,5,23),DATE($B$3,5,23),1,'Non-working days'!$A$6:$A$45)=0),"",IF(COUNTIFS('Leave log'!$A$7:$A$306,Employees!$A$8,'Leave log'!$B$7:$B$306,"&lt;="&amp;DATE($B$3,5,23),'Leave log'!$C$7:$C$306,"&gt;="&amp;DATE($B$3,5,23),'Leave log'!$F$7:$F$306,"Approved")&gt;0,"A",""))="A","A",IF(OR(DATE($B$3,5,23)&gt;EOMONTH(DATE($B$3,5,1),0),NETWORKDAYS.INTL(DATE($B$3,5,23),DATE($B$3,5,23),1,'Non-working days'!$A$6:$A$45)=0),"",IF(COUNTIFS('Leave log'!$A$7:$A$306,Employees!$A$8,'Leave log'!$B$7:$B$306,"&lt;="&amp;DATE($B$3,5,23),'Leave log'!$C$7:$C$306,"&gt;="&amp;DATE($B$3,5,23),'Leave log'!$F$7:$F$306,"Pending")&gt;0,"P",""))))</f>
        <v/>
      </c>
      <c r="Y145" s="23" t="str">
        <f>IF(A145="","",IF(IF(OR(DATE($B$3,5,24)&gt;EOMONTH(DATE($B$3,5,1),0),NETWORKDAYS.INTL(DATE($B$3,5,24),DATE($B$3,5,24),1,'Non-working days'!$A$6:$A$45)=0),"",IF(COUNTIFS('Leave log'!$A$7:$A$306,Employees!$A$8,'Leave log'!$B$7:$B$306,"&lt;="&amp;DATE($B$3,5,24),'Leave log'!$C$7:$C$306,"&gt;="&amp;DATE($B$3,5,24),'Leave log'!$F$7:$F$306,"Approved")&gt;0,"A",""))="A","A",IF(OR(DATE($B$3,5,24)&gt;EOMONTH(DATE($B$3,5,1),0),NETWORKDAYS.INTL(DATE($B$3,5,24),DATE($B$3,5,24),1,'Non-working days'!$A$6:$A$45)=0),"",IF(COUNTIFS('Leave log'!$A$7:$A$306,Employees!$A$8,'Leave log'!$B$7:$B$306,"&lt;="&amp;DATE($B$3,5,24),'Leave log'!$C$7:$C$306,"&gt;="&amp;DATE($B$3,5,24),'Leave log'!$F$7:$F$306,"Pending")&gt;0,"P",""))))</f>
        <v/>
      </c>
      <c r="Z145" s="23" t="str">
        <f>IF(A145="","",IF(IF(OR(DATE($B$3,5,25)&gt;EOMONTH(DATE($B$3,5,1),0),NETWORKDAYS.INTL(DATE($B$3,5,25),DATE($B$3,5,25),1,'Non-working days'!$A$6:$A$45)=0),"",IF(COUNTIFS('Leave log'!$A$7:$A$306,Employees!$A$8,'Leave log'!$B$7:$B$306,"&lt;="&amp;DATE($B$3,5,25),'Leave log'!$C$7:$C$306,"&gt;="&amp;DATE($B$3,5,25),'Leave log'!$F$7:$F$306,"Approved")&gt;0,"A",""))="A","A",IF(OR(DATE($B$3,5,25)&gt;EOMONTH(DATE($B$3,5,1),0),NETWORKDAYS.INTL(DATE($B$3,5,25),DATE($B$3,5,25),1,'Non-working days'!$A$6:$A$45)=0),"",IF(COUNTIFS('Leave log'!$A$7:$A$306,Employees!$A$8,'Leave log'!$B$7:$B$306,"&lt;="&amp;DATE($B$3,5,25),'Leave log'!$C$7:$C$306,"&gt;="&amp;DATE($B$3,5,25),'Leave log'!$F$7:$F$306,"Pending")&gt;0,"P",""))))</f>
        <v/>
      </c>
      <c r="AA145" s="23" t="str">
        <f>IF(A145="","",IF(IF(OR(DATE($B$3,5,26)&gt;EOMONTH(DATE($B$3,5,1),0),NETWORKDAYS.INTL(DATE($B$3,5,26),DATE($B$3,5,26),1,'Non-working days'!$A$6:$A$45)=0),"",IF(COUNTIFS('Leave log'!$A$7:$A$306,Employees!$A$8,'Leave log'!$B$7:$B$306,"&lt;="&amp;DATE($B$3,5,26),'Leave log'!$C$7:$C$306,"&gt;="&amp;DATE($B$3,5,26),'Leave log'!$F$7:$F$306,"Approved")&gt;0,"A",""))="A","A",IF(OR(DATE($B$3,5,26)&gt;EOMONTH(DATE($B$3,5,1),0),NETWORKDAYS.INTL(DATE($B$3,5,26),DATE($B$3,5,26),1,'Non-working days'!$A$6:$A$45)=0),"",IF(COUNTIFS('Leave log'!$A$7:$A$306,Employees!$A$8,'Leave log'!$B$7:$B$306,"&lt;="&amp;DATE($B$3,5,26),'Leave log'!$C$7:$C$306,"&gt;="&amp;DATE($B$3,5,26),'Leave log'!$F$7:$F$306,"Pending")&gt;0,"P",""))))</f>
        <v/>
      </c>
      <c r="AB145" s="23" t="str">
        <f>IF(A145="","",IF(IF(OR(DATE($B$3,5,27)&gt;EOMONTH(DATE($B$3,5,1),0),NETWORKDAYS.INTL(DATE($B$3,5,27),DATE($B$3,5,27),1,'Non-working days'!$A$6:$A$45)=0),"",IF(COUNTIFS('Leave log'!$A$7:$A$306,Employees!$A$8,'Leave log'!$B$7:$B$306,"&lt;="&amp;DATE($B$3,5,27),'Leave log'!$C$7:$C$306,"&gt;="&amp;DATE($B$3,5,27),'Leave log'!$F$7:$F$306,"Approved")&gt;0,"A",""))="A","A",IF(OR(DATE($B$3,5,27)&gt;EOMONTH(DATE($B$3,5,1),0),NETWORKDAYS.INTL(DATE($B$3,5,27),DATE($B$3,5,27),1,'Non-working days'!$A$6:$A$45)=0),"",IF(COUNTIFS('Leave log'!$A$7:$A$306,Employees!$A$8,'Leave log'!$B$7:$B$306,"&lt;="&amp;DATE($B$3,5,27),'Leave log'!$C$7:$C$306,"&gt;="&amp;DATE($B$3,5,27),'Leave log'!$F$7:$F$306,"Pending")&gt;0,"P",""))))</f>
        <v/>
      </c>
      <c r="AC145" s="23" t="str">
        <f>IF(A145="","",IF(IF(OR(DATE($B$3,5,28)&gt;EOMONTH(DATE($B$3,5,1),0),NETWORKDAYS.INTL(DATE($B$3,5,28),DATE($B$3,5,28),1,'Non-working days'!$A$6:$A$45)=0),"",IF(COUNTIFS('Leave log'!$A$7:$A$306,Employees!$A$8,'Leave log'!$B$7:$B$306,"&lt;="&amp;DATE($B$3,5,28),'Leave log'!$C$7:$C$306,"&gt;="&amp;DATE($B$3,5,28),'Leave log'!$F$7:$F$306,"Approved")&gt;0,"A",""))="A","A",IF(OR(DATE($B$3,5,28)&gt;EOMONTH(DATE($B$3,5,1),0),NETWORKDAYS.INTL(DATE($B$3,5,28),DATE($B$3,5,28),1,'Non-working days'!$A$6:$A$45)=0),"",IF(COUNTIFS('Leave log'!$A$7:$A$306,Employees!$A$8,'Leave log'!$B$7:$B$306,"&lt;="&amp;DATE($B$3,5,28),'Leave log'!$C$7:$C$306,"&gt;="&amp;DATE($B$3,5,28),'Leave log'!$F$7:$F$306,"Pending")&gt;0,"P",""))))</f>
        <v/>
      </c>
      <c r="AD145" s="23" t="str">
        <f>IF(A145="","",IF(IF(OR(DATE($B$3,5,29)&gt;EOMONTH(DATE($B$3,5,1),0),NETWORKDAYS.INTL(DATE($B$3,5,29),DATE($B$3,5,29),1,'Non-working days'!$A$6:$A$45)=0),"",IF(COUNTIFS('Leave log'!$A$7:$A$306,Employees!$A$8,'Leave log'!$B$7:$B$306,"&lt;="&amp;DATE($B$3,5,29),'Leave log'!$C$7:$C$306,"&gt;="&amp;DATE($B$3,5,29),'Leave log'!$F$7:$F$306,"Approved")&gt;0,"A",""))="A","A",IF(OR(DATE($B$3,5,29)&gt;EOMONTH(DATE($B$3,5,1),0),NETWORKDAYS.INTL(DATE($B$3,5,29),DATE($B$3,5,29),1,'Non-working days'!$A$6:$A$45)=0),"",IF(COUNTIFS('Leave log'!$A$7:$A$306,Employees!$A$8,'Leave log'!$B$7:$B$306,"&lt;="&amp;DATE($B$3,5,29),'Leave log'!$C$7:$C$306,"&gt;="&amp;DATE($B$3,5,29),'Leave log'!$F$7:$F$306,"Pending")&gt;0,"P",""))))</f>
        <v/>
      </c>
      <c r="AE145" s="23" t="str">
        <f>IF(A145="","",IF(IF(OR(DATE($B$3,5,30)&gt;EOMONTH(DATE($B$3,5,1),0),NETWORKDAYS.INTL(DATE($B$3,5,30),DATE($B$3,5,30),1,'Non-working days'!$A$6:$A$45)=0),"",IF(COUNTIFS('Leave log'!$A$7:$A$306,Employees!$A$8,'Leave log'!$B$7:$B$306,"&lt;="&amp;DATE($B$3,5,30),'Leave log'!$C$7:$C$306,"&gt;="&amp;DATE($B$3,5,30),'Leave log'!$F$7:$F$306,"Approved")&gt;0,"A",""))="A","A",IF(OR(DATE($B$3,5,30)&gt;EOMONTH(DATE($B$3,5,1),0),NETWORKDAYS.INTL(DATE($B$3,5,30),DATE($B$3,5,30),1,'Non-working days'!$A$6:$A$45)=0),"",IF(COUNTIFS('Leave log'!$A$7:$A$306,Employees!$A$8,'Leave log'!$B$7:$B$306,"&lt;="&amp;DATE($B$3,5,30),'Leave log'!$C$7:$C$306,"&gt;="&amp;DATE($B$3,5,30),'Leave log'!$F$7:$F$306,"Pending")&gt;0,"P",""))))</f>
        <v/>
      </c>
      <c r="AF145" s="23" t="str">
        <f>IF(A145="","",IF(IF(OR(DATE($B$3,5,31)&gt;EOMONTH(DATE($B$3,5,1),0),NETWORKDAYS.INTL(DATE($B$3,5,31),DATE($B$3,5,31),1,'Non-working days'!$A$6:$A$45)=0),"",IF(COUNTIFS('Leave log'!$A$7:$A$306,Employees!$A$8,'Leave log'!$B$7:$B$306,"&lt;="&amp;DATE($B$3,5,31),'Leave log'!$C$7:$C$306,"&gt;="&amp;DATE($B$3,5,31),'Leave log'!$F$7:$F$306,"Approved")&gt;0,"A",""))="A","A",IF(OR(DATE($B$3,5,31)&gt;EOMONTH(DATE($B$3,5,1),0),NETWORKDAYS.INTL(DATE($B$3,5,31),DATE($B$3,5,31),1,'Non-working days'!$A$6:$A$45)=0),"",IF(COUNTIFS('Leave log'!$A$7:$A$306,Employees!$A$8,'Leave log'!$B$7:$B$306,"&lt;="&amp;DATE($B$3,5,31),'Leave log'!$C$7:$C$306,"&gt;="&amp;DATE($B$3,5,31),'Leave log'!$F$7:$F$306,"Pending")&gt;0,"P",""))))</f>
        <v/>
      </c>
    </row>
    <row r="146" spans="1:32" ht="18" customHeight="1" x14ac:dyDescent="0.3">
      <c r="A146" s="22" t="str">
        <f>IF(Employees!F9="Yes",Employees!B9,"")</f>
        <v/>
      </c>
      <c r="B146" s="23" t="str">
        <f>IF(A146="","",IF(IF(OR(DATE($B$3,5,1)&gt;EOMONTH(DATE($B$3,5,1),0),NETWORKDAYS.INTL(DATE($B$3,5,1),DATE($B$3,5,1),1,'Non-working days'!$A$6:$A$45)=0),"",IF(COUNTIFS('Leave log'!$A$7:$A$306,Employees!$A$9,'Leave log'!$B$7:$B$306,"&lt;="&amp;DATE($B$3,5,1),'Leave log'!$C$7:$C$306,"&gt;="&amp;DATE($B$3,5,1),'Leave log'!$F$7:$F$306,"Approved")&gt;0,"A",""))="A","A",IF(OR(DATE($B$3,5,1)&gt;EOMONTH(DATE($B$3,5,1),0),NETWORKDAYS.INTL(DATE($B$3,5,1),DATE($B$3,5,1),1,'Non-working days'!$A$6:$A$45)=0),"",IF(COUNTIFS('Leave log'!$A$7:$A$306,Employees!$A$9,'Leave log'!$B$7:$B$306,"&lt;="&amp;DATE($B$3,5,1),'Leave log'!$C$7:$C$306,"&gt;="&amp;DATE($B$3,5,1),'Leave log'!$F$7:$F$306,"Pending")&gt;0,"P",""))))</f>
        <v/>
      </c>
      <c r="C146" s="23" t="str">
        <f>IF(A146="","",IF(IF(OR(DATE($B$3,5,2)&gt;EOMONTH(DATE($B$3,5,1),0),NETWORKDAYS.INTL(DATE($B$3,5,2),DATE($B$3,5,2),1,'Non-working days'!$A$6:$A$45)=0),"",IF(COUNTIFS('Leave log'!$A$7:$A$306,Employees!$A$9,'Leave log'!$B$7:$B$306,"&lt;="&amp;DATE($B$3,5,2),'Leave log'!$C$7:$C$306,"&gt;="&amp;DATE($B$3,5,2),'Leave log'!$F$7:$F$306,"Approved")&gt;0,"A",""))="A","A",IF(OR(DATE($B$3,5,2)&gt;EOMONTH(DATE($B$3,5,1),0),NETWORKDAYS.INTL(DATE($B$3,5,2),DATE($B$3,5,2),1,'Non-working days'!$A$6:$A$45)=0),"",IF(COUNTIFS('Leave log'!$A$7:$A$306,Employees!$A$9,'Leave log'!$B$7:$B$306,"&lt;="&amp;DATE($B$3,5,2),'Leave log'!$C$7:$C$306,"&gt;="&amp;DATE($B$3,5,2),'Leave log'!$F$7:$F$306,"Pending")&gt;0,"P",""))))</f>
        <v/>
      </c>
      <c r="D146" s="23" t="str">
        <f>IF(A146="","",IF(IF(OR(DATE($B$3,5,3)&gt;EOMONTH(DATE($B$3,5,1),0),NETWORKDAYS.INTL(DATE($B$3,5,3),DATE($B$3,5,3),1,'Non-working days'!$A$6:$A$45)=0),"",IF(COUNTIFS('Leave log'!$A$7:$A$306,Employees!$A$9,'Leave log'!$B$7:$B$306,"&lt;="&amp;DATE($B$3,5,3),'Leave log'!$C$7:$C$306,"&gt;="&amp;DATE($B$3,5,3),'Leave log'!$F$7:$F$306,"Approved")&gt;0,"A",""))="A","A",IF(OR(DATE($B$3,5,3)&gt;EOMONTH(DATE($B$3,5,1),0),NETWORKDAYS.INTL(DATE($B$3,5,3),DATE($B$3,5,3),1,'Non-working days'!$A$6:$A$45)=0),"",IF(COUNTIFS('Leave log'!$A$7:$A$306,Employees!$A$9,'Leave log'!$B$7:$B$306,"&lt;="&amp;DATE($B$3,5,3),'Leave log'!$C$7:$C$306,"&gt;="&amp;DATE($B$3,5,3),'Leave log'!$F$7:$F$306,"Pending")&gt;0,"P",""))))</f>
        <v/>
      </c>
      <c r="E146" s="23" t="str">
        <f>IF(A146="","",IF(IF(OR(DATE($B$3,5,4)&gt;EOMONTH(DATE($B$3,5,1),0),NETWORKDAYS.INTL(DATE($B$3,5,4),DATE($B$3,5,4),1,'Non-working days'!$A$6:$A$45)=0),"",IF(COUNTIFS('Leave log'!$A$7:$A$306,Employees!$A$9,'Leave log'!$B$7:$B$306,"&lt;="&amp;DATE($B$3,5,4),'Leave log'!$C$7:$C$306,"&gt;="&amp;DATE($B$3,5,4),'Leave log'!$F$7:$F$306,"Approved")&gt;0,"A",""))="A","A",IF(OR(DATE($B$3,5,4)&gt;EOMONTH(DATE($B$3,5,1),0),NETWORKDAYS.INTL(DATE($B$3,5,4),DATE($B$3,5,4),1,'Non-working days'!$A$6:$A$45)=0),"",IF(COUNTIFS('Leave log'!$A$7:$A$306,Employees!$A$9,'Leave log'!$B$7:$B$306,"&lt;="&amp;DATE($B$3,5,4),'Leave log'!$C$7:$C$306,"&gt;="&amp;DATE($B$3,5,4),'Leave log'!$F$7:$F$306,"Pending")&gt;0,"P",""))))</f>
        <v/>
      </c>
      <c r="F146" s="23" t="str">
        <f>IF(A146="","",IF(IF(OR(DATE($B$3,5,5)&gt;EOMONTH(DATE($B$3,5,1),0),NETWORKDAYS.INTL(DATE($B$3,5,5),DATE($B$3,5,5),1,'Non-working days'!$A$6:$A$45)=0),"",IF(COUNTIFS('Leave log'!$A$7:$A$306,Employees!$A$9,'Leave log'!$B$7:$B$306,"&lt;="&amp;DATE($B$3,5,5),'Leave log'!$C$7:$C$306,"&gt;="&amp;DATE($B$3,5,5),'Leave log'!$F$7:$F$306,"Approved")&gt;0,"A",""))="A","A",IF(OR(DATE($B$3,5,5)&gt;EOMONTH(DATE($B$3,5,1),0),NETWORKDAYS.INTL(DATE($B$3,5,5),DATE($B$3,5,5),1,'Non-working days'!$A$6:$A$45)=0),"",IF(COUNTIFS('Leave log'!$A$7:$A$306,Employees!$A$9,'Leave log'!$B$7:$B$306,"&lt;="&amp;DATE($B$3,5,5),'Leave log'!$C$7:$C$306,"&gt;="&amp;DATE($B$3,5,5),'Leave log'!$F$7:$F$306,"Pending")&gt;0,"P",""))))</f>
        <v/>
      </c>
      <c r="G146" s="23" t="str">
        <f>IF(A146="","",IF(IF(OR(DATE($B$3,5,6)&gt;EOMONTH(DATE($B$3,5,1),0),NETWORKDAYS.INTL(DATE($B$3,5,6),DATE($B$3,5,6),1,'Non-working days'!$A$6:$A$45)=0),"",IF(COUNTIFS('Leave log'!$A$7:$A$306,Employees!$A$9,'Leave log'!$B$7:$B$306,"&lt;="&amp;DATE($B$3,5,6),'Leave log'!$C$7:$C$306,"&gt;="&amp;DATE($B$3,5,6),'Leave log'!$F$7:$F$306,"Approved")&gt;0,"A",""))="A","A",IF(OR(DATE($B$3,5,6)&gt;EOMONTH(DATE($B$3,5,1),0),NETWORKDAYS.INTL(DATE($B$3,5,6),DATE($B$3,5,6),1,'Non-working days'!$A$6:$A$45)=0),"",IF(COUNTIFS('Leave log'!$A$7:$A$306,Employees!$A$9,'Leave log'!$B$7:$B$306,"&lt;="&amp;DATE($B$3,5,6),'Leave log'!$C$7:$C$306,"&gt;="&amp;DATE($B$3,5,6),'Leave log'!$F$7:$F$306,"Pending")&gt;0,"P",""))))</f>
        <v/>
      </c>
      <c r="H146" s="23" t="str">
        <f>IF(A146="","",IF(IF(OR(DATE($B$3,5,7)&gt;EOMONTH(DATE($B$3,5,1),0),NETWORKDAYS.INTL(DATE($B$3,5,7),DATE($B$3,5,7),1,'Non-working days'!$A$6:$A$45)=0),"",IF(COUNTIFS('Leave log'!$A$7:$A$306,Employees!$A$9,'Leave log'!$B$7:$B$306,"&lt;="&amp;DATE($B$3,5,7),'Leave log'!$C$7:$C$306,"&gt;="&amp;DATE($B$3,5,7),'Leave log'!$F$7:$F$306,"Approved")&gt;0,"A",""))="A","A",IF(OR(DATE($B$3,5,7)&gt;EOMONTH(DATE($B$3,5,1),0),NETWORKDAYS.INTL(DATE($B$3,5,7),DATE($B$3,5,7),1,'Non-working days'!$A$6:$A$45)=0),"",IF(COUNTIFS('Leave log'!$A$7:$A$306,Employees!$A$9,'Leave log'!$B$7:$B$306,"&lt;="&amp;DATE($B$3,5,7),'Leave log'!$C$7:$C$306,"&gt;="&amp;DATE($B$3,5,7),'Leave log'!$F$7:$F$306,"Pending")&gt;0,"P",""))))</f>
        <v/>
      </c>
      <c r="I146" s="23" t="str">
        <f>IF(A146="","",IF(IF(OR(DATE($B$3,5,8)&gt;EOMONTH(DATE($B$3,5,1),0),NETWORKDAYS.INTL(DATE($B$3,5,8),DATE($B$3,5,8),1,'Non-working days'!$A$6:$A$45)=0),"",IF(COUNTIFS('Leave log'!$A$7:$A$306,Employees!$A$9,'Leave log'!$B$7:$B$306,"&lt;="&amp;DATE($B$3,5,8),'Leave log'!$C$7:$C$306,"&gt;="&amp;DATE($B$3,5,8),'Leave log'!$F$7:$F$306,"Approved")&gt;0,"A",""))="A","A",IF(OR(DATE($B$3,5,8)&gt;EOMONTH(DATE($B$3,5,1),0),NETWORKDAYS.INTL(DATE($B$3,5,8),DATE($B$3,5,8),1,'Non-working days'!$A$6:$A$45)=0),"",IF(COUNTIFS('Leave log'!$A$7:$A$306,Employees!$A$9,'Leave log'!$B$7:$B$306,"&lt;="&amp;DATE($B$3,5,8),'Leave log'!$C$7:$C$306,"&gt;="&amp;DATE($B$3,5,8),'Leave log'!$F$7:$F$306,"Pending")&gt;0,"P",""))))</f>
        <v/>
      </c>
      <c r="J146" s="23" t="str">
        <f>IF(A146="","",IF(IF(OR(DATE($B$3,5,9)&gt;EOMONTH(DATE($B$3,5,1),0),NETWORKDAYS.INTL(DATE($B$3,5,9),DATE($B$3,5,9),1,'Non-working days'!$A$6:$A$45)=0),"",IF(COUNTIFS('Leave log'!$A$7:$A$306,Employees!$A$9,'Leave log'!$B$7:$B$306,"&lt;="&amp;DATE($B$3,5,9),'Leave log'!$C$7:$C$306,"&gt;="&amp;DATE($B$3,5,9),'Leave log'!$F$7:$F$306,"Approved")&gt;0,"A",""))="A","A",IF(OR(DATE($B$3,5,9)&gt;EOMONTH(DATE($B$3,5,1),0),NETWORKDAYS.INTL(DATE($B$3,5,9),DATE($B$3,5,9),1,'Non-working days'!$A$6:$A$45)=0),"",IF(COUNTIFS('Leave log'!$A$7:$A$306,Employees!$A$9,'Leave log'!$B$7:$B$306,"&lt;="&amp;DATE($B$3,5,9),'Leave log'!$C$7:$C$306,"&gt;="&amp;DATE($B$3,5,9),'Leave log'!$F$7:$F$306,"Pending")&gt;0,"P",""))))</f>
        <v/>
      </c>
      <c r="K146" s="23" t="str">
        <f>IF(A146="","",IF(IF(OR(DATE($B$3,5,10)&gt;EOMONTH(DATE($B$3,5,1),0),NETWORKDAYS.INTL(DATE($B$3,5,10),DATE($B$3,5,10),1,'Non-working days'!$A$6:$A$45)=0),"",IF(COUNTIFS('Leave log'!$A$7:$A$306,Employees!$A$9,'Leave log'!$B$7:$B$306,"&lt;="&amp;DATE($B$3,5,10),'Leave log'!$C$7:$C$306,"&gt;="&amp;DATE($B$3,5,10),'Leave log'!$F$7:$F$306,"Approved")&gt;0,"A",""))="A","A",IF(OR(DATE($B$3,5,10)&gt;EOMONTH(DATE($B$3,5,1),0),NETWORKDAYS.INTL(DATE($B$3,5,10),DATE($B$3,5,10),1,'Non-working days'!$A$6:$A$45)=0),"",IF(COUNTIFS('Leave log'!$A$7:$A$306,Employees!$A$9,'Leave log'!$B$7:$B$306,"&lt;="&amp;DATE($B$3,5,10),'Leave log'!$C$7:$C$306,"&gt;="&amp;DATE($B$3,5,10),'Leave log'!$F$7:$F$306,"Pending")&gt;0,"P",""))))</f>
        <v/>
      </c>
      <c r="L146" s="23" t="str">
        <f>IF(A146="","",IF(IF(OR(DATE($B$3,5,11)&gt;EOMONTH(DATE($B$3,5,1),0),NETWORKDAYS.INTL(DATE($B$3,5,11),DATE($B$3,5,11),1,'Non-working days'!$A$6:$A$45)=0),"",IF(COUNTIFS('Leave log'!$A$7:$A$306,Employees!$A$9,'Leave log'!$B$7:$B$306,"&lt;="&amp;DATE($B$3,5,11),'Leave log'!$C$7:$C$306,"&gt;="&amp;DATE($B$3,5,11),'Leave log'!$F$7:$F$306,"Approved")&gt;0,"A",""))="A","A",IF(OR(DATE($B$3,5,11)&gt;EOMONTH(DATE($B$3,5,1),0),NETWORKDAYS.INTL(DATE($B$3,5,11),DATE($B$3,5,11),1,'Non-working days'!$A$6:$A$45)=0),"",IF(COUNTIFS('Leave log'!$A$7:$A$306,Employees!$A$9,'Leave log'!$B$7:$B$306,"&lt;="&amp;DATE($B$3,5,11),'Leave log'!$C$7:$C$306,"&gt;="&amp;DATE($B$3,5,11),'Leave log'!$F$7:$F$306,"Pending")&gt;0,"P",""))))</f>
        <v/>
      </c>
      <c r="M146" s="23" t="str">
        <f>IF(A146="","",IF(IF(OR(DATE($B$3,5,12)&gt;EOMONTH(DATE($B$3,5,1),0),NETWORKDAYS.INTL(DATE($B$3,5,12),DATE($B$3,5,12),1,'Non-working days'!$A$6:$A$45)=0),"",IF(COUNTIFS('Leave log'!$A$7:$A$306,Employees!$A$9,'Leave log'!$B$7:$B$306,"&lt;="&amp;DATE($B$3,5,12),'Leave log'!$C$7:$C$306,"&gt;="&amp;DATE($B$3,5,12),'Leave log'!$F$7:$F$306,"Approved")&gt;0,"A",""))="A","A",IF(OR(DATE($B$3,5,12)&gt;EOMONTH(DATE($B$3,5,1),0),NETWORKDAYS.INTL(DATE($B$3,5,12),DATE($B$3,5,12),1,'Non-working days'!$A$6:$A$45)=0),"",IF(COUNTIFS('Leave log'!$A$7:$A$306,Employees!$A$9,'Leave log'!$B$7:$B$306,"&lt;="&amp;DATE($B$3,5,12),'Leave log'!$C$7:$C$306,"&gt;="&amp;DATE($B$3,5,12),'Leave log'!$F$7:$F$306,"Pending")&gt;0,"P",""))))</f>
        <v/>
      </c>
      <c r="N146" s="23" t="str">
        <f>IF(A146="","",IF(IF(OR(DATE($B$3,5,13)&gt;EOMONTH(DATE($B$3,5,1),0),NETWORKDAYS.INTL(DATE($B$3,5,13),DATE($B$3,5,13),1,'Non-working days'!$A$6:$A$45)=0),"",IF(COUNTIFS('Leave log'!$A$7:$A$306,Employees!$A$9,'Leave log'!$B$7:$B$306,"&lt;="&amp;DATE($B$3,5,13),'Leave log'!$C$7:$C$306,"&gt;="&amp;DATE($B$3,5,13),'Leave log'!$F$7:$F$306,"Approved")&gt;0,"A",""))="A","A",IF(OR(DATE($B$3,5,13)&gt;EOMONTH(DATE($B$3,5,1),0),NETWORKDAYS.INTL(DATE($B$3,5,13),DATE($B$3,5,13),1,'Non-working days'!$A$6:$A$45)=0),"",IF(COUNTIFS('Leave log'!$A$7:$A$306,Employees!$A$9,'Leave log'!$B$7:$B$306,"&lt;="&amp;DATE($B$3,5,13),'Leave log'!$C$7:$C$306,"&gt;="&amp;DATE($B$3,5,13),'Leave log'!$F$7:$F$306,"Pending")&gt;0,"P",""))))</f>
        <v/>
      </c>
      <c r="O146" s="23" t="str">
        <f>IF(A146="","",IF(IF(OR(DATE($B$3,5,14)&gt;EOMONTH(DATE($B$3,5,1),0),NETWORKDAYS.INTL(DATE($B$3,5,14),DATE($B$3,5,14),1,'Non-working days'!$A$6:$A$45)=0),"",IF(COUNTIFS('Leave log'!$A$7:$A$306,Employees!$A$9,'Leave log'!$B$7:$B$306,"&lt;="&amp;DATE($B$3,5,14),'Leave log'!$C$7:$C$306,"&gt;="&amp;DATE($B$3,5,14),'Leave log'!$F$7:$F$306,"Approved")&gt;0,"A",""))="A","A",IF(OR(DATE($B$3,5,14)&gt;EOMONTH(DATE($B$3,5,1),0),NETWORKDAYS.INTL(DATE($B$3,5,14),DATE($B$3,5,14),1,'Non-working days'!$A$6:$A$45)=0),"",IF(COUNTIFS('Leave log'!$A$7:$A$306,Employees!$A$9,'Leave log'!$B$7:$B$306,"&lt;="&amp;DATE($B$3,5,14),'Leave log'!$C$7:$C$306,"&gt;="&amp;DATE($B$3,5,14),'Leave log'!$F$7:$F$306,"Pending")&gt;0,"P",""))))</f>
        <v/>
      </c>
      <c r="P146" s="23" t="str">
        <f>IF(A146="","",IF(IF(OR(DATE($B$3,5,15)&gt;EOMONTH(DATE($B$3,5,1),0),NETWORKDAYS.INTL(DATE($B$3,5,15),DATE($B$3,5,15),1,'Non-working days'!$A$6:$A$45)=0),"",IF(COUNTIFS('Leave log'!$A$7:$A$306,Employees!$A$9,'Leave log'!$B$7:$B$306,"&lt;="&amp;DATE($B$3,5,15),'Leave log'!$C$7:$C$306,"&gt;="&amp;DATE($B$3,5,15),'Leave log'!$F$7:$F$306,"Approved")&gt;0,"A",""))="A","A",IF(OR(DATE($B$3,5,15)&gt;EOMONTH(DATE($B$3,5,1),0),NETWORKDAYS.INTL(DATE($B$3,5,15),DATE($B$3,5,15),1,'Non-working days'!$A$6:$A$45)=0),"",IF(COUNTIFS('Leave log'!$A$7:$A$306,Employees!$A$9,'Leave log'!$B$7:$B$306,"&lt;="&amp;DATE($B$3,5,15),'Leave log'!$C$7:$C$306,"&gt;="&amp;DATE($B$3,5,15),'Leave log'!$F$7:$F$306,"Pending")&gt;0,"P",""))))</f>
        <v/>
      </c>
      <c r="Q146" s="23" t="str">
        <f>IF(A146="","",IF(IF(OR(DATE($B$3,5,16)&gt;EOMONTH(DATE($B$3,5,1),0),NETWORKDAYS.INTL(DATE($B$3,5,16),DATE($B$3,5,16),1,'Non-working days'!$A$6:$A$45)=0),"",IF(COUNTIFS('Leave log'!$A$7:$A$306,Employees!$A$9,'Leave log'!$B$7:$B$306,"&lt;="&amp;DATE($B$3,5,16),'Leave log'!$C$7:$C$306,"&gt;="&amp;DATE($B$3,5,16),'Leave log'!$F$7:$F$306,"Approved")&gt;0,"A",""))="A","A",IF(OR(DATE($B$3,5,16)&gt;EOMONTH(DATE($B$3,5,1),0),NETWORKDAYS.INTL(DATE($B$3,5,16),DATE($B$3,5,16),1,'Non-working days'!$A$6:$A$45)=0),"",IF(COUNTIFS('Leave log'!$A$7:$A$306,Employees!$A$9,'Leave log'!$B$7:$B$306,"&lt;="&amp;DATE($B$3,5,16),'Leave log'!$C$7:$C$306,"&gt;="&amp;DATE($B$3,5,16),'Leave log'!$F$7:$F$306,"Pending")&gt;0,"P",""))))</f>
        <v/>
      </c>
      <c r="R146" s="23" t="str">
        <f>IF(A146="","",IF(IF(OR(DATE($B$3,5,17)&gt;EOMONTH(DATE($B$3,5,1),0),NETWORKDAYS.INTL(DATE($B$3,5,17),DATE($B$3,5,17),1,'Non-working days'!$A$6:$A$45)=0),"",IF(COUNTIFS('Leave log'!$A$7:$A$306,Employees!$A$9,'Leave log'!$B$7:$B$306,"&lt;="&amp;DATE($B$3,5,17),'Leave log'!$C$7:$C$306,"&gt;="&amp;DATE($B$3,5,17),'Leave log'!$F$7:$F$306,"Approved")&gt;0,"A",""))="A","A",IF(OR(DATE($B$3,5,17)&gt;EOMONTH(DATE($B$3,5,1),0),NETWORKDAYS.INTL(DATE($B$3,5,17),DATE($B$3,5,17),1,'Non-working days'!$A$6:$A$45)=0),"",IF(COUNTIFS('Leave log'!$A$7:$A$306,Employees!$A$9,'Leave log'!$B$7:$B$306,"&lt;="&amp;DATE($B$3,5,17),'Leave log'!$C$7:$C$306,"&gt;="&amp;DATE($B$3,5,17),'Leave log'!$F$7:$F$306,"Pending")&gt;0,"P",""))))</f>
        <v/>
      </c>
      <c r="S146" s="23" t="str">
        <f>IF(A146="","",IF(IF(OR(DATE($B$3,5,18)&gt;EOMONTH(DATE($B$3,5,1),0),NETWORKDAYS.INTL(DATE($B$3,5,18),DATE($B$3,5,18),1,'Non-working days'!$A$6:$A$45)=0),"",IF(COUNTIFS('Leave log'!$A$7:$A$306,Employees!$A$9,'Leave log'!$B$7:$B$306,"&lt;="&amp;DATE($B$3,5,18),'Leave log'!$C$7:$C$306,"&gt;="&amp;DATE($B$3,5,18),'Leave log'!$F$7:$F$306,"Approved")&gt;0,"A",""))="A","A",IF(OR(DATE($B$3,5,18)&gt;EOMONTH(DATE($B$3,5,1),0),NETWORKDAYS.INTL(DATE($B$3,5,18),DATE($B$3,5,18),1,'Non-working days'!$A$6:$A$45)=0),"",IF(COUNTIFS('Leave log'!$A$7:$A$306,Employees!$A$9,'Leave log'!$B$7:$B$306,"&lt;="&amp;DATE($B$3,5,18),'Leave log'!$C$7:$C$306,"&gt;="&amp;DATE($B$3,5,18),'Leave log'!$F$7:$F$306,"Pending")&gt;0,"P",""))))</f>
        <v/>
      </c>
      <c r="T146" s="23" t="str">
        <f>IF(A146="","",IF(IF(OR(DATE($B$3,5,19)&gt;EOMONTH(DATE($B$3,5,1),0),NETWORKDAYS.INTL(DATE($B$3,5,19),DATE($B$3,5,19),1,'Non-working days'!$A$6:$A$45)=0),"",IF(COUNTIFS('Leave log'!$A$7:$A$306,Employees!$A$9,'Leave log'!$B$7:$B$306,"&lt;="&amp;DATE($B$3,5,19),'Leave log'!$C$7:$C$306,"&gt;="&amp;DATE($B$3,5,19),'Leave log'!$F$7:$F$306,"Approved")&gt;0,"A",""))="A","A",IF(OR(DATE($B$3,5,19)&gt;EOMONTH(DATE($B$3,5,1),0),NETWORKDAYS.INTL(DATE($B$3,5,19),DATE($B$3,5,19),1,'Non-working days'!$A$6:$A$45)=0),"",IF(COUNTIFS('Leave log'!$A$7:$A$306,Employees!$A$9,'Leave log'!$B$7:$B$306,"&lt;="&amp;DATE($B$3,5,19),'Leave log'!$C$7:$C$306,"&gt;="&amp;DATE($B$3,5,19),'Leave log'!$F$7:$F$306,"Pending")&gt;0,"P",""))))</f>
        <v/>
      </c>
      <c r="U146" s="23" t="str">
        <f>IF(A146="","",IF(IF(OR(DATE($B$3,5,20)&gt;EOMONTH(DATE($B$3,5,1),0),NETWORKDAYS.INTL(DATE($B$3,5,20),DATE($B$3,5,20),1,'Non-working days'!$A$6:$A$45)=0),"",IF(COUNTIFS('Leave log'!$A$7:$A$306,Employees!$A$9,'Leave log'!$B$7:$B$306,"&lt;="&amp;DATE($B$3,5,20),'Leave log'!$C$7:$C$306,"&gt;="&amp;DATE($B$3,5,20),'Leave log'!$F$7:$F$306,"Approved")&gt;0,"A",""))="A","A",IF(OR(DATE($B$3,5,20)&gt;EOMONTH(DATE($B$3,5,1),0),NETWORKDAYS.INTL(DATE($B$3,5,20),DATE($B$3,5,20),1,'Non-working days'!$A$6:$A$45)=0),"",IF(COUNTIFS('Leave log'!$A$7:$A$306,Employees!$A$9,'Leave log'!$B$7:$B$306,"&lt;="&amp;DATE($B$3,5,20),'Leave log'!$C$7:$C$306,"&gt;="&amp;DATE($B$3,5,20),'Leave log'!$F$7:$F$306,"Pending")&gt;0,"P",""))))</f>
        <v/>
      </c>
      <c r="V146" s="23" t="str">
        <f>IF(A146="","",IF(IF(OR(DATE($B$3,5,21)&gt;EOMONTH(DATE($B$3,5,1),0),NETWORKDAYS.INTL(DATE($B$3,5,21),DATE($B$3,5,21),1,'Non-working days'!$A$6:$A$45)=0),"",IF(COUNTIFS('Leave log'!$A$7:$A$306,Employees!$A$9,'Leave log'!$B$7:$B$306,"&lt;="&amp;DATE($B$3,5,21),'Leave log'!$C$7:$C$306,"&gt;="&amp;DATE($B$3,5,21),'Leave log'!$F$7:$F$306,"Approved")&gt;0,"A",""))="A","A",IF(OR(DATE($B$3,5,21)&gt;EOMONTH(DATE($B$3,5,1),0),NETWORKDAYS.INTL(DATE($B$3,5,21),DATE($B$3,5,21),1,'Non-working days'!$A$6:$A$45)=0),"",IF(COUNTIFS('Leave log'!$A$7:$A$306,Employees!$A$9,'Leave log'!$B$7:$B$306,"&lt;="&amp;DATE($B$3,5,21),'Leave log'!$C$7:$C$306,"&gt;="&amp;DATE($B$3,5,21),'Leave log'!$F$7:$F$306,"Pending")&gt;0,"P",""))))</f>
        <v/>
      </c>
      <c r="W146" s="23" t="str">
        <f>IF(A146="","",IF(IF(OR(DATE($B$3,5,22)&gt;EOMONTH(DATE($B$3,5,1),0),NETWORKDAYS.INTL(DATE($B$3,5,22),DATE($B$3,5,22),1,'Non-working days'!$A$6:$A$45)=0),"",IF(COUNTIFS('Leave log'!$A$7:$A$306,Employees!$A$9,'Leave log'!$B$7:$B$306,"&lt;="&amp;DATE($B$3,5,22),'Leave log'!$C$7:$C$306,"&gt;="&amp;DATE($B$3,5,22),'Leave log'!$F$7:$F$306,"Approved")&gt;0,"A",""))="A","A",IF(OR(DATE($B$3,5,22)&gt;EOMONTH(DATE($B$3,5,1),0),NETWORKDAYS.INTL(DATE($B$3,5,22),DATE($B$3,5,22),1,'Non-working days'!$A$6:$A$45)=0),"",IF(COUNTIFS('Leave log'!$A$7:$A$306,Employees!$A$9,'Leave log'!$B$7:$B$306,"&lt;="&amp;DATE($B$3,5,22),'Leave log'!$C$7:$C$306,"&gt;="&amp;DATE($B$3,5,22),'Leave log'!$F$7:$F$306,"Pending")&gt;0,"P",""))))</f>
        <v/>
      </c>
      <c r="X146" s="23" t="str">
        <f>IF(A146="","",IF(IF(OR(DATE($B$3,5,23)&gt;EOMONTH(DATE($B$3,5,1),0),NETWORKDAYS.INTL(DATE($B$3,5,23),DATE($B$3,5,23),1,'Non-working days'!$A$6:$A$45)=0),"",IF(COUNTIFS('Leave log'!$A$7:$A$306,Employees!$A$9,'Leave log'!$B$7:$B$306,"&lt;="&amp;DATE($B$3,5,23),'Leave log'!$C$7:$C$306,"&gt;="&amp;DATE($B$3,5,23),'Leave log'!$F$7:$F$306,"Approved")&gt;0,"A",""))="A","A",IF(OR(DATE($B$3,5,23)&gt;EOMONTH(DATE($B$3,5,1),0),NETWORKDAYS.INTL(DATE($B$3,5,23),DATE($B$3,5,23),1,'Non-working days'!$A$6:$A$45)=0),"",IF(COUNTIFS('Leave log'!$A$7:$A$306,Employees!$A$9,'Leave log'!$B$7:$B$306,"&lt;="&amp;DATE($B$3,5,23),'Leave log'!$C$7:$C$306,"&gt;="&amp;DATE($B$3,5,23),'Leave log'!$F$7:$F$306,"Pending")&gt;0,"P",""))))</f>
        <v/>
      </c>
      <c r="Y146" s="23" t="str">
        <f>IF(A146="","",IF(IF(OR(DATE($B$3,5,24)&gt;EOMONTH(DATE($B$3,5,1),0),NETWORKDAYS.INTL(DATE($B$3,5,24),DATE($B$3,5,24),1,'Non-working days'!$A$6:$A$45)=0),"",IF(COUNTIFS('Leave log'!$A$7:$A$306,Employees!$A$9,'Leave log'!$B$7:$B$306,"&lt;="&amp;DATE($B$3,5,24),'Leave log'!$C$7:$C$306,"&gt;="&amp;DATE($B$3,5,24),'Leave log'!$F$7:$F$306,"Approved")&gt;0,"A",""))="A","A",IF(OR(DATE($B$3,5,24)&gt;EOMONTH(DATE($B$3,5,1),0),NETWORKDAYS.INTL(DATE($B$3,5,24),DATE($B$3,5,24),1,'Non-working days'!$A$6:$A$45)=0),"",IF(COUNTIFS('Leave log'!$A$7:$A$306,Employees!$A$9,'Leave log'!$B$7:$B$306,"&lt;="&amp;DATE($B$3,5,24),'Leave log'!$C$7:$C$306,"&gt;="&amp;DATE($B$3,5,24),'Leave log'!$F$7:$F$306,"Pending")&gt;0,"P",""))))</f>
        <v/>
      </c>
      <c r="Z146" s="23" t="str">
        <f>IF(A146="","",IF(IF(OR(DATE($B$3,5,25)&gt;EOMONTH(DATE($B$3,5,1),0),NETWORKDAYS.INTL(DATE($B$3,5,25),DATE($B$3,5,25),1,'Non-working days'!$A$6:$A$45)=0),"",IF(COUNTIFS('Leave log'!$A$7:$A$306,Employees!$A$9,'Leave log'!$B$7:$B$306,"&lt;="&amp;DATE($B$3,5,25),'Leave log'!$C$7:$C$306,"&gt;="&amp;DATE($B$3,5,25),'Leave log'!$F$7:$F$306,"Approved")&gt;0,"A",""))="A","A",IF(OR(DATE($B$3,5,25)&gt;EOMONTH(DATE($B$3,5,1),0),NETWORKDAYS.INTL(DATE($B$3,5,25),DATE($B$3,5,25),1,'Non-working days'!$A$6:$A$45)=0),"",IF(COUNTIFS('Leave log'!$A$7:$A$306,Employees!$A$9,'Leave log'!$B$7:$B$306,"&lt;="&amp;DATE($B$3,5,25),'Leave log'!$C$7:$C$306,"&gt;="&amp;DATE($B$3,5,25),'Leave log'!$F$7:$F$306,"Pending")&gt;0,"P",""))))</f>
        <v/>
      </c>
      <c r="AA146" s="23" t="str">
        <f>IF(A146="","",IF(IF(OR(DATE($B$3,5,26)&gt;EOMONTH(DATE($B$3,5,1),0),NETWORKDAYS.INTL(DATE($B$3,5,26),DATE($B$3,5,26),1,'Non-working days'!$A$6:$A$45)=0),"",IF(COUNTIFS('Leave log'!$A$7:$A$306,Employees!$A$9,'Leave log'!$B$7:$B$306,"&lt;="&amp;DATE($B$3,5,26),'Leave log'!$C$7:$C$306,"&gt;="&amp;DATE($B$3,5,26),'Leave log'!$F$7:$F$306,"Approved")&gt;0,"A",""))="A","A",IF(OR(DATE($B$3,5,26)&gt;EOMONTH(DATE($B$3,5,1),0),NETWORKDAYS.INTL(DATE($B$3,5,26),DATE($B$3,5,26),1,'Non-working days'!$A$6:$A$45)=0),"",IF(COUNTIFS('Leave log'!$A$7:$A$306,Employees!$A$9,'Leave log'!$B$7:$B$306,"&lt;="&amp;DATE($B$3,5,26),'Leave log'!$C$7:$C$306,"&gt;="&amp;DATE($B$3,5,26),'Leave log'!$F$7:$F$306,"Pending")&gt;0,"P",""))))</f>
        <v/>
      </c>
      <c r="AB146" s="23" t="str">
        <f>IF(A146="","",IF(IF(OR(DATE($B$3,5,27)&gt;EOMONTH(DATE($B$3,5,1),0),NETWORKDAYS.INTL(DATE($B$3,5,27),DATE($B$3,5,27),1,'Non-working days'!$A$6:$A$45)=0),"",IF(COUNTIFS('Leave log'!$A$7:$A$306,Employees!$A$9,'Leave log'!$B$7:$B$306,"&lt;="&amp;DATE($B$3,5,27),'Leave log'!$C$7:$C$306,"&gt;="&amp;DATE($B$3,5,27),'Leave log'!$F$7:$F$306,"Approved")&gt;0,"A",""))="A","A",IF(OR(DATE($B$3,5,27)&gt;EOMONTH(DATE($B$3,5,1),0),NETWORKDAYS.INTL(DATE($B$3,5,27),DATE($B$3,5,27),1,'Non-working days'!$A$6:$A$45)=0),"",IF(COUNTIFS('Leave log'!$A$7:$A$306,Employees!$A$9,'Leave log'!$B$7:$B$306,"&lt;="&amp;DATE($B$3,5,27),'Leave log'!$C$7:$C$306,"&gt;="&amp;DATE($B$3,5,27),'Leave log'!$F$7:$F$306,"Pending")&gt;0,"P",""))))</f>
        <v/>
      </c>
      <c r="AC146" s="23" t="str">
        <f>IF(A146="","",IF(IF(OR(DATE($B$3,5,28)&gt;EOMONTH(DATE($B$3,5,1),0),NETWORKDAYS.INTL(DATE($B$3,5,28),DATE($B$3,5,28),1,'Non-working days'!$A$6:$A$45)=0),"",IF(COUNTIFS('Leave log'!$A$7:$A$306,Employees!$A$9,'Leave log'!$B$7:$B$306,"&lt;="&amp;DATE($B$3,5,28),'Leave log'!$C$7:$C$306,"&gt;="&amp;DATE($B$3,5,28),'Leave log'!$F$7:$F$306,"Approved")&gt;0,"A",""))="A","A",IF(OR(DATE($B$3,5,28)&gt;EOMONTH(DATE($B$3,5,1),0),NETWORKDAYS.INTL(DATE($B$3,5,28),DATE($B$3,5,28),1,'Non-working days'!$A$6:$A$45)=0),"",IF(COUNTIFS('Leave log'!$A$7:$A$306,Employees!$A$9,'Leave log'!$B$7:$B$306,"&lt;="&amp;DATE($B$3,5,28),'Leave log'!$C$7:$C$306,"&gt;="&amp;DATE($B$3,5,28),'Leave log'!$F$7:$F$306,"Pending")&gt;0,"P",""))))</f>
        <v/>
      </c>
      <c r="AD146" s="23" t="str">
        <f>IF(A146="","",IF(IF(OR(DATE($B$3,5,29)&gt;EOMONTH(DATE($B$3,5,1),0),NETWORKDAYS.INTL(DATE($B$3,5,29),DATE($B$3,5,29),1,'Non-working days'!$A$6:$A$45)=0),"",IF(COUNTIFS('Leave log'!$A$7:$A$306,Employees!$A$9,'Leave log'!$B$7:$B$306,"&lt;="&amp;DATE($B$3,5,29),'Leave log'!$C$7:$C$306,"&gt;="&amp;DATE($B$3,5,29),'Leave log'!$F$7:$F$306,"Approved")&gt;0,"A",""))="A","A",IF(OR(DATE($B$3,5,29)&gt;EOMONTH(DATE($B$3,5,1),0),NETWORKDAYS.INTL(DATE($B$3,5,29),DATE($B$3,5,29),1,'Non-working days'!$A$6:$A$45)=0),"",IF(COUNTIFS('Leave log'!$A$7:$A$306,Employees!$A$9,'Leave log'!$B$7:$B$306,"&lt;="&amp;DATE($B$3,5,29),'Leave log'!$C$7:$C$306,"&gt;="&amp;DATE($B$3,5,29),'Leave log'!$F$7:$F$306,"Pending")&gt;0,"P",""))))</f>
        <v/>
      </c>
      <c r="AE146" s="23" t="str">
        <f>IF(A146="","",IF(IF(OR(DATE($B$3,5,30)&gt;EOMONTH(DATE($B$3,5,1),0),NETWORKDAYS.INTL(DATE($B$3,5,30),DATE($B$3,5,30),1,'Non-working days'!$A$6:$A$45)=0),"",IF(COUNTIFS('Leave log'!$A$7:$A$306,Employees!$A$9,'Leave log'!$B$7:$B$306,"&lt;="&amp;DATE($B$3,5,30),'Leave log'!$C$7:$C$306,"&gt;="&amp;DATE($B$3,5,30),'Leave log'!$F$7:$F$306,"Approved")&gt;0,"A",""))="A","A",IF(OR(DATE($B$3,5,30)&gt;EOMONTH(DATE($B$3,5,1),0),NETWORKDAYS.INTL(DATE($B$3,5,30),DATE($B$3,5,30),1,'Non-working days'!$A$6:$A$45)=0),"",IF(COUNTIFS('Leave log'!$A$7:$A$306,Employees!$A$9,'Leave log'!$B$7:$B$306,"&lt;="&amp;DATE($B$3,5,30),'Leave log'!$C$7:$C$306,"&gt;="&amp;DATE($B$3,5,30),'Leave log'!$F$7:$F$306,"Pending")&gt;0,"P",""))))</f>
        <v/>
      </c>
      <c r="AF146" s="23" t="str">
        <f>IF(A146="","",IF(IF(OR(DATE($B$3,5,31)&gt;EOMONTH(DATE($B$3,5,1),0),NETWORKDAYS.INTL(DATE($B$3,5,31),DATE($B$3,5,31),1,'Non-working days'!$A$6:$A$45)=0),"",IF(COUNTIFS('Leave log'!$A$7:$A$306,Employees!$A$9,'Leave log'!$B$7:$B$306,"&lt;="&amp;DATE($B$3,5,31),'Leave log'!$C$7:$C$306,"&gt;="&amp;DATE($B$3,5,31),'Leave log'!$F$7:$F$306,"Approved")&gt;0,"A",""))="A","A",IF(OR(DATE($B$3,5,31)&gt;EOMONTH(DATE($B$3,5,1),0),NETWORKDAYS.INTL(DATE($B$3,5,31),DATE($B$3,5,31),1,'Non-working days'!$A$6:$A$45)=0),"",IF(COUNTIFS('Leave log'!$A$7:$A$306,Employees!$A$9,'Leave log'!$B$7:$B$306,"&lt;="&amp;DATE($B$3,5,31),'Leave log'!$C$7:$C$306,"&gt;="&amp;DATE($B$3,5,31),'Leave log'!$F$7:$F$306,"Pending")&gt;0,"P",""))))</f>
        <v/>
      </c>
    </row>
    <row r="147" spans="1:32" ht="18" customHeight="1" x14ac:dyDescent="0.3">
      <c r="A147" s="22" t="str">
        <f>IF(Employees!F10="Yes",Employees!B10,"")</f>
        <v/>
      </c>
      <c r="B147" s="23" t="str">
        <f>IF(A147="","",IF(IF(OR(DATE($B$3,5,1)&gt;EOMONTH(DATE($B$3,5,1),0),NETWORKDAYS.INTL(DATE($B$3,5,1),DATE($B$3,5,1),1,'Non-working days'!$A$6:$A$45)=0),"",IF(COUNTIFS('Leave log'!$A$7:$A$306,Employees!$A$10,'Leave log'!$B$7:$B$306,"&lt;="&amp;DATE($B$3,5,1),'Leave log'!$C$7:$C$306,"&gt;="&amp;DATE($B$3,5,1),'Leave log'!$F$7:$F$306,"Approved")&gt;0,"A",""))="A","A",IF(OR(DATE($B$3,5,1)&gt;EOMONTH(DATE($B$3,5,1),0),NETWORKDAYS.INTL(DATE($B$3,5,1),DATE($B$3,5,1),1,'Non-working days'!$A$6:$A$45)=0),"",IF(COUNTIFS('Leave log'!$A$7:$A$306,Employees!$A$10,'Leave log'!$B$7:$B$306,"&lt;="&amp;DATE($B$3,5,1),'Leave log'!$C$7:$C$306,"&gt;="&amp;DATE($B$3,5,1),'Leave log'!$F$7:$F$306,"Pending")&gt;0,"P",""))))</f>
        <v/>
      </c>
      <c r="C147" s="23" t="str">
        <f>IF(A147="","",IF(IF(OR(DATE($B$3,5,2)&gt;EOMONTH(DATE($B$3,5,1),0),NETWORKDAYS.INTL(DATE($B$3,5,2),DATE($B$3,5,2),1,'Non-working days'!$A$6:$A$45)=0),"",IF(COUNTIFS('Leave log'!$A$7:$A$306,Employees!$A$10,'Leave log'!$B$7:$B$306,"&lt;="&amp;DATE($B$3,5,2),'Leave log'!$C$7:$C$306,"&gt;="&amp;DATE($B$3,5,2),'Leave log'!$F$7:$F$306,"Approved")&gt;0,"A",""))="A","A",IF(OR(DATE($B$3,5,2)&gt;EOMONTH(DATE($B$3,5,1),0),NETWORKDAYS.INTL(DATE($B$3,5,2),DATE($B$3,5,2),1,'Non-working days'!$A$6:$A$45)=0),"",IF(COUNTIFS('Leave log'!$A$7:$A$306,Employees!$A$10,'Leave log'!$B$7:$B$306,"&lt;="&amp;DATE($B$3,5,2),'Leave log'!$C$7:$C$306,"&gt;="&amp;DATE($B$3,5,2),'Leave log'!$F$7:$F$306,"Pending")&gt;0,"P",""))))</f>
        <v/>
      </c>
      <c r="D147" s="23" t="str">
        <f>IF(A147="","",IF(IF(OR(DATE($B$3,5,3)&gt;EOMONTH(DATE($B$3,5,1),0),NETWORKDAYS.INTL(DATE($B$3,5,3),DATE($B$3,5,3),1,'Non-working days'!$A$6:$A$45)=0),"",IF(COUNTIFS('Leave log'!$A$7:$A$306,Employees!$A$10,'Leave log'!$B$7:$B$306,"&lt;="&amp;DATE($B$3,5,3),'Leave log'!$C$7:$C$306,"&gt;="&amp;DATE($B$3,5,3),'Leave log'!$F$7:$F$306,"Approved")&gt;0,"A",""))="A","A",IF(OR(DATE($B$3,5,3)&gt;EOMONTH(DATE($B$3,5,1),0),NETWORKDAYS.INTL(DATE($B$3,5,3),DATE($B$3,5,3),1,'Non-working days'!$A$6:$A$45)=0),"",IF(COUNTIFS('Leave log'!$A$7:$A$306,Employees!$A$10,'Leave log'!$B$7:$B$306,"&lt;="&amp;DATE($B$3,5,3),'Leave log'!$C$7:$C$306,"&gt;="&amp;DATE($B$3,5,3),'Leave log'!$F$7:$F$306,"Pending")&gt;0,"P",""))))</f>
        <v/>
      </c>
      <c r="E147" s="23" t="str">
        <f>IF(A147="","",IF(IF(OR(DATE($B$3,5,4)&gt;EOMONTH(DATE($B$3,5,1),0),NETWORKDAYS.INTL(DATE($B$3,5,4),DATE($B$3,5,4),1,'Non-working days'!$A$6:$A$45)=0),"",IF(COUNTIFS('Leave log'!$A$7:$A$306,Employees!$A$10,'Leave log'!$B$7:$B$306,"&lt;="&amp;DATE($B$3,5,4),'Leave log'!$C$7:$C$306,"&gt;="&amp;DATE($B$3,5,4),'Leave log'!$F$7:$F$306,"Approved")&gt;0,"A",""))="A","A",IF(OR(DATE($B$3,5,4)&gt;EOMONTH(DATE($B$3,5,1),0),NETWORKDAYS.INTL(DATE($B$3,5,4),DATE($B$3,5,4),1,'Non-working days'!$A$6:$A$45)=0),"",IF(COUNTIFS('Leave log'!$A$7:$A$306,Employees!$A$10,'Leave log'!$B$7:$B$306,"&lt;="&amp;DATE($B$3,5,4),'Leave log'!$C$7:$C$306,"&gt;="&amp;DATE($B$3,5,4),'Leave log'!$F$7:$F$306,"Pending")&gt;0,"P",""))))</f>
        <v/>
      </c>
      <c r="F147" s="23" t="str">
        <f>IF(A147="","",IF(IF(OR(DATE($B$3,5,5)&gt;EOMONTH(DATE($B$3,5,1),0),NETWORKDAYS.INTL(DATE($B$3,5,5),DATE($B$3,5,5),1,'Non-working days'!$A$6:$A$45)=0),"",IF(COUNTIFS('Leave log'!$A$7:$A$306,Employees!$A$10,'Leave log'!$B$7:$B$306,"&lt;="&amp;DATE($B$3,5,5),'Leave log'!$C$7:$C$306,"&gt;="&amp;DATE($B$3,5,5),'Leave log'!$F$7:$F$306,"Approved")&gt;0,"A",""))="A","A",IF(OR(DATE($B$3,5,5)&gt;EOMONTH(DATE($B$3,5,1),0),NETWORKDAYS.INTL(DATE($B$3,5,5),DATE($B$3,5,5),1,'Non-working days'!$A$6:$A$45)=0),"",IF(COUNTIFS('Leave log'!$A$7:$A$306,Employees!$A$10,'Leave log'!$B$7:$B$306,"&lt;="&amp;DATE($B$3,5,5),'Leave log'!$C$7:$C$306,"&gt;="&amp;DATE($B$3,5,5),'Leave log'!$F$7:$F$306,"Pending")&gt;0,"P",""))))</f>
        <v/>
      </c>
      <c r="G147" s="23" t="str">
        <f>IF(A147="","",IF(IF(OR(DATE($B$3,5,6)&gt;EOMONTH(DATE($B$3,5,1),0),NETWORKDAYS.INTL(DATE($B$3,5,6),DATE($B$3,5,6),1,'Non-working days'!$A$6:$A$45)=0),"",IF(COUNTIFS('Leave log'!$A$7:$A$306,Employees!$A$10,'Leave log'!$B$7:$B$306,"&lt;="&amp;DATE($B$3,5,6),'Leave log'!$C$7:$C$306,"&gt;="&amp;DATE($B$3,5,6),'Leave log'!$F$7:$F$306,"Approved")&gt;0,"A",""))="A","A",IF(OR(DATE($B$3,5,6)&gt;EOMONTH(DATE($B$3,5,1),0),NETWORKDAYS.INTL(DATE($B$3,5,6),DATE($B$3,5,6),1,'Non-working days'!$A$6:$A$45)=0),"",IF(COUNTIFS('Leave log'!$A$7:$A$306,Employees!$A$10,'Leave log'!$B$7:$B$306,"&lt;="&amp;DATE($B$3,5,6),'Leave log'!$C$7:$C$306,"&gt;="&amp;DATE($B$3,5,6),'Leave log'!$F$7:$F$306,"Pending")&gt;0,"P",""))))</f>
        <v/>
      </c>
      <c r="H147" s="23" t="str">
        <f>IF(A147="","",IF(IF(OR(DATE($B$3,5,7)&gt;EOMONTH(DATE($B$3,5,1),0),NETWORKDAYS.INTL(DATE($B$3,5,7),DATE($B$3,5,7),1,'Non-working days'!$A$6:$A$45)=0),"",IF(COUNTIFS('Leave log'!$A$7:$A$306,Employees!$A$10,'Leave log'!$B$7:$B$306,"&lt;="&amp;DATE($B$3,5,7),'Leave log'!$C$7:$C$306,"&gt;="&amp;DATE($B$3,5,7),'Leave log'!$F$7:$F$306,"Approved")&gt;0,"A",""))="A","A",IF(OR(DATE($B$3,5,7)&gt;EOMONTH(DATE($B$3,5,1),0),NETWORKDAYS.INTL(DATE($B$3,5,7),DATE($B$3,5,7),1,'Non-working days'!$A$6:$A$45)=0),"",IF(COUNTIFS('Leave log'!$A$7:$A$306,Employees!$A$10,'Leave log'!$B$7:$B$306,"&lt;="&amp;DATE($B$3,5,7),'Leave log'!$C$7:$C$306,"&gt;="&amp;DATE($B$3,5,7),'Leave log'!$F$7:$F$306,"Pending")&gt;0,"P",""))))</f>
        <v/>
      </c>
      <c r="I147" s="23" t="str">
        <f>IF(A147="","",IF(IF(OR(DATE($B$3,5,8)&gt;EOMONTH(DATE($B$3,5,1),0),NETWORKDAYS.INTL(DATE($B$3,5,8),DATE($B$3,5,8),1,'Non-working days'!$A$6:$A$45)=0),"",IF(COUNTIFS('Leave log'!$A$7:$A$306,Employees!$A$10,'Leave log'!$B$7:$B$306,"&lt;="&amp;DATE($B$3,5,8),'Leave log'!$C$7:$C$306,"&gt;="&amp;DATE($B$3,5,8),'Leave log'!$F$7:$F$306,"Approved")&gt;0,"A",""))="A","A",IF(OR(DATE($B$3,5,8)&gt;EOMONTH(DATE($B$3,5,1),0),NETWORKDAYS.INTL(DATE($B$3,5,8),DATE($B$3,5,8),1,'Non-working days'!$A$6:$A$45)=0),"",IF(COUNTIFS('Leave log'!$A$7:$A$306,Employees!$A$10,'Leave log'!$B$7:$B$306,"&lt;="&amp;DATE($B$3,5,8),'Leave log'!$C$7:$C$306,"&gt;="&amp;DATE($B$3,5,8),'Leave log'!$F$7:$F$306,"Pending")&gt;0,"P",""))))</f>
        <v/>
      </c>
      <c r="J147" s="23" t="str">
        <f>IF(A147="","",IF(IF(OR(DATE($B$3,5,9)&gt;EOMONTH(DATE($B$3,5,1),0),NETWORKDAYS.INTL(DATE($B$3,5,9),DATE($B$3,5,9),1,'Non-working days'!$A$6:$A$45)=0),"",IF(COUNTIFS('Leave log'!$A$7:$A$306,Employees!$A$10,'Leave log'!$B$7:$B$306,"&lt;="&amp;DATE($B$3,5,9),'Leave log'!$C$7:$C$306,"&gt;="&amp;DATE($B$3,5,9),'Leave log'!$F$7:$F$306,"Approved")&gt;0,"A",""))="A","A",IF(OR(DATE($B$3,5,9)&gt;EOMONTH(DATE($B$3,5,1),0),NETWORKDAYS.INTL(DATE($B$3,5,9),DATE($B$3,5,9),1,'Non-working days'!$A$6:$A$45)=0),"",IF(COUNTIFS('Leave log'!$A$7:$A$306,Employees!$A$10,'Leave log'!$B$7:$B$306,"&lt;="&amp;DATE($B$3,5,9),'Leave log'!$C$7:$C$306,"&gt;="&amp;DATE($B$3,5,9),'Leave log'!$F$7:$F$306,"Pending")&gt;0,"P",""))))</f>
        <v/>
      </c>
      <c r="K147" s="23" t="str">
        <f>IF(A147="","",IF(IF(OR(DATE($B$3,5,10)&gt;EOMONTH(DATE($B$3,5,1),0),NETWORKDAYS.INTL(DATE($B$3,5,10),DATE($B$3,5,10),1,'Non-working days'!$A$6:$A$45)=0),"",IF(COUNTIFS('Leave log'!$A$7:$A$306,Employees!$A$10,'Leave log'!$B$7:$B$306,"&lt;="&amp;DATE($B$3,5,10),'Leave log'!$C$7:$C$306,"&gt;="&amp;DATE($B$3,5,10),'Leave log'!$F$7:$F$306,"Approved")&gt;0,"A",""))="A","A",IF(OR(DATE($B$3,5,10)&gt;EOMONTH(DATE($B$3,5,1),0),NETWORKDAYS.INTL(DATE($B$3,5,10),DATE($B$3,5,10),1,'Non-working days'!$A$6:$A$45)=0),"",IF(COUNTIFS('Leave log'!$A$7:$A$306,Employees!$A$10,'Leave log'!$B$7:$B$306,"&lt;="&amp;DATE($B$3,5,10),'Leave log'!$C$7:$C$306,"&gt;="&amp;DATE($B$3,5,10),'Leave log'!$F$7:$F$306,"Pending")&gt;0,"P",""))))</f>
        <v/>
      </c>
      <c r="L147" s="23" t="str">
        <f>IF(A147="","",IF(IF(OR(DATE($B$3,5,11)&gt;EOMONTH(DATE($B$3,5,1),0),NETWORKDAYS.INTL(DATE($B$3,5,11),DATE($B$3,5,11),1,'Non-working days'!$A$6:$A$45)=0),"",IF(COUNTIFS('Leave log'!$A$7:$A$306,Employees!$A$10,'Leave log'!$B$7:$B$306,"&lt;="&amp;DATE($B$3,5,11),'Leave log'!$C$7:$C$306,"&gt;="&amp;DATE($B$3,5,11),'Leave log'!$F$7:$F$306,"Approved")&gt;0,"A",""))="A","A",IF(OR(DATE($B$3,5,11)&gt;EOMONTH(DATE($B$3,5,1),0),NETWORKDAYS.INTL(DATE($B$3,5,11),DATE($B$3,5,11),1,'Non-working days'!$A$6:$A$45)=0),"",IF(COUNTIFS('Leave log'!$A$7:$A$306,Employees!$A$10,'Leave log'!$B$7:$B$306,"&lt;="&amp;DATE($B$3,5,11),'Leave log'!$C$7:$C$306,"&gt;="&amp;DATE($B$3,5,11),'Leave log'!$F$7:$F$306,"Pending")&gt;0,"P",""))))</f>
        <v/>
      </c>
      <c r="M147" s="23" t="str">
        <f>IF(A147="","",IF(IF(OR(DATE($B$3,5,12)&gt;EOMONTH(DATE($B$3,5,1),0),NETWORKDAYS.INTL(DATE($B$3,5,12),DATE($B$3,5,12),1,'Non-working days'!$A$6:$A$45)=0),"",IF(COUNTIFS('Leave log'!$A$7:$A$306,Employees!$A$10,'Leave log'!$B$7:$B$306,"&lt;="&amp;DATE($B$3,5,12),'Leave log'!$C$7:$C$306,"&gt;="&amp;DATE($B$3,5,12),'Leave log'!$F$7:$F$306,"Approved")&gt;0,"A",""))="A","A",IF(OR(DATE($B$3,5,12)&gt;EOMONTH(DATE($B$3,5,1),0),NETWORKDAYS.INTL(DATE($B$3,5,12),DATE($B$3,5,12),1,'Non-working days'!$A$6:$A$45)=0),"",IF(COUNTIFS('Leave log'!$A$7:$A$306,Employees!$A$10,'Leave log'!$B$7:$B$306,"&lt;="&amp;DATE($B$3,5,12),'Leave log'!$C$7:$C$306,"&gt;="&amp;DATE($B$3,5,12),'Leave log'!$F$7:$F$306,"Pending")&gt;0,"P",""))))</f>
        <v/>
      </c>
      <c r="N147" s="23" t="str">
        <f>IF(A147="","",IF(IF(OR(DATE($B$3,5,13)&gt;EOMONTH(DATE($B$3,5,1),0),NETWORKDAYS.INTL(DATE($B$3,5,13),DATE($B$3,5,13),1,'Non-working days'!$A$6:$A$45)=0),"",IF(COUNTIFS('Leave log'!$A$7:$A$306,Employees!$A$10,'Leave log'!$B$7:$B$306,"&lt;="&amp;DATE($B$3,5,13),'Leave log'!$C$7:$C$306,"&gt;="&amp;DATE($B$3,5,13),'Leave log'!$F$7:$F$306,"Approved")&gt;0,"A",""))="A","A",IF(OR(DATE($B$3,5,13)&gt;EOMONTH(DATE($B$3,5,1),0),NETWORKDAYS.INTL(DATE($B$3,5,13),DATE($B$3,5,13),1,'Non-working days'!$A$6:$A$45)=0),"",IF(COUNTIFS('Leave log'!$A$7:$A$306,Employees!$A$10,'Leave log'!$B$7:$B$306,"&lt;="&amp;DATE($B$3,5,13),'Leave log'!$C$7:$C$306,"&gt;="&amp;DATE($B$3,5,13),'Leave log'!$F$7:$F$306,"Pending")&gt;0,"P",""))))</f>
        <v/>
      </c>
      <c r="O147" s="23" t="str">
        <f>IF(A147="","",IF(IF(OR(DATE($B$3,5,14)&gt;EOMONTH(DATE($B$3,5,1),0),NETWORKDAYS.INTL(DATE($B$3,5,14),DATE($B$3,5,14),1,'Non-working days'!$A$6:$A$45)=0),"",IF(COUNTIFS('Leave log'!$A$7:$A$306,Employees!$A$10,'Leave log'!$B$7:$B$306,"&lt;="&amp;DATE($B$3,5,14),'Leave log'!$C$7:$C$306,"&gt;="&amp;DATE($B$3,5,14),'Leave log'!$F$7:$F$306,"Approved")&gt;0,"A",""))="A","A",IF(OR(DATE($B$3,5,14)&gt;EOMONTH(DATE($B$3,5,1),0),NETWORKDAYS.INTL(DATE($B$3,5,14),DATE($B$3,5,14),1,'Non-working days'!$A$6:$A$45)=0),"",IF(COUNTIFS('Leave log'!$A$7:$A$306,Employees!$A$10,'Leave log'!$B$7:$B$306,"&lt;="&amp;DATE($B$3,5,14),'Leave log'!$C$7:$C$306,"&gt;="&amp;DATE($B$3,5,14),'Leave log'!$F$7:$F$306,"Pending")&gt;0,"P",""))))</f>
        <v/>
      </c>
      <c r="P147" s="23" t="str">
        <f>IF(A147="","",IF(IF(OR(DATE($B$3,5,15)&gt;EOMONTH(DATE($B$3,5,1),0),NETWORKDAYS.INTL(DATE($B$3,5,15),DATE($B$3,5,15),1,'Non-working days'!$A$6:$A$45)=0),"",IF(COUNTIFS('Leave log'!$A$7:$A$306,Employees!$A$10,'Leave log'!$B$7:$B$306,"&lt;="&amp;DATE($B$3,5,15),'Leave log'!$C$7:$C$306,"&gt;="&amp;DATE($B$3,5,15),'Leave log'!$F$7:$F$306,"Approved")&gt;0,"A",""))="A","A",IF(OR(DATE($B$3,5,15)&gt;EOMONTH(DATE($B$3,5,1),0),NETWORKDAYS.INTL(DATE($B$3,5,15),DATE($B$3,5,15),1,'Non-working days'!$A$6:$A$45)=0),"",IF(COUNTIFS('Leave log'!$A$7:$A$306,Employees!$A$10,'Leave log'!$B$7:$B$306,"&lt;="&amp;DATE($B$3,5,15),'Leave log'!$C$7:$C$306,"&gt;="&amp;DATE($B$3,5,15),'Leave log'!$F$7:$F$306,"Pending")&gt;0,"P",""))))</f>
        <v/>
      </c>
      <c r="Q147" s="23" t="str">
        <f>IF(A147="","",IF(IF(OR(DATE($B$3,5,16)&gt;EOMONTH(DATE($B$3,5,1),0),NETWORKDAYS.INTL(DATE($B$3,5,16),DATE($B$3,5,16),1,'Non-working days'!$A$6:$A$45)=0),"",IF(COUNTIFS('Leave log'!$A$7:$A$306,Employees!$A$10,'Leave log'!$B$7:$B$306,"&lt;="&amp;DATE($B$3,5,16),'Leave log'!$C$7:$C$306,"&gt;="&amp;DATE($B$3,5,16),'Leave log'!$F$7:$F$306,"Approved")&gt;0,"A",""))="A","A",IF(OR(DATE($B$3,5,16)&gt;EOMONTH(DATE($B$3,5,1),0),NETWORKDAYS.INTL(DATE($B$3,5,16),DATE($B$3,5,16),1,'Non-working days'!$A$6:$A$45)=0),"",IF(COUNTIFS('Leave log'!$A$7:$A$306,Employees!$A$10,'Leave log'!$B$7:$B$306,"&lt;="&amp;DATE($B$3,5,16),'Leave log'!$C$7:$C$306,"&gt;="&amp;DATE($B$3,5,16),'Leave log'!$F$7:$F$306,"Pending")&gt;0,"P",""))))</f>
        <v/>
      </c>
      <c r="R147" s="23" t="str">
        <f>IF(A147="","",IF(IF(OR(DATE($B$3,5,17)&gt;EOMONTH(DATE($B$3,5,1),0),NETWORKDAYS.INTL(DATE($B$3,5,17),DATE($B$3,5,17),1,'Non-working days'!$A$6:$A$45)=0),"",IF(COUNTIFS('Leave log'!$A$7:$A$306,Employees!$A$10,'Leave log'!$B$7:$B$306,"&lt;="&amp;DATE($B$3,5,17),'Leave log'!$C$7:$C$306,"&gt;="&amp;DATE($B$3,5,17),'Leave log'!$F$7:$F$306,"Approved")&gt;0,"A",""))="A","A",IF(OR(DATE($B$3,5,17)&gt;EOMONTH(DATE($B$3,5,1),0),NETWORKDAYS.INTL(DATE($B$3,5,17),DATE($B$3,5,17),1,'Non-working days'!$A$6:$A$45)=0),"",IF(COUNTIFS('Leave log'!$A$7:$A$306,Employees!$A$10,'Leave log'!$B$7:$B$306,"&lt;="&amp;DATE($B$3,5,17),'Leave log'!$C$7:$C$306,"&gt;="&amp;DATE($B$3,5,17),'Leave log'!$F$7:$F$306,"Pending")&gt;0,"P",""))))</f>
        <v/>
      </c>
      <c r="S147" s="23" t="str">
        <f>IF(A147="","",IF(IF(OR(DATE($B$3,5,18)&gt;EOMONTH(DATE($B$3,5,1),0),NETWORKDAYS.INTL(DATE($B$3,5,18),DATE($B$3,5,18),1,'Non-working days'!$A$6:$A$45)=0),"",IF(COUNTIFS('Leave log'!$A$7:$A$306,Employees!$A$10,'Leave log'!$B$7:$B$306,"&lt;="&amp;DATE($B$3,5,18),'Leave log'!$C$7:$C$306,"&gt;="&amp;DATE($B$3,5,18),'Leave log'!$F$7:$F$306,"Approved")&gt;0,"A",""))="A","A",IF(OR(DATE($B$3,5,18)&gt;EOMONTH(DATE($B$3,5,1),0),NETWORKDAYS.INTL(DATE($B$3,5,18),DATE($B$3,5,18),1,'Non-working days'!$A$6:$A$45)=0),"",IF(COUNTIFS('Leave log'!$A$7:$A$306,Employees!$A$10,'Leave log'!$B$7:$B$306,"&lt;="&amp;DATE($B$3,5,18),'Leave log'!$C$7:$C$306,"&gt;="&amp;DATE($B$3,5,18),'Leave log'!$F$7:$F$306,"Pending")&gt;0,"P",""))))</f>
        <v/>
      </c>
      <c r="T147" s="23" t="str">
        <f>IF(A147="","",IF(IF(OR(DATE($B$3,5,19)&gt;EOMONTH(DATE($B$3,5,1),0),NETWORKDAYS.INTL(DATE($B$3,5,19),DATE($B$3,5,19),1,'Non-working days'!$A$6:$A$45)=0),"",IF(COUNTIFS('Leave log'!$A$7:$A$306,Employees!$A$10,'Leave log'!$B$7:$B$306,"&lt;="&amp;DATE($B$3,5,19),'Leave log'!$C$7:$C$306,"&gt;="&amp;DATE($B$3,5,19),'Leave log'!$F$7:$F$306,"Approved")&gt;0,"A",""))="A","A",IF(OR(DATE($B$3,5,19)&gt;EOMONTH(DATE($B$3,5,1),0),NETWORKDAYS.INTL(DATE($B$3,5,19),DATE($B$3,5,19),1,'Non-working days'!$A$6:$A$45)=0),"",IF(COUNTIFS('Leave log'!$A$7:$A$306,Employees!$A$10,'Leave log'!$B$7:$B$306,"&lt;="&amp;DATE($B$3,5,19),'Leave log'!$C$7:$C$306,"&gt;="&amp;DATE($B$3,5,19),'Leave log'!$F$7:$F$306,"Pending")&gt;0,"P",""))))</f>
        <v/>
      </c>
      <c r="U147" s="23" t="str">
        <f>IF(A147="","",IF(IF(OR(DATE($B$3,5,20)&gt;EOMONTH(DATE($B$3,5,1),0),NETWORKDAYS.INTL(DATE($B$3,5,20),DATE($B$3,5,20),1,'Non-working days'!$A$6:$A$45)=0),"",IF(COUNTIFS('Leave log'!$A$7:$A$306,Employees!$A$10,'Leave log'!$B$7:$B$306,"&lt;="&amp;DATE($B$3,5,20),'Leave log'!$C$7:$C$306,"&gt;="&amp;DATE($B$3,5,20),'Leave log'!$F$7:$F$306,"Approved")&gt;0,"A",""))="A","A",IF(OR(DATE($B$3,5,20)&gt;EOMONTH(DATE($B$3,5,1),0),NETWORKDAYS.INTL(DATE($B$3,5,20),DATE($B$3,5,20),1,'Non-working days'!$A$6:$A$45)=0),"",IF(COUNTIFS('Leave log'!$A$7:$A$306,Employees!$A$10,'Leave log'!$B$7:$B$306,"&lt;="&amp;DATE($B$3,5,20),'Leave log'!$C$7:$C$306,"&gt;="&amp;DATE($B$3,5,20),'Leave log'!$F$7:$F$306,"Pending")&gt;0,"P",""))))</f>
        <v/>
      </c>
      <c r="V147" s="23" t="str">
        <f>IF(A147="","",IF(IF(OR(DATE($B$3,5,21)&gt;EOMONTH(DATE($B$3,5,1),0),NETWORKDAYS.INTL(DATE($B$3,5,21),DATE($B$3,5,21),1,'Non-working days'!$A$6:$A$45)=0),"",IF(COUNTIFS('Leave log'!$A$7:$A$306,Employees!$A$10,'Leave log'!$B$7:$B$306,"&lt;="&amp;DATE($B$3,5,21),'Leave log'!$C$7:$C$306,"&gt;="&amp;DATE($B$3,5,21),'Leave log'!$F$7:$F$306,"Approved")&gt;0,"A",""))="A","A",IF(OR(DATE($B$3,5,21)&gt;EOMONTH(DATE($B$3,5,1),0),NETWORKDAYS.INTL(DATE($B$3,5,21),DATE($B$3,5,21),1,'Non-working days'!$A$6:$A$45)=0),"",IF(COUNTIFS('Leave log'!$A$7:$A$306,Employees!$A$10,'Leave log'!$B$7:$B$306,"&lt;="&amp;DATE($B$3,5,21),'Leave log'!$C$7:$C$306,"&gt;="&amp;DATE($B$3,5,21),'Leave log'!$F$7:$F$306,"Pending")&gt;0,"P",""))))</f>
        <v/>
      </c>
      <c r="W147" s="23" t="str">
        <f>IF(A147="","",IF(IF(OR(DATE($B$3,5,22)&gt;EOMONTH(DATE($B$3,5,1),0),NETWORKDAYS.INTL(DATE($B$3,5,22),DATE($B$3,5,22),1,'Non-working days'!$A$6:$A$45)=0),"",IF(COUNTIFS('Leave log'!$A$7:$A$306,Employees!$A$10,'Leave log'!$B$7:$B$306,"&lt;="&amp;DATE($B$3,5,22),'Leave log'!$C$7:$C$306,"&gt;="&amp;DATE($B$3,5,22),'Leave log'!$F$7:$F$306,"Approved")&gt;0,"A",""))="A","A",IF(OR(DATE($B$3,5,22)&gt;EOMONTH(DATE($B$3,5,1),0),NETWORKDAYS.INTL(DATE($B$3,5,22),DATE($B$3,5,22),1,'Non-working days'!$A$6:$A$45)=0),"",IF(COUNTIFS('Leave log'!$A$7:$A$306,Employees!$A$10,'Leave log'!$B$7:$B$306,"&lt;="&amp;DATE($B$3,5,22),'Leave log'!$C$7:$C$306,"&gt;="&amp;DATE($B$3,5,22),'Leave log'!$F$7:$F$306,"Pending")&gt;0,"P",""))))</f>
        <v/>
      </c>
      <c r="X147" s="23" t="str">
        <f>IF(A147="","",IF(IF(OR(DATE($B$3,5,23)&gt;EOMONTH(DATE($B$3,5,1),0),NETWORKDAYS.INTL(DATE($B$3,5,23),DATE($B$3,5,23),1,'Non-working days'!$A$6:$A$45)=0),"",IF(COUNTIFS('Leave log'!$A$7:$A$306,Employees!$A$10,'Leave log'!$B$7:$B$306,"&lt;="&amp;DATE($B$3,5,23),'Leave log'!$C$7:$C$306,"&gt;="&amp;DATE($B$3,5,23),'Leave log'!$F$7:$F$306,"Approved")&gt;0,"A",""))="A","A",IF(OR(DATE($B$3,5,23)&gt;EOMONTH(DATE($B$3,5,1),0),NETWORKDAYS.INTL(DATE($B$3,5,23),DATE($B$3,5,23),1,'Non-working days'!$A$6:$A$45)=0),"",IF(COUNTIFS('Leave log'!$A$7:$A$306,Employees!$A$10,'Leave log'!$B$7:$B$306,"&lt;="&amp;DATE($B$3,5,23),'Leave log'!$C$7:$C$306,"&gt;="&amp;DATE($B$3,5,23),'Leave log'!$F$7:$F$306,"Pending")&gt;0,"P",""))))</f>
        <v/>
      </c>
      <c r="Y147" s="23" t="str">
        <f>IF(A147="","",IF(IF(OR(DATE($B$3,5,24)&gt;EOMONTH(DATE($B$3,5,1),0),NETWORKDAYS.INTL(DATE($B$3,5,24),DATE($B$3,5,24),1,'Non-working days'!$A$6:$A$45)=0),"",IF(COUNTIFS('Leave log'!$A$7:$A$306,Employees!$A$10,'Leave log'!$B$7:$B$306,"&lt;="&amp;DATE($B$3,5,24),'Leave log'!$C$7:$C$306,"&gt;="&amp;DATE($B$3,5,24),'Leave log'!$F$7:$F$306,"Approved")&gt;0,"A",""))="A","A",IF(OR(DATE($B$3,5,24)&gt;EOMONTH(DATE($B$3,5,1),0),NETWORKDAYS.INTL(DATE($B$3,5,24),DATE($B$3,5,24),1,'Non-working days'!$A$6:$A$45)=0),"",IF(COUNTIFS('Leave log'!$A$7:$A$306,Employees!$A$10,'Leave log'!$B$7:$B$306,"&lt;="&amp;DATE($B$3,5,24),'Leave log'!$C$7:$C$306,"&gt;="&amp;DATE($B$3,5,24),'Leave log'!$F$7:$F$306,"Pending")&gt;0,"P",""))))</f>
        <v/>
      </c>
      <c r="Z147" s="23" t="str">
        <f>IF(A147="","",IF(IF(OR(DATE($B$3,5,25)&gt;EOMONTH(DATE($B$3,5,1),0),NETWORKDAYS.INTL(DATE($B$3,5,25),DATE($B$3,5,25),1,'Non-working days'!$A$6:$A$45)=0),"",IF(COUNTIFS('Leave log'!$A$7:$A$306,Employees!$A$10,'Leave log'!$B$7:$B$306,"&lt;="&amp;DATE($B$3,5,25),'Leave log'!$C$7:$C$306,"&gt;="&amp;DATE($B$3,5,25),'Leave log'!$F$7:$F$306,"Approved")&gt;0,"A",""))="A","A",IF(OR(DATE($B$3,5,25)&gt;EOMONTH(DATE($B$3,5,1),0),NETWORKDAYS.INTL(DATE($B$3,5,25),DATE($B$3,5,25),1,'Non-working days'!$A$6:$A$45)=0),"",IF(COUNTIFS('Leave log'!$A$7:$A$306,Employees!$A$10,'Leave log'!$B$7:$B$306,"&lt;="&amp;DATE($B$3,5,25),'Leave log'!$C$7:$C$306,"&gt;="&amp;DATE($B$3,5,25),'Leave log'!$F$7:$F$306,"Pending")&gt;0,"P",""))))</f>
        <v/>
      </c>
      <c r="AA147" s="23" t="str">
        <f>IF(A147="","",IF(IF(OR(DATE($B$3,5,26)&gt;EOMONTH(DATE($B$3,5,1),0),NETWORKDAYS.INTL(DATE($B$3,5,26),DATE($B$3,5,26),1,'Non-working days'!$A$6:$A$45)=0),"",IF(COUNTIFS('Leave log'!$A$7:$A$306,Employees!$A$10,'Leave log'!$B$7:$B$306,"&lt;="&amp;DATE($B$3,5,26),'Leave log'!$C$7:$C$306,"&gt;="&amp;DATE($B$3,5,26),'Leave log'!$F$7:$F$306,"Approved")&gt;0,"A",""))="A","A",IF(OR(DATE($B$3,5,26)&gt;EOMONTH(DATE($B$3,5,1),0),NETWORKDAYS.INTL(DATE($B$3,5,26),DATE($B$3,5,26),1,'Non-working days'!$A$6:$A$45)=0),"",IF(COUNTIFS('Leave log'!$A$7:$A$306,Employees!$A$10,'Leave log'!$B$7:$B$306,"&lt;="&amp;DATE($B$3,5,26),'Leave log'!$C$7:$C$306,"&gt;="&amp;DATE($B$3,5,26),'Leave log'!$F$7:$F$306,"Pending")&gt;0,"P",""))))</f>
        <v/>
      </c>
      <c r="AB147" s="23" t="str">
        <f>IF(A147="","",IF(IF(OR(DATE($B$3,5,27)&gt;EOMONTH(DATE($B$3,5,1),0),NETWORKDAYS.INTL(DATE($B$3,5,27),DATE($B$3,5,27),1,'Non-working days'!$A$6:$A$45)=0),"",IF(COUNTIFS('Leave log'!$A$7:$A$306,Employees!$A$10,'Leave log'!$B$7:$B$306,"&lt;="&amp;DATE($B$3,5,27),'Leave log'!$C$7:$C$306,"&gt;="&amp;DATE($B$3,5,27),'Leave log'!$F$7:$F$306,"Approved")&gt;0,"A",""))="A","A",IF(OR(DATE($B$3,5,27)&gt;EOMONTH(DATE($B$3,5,1),0),NETWORKDAYS.INTL(DATE($B$3,5,27),DATE($B$3,5,27),1,'Non-working days'!$A$6:$A$45)=0),"",IF(COUNTIFS('Leave log'!$A$7:$A$306,Employees!$A$10,'Leave log'!$B$7:$B$306,"&lt;="&amp;DATE($B$3,5,27),'Leave log'!$C$7:$C$306,"&gt;="&amp;DATE($B$3,5,27),'Leave log'!$F$7:$F$306,"Pending")&gt;0,"P",""))))</f>
        <v/>
      </c>
      <c r="AC147" s="23" t="str">
        <f>IF(A147="","",IF(IF(OR(DATE($B$3,5,28)&gt;EOMONTH(DATE($B$3,5,1),0),NETWORKDAYS.INTL(DATE($B$3,5,28),DATE($B$3,5,28),1,'Non-working days'!$A$6:$A$45)=0),"",IF(COUNTIFS('Leave log'!$A$7:$A$306,Employees!$A$10,'Leave log'!$B$7:$B$306,"&lt;="&amp;DATE($B$3,5,28),'Leave log'!$C$7:$C$306,"&gt;="&amp;DATE($B$3,5,28),'Leave log'!$F$7:$F$306,"Approved")&gt;0,"A",""))="A","A",IF(OR(DATE($B$3,5,28)&gt;EOMONTH(DATE($B$3,5,1),0),NETWORKDAYS.INTL(DATE($B$3,5,28),DATE($B$3,5,28),1,'Non-working days'!$A$6:$A$45)=0),"",IF(COUNTIFS('Leave log'!$A$7:$A$306,Employees!$A$10,'Leave log'!$B$7:$B$306,"&lt;="&amp;DATE($B$3,5,28),'Leave log'!$C$7:$C$306,"&gt;="&amp;DATE($B$3,5,28),'Leave log'!$F$7:$F$306,"Pending")&gt;0,"P",""))))</f>
        <v/>
      </c>
      <c r="AD147" s="23" t="str">
        <f>IF(A147="","",IF(IF(OR(DATE($B$3,5,29)&gt;EOMONTH(DATE($B$3,5,1),0),NETWORKDAYS.INTL(DATE($B$3,5,29),DATE($B$3,5,29),1,'Non-working days'!$A$6:$A$45)=0),"",IF(COUNTIFS('Leave log'!$A$7:$A$306,Employees!$A$10,'Leave log'!$B$7:$B$306,"&lt;="&amp;DATE($B$3,5,29),'Leave log'!$C$7:$C$306,"&gt;="&amp;DATE($B$3,5,29),'Leave log'!$F$7:$F$306,"Approved")&gt;0,"A",""))="A","A",IF(OR(DATE($B$3,5,29)&gt;EOMONTH(DATE($B$3,5,1),0),NETWORKDAYS.INTL(DATE($B$3,5,29),DATE($B$3,5,29),1,'Non-working days'!$A$6:$A$45)=0),"",IF(COUNTIFS('Leave log'!$A$7:$A$306,Employees!$A$10,'Leave log'!$B$7:$B$306,"&lt;="&amp;DATE($B$3,5,29),'Leave log'!$C$7:$C$306,"&gt;="&amp;DATE($B$3,5,29),'Leave log'!$F$7:$F$306,"Pending")&gt;0,"P",""))))</f>
        <v/>
      </c>
      <c r="AE147" s="23" t="str">
        <f>IF(A147="","",IF(IF(OR(DATE($B$3,5,30)&gt;EOMONTH(DATE($B$3,5,1),0),NETWORKDAYS.INTL(DATE($B$3,5,30),DATE($B$3,5,30),1,'Non-working days'!$A$6:$A$45)=0),"",IF(COUNTIFS('Leave log'!$A$7:$A$306,Employees!$A$10,'Leave log'!$B$7:$B$306,"&lt;="&amp;DATE($B$3,5,30),'Leave log'!$C$7:$C$306,"&gt;="&amp;DATE($B$3,5,30),'Leave log'!$F$7:$F$306,"Approved")&gt;0,"A",""))="A","A",IF(OR(DATE($B$3,5,30)&gt;EOMONTH(DATE($B$3,5,1),0),NETWORKDAYS.INTL(DATE($B$3,5,30),DATE($B$3,5,30),1,'Non-working days'!$A$6:$A$45)=0),"",IF(COUNTIFS('Leave log'!$A$7:$A$306,Employees!$A$10,'Leave log'!$B$7:$B$306,"&lt;="&amp;DATE($B$3,5,30),'Leave log'!$C$7:$C$306,"&gt;="&amp;DATE($B$3,5,30),'Leave log'!$F$7:$F$306,"Pending")&gt;0,"P",""))))</f>
        <v/>
      </c>
      <c r="AF147" s="23" t="str">
        <f>IF(A147="","",IF(IF(OR(DATE($B$3,5,31)&gt;EOMONTH(DATE($B$3,5,1),0),NETWORKDAYS.INTL(DATE($B$3,5,31),DATE($B$3,5,31),1,'Non-working days'!$A$6:$A$45)=0),"",IF(COUNTIFS('Leave log'!$A$7:$A$306,Employees!$A$10,'Leave log'!$B$7:$B$306,"&lt;="&amp;DATE($B$3,5,31),'Leave log'!$C$7:$C$306,"&gt;="&amp;DATE($B$3,5,31),'Leave log'!$F$7:$F$306,"Approved")&gt;0,"A",""))="A","A",IF(OR(DATE($B$3,5,31)&gt;EOMONTH(DATE($B$3,5,1),0),NETWORKDAYS.INTL(DATE($B$3,5,31),DATE($B$3,5,31),1,'Non-working days'!$A$6:$A$45)=0),"",IF(COUNTIFS('Leave log'!$A$7:$A$306,Employees!$A$10,'Leave log'!$B$7:$B$306,"&lt;="&amp;DATE($B$3,5,31),'Leave log'!$C$7:$C$306,"&gt;="&amp;DATE($B$3,5,31),'Leave log'!$F$7:$F$306,"Pending")&gt;0,"P",""))))</f>
        <v/>
      </c>
    </row>
    <row r="148" spans="1:32" ht="18" customHeight="1" x14ac:dyDescent="0.3">
      <c r="A148" s="22" t="str">
        <f>IF(Employees!F11="Yes",Employees!B11,"")</f>
        <v/>
      </c>
      <c r="B148" s="23" t="str">
        <f>IF(A148="","",IF(IF(OR(DATE($B$3,5,1)&gt;EOMONTH(DATE($B$3,5,1),0),NETWORKDAYS.INTL(DATE($B$3,5,1),DATE($B$3,5,1),1,'Non-working days'!$A$6:$A$45)=0),"",IF(COUNTIFS('Leave log'!$A$7:$A$306,Employees!$A$11,'Leave log'!$B$7:$B$306,"&lt;="&amp;DATE($B$3,5,1),'Leave log'!$C$7:$C$306,"&gt;="&amp;DATE($B$3,5,1),'Leave log'!$F$7:$F$306,"Approved")&gt;0,"A",""))="A","A",IF(OR(DATE($B$3,5,1)&gt;EOMONTH(DATE($B$3,5,1),0),NETWORKDAYS.INTL(DATE($B$3,5,1),DATE($B$3,5,1),1,'Non-working days'!$A$6:$A$45)=0),"",IF(COUNTIFS('Leave log'!$A$7:$A$306,Employees!$A$11,'Leave log'!$B$7:$B$306,"&lt;="&amp;DATE($B$3,5,1),'Leave log'!$C$7:$C$306,"&gt;="&amp;DATE($B$3,5,1),'Leave log'!$F$7:$F$306,"Pending")&gt;0,"P",""))))</f>
        <v/>
      </c>
      <c r="C148" s="23" t="str">
        <f>IF(A148="","",IF(IF(OR(DATE($B$3,5,2)&gt;EOMONTH(DATE($B$3,5,1),0),NETWORKDAYS.INTL(DATE($B$3,5,2),DATE($B$3,5,2),1,'Non-working days'!$A$6:$A$45)=0),"",IF(COUNTIFS('Leave log'!$A$7:$A$306,Employees!$A$11,'Leave log'!$B$7:$B$306,"&lt;="&amp;DATE($B$3,5,2),'Leave log'!$C$7:$C$306,"&gt;="&amp;DATE($B$3,5,2),'Leave log'!$F$7:$F$306,"Approved")&gt;0,"A",""))="A","A",IF(OR(DATE($B$3,5,2)&gt;EOMONTH(DATE($B$3,5,1),0),NETWORKDAYS.INTL(DATE($B$3,5,2),DATE($B$3,5,2),1,'Non-working days'!$A$6:$A$45)=0),"",IF(COUNTIFS('Leave log'!$A$7:$A$306,Employees!$A$11,'Leave log'!$B$7:$B$306,"&lt;="&amp;DATE($B$3,5,2),'Leave log'!$C$7:$C$306,"&gt;="&amp;DATE($B$3,5,2),'Leave log'!$F$7:$F$306,"Pending")&gt;0,"P",""))))</f>
        <v/>
      </c>
      <c r="D148" s="23" t="str">
        <f>IF(A148="","",IF(IF(OR(DATE($B$3,5,3)&gt;EOMONTH(DATE($B$3,5,1),0),NETWORKDAYS.INTL(DATE($B$3,5,3),DATE($B$3,5,3),1,'Non-working days'!$A$6:$A$45)=0),"",IF(COUNTIFS('Leave log'!$A$7:$A$306,Employees!$A$11,'Leave log'!$B$7:$B$306,"&lt;="&amp;DATE($B$3,5,3),'Leave log'!$C$7:$C$306,"&gt;="&amp;DATE($B$3,5,3),'Leave log'!$F$7:$F$306,"Approved")&gt;0,"A",""))="A","A",IF(OR(DATE($B$3,5,3)&gt;EOMONTH(DATE($B$3,5,1),0),NETWORKDAYS.INTL(DATE($B$3,5,3),DATE($B$3,5,3),1,'Non-working days'!$A$6:$A$45)=0),"",IF(COUNTIFS('Leave log'!$A$7:$A$306,Employees!$A$11,'Leave log'!$B$7:$B$306,"&lt;="&amp;DATE($B$3,5,3),'Leave log'!$C$7:$C$306,"&gt;="&amp;DATE($B$3,5,3),'Leave log'!$F$7:$F$306,"Pending")&gt;0,"P",""))))</f>
        <v/>
      </c>
      <c r="E148" s="23" t="str">
        <f>IF(A148="","",IF(IF(OR(DATE($B$3,5,4)&gt;EOMONTH(DATE($B$3,5,1),0),NETWORKDAYS.INTL(DATE($B$3,5,4),DATE($B$3,5,4),1,'Non-working days'!$A$6:$A$45)=0),"",IF(COUNTIFS('Leave log'!$A$7:$A$306,Employees!$A$11,'Leave log'!$B$7:$B$306,"&lt;="&amp;DATE($B$3,5,4),'Leave log'!$C$7:$C$306,"&gt;="&amp;DATE($B$3,5,4),'Leave log'!$F$7:$F$306,"Approved")&gt;0,"A",""))="A","A",IF(OR(DATE($B$3,5,4)&gt;EOMONTH(DATE($B$3,5,1),0),NETWORKDAYS.INTL(DATE($B$3,5,4),DATE($B$3,5,4),1,'Non-working days'!$A$6:$A$45)=0),"",IF(COUNTIFS('Leave log'!$A$7:$A$306,Employees!$A$11,'Leave log'!$B$7:$B$306,"&lt;="&amp;DATE($B$3,5,4),'Leave log'!$C$7:$C$306,"&gt;="&amp;DATE($B$3,5,4),'Leave log'!$F$7:$F$306,"Pending")&gt;0,"P",""))))</f>
        <v/>
      </c>
      <c r="F148" s="23" t="str">
        <f>IF(A148="","",IF(IF(OR(DATE($B$3,5,5)&gt;EOMONTH(DATE($B$3,5,1),0),NETWORKDAYS.INTL(DATE($B$3,5,5),DATE($B$3,5,5),1,'Non-working days'!$A$6:$A$45)=0),"",IF(COUNTIFS('Leave log'!$A$7:$A$306,Employees!$A$11,'Leave log'!$B$7:$B$306,"&lt;="&amp;DATE($B$3,5,5),'Leave log'!$C$7:$C$306,"&gt;="&amp;DATE($B$3,5,5),'Leave log'!$F$7:$F$306,"Approved")&gt;0,"A",""))="A","A",IF(OR(DATE($B$3,5,5)&gt;EOMONTH(DATE($B$3,5,1),0),NETWORKDAYS.INTL(DATE($B$3,5,5),DATE($B$3,5,5),1,'Non-working days'!$A$6:$A$45)=0),"",IF(COUNTIFS('Leave log'!$A$7:$A$306,Employees!$A$11,'Leave log'!$B$7:$B$306,"&lt;="&amp;DATE($B$3,5,5),'Leave log'!$C$7:$C$306,"&gt;="&amp;DATE($B$3,5,5),'Leave log'!$F$7:$F$306,"Pending")&gt;0,"P",""))))</f>
        <v/>
      </c>
      <c r="G148" s="23" t="str">
        <f>IF(A148="","",IF(IF(OR(DATE($B$3,5,6)&gt;EOMONTH(DATE($B$3,5,1),0),NETWORKDAYS.INTL(DATE($B$3,5,6),DATE($B$3,5,6),1,'Non-working days'!$A$6:$A$45)=0),"",IF(COUNTIFS('Leave log'!$A$7:$A$306,Employees!$A$11,'Leave log'!$B$7:$B$306,"&lt;="&amp;DATE($B$3,5,6),'Leave log'!$C$7:$C$306,"&gt;="&amp;DATE($B$3,5,6),'Leave log'!$F$7:$F$306,"Approved")&gt;0,"A",""))="A","A",IF(OR(DATE($B$3,5,6)&gt;EOMONTH(DATE($B$3,5,1),0),NETWORKDAYS.INTL(DATE($B$3,5,6),DATE($B$3,5,6),1,'Non-working days'!$A$6:$A$45)=0),"",IF(COUNTIFS('Leave log'!$A$7:$A$306,Employees!$A$11,'Leave log'!$B$7:$B$306,"&lt;="&amp;DATE($B$3,5,6),'Leave log'!$C$7:$C$306,"&gt;="&amp;DATE($B$3,5,6),'Leave log'!$F$7:$F$306,"Pending")&gt;0,"P",""))))</f>
        <v/>
      </c>
      <c r="H148" s="23" t="str">
        <f>IF(A148="","",IF(IF(OR(DATE($B$3,5,7)&gt;EOMONTH(DATE($B$3,5,1),0),NETWORKDAYS.INTL(DATE($B$3,5,7),DATE($B$3,5,7),1,'Non-working days'!$A$6:$A$45)=0),"",IF(COUNTIFS('Leave log'!$A$7:$A$306,Employees!$A$11,'Leave log'!$B$7:$B$306,"&lt;="&amp;DATE($B$3,5,7),'Leave log'!$C$7:$C$306,"&gt;="&amp;DATE($B$3,5,7),'Leave log'!$F$7:$F$306,"Approved")&gt;0,"A",""))="A","A",IF(OR(DATE($B$3,5,7)&gt;EOMONTH(DATE($B$3,5,1),0),NETWORKDAYS.INTL(DATE($B$3,5,7),DATE($B$3,5,7),1,'Non-working days'!$A$6:$A$45)=0),"",IF(COUNTIFS('Leave log'!$A$7:$A$306,Employees!$A$11,'Leave log'!$B$7:$B$306,"&lt;="&amp;DATE($B$3,5,7),'Leave log'!$C$7:$C$306,"&gt;="&amp;DATE($B$3,5,7),'Leave log'!$F$7:$F$306,"Pending")&gt;0,"P",""))))</f>
        <v/>
      </c>
      <c r="I148" s="23" t="str">
        <f>IF(A148="","",IF(IF(OR(DATE($B$3,5,8)&gt;EOMONTH(DATE($B$3,5,1),0),NETWORKDAYS.INTL(DATE($B$3,5,8),DATE($B$3,5,8),1,'Non-working days'!$A$6:$A$45)=0),"",IF(COUNTIFS('Leave log'!$A$7:$A$306,Employees!$A$11,'Leave log'!$B$7:$B$306,"&lt;="&amp;DATE($B$3,5,8),'Leave log'!$C$7:$C$306,"&gt;="&amp;DATE($B$3,5,8),'Leave log'!$F$7:$F$306,"Approved")&gt;0,"A",""))="A","A",IF(OR(DATE($B$3,5,8)&gt;EOMONTH(DATE($B$3,5,1),0),NETWORKDAYS.INTL(DATE($B$3,5,8),DATE($B$3,5,8),1,'Non-working days'!$A$6:$A$45)=0),"",IF(COUNTIFS('Leave log'!$A$7:$A$306,Employees!$A$11,'Leave log'!$B$7:$B$306,"&lt;="&amp;DATE($B$3,5,8),'Leave log'!$C$7:$C$306,"&gt;="&amp;DATE($B$3,5,8),'Leave log'!$F$7:$F$306,"Pending")&gt;0,"P",""))))</f>
        <v/>
      </c>
      <c r="J148" s="23" t="str">
        <f>IF(A148="","",IF(IF(OR(DATE($B$3,5,9)&gt;EOMONTH(DATE($B$3,5,1),0),NETWORKDAYS.INTL(DATE($B$3,5,9),DATE($B$3,5,9),1,'Non-working days'!$A$6:$A$45)=0),"",IF(COUNTIFS('Leave log'!$A$7:$A$306,Employees!$A$11,'Leave log'!$B$7:$B$306,"&lt;="&amp;DATE($B$3,5,9),'Leave log'!$C$7:$C$306,"&gt;="&amp;DATE($B$3,5,9),'Leave log'!$F$7:$F$306,"Approved")&gt;0,"A",""))="A","A",IF(OR(DATE($B$3,5,9)&gt;EOMONTH(DATE($B$3,5,1),0),NETWORKDAYS.INTL(DATE($B$3,5,9),DATE($B$3,5,9),1,'Non-working days'!$A$6:$A$45)=0),"",IF(COUNTIFS('Leave log'!$A$7:$A$306,Employees!$A$11,'Leave log'!$B$7:$B$306,"&lt;="&amp;DATE($B$3,5,9),'Leave log'!$C$7:$C$306,"&gt;="&amp;DATE($B$3,5,9),'Leave log'!$F$7:$F$306,"Pending")&gt;0,"P",""))))</f>
        <v/>
      </c>
      <c r="K148" s="23" t="str">
        <f>IF(A148="","",IF(IF(OR(DATE($B$3,5,10)&gt;EOMONTH(DATE($B$3,5,1),0),NETWORKDAYS.INTL(DATE($B$3,5,10),DATE($B$3,5,10),1,'Non-working days'!$A$6:$A$45)=0),"",IF(COUNTIFS('Leave log'!$A$7:$A$306,Employees!$A$11,'Leave log'!$B$7:$B$306,"&lt;="&amp;DATE($B$3,5,10),'Leave log'!$C$7:$C$306,"&gt;="&amp;DATE($B$3,5,10),'Leave log'!$F$7:$F$306,"Approved")&gt;0,"A",""))="A","A",IF(OR(DATE($B$3,5,10)&gt;EOMONTH(DATE($B$3,5,1),0),NETWORKDAYS.INTL(DATE($B$3,5,10),DATE($B$3,5,10),1,'Non-working days'!$A$6:$A$45)=0),"",IF(COUNTIFS('Leave log'!$A$7:$A$306,Employees!$A$11,'Leave log'!$B$7:$B$306,"&lt;="&amp;DATE($B$3,5,10),'Leave log'!$C$7:$C$306,"&gt;="&amp;DATE($B$3,5,10),'Leave log'!$F$7:$F$306,"Pending")&gt;0,"P",""))))</f>
        <v/>
      </c>
      <c r="L148" s="23" t="str">
        <f>IF(A148="","",IF(IF(OR(DATE($B$3,5,11)&gt;EOMONTH(DATE($B$3,5,1),0),NETWORKDAYS.INTL(DATE($B$3,5,11),DATE($B$3,5,11),1,'Non-working days'!$A$6:$A$45)=0),"",IF(COUNTIFS('Leave log'!$A$7:$A$306,Employees!$A$11,'Leave log'!$B$7:$B$306,"&lt;="&amp;DATE($B$3,5,11),'Leave log'!$C$7:$C$306,"&gt;="&amp;DATE($B$3,5,11),'Leave log'!$F$7:$F$306,"Approved")&gt;0,"A",""))="A","A",IF(OR(DATE($B$3,5,11)&gt;EOMONTH(DATE($B$3,5,1),0),NETWORKDAYS.INTL(DATE($B$3,5,11),DATE($B$3,5,11),1,'Non-working days'!$A$6:$A$45)=0),"",IF(COUNTIFS('Leave log'!$A$7:$A$306,Employees!$A$11,'Leave log'!$B$7:$B$306,"&lt;="&amp;DATE($B$3,5,11),'Leave log'!$C$7:$C$306,"&gt;="&amp;DATE($B$3,5,11),'Leave log'!$F$7:$F$306,"Pending")&gt;0,"P",""))))</f>
        <v/>
      </c>
      <c r="M148" s="23" t="str">
        <f>IF(A148="","",IF(IF(OR(DATE($B$3,5,12)&gt;EOMONTH(DATE($B$3,5,1),0),NETWORKDAYS.INTL(DATE($B$3,5,12),DATE($B$3,5,12),1,'Non-working days'!$A$6:$A$45)=0),"",IF(COUNTIFS('Leave log'!$A$7:$A$306,Employees!$A$11,'Leave log'!$B$7:$B$306,"&lt;="&amp;DATE($B$3,5,12),'Leave log'!$C$7:$C$306,"&gt;="&amp;DATE($B$3,5,12),'Leave log'!$F$7:$F$306,"Approved")&gt;0,"A",""))="A","A",IF(OR(DATE($B$3,5,12)&gt;EOMONTH(DATE($B$3,5,1),0),NETWORKDAYS.INTL(DATE($B$3,5,12),DATE($B$3,5,12),1,'Non-working days'!$A$6:$A$45)=0),"",IF(COUNTIFS('Leave log'!$A$7:$A$306,Employees!$A$11,'Leave log'!$B$7:$B$306,"&lt;="&amp;DATE($B$3,5,12),'Leave log'!$C$7:$C$306,"&gt;="&amp;DATE($B$3,5,12),'Leave log'!$F$7:$F$306,"Pending")&gt;0,"P",""))))</f>
        <v/>
      </c>
      <c r="N148" s="23" t="str">
        <f>IF(A148="","",IF(IF(OR(DATE($B$3,5,13)&gt;EOMONTH(DATE($B$3,5,1),0),NETWORKDAYS.INTL(DATE($B$3,5,13),DATE($B$3,5,13),1,'Non-working days'!$A$6:$A$45)=0),"",IF(COUNTIFS('Leave log'!$A$7:$A$306,Employees!$A$11,'Leave log'!$B$7:$B$306,"&lt;="&amp;DATE($B$3,5,13),'Leave log'!$C$7:$C$306,"&gt;="&amp;DATE($B$3,5,13),'Leave log'!$F$7:$F$306,"Approved")&gt;0,"A",""))="A","A",IF(OR(DATE($B$3,5,13)&gt;EOMONTH(DATE($B$3,5,1),0),NETWORKDAYS.INTL(DATE($B$3,5,13),DATE($B$3,5,13),1,'Non-working days'!$A$6:$A$45)=0),"",IF(COUNTIFS('Leave log'!$A$7:$A$306,Employees!$A$11,'Leave log'!$B$7:$B$306,"&lt;="&amp;DATE($B$3,5,13),'Leave log'!$C$7:$C$306,"&gt;="&amp;DATE($B$3,5,13),'Leave log'!$F$7:$F$306,"Pending")&gt;0,"P",""))))</f>
        <v/>
      </c>
      <c r="O148" s="23" t="str">
        <f>IF(A148="","",IF(IF(OR(DATE($B$3,5,14)&gt;EOMONTH(DATE($B$3,5,1),0),NETWORKDAYS.INTL(DATE($B$3,5,14),DATE($B$3,5,14),1,'Non-working days'!$A$6:$A$45)=0),"",IF(COUNTIFS('Leave log'!$A$7:$A$306,Employees!$A$11,'Leave log'!$B$7:$B$306,"&lt;="&amp;DATE($B$3,5,14),'Leave log'!$C$7:$C$306,"&gt;="&amp;DATE($B$3,5,14),'Leave log'!$F$7:$F$306,"Approved")&gt;0,"A",""))="A","A",IF(OR(DATE($B$3,5,14)&gt;EOMONTH(DATE($B$3,5,1),0),NETWORKDAYS.INTL(DATE($B$3,5,14),DATE($B$3,5,14),1,'Non-working days'!$A$6:$A$45)=0),"",IF(COUNTIFS('Leave log'!$A$7:$A$306,Employees!$A$11,'Leave log'!$B$7:$B$306,"&lt;="&amp;DATE($B$3,5,14),'Leave log'!$C$7:$C$306,"&gt;="&amp;DATE($B$3,5,14),'Leave log'!$F$7:$F$306,"Pending")&gt;0,"P",""))))</f>
        <v/>
      </c>
      <c r="P148" s="23" t="str">
        <f>IF(A148="","",IF(IF(OR(DATE($B$3,5,15)&gt;EOMONTH(DATE($B$3,5,1),0),NETWORKDAYS.INTL(DATE($B$3,5,15),DATE($B$3,5,15),1,'Non-working days'!$A$6:$A$45)=0),"",IF(COUNTIFS('Leave log'!$A$7:$A$306,Employees!$A$11,'Leave log'!$B$7:$B$306,"&lt;="&amp;DATE($B$3,5,15),'Leave log'!$C$7:$C$306,"&gt;="&amp;DATE($B$3,5,15),'Leave log'!$F$7:$F$306,"Approved")&gt;0,"A",""))="A","A",IF(OR(DATE($B$3,5,15)&gt;EOMONTH(DATE($B$3,5,1),0),NETWORKDAYS.INTL(DATE($B$3,5,15),DATE($B$3,5,15),1,'Non-working days'!$A$6:$A$45)=0),"",IF(COUNTIFS('Leave log'!$A$7:$A$306,Employees!$A$11,'Leave log'!$B$7:$B$306,"&lt;="&amp;DATE($B$3,5,15),'Leave log'!$C$7:$C$306,"&gt;="&amp;DATE($B$3,5,15),'Leave log'!$F$7:$F$306,"Pending")&gt;0,"P",""))))</f>
        <v/>
      </c>
      <c r="Q148" s="23" t="str">
        <f>IF(A148="","",IF(IF(OR(DATE($B$3,5,16)&gt;EOMONTH(DATE($B$3,5,1),0),NETWORKDAYS.INTL(DATE($B$3,5,16),DATE($B$3,5,16),1,'Non-working days'!$A$6:$A$45)=0),"",IF(COUNTIFS('Leave log'!$A$7:$A$306,Employees!$A$11,'Leave log'!$B$7:$B$306,"&lt;="&amp;DATE($B$3,5,16),'Leave log'!$C$7:$C$306,"&gt;="&amp;DATE($B$3,5,16),'Leave log'!$F$7:$F$306,"Approved")&gt;0,"A",""))="A","A",IF(OR(DATE($B$3,5,16)&gt;EOMONTH(DATE($B$3,5,1),0),NETWORKDAYS.INTL(DATE($B$3,5,16),DATE($B$3,5,16),1,'Non-working days'!$A$6:$A$45)=0),"",IF(COUNTIFS('Leave log'!$A$7:$A$306,Employees!$A$11,'Leave log'!$B$7:$B$306,"&lt;="&amp;DATE($B$3,5,16),'Leave log'!$C$7:$C$306,"&gt;="&amp;DATE($B$3,5,16),'Leave log'!$F$7:$F$306,"Pending")&gt;0,"P",""))))</f>
        <v/>
      </c>
      <c r="R148" s="23" t="str">
        <f>IF(A148="","",IF(IF(OR(DATE($B$3,5,17)&gt;EOMONTH(DATE($B$3,5,1),0),NETWORKDAYS.INTL(DATE($B$3,5,17),DATE($B$3,5,17),1,'Non-working days'!$A$6:$A$45)=0),"",IF(COUNTIFS('Leave log'!$A$7:$A$306,Employees!$A$11,'Leave log'!$B$7:$B$306,"&lt;="&amp;DATE($B$3,5,17),'Leave log'!$C$7:$C$306,"&gt;="&amp;DATE($B$3,5,17),'Leave log'!$F$7:$F$306,"Approved")&gt;0,"A",""))="A","A",IF(OR(DATE($B$3,5,17)&gt;EOMONTH(DATE($B$3,5,1),0),NETWORKDAYS.INTL(DATE($B$3,5,17),DATE($B$3,5,17),1,'Non-working days'!$A$6:$A$45)=0),"",IF(COUNTIFS('Leave log'!$A$7:$A$306,Employees!$A$11,'Leave log'!$B$7:$B$306,"&lt;="&amp;DATE($B$3,5,17),'Leave log'!$C$7:$C$306,"&gt;="&amp;DATE($B$3,5,17),'Leave log'!$F$7:$F$306,"Pending")&gt;0,"P",""))))</f>
        <v/>
      </c>
      <c r="S148" s="23" t="str">
        <f>IF(A148="","",IF(IF(OR(DATE($B$3,5,18)&gt;EOMONTH(DATE($B$3,5,1),0),NETWORKDAYS.INTL(DATE($B$3,5,18),DATE($B$3,5,18),1,'Non-working days'!$A$6:$A$45)=0),"",IF(COUNTIFS('Leave log'!$A$7:$A$306,Employees!$A$11,'Leave log'!$B$7:$B$306,"&lt;="&amp;DATE($B$3,5,18),'Leave log'!$C$7:$C$306,"&gt;="&amp;DATE($B$3,5,18),'Leave log'!$F$7:$F$306,"Approved")&gt;0,"A",""))="A","A",IF(OR(DATE($B$3,5,18)&gt;EOMONTH(DATE($B$3,5,1),0),NETWORKDAYS.INTL(DATE($B$3,5,18),DATE($B$3,5,18),1,'Non-working days'!$A$6:$A$45)=0),"",IF(COUNTIFS('Leave log'!$A$7:$A$306,Employees!$A$11,'Leave log'!$B$7:$B$306,"&lt;="&amp;DATE($B$3,5,18),'Leave log'!$C$7:$C$306,"&gt;="&amp;DATE($B$3,5,18),'Leave log'!$F$7:$F$306,"Pending")&gt;0,"P",""))))</f>
        <v/>
      </c>
      <c r="T148" s="23" t="str">
        <f>IF(A148="","",IF(IF(OR(DATE($B$3,5,19)&gt;EOMONTH(DATE($B$3,5,1),0),NETWORKDAYS.INTL(DATE($B$3,5,19),DATE($B$3,5,19),1,'Non-working days'!$A$6:$A$45)=0),"",IF(COUNTIFS('Leave log'!$A$7:$A$306,Employees!$A$11,'Leave log'!$B$7:$B$306,"&lt;="&amp;DATE($B$3,5,19),'Leave log'!$C$7:$C$306,"&gt;="&amp;DATE($B$3,5,19),'Leave log'!$F$7:$F$306,"Approved")&gt;0,"A",""))="A","A",IF(OR(DATE($B$3,5,19)&gt;EOMONTH(DATE($B$3,5,1),0),NETWORKDAYS.INTL(DATE($B$3,5,19),DATE($B$3,5,19),1,'Non-working days'!$A$6:$A$45)=0),"",IF(COUNTIFS('Leave log'!$A$7:$A$306,Employees!$A$11,'Leave log'!$B$7:$B$306,"&lt;="&amp;DATE($B$3,5,19),'Leave log'!$C$7:$C$306,"&gt;="&amp;DATE($B$3,5,19),'Leave log'!$F$7:$F$306,"Pending")&gt;0,"P",""))))</f>
        <v/>
      </c>
      <c r="U148" s="23" t="str">
        <f>IF(A148="","",IF(IF(OR(DATE($B$3,5,20)&gt;EOMONTH(DATE($B$3,5,1),0),NETWORKDAYS.INTL(DATE($B$3,5,20),DATE($B$3,5,20),1,'Non-working days'!$A$6:$A$45)=0),"",IF(COUNTIFS('Leave log'!$A$7:$A$306,Employees!$A$11,'Leave log'!$B$7:$B$306,"&lt;="&amp;DATE($B$3,5,20),'Leave log'!$C$7:$C$306,"&gt;="&amp;DATE($B$3,5,20),'Leave log'!$F$7:$F$306,"Approved")&gt;0,"A",""))="A","A",IF(OR(DATE($B$3,5,20)&gt;EOMONTH(DATE($B$3,5,1),0),NETWORKDAYS.INTL(DATE($B$3,5,20),DATE($B$3,5,20),1,'Non-working days'!$A$6:$A$45)=0),"",IF(COUNTIFS('Leave log'!$A$7:$A$306,Employees!$A$11,'Leave log'!$B$7:$B$306,"&lt;="&amp;DATE($B$3,5,20),'Leave log'!$C$7:$C$306,"&gt;="&amp;DATE($B$3,5,20),'Leave log'!$F$7:$F$306,"Pending")&gt;0,"P",""))))</f>
        <v/>
      </c>
      <c r="V148" s="23" t="str">
        <f>IF(A148="","",IF(IF(OR(DATE($B$3,5,21)&gt;EOMONTH(DATE($B$3,5,1),0),NETWORKDAYS.INTL(DATE($B$3,5,21),DATE($B$3,5,21),1,'Non-working days'!$A$6:$A$45)=0),"",IF(COUNTIFS('Leave log'!$A$7:$A$306,Employees!$A$11,'Leave log'!$B$7:$B$306,"&lt;="&amp;DATE($B$3,5,21),'Leave log'!$C$7:$C$306,"&gt;="&amp;DATE($B$3,5,21),'Leave log'!$F$7:$F$306,"Approved")&gt;0,"A",""))="A","A",IF(OR(DATE($B$3,5,21)&gt;EOMONTH(DATE($B$3,5,1),0),NETWORKDAYS.INTL(DATE($B$3,5,21),DATE($B$3,5,21),1,'Non-working days'!$A$6:$A$45)=0),"",IF(COUNTIFS('Leave log'!$A$7:$A$306,Employees!$A$11,'Leave log'!$B$7:$B$306,"&lt;="&amp;DATE($B$3,5,21),'Leave log'!$C$7:$C$306,"&gt;="&amp;DATE($B$3,5,21),'Leave log'!$F$7:$F$306,"Pending")&gt;0,"P",""))))</f>
        <v/>
      </c>
      <c r="W148" s="23" t="str">
        <f>IF(A148="","",IF(IF(OR(DATE($B$3,5,22)&gt;EOMONTH(DATE($B$3,5,1),0),NETWORKDAYS.INTL(DATE($B$3,5,22),DATE($B$3,5,22),1,'Non-working days'!$A$6:$A$45)=0),"",IF(COUNTIFS('Leave log'!$A$7:$A$306,Employees!$A$11,'Leave log'!$B$7:$B$306,"&lt;="&amp;DATE($B$3,5,22),'Leave log'!$C$7:$C$306,"&gt;="&amp;DATE($B$3,5,22),'Leave log'!$F$7:$F$306,"Approved")&gt;0,"A",""))="A","A",IF(OR(DATE($B$3,5,22)&gt;EOMONTH(DATE($B$3,5,1),0),NETWORKDAYS.INTL(DATE($B$3,5,22),DATE($B$3,5,22),1,'Non-working days'!$A$6:$A$45)=0),"",IF(COUNTIFS('Leave log'!$A$7:$A$306,Employees!$A$11,'Leave log'!$B$7:$B$306,"&lt;="&amp;DATE($B$3,5,22),'Leave log'!$C$7:$C$306,"&gt;="&amp;DATE($B$3,5,22),'Leave log'!$F$7:$F$306,"Pending")&gt;0,"P",""))))</f>
        <v/>
      </c>
      <c r="X148" s="23" t="str">
        <f>IF(A148="","",IF(IF(OR(DATE($B$3,5,23)&gt;EOMONTH(DATE($B$3,5,1),0),NETWORKDAYS.INTL(DATE($B$3,5,23),DATE($B$3,5,23),1,'Non-working days'!$A$6:$A$45)=0),"",IF(COUNTIFS('Leave log'!$A$7:$A$306,Employees!$A$11,'Leave log'!$B$7:$B$306,"&lt;="&amp;DATE($B$3,5,23),'Leave log'!$C$7:$C$306,"&gt;="&amp;DATE($B$3,5,23),'Leave log'!$F$7:$F$306,"Approved")&gt;0,"A",""))="A","A",IF(OR(DATE($B$3,5,23)&gt;EOMONTH(DATE($B$3,5,1),0),NETWORKDAYS.INTL(DATE($B$3,5,23),DATE($B$3,5,23),1,'Non-working days'!$A$6:$A$45)=0),"",IF(COUNTIFS('Leave log'!$A$7:$A$306,Employees!$A$11,'Leave log'!$B$7:$B$306,"&lt;="&amp;DATE($B$3,5,23),'Leave log'!$C$7:$C$306,"&gt;="&amp;DATE($B$3,5,23),'Leave log'!$F$7:$F$306,"Pending")&gt;0,"P",""))))</f>
        <v/>
      </c>
      <c r="Y148" s="23" t="str">
        <f>IF(A148="","",IF(IF(OR(DATE($B$3,5,24)&gt;EOMONTH(DATE($B$3,5,1),0),NETWORKDAYS.INTL(DATE($B$3,5,24),DATE($B$3,5,24),1,'Non-working days'!$A$6:$A$45)=0),"",IF(COUNTIFS('Leave log'!$A$7:$A$306,Employees!$A$11,'Leave log'!$B$7:$B$306,"&lt;="&amp;DATE($B$3,5,24),'Leave log'!$C$7:$C$306,"&gt;="&amp;DATE($B$3,5,24),'Leave log'!$F$7:$F$306,"Approved")&gt;0,"A",""))="A","A",IF(OR(DATE($B$3,5,24)&gt;EOMONTH(DATE($B$3,5,1),0),NETWORKDAYS.INTL(DATE($B$3,5,24),DATE($B$3,5,24),1,'Non-working days'!$A$6:$A$45)=0),"",IF(COUNTIFS('Leave log'!$A$7:$A$306,Employees!$A$11,'Leave log'!$B$7:$B$306,"&lt;="&amp;DATE($B$3,5,24),'Leave log'!$C$7:$C$306,"&gt;="&amp;DATE($B$3,5,24),'Leave log'!$F$7:$F$306,"Pending")&gt;0,"P",""))))</f>
        <v/>
      </c>
      <c r="Z148" s="23" t="str">
        <f>IF(A148="","",IF(IF(OR(DATE($B$3,5,25)&gt;EOMONTH(DATE($B$3,5,1),0),NETWORKDAYS.INTL(DATE($B$3,5,25),DATE($B$3,5,25),1,'Non-working days'!$A$6:$A$45)=0),"",IF(COUNTIFS('Leave log'!$A$7:$A$306,Employees!$A$11,'Leave log'!$B$7:$B$306,"&lt;="&amp;DATE($B$3,5,25),'Leave log'!$C$7:$C$306,"&gt;="&amp;DATE($B$3,5,25),'Leave log'!$F$7:$F$306,"Approved")&gt;0,"A",""))="A","A",IF(OR(DATE($B$3,5,25)&gt;EOMONTH(DATE($B$3,5,1),0),NETWORKDAYS.INTL(DATE($B$3,5,25),DATE($B$3,5,25),1,'Non-working days'!$A$6:$A$45)=0),"",IF(COUNTIFS('Leave log'!$A$7:$A$306,Employees!$A$11,'Leave log'!$B$7:$B$306,"&lt;="&amp;DATE($B$3,5,25),'Leave log'!$C$7:$C$306,"&gt;="&amp;DATE($B$3,5,25),'Leave log'!$F$7:$F$306,"Pending")&gt;0,"P",""))))</f>
        <v/>
      </c>
      <c r="AA148" s="23" t="str">
        <f>IF(A148="","",IF(IF(OR(DATE($B$3,5,26)&gt;EOMONTH(DATE($B$3,5,1),0),NETWORKDAYS.INTL(DATE($B$3,5,26),DATE($B$3,5,26),1,'Non-working days'!$A$6:$A$45)=0),"",IF(COUNTIFS('Leave log'!$A$7:$A$306,Employees!$A$11,'Leave log'!$B$7:$B$306,"&lt;="&amp;DATE($B$3,5,26),'Leave log'!$C$7:$C$306,"&gt;="&amp;DATE($B$3,5,26),'Leave log'!$F$7:$F$306,"Approved")&gt;0,"A",""))="A","A",IF(OR(DATE($B$3,5,26)&gt;EOMONTH(DATE($B$3,5,1),0),NETWORKDAYS.INTL(DATE($B$3,5,26),DATE($B$3,5,26),1,'Non-working days'!$A$6:$A$45)=0),"",IF(COUNTIFS('Leave log'!$A$7:$A$306,Employees!$A$11,'Leave log'!$B$7:$B$306,"&lt;="&amp;DATE($B$3,5,26),'Leave log'!$C$7:$C$306,"&gt;="&amp;DATE($B$3,5,26),'Leave log'!$F$7:$F$306,"Pending")&gt;0,"P",""))))</f>
        <v/>
      </c>
      <c r="AB148" s="23" t="str">
        <f>IF(A148="","",IF(IF(OR(DATE($B$3,5,27)&gt;EOMONTH(DATE($B$3,5,1),0),NETWORKDAYS.INTL(DATE($B$3,5,27),DATE($B$3,5,27),1,'Non-working days'!$A$6:$A$45)=0),"",IF(COUNTIFS('Leave log'!$A$7:$A$306,Employees!$A$11,'Leave log'!$B$7:$B$306,"&lt;="&amp;DATE($B$3,5,27),'Leave log'!$C$7:$C$306,"&gt;="&amp;DATE($B$3,5,27),'Leave log'!$F$7:$F$306,"Approved")&gt;0,"A",""))="A","A",IF(OR(DATE($B$3,5,27)&gt;EOMONTH(DATE($B$3,5,1),0),NETWORKDAYS.INTL(DATE($B$3,5,27),DATE($B$3,5,27),1,'Non-working days'!$A$6:$A$45)=0),"",IF(COUNTIFS('Leave log'!$A$7:$A$306,Employees!$A$11,'Leave log'!$B$7:$B$306,"&lt;="&amp;DATE($B$3,5,27),'Leave log'!$C$7:$C$306,"&gt;="&amp;DATE($B$3,5,27),'Leave log'!$F$7:$F$306,"Pending")&gt;0,"P",""))))</f>
        <v/>
      </c>
      <c r="AC148" s="23" t="str">
        <f>IF(A148="","",IF(IF(OR(DATE($B$3,5,28)&gt;EOMONTH(DATE($B$3,5,1),0),NETWORKDAYS.INTL(DATE($B$3,5,28),DATE($B$3,5,28),1,'Non-working days'!$A$6:$A$45)=0),"",IF(COUNTIFS('Leave log'!$A$7:$A$306,Employees!$A$11,'Leave log'!$B$7:$B$306,"&lt;="&amp;DATE($B$3,5,28),'Leave log'!$C$7:$C$306,"&gt;="&amp;DATE($B$3,5,28),'Leave log'!$F$7:$F$306,"Approved")&gt;0,"A",""))="A","A",IF(OR(DATE($B$3,5,28)&gt;EOMONTH(DATE($B$3,5,1),0),NETWORKDAYS.INTL(DATE($B$3,5,28),DATE($B$3,5,28),1,'Non-working days'!$A$6:$A$45)=0),"",IF(COUNTIFS('Leave log'!$A$7:$A$306,Employees!$A$11,'Leave log'!$B$7:$B$306,"&lt;="&amp;DATE($B$3,5,28),'Leave log'!$C$7:$C$306,"&gt;="&amp;DATE($B$3,5,28),'Leave log'!$F$7:$F$306,"Pending")&gt;0,"P",""))))</f>
        <v/>
      </c>
      <c r="AD148" s="23" t="str">
        <f>IF(A148="","",IF(IF(OR(DATE($B$3,5,29)&gt;EOMONTH(DATE($B$3,5,1),0),NETWORKDAYS.INTL(DATE($B$3,5,29),DATE($B$3,5,29),1,'Non-working days'!$A$6:$A$45)=0),"",IF(COUNTIFS('Leave log'!$A$7:$A$306,Employees!$A$11,'Leave log'!$B$7:$B$306,"&lt;="&amp;DATE($B$3,5,29),'Leave log'!$C$7:$C$306,"&gt;="&amp;DATE($B$3,5,29),'Leave log'!$F$7:$F$306,"Approved")&gt;0,"A",""))="A","A",IF(OR(DATE($B$3,5,29)&gt;EOMONTH(DATE($B$3,5,1),0),NETWORKDAYS.INTL(DATE($B$3,5,29),DATE($B$3,5,29),1,'Non-working days'!$A$6:$A$45)=0),"",IF(COUNTIFS('Leave log'!$A$7:$A$306,Employees!$A$11,'Leave log'!$B$7:$B$306,"&lt;="&amp;DATE($B$3,5,29),'Leave log'!$C$7:$C$306,"&gt;="&amp;DATE($B$3,5,29),'Leave log'!$F$7:$F$306,"Pending")&gt;0,"P",""))))</f>
        <v/>
      </c>
      <c r="AE148" s="23" t="str">
        <f>IF(A148="","",IF(IF(OR(DATE($B$3,5,30)&gt;EOMONTH(DATE($B$3,5,1),0),NETWORKDAYS.INTL(DATE($B$3,5,30),DATE($B$3,5,30),1,'Non-working days'!$A$6:$A$45)=0),"",IF(COUNTIFS('Leave log'!$A$7:$A$306,Employees!$A$11,'Leave log'!$B$7:$B$306,"&lt;="&amp;DATE($B$3,5,30),'Leave log'!$C$7:$C$306,"&gt;="&amp;DATE($B$3,5,30),'Leave log'!$F$7:$F$306,"Approved")&gt;0,"A",""))="A","A",IF(OR(DATE($B$3,5,30)&gt;EOMONTH(DATE($B$3,5,1),0),NETWORKDAYS.INTL(DATE($B$3,5,30),DATE($B$3,5,30),1,'Non-working days'!$A$6:$A$45)=0),"",IF(COUNTIFS('Leave log'!$A$7:$A$306,Employees!$A$11,'Leave log'!$B$7:$B$306,"&lt;="&amp;DATE($B$3,5,30),'Leave log'!$C$7:$C$306,"&gt;="&amp;DATE($B$3,5,30),'Leave log'!$F$7:$F$306,"Pending")&gt;0,"P",""))))</f>
        <v/>
      </c>
      <c r="AF148" s="23" t="str">
        <f>IF(A148="","",IF(IF(OR(DATE($B$3,5,31)&gt;EOMONTH(DATE($B$3,5,1),0),NETWORKDAYS.INTL(DATE($B$3,5,31),DATE($B$3,5,31),1,'Non-working days'!$A$6:$A$45)=0),"",IF(COUNTIFS('Leave log'!$A$7:$A$306,Employees!$A$11,'Leave log'!$B$7:$B$306,"&lt;="&amp;DATE($B$3,5,31),'Leave log'!$C$7:$C$306,"&gt;="&amp;DATE($B$3,5,31),'Leave log'!$F$7:$F$306,"Approved")&gt;0,"A",""))="A","A",IF(OR(DATE($B$3,5,31)&gt;EOMONTH(DATE($B$3,5,1),0),NETWORKDAYS.INTL(DATE($B$3,5,31),DATE($B$3,5,31),1,'Non-working days'!$A$6:$A$45)=0),"",IF(COUNTIFS('Leave log'!$A$7:$A$306,Employees!$A$11,'Leave log'!$B$7:$B$306,"&lt;="&amp;DATE($B$3,5,31),'Leave log'!$C$7:$C$306,"&gt;="&amp;DATE($B$3,5,31),'Leave log'!$F$7:$F$306,"Pending")&gt;0,"P",""))))</f>
        <v/>
      </c>
    </row>
    <row r="149" spans="1:32" ht="18" customHeight="1" x14ac:dyDescent="0.3">
      <c r="A149" s="22" t="str">
        <f>IF(Employees!F12="Yes",Employees!B12,"")</f>
        <v/>
      </c>
      <c r="B149" s="23" t="str">
        <f>IF(A149="","",IF(IF(OR(DATE($B$3,5,1)&gt;EOMONTH(DATE($B$3,5,1),0),NETWORKDAYS.INTL(DATE($B$3,5,1),DATE($B$3,5,1),1,'Non-working days'!$A$6:$A$45)=0),"",IF(COUNTIFS('Leave log'!$A$7:$A$306,Employees!$A$12,'Leave log'!$B$7:$B$306,"&lt;="&amp;DATE($B$3,5,1),'Leave log'!$C$7:$C$306,"&gt;="&amp;DATE($B$3,5,1),'Leave log'!$F$7:$F$306,"Approved")&gt;0,"A",""))="A","A",IF(OR(DATE($B$3,5,1)&gt;EOMONTH(DATE($B$3,5,1),0),NETWORKDAYS.INTL(DATE($B$3,5,1),DATE($B$3,5,1),1,'Non-working days'!$A$6:$A$45)=0),"",IF(COUNTIFS('Leave log'!$A$7:$A$306,Employees!$A$12,'Leave log'!$B$7:$B$306,"&lt;="&amp;DATE($B$3,5,1),'Leave log'!$C$7:$C$306,"&gt;="&amp;DATE($B$3,5,1),'Leave log'!$F$7:$F$306,"Pending")&gt;0,"P",""))))</f>
        <v/>
      </c>
      <c r="C149" s="23" t="str">
        <f>IF(A149="","",IF(IF(OR(DATE($B$3,5,2)&gt;EOMONTH(DATE($B$3,5,1),0),NETWORKDAYS.INTL(DATE($B$3,5,2),DATE($B$3,5,2),1,'Non-working days'!$A$6:$A$45)=0),"",IF(COUNTIFS('Leave log'!$A$7:$A$306,Employees!$A$12,'Leave log'!$B$7:$B$306,"&lt;="&amp;DATE($B$3,5,2),'Leave log'!$C$7:$C$306,"&gt;="&amp;DATE($B$3,5,2),'Leave log'!$F$7:$F$306,"Approved")&gt;0,"A",""))="A","A",IF(OR(DATE($B$3,5,2)&gt;EOMONTH(DATE($B$3,5,1),0),NETWORKDAYS.INTL(DATE($B$3,5,2),DATE($B$3,5,2),1,'Non-working days'!$A$6:$A$45)=0),"",IF(COUNTIFS('Leave log'!$A$7:$A$306,Employees!$A$12,'Leave log'!$B$7:$B$306,"&lt;="&amp;DATE($B$3,5,2),'Leave log'!$C$7:$C$306,"&gt;="&amp;DATE($B$3,5,2),'Leave log'!$F$7:$F$306,"Pending")&gt;0,"P",""))))</f>
        <v/>
      </c>
      <c r="D149" s="23" t="str">
        <f>IF(A149="","",IF(IF(OR(DATE($B$3,5,3)&gt;EOMONTH(DATE($B$3,5,1),0),NETWORKDAYS.INTL(DATE($B$3,5,3),DATE($B$3,5,3),1,'Non-working days'!$A$6:$A$45)=0),"",IF(COUNTIFS('Leave log'!$A$7:$A$306,Employees!$A$12,'Leave log'!$B$7:$B$306,"&lt;="&amp;DATE($B$3,5,3),'Leave log'!$C$7:$C$306,"&gt;="&amp;DATE($B$3,5,3),'Leave log'!$F$7:$F$306,"Approved")&gt;0,"A",""))="A","A",IF(OR(DATE($B$3,5,3)&gt;EOMONTH(DATE($B$3,5,1),0),NETWORKDAYS.INTL(DATE($B$3,5,3),DATE($B$3,5,3),1,'Non-working days'!$A$6:$A$45)=0),"",IF(COUNTIFS('Leave log'!$A$7:$A$306,Employees!$A$12,'Leave log'!$B$7:$B$306,"&lt;="&amp;DATE($B$3,5,3),'Leave log'!$C$7:$C$306,"&gt;="&amp;DATE($B$3,5,3),'Leave log'!$F$7:$F$306,"Pending")&gt;0,"P",""))))</f>
        <v/>
      </c>
      <c r="E149" s="23" t="str">
        <f>IF(A149="","",IF(IF(OR(DATE($B$3,5,4)&gt;EOMONTH(DATE($B$3,5,1),0),NETWORKDAYS.INTL(DATE($B$3,5,4),DATE($B$3,5,4),1,'Non-working days'!$A$6:$A$45)=0),"",IF(COUNTIFS('Leave log'!$A$7:$A$306,Employees!$A$12,'Leave log'!$B$7:$B$306,"&lt;="&amp;DATE($B$3,5,4),'Leave log'!$C$7:$C$306,"&gt;="&amp;DATE($B$3,5,4),'Leave log'!$F$7:$F$306,"Approved")&gt;0,"A",""))="A","A",IF(OR(DATE($B$3,5,4)&gt;EOMONTH(DATE($B$3,5,1),0),NETWORKDAYS.INTL(DATE($B$3,5,4),DATE($B$3,5,4),1,'Non-working days'!$A$6:$A$45)=0),"",IF(COUNTIFS('Leave log'!$A$7:$A$306,Employees!$A$12,'Leave log'!$B$7:$B$306,"&lt;="&amp;DATE($B$3,5,4),'Leave log'!$C$7:$C$306,"&gt;="&amp;DATE($B$3,5,4),'Leave log'!$F$7:$F$306,"Pending")&gt;0,"P",""))))</f>
        <v/>
      </c>
      <c r="F149" s="23" t="str">
        <f>IF(A149="","",IF(IF(OR(DATE($B$3,5,5)&gt;EOMONTH(DATE($B$3,5,1),0),NETWORKDAYS.INTL(DATE($B$3,5,5),DATE($B$3,5,5),1,'Non-working days'!$A$6:$A$45)=0),"",IF(COUNTIFS('Leave log'!$A$7:$A$306,Employees!$A$12,'Leave log'!$B$7:$B$306,"&lt;="&amp;DATE($B$3,5,5),'Leave log'!$C$7:$C$306,"&gt;="&amp;DATE($B$3,5,5),'Leave log'!$F$7:$F$306,"Approved")&gt;0,"A",""))="A","A",IF(OR(DATE($B$3,5,5)&gt;EOMONTH(DATE($B$3,5,1),0),NETWORKDAYS.INTL(DATE($B$3,5,5),DATE($B$3,5,5),1,'Non-working days'!$A$6:$A$45)=0),"",IF(COUNTIFS('Leave log'!$A$7:$A$306,Employees!$A$12,'Leave log'!$B$7:$B$306,"&lt;="&amp;DATE($B$3,5,5),'Leave log'!$C$7:$C$306,"&gt;="&amp;DATE($B$3,5,5),'Leave log'!$F$7:$F$306,"Pending")&gt;0,"P",""))))</f>
        <v/>
      </c>
      <c r="G149" s="23" t="str">
        <f>IF(A149="","",IF(IF(OR(DATE($B$3,5,6)&gt;EOMONTH(DATE($B$3,5,1),0),NETWORKDAYS.INTL(DATE($B$3,5,6),DATE($B$3,5,6),1,'Non-working days'!$A$6:$A$45)=0),"",IF(COUNTIFS('Leave log'!$A$7:$A$306,Employees!$A$12,'Leave log'!$B$7:$B$306,"&lt;="&amp;DATE($B$3,5,6),'Leave log'!$C$7:$C$306,"&gt;="&amp;DATE($B$3,5,6),'Leave log'!$F$7:$F$306,"Approved")&gt;0,"A",""))="A","A",IF(OR(DATE($B$3,5,6)&gt;EOMONTH(DATE($B$3,5,1),0),NETWORKDAYS.INTL(DATE($B$3,5,6),DATE($B$3,5,6),1,'Non-working days'!$A$6:$A$45)=0),"",IF(COUNTIFS('Leave log'!$A$7:$A$306,Employees!$A$12,'Leave log'!$B$7:$B$306,"&lt;="&amp;DATE($B$3,5,6),'Leave log'!$C$7:$C$306,"&gt;="&amp;DATE($B$3,5,6),'Leave log'!$F$7:$F$306,"Pending")&gt;0,"P",""))))</f>
        <v/>
      </c>
      <c r="H149" s="23" t="str">
        <f>IF(A149="","",IF(IF(OR(DATE($B$3,5,7)&gt;EOMONTH(DATE($B$3,5,1),0),NETWORKDAYS.INTL(DATE($B$3,5,7),DATE($B$3,5,7),1,'Non-working days'!$A$6:$A$45)=0),"",IF(COUNTIFS('Leave log'!$A$7:$A$306,Employees!$A$12,'Leave log'!$B$7:$B$306,"&lt;="&amp;DATE($B$3,5,7),'Leave log'!$C$7:$C$306,"&gt;="&amp;DATE($B$3,5,7),'Leave log'!$F$7:$F$306,"Approved")&gt;0,"A",""))="A","A",IF(OR(DATE($B$3,5,7)&gt;EOMONTH(DATE($B$3,5,1),0),NETWORKDAYS.INTL(DATE($B$3,5,7),DATE($B$3,5,7),1,'Non-working days'!$A$6:$A$45)=0),"",IF(COUNTIFS('Leave log'!$A$7:$A$306,Employees!$A$12,'Leave log'!$B$7:$B$306,"&lt;="&amp;DATE($B$3,5,7),'Leave log'!$C$7:$C$306,"&gt;="&amp;DATE($B$3,5,7),'Leave log'!$F$7:$F$306,"Pending")&gt;0,"P",""))))</f>
        <v/>
      </c>
      <c r="I149" s="23" t="str">
        <f>IF(A149="","",IF(IF(OR(DATE($B$3,5,8)&gt;EOMONTH(DATE($B$3,5,1),0),NETWORKDAYS.INTL(DATE($B$3,5,8),DATE($B$3,5,8),1,'Non-working days'!$A$6:$A$45)=0),"",IF(COUNTIFS('Leave log'!$A$7:$A$306,Employees!$A$12,'Leave log'!$B$7:$B$306,"&lt;="&amp;DATE($B$3,5,8),'Leave log'!$C$7:$C$306,"&gt;="&amp;DATE($B$3,5,8),'Leave log'!$F$7:$F$306,"Approved")&gt;0,"A",""))="A","A",IF(OR(DATE($B$3,5,8)&gt;EOMONTH(DATE($B$3,5,1),0),NETWORKDAYS.INTL(DATE($B$3,5,8),DATE($B$3,5,8),1,'Non-working days'!$A$6:$A$45)=0),"",IF(COUNTIFS('Leave log'!$A$7:$A$306,Employees!$A$12,'Leave log'!$B$7:$B$306,"&lt;="&amp;DATE($B$3,5,8),'Leave log'!$C$7:$C$306,"&gt;="&amp;DATE($B$3,5,8),'Leave log'!$F$7:$F$306,"Pending")&gt;0,"P",""))))</f>
        <v/>
      </c>
      <c r="J149" s="23" t="str">
        <f>IF(A149="","",IF(IF(OR(DATE($B$3,5,9)&gt;EOMONTH(DATE($B$3,5,1),0),NETWORKDAYS.INTL(DATE($B$3,5,9),DATE($B$3,5,9),1,'Non-working days'!$A$6:$A$45)=0),"",IF(COUNTIFS('Leave log'!$A$7:$A$306,Employees!$A$12,'Leave log'!$B$7:$B$306,"&lt;="&amp;DATE($B$3,5,9),'Leave log'!$C$7:$C$306,"&gt;="&amp;DATE($B$3,5,9),'Leave log'!$F$7:$F$306,"Approved")&gt;0,"A",""))="A","A",IF(OR(DATE($B$3,5,9)&gt;EOMONTH(DATE($B$3,5,1),0),NETWORKDAYS.INTL(DATE($B$3,5,9),DATE($B$3,5,9),1,'Non-working days'!$A$6:$A$45)=0),"",IF(COUNTIFS('Leave log'!$A$7:$A$306,Employees!$A$12,'Leave log'!$B$7:$B$306,"&lt;="&amp;DATE($B$3,5,9),'Leave log'!$C$7:$C$306,"&gt;="&amp;DATE($B$3,5,9),'Leave log'!$F$7:$F$306,"Pending")&gt;0,"P",""))))</f>
        <v/>
      </c>
      <c r="K149" s="23" t="str">
        <f>IF(A149="","",IF(IF(OR(DATE($B$3,5,10)&gt;EOMONTH(DATE($B$3,5,1),0),NETWORKDAYS.INTL(DATE($B$3,5,10),DATE($B$3,5,10),1,'Non-working days'!$A$6:$A$45)=0),"",IF(COUNTIFS('Leave log'!$A$7:$A$306,Employees!$A$12,'Leave log'!$B$7:$B$306,"&lt;="&amp;DATE($B$3,5,10),'Leave log'!$C$7:$C$306,"&gt;="&amp;DATE($B$3,5,10),'Leave log'!$F$7:$F$306,"Approved")&gt;0,"A",""))="A","A",IF(OR(DATE($B$3,5,10)&gt;EOMONTH(DATE($B$3,5,1),0),NETWORKDAYS.INTL(DATE($B$3,5,10),DATE($B$3,5,10),1,'Non-working days'!$A$6:$A$45)=0),"",IF(COUNTIFS('Leave log'!$A$7:$A$306,Employees!$A$12,'Leave log'!$B$7:$B$306,"&lt;="&amp;DATE($B$3,5,10),'Leave log'!$C$7:$C$306,"&gt;="&amp;DATE($B$3,5,10),'Leave log'!$F$7:$F$306,"Pending")&gt;0,"P",""))))</f>
        <v/>
      </c>
      <c r="L149" s="23" t="str">
        <f>IF(A149="","",IF(IF(OR(DATE($B$3,5,11)&gt;EOMONTH(DATE($B$3,5,1),0),NETWORKDAYS.INTL(DATE($B$3,5,11),DATE($B$3,5,11),1,'Non-working days'!$A$6:$A$45)=0),"",IF(COUNTIFS('Leave log'!$A$7:$A$306,Employees!$A$12,'Leave log'!$B$7:$B$306,"&lt;="&amp;DATE($B$3,5,11),'Leave log'!$C$7:$C$306,"&gt;="&amp;DATE($B$3,5,11),'Leave log'!$F$7:$F$306,"Approved")&gt;0,"A",""))="A","A",IF(OR(DATE($B$3,5,11)&gt;EOMONTH(DATE($B$3,5,1),0),NETWORKDAYS.INTL(DATE($B$3,5,11),DATE($B$3,5,11),1,'Non-working days'!$A$6:$A$45)=0),"",IF(COUNTIFS('Leave log'!$A$7:$A$306,Employees!$A$12,'Leave log'!$B$7:$B$306,"&lt;="&amp;DATE($B$3,5,11),'Leave log'!$C$7:$C$306,"&gt;="&amp;DATE($B$3,5,11),'Leave log'!$F$7:$F$306,"Pending")&gt;0,"P",""))))</f>
        <v/>
      </c>
      <c r="M149" s="23" t="str">
        <f>IF(A149="","",IF(IF(OR(DATE($B$3,5,12)&gt;EOMONTH(DATE($B$3,5,1),0),NETWORKDAYS.INTL(DATE($B$3,5,12),DATE($B$3,5,12),1,'Non-working days'!$A$6:$A$45)=0),"",IF(COUNTIFS('Leave log'!$A$7:$A$306,Employees!$A$12,'Leave log'!$B$7:$B$306,"&lt;="&amp;DATE($B$3,5,12),'Leave log'!$C$7:$C$306,"&gt;="&amp;DATE($B$3,5,12),'Leave log'!$F$7:$F$306,"Approved")&gt;0,"A",""))="A","A",IF(OR(DATE($B$3,5,12)&gt;EOMONTH(DATE($B$3,5,1),0),NETWORKDAYS.INTL(DATE($B$3,5,12),DATE($B$3,5,12),1,'Non-working days'!$A$6:$A$45)=0),"",IF(COUNTIFS('Leave log'!$A$7:$A$306,Employees!$A$12,'Leave log'!$B$7:$B$306,"&lt;="&amp;DATE($B$3,5,12),'Leave log'!$C$7:$C$306,"&gt;="&amp;DATE($B$3,5,12),'Leave log'!$F$7:$F$306,"Pending")&gt;0,"P",""))))</f>
        <v/>
      </c>
      <c r="N149" s="23" t="str">
        <f>IF(A149="","",IF(IF(OR(DATE($B$3,5,13)&gt;EOMONTH(DATE($B$3,5,1),0),NETWORKDAYS.INTL(DATE($B$3,5,13),DATE($B$3,5,13),1,'Non-working days'!$A$6:$A$45)=0),"",IF(COUNTIFS('Leave log'!$A$7:$A$306,Employees!$A$12,'Leave log'!$B$7:$B$306,"&lt;="&amp;DATE($B$3,5,13),'Leave log'!$C$7:$C$306,"&gt;="&amp;DATE($B$3,5,13),'Leave log'!$F$7:$F$306,"Approved")&gt;0,"A",""))="A","A",IF(OR(DATE($B$3,5,13)&gt;EOMONTH(DATE($B$3,5,1),0),NETWORKDAYS.INTL(DATE($B$3,5,13),DATE($B$3,5,13),1,'Non-working days'!$A$6:$A$45)=0),"",IF(COUNTIFS('Leave log'!$A$7:$A$306,Employees!$A$12,'Leave log'!$B$7:$B$306,"&lt;="&amp;DATE($B$3,5,13),'Leave log'!$C$7:$C$306,"&gt;="&amp;DATE($B$3,5,13),'Leave log'!$F$7:$F$306,"Pending")&gt;0,"P",""))))</f>
        <v/>
      </c>
      <c r="O149" s="23" t="str">
        <f>IF(A149="","",IF(IF(OR(DATE($B$3,5,14)&gt;EOMONTH(DATE($B$3,5,1),0),NETWORKDAYS.INTL(DATE($B$3,5,14),DATE($B$3,5,14),1,'Non-working days'!$A$6:$A$45)=0),"",IF(COUNTIFS('Leave log'!$A$7:$A$306,Employees!$A$12,'Leave log'!$B$7:$B$306,"&lt;="&amp;DATE($B$3,5,14),'Leave log'!$C$7:$C$306,"&gt;="&amp;DATE($B$3,5,14),'Leave log'!$F$7:$F$306,"Approved")&gt;0,"A",""))="A","A",IF(OR(DATE($B$3,5,14)&gt;EOMONTH(DATE($B$3,5,1),0),NETWORKDAYS.INTL(DATE($B$3,5,14),DATE($B$3,5,14),1,'Non-working days'!$A$6:$A$45)=0),"",IF(COUNTIFS('Leave log'!$A$7:$A$306,Employees!$A$12,'Leave log'!$B$7:$B$306,"&lt;="&amp;DATE($B$3,5,14),'Leave log'!$C$7:$C$306,"&gt;="&amp;DATE($B$3,5,14),'Leave log'!$F$7:$F$306,"Pending")&gt;0,"P",""))))</f>
        <v/>
      </c>
      <c r="P149" s="23" t="str">
        <f>IF(A149="","",IF(IF(OR(DATE($B$3,5,15)&gt;EOMONTH(DATE($B$3,5,1),0),NETWORKDAYS.INTL(DATE($B$3,5,15),DATE($B$3,5,15),1,'Non-working days'!$A$6:$A$45)=0),"",IF(COUNTIFS('Leave log'!$A$7:$A$306,Employees!$A$12,'Leave log'!$B$7:$B$306,"&lt;="&amp;DATE($B$3,5,15),'Leave log'!$C$7:$C$306,"&gt;="&amp;DATE($B$3,5,15),'Leave log'!$F$7:$F$306,"Approved")&gt;0,"A",""))="A","A",IF(OR(DATE($B$3,5,15)&gt;EOMONTH(DATE($B$3,5,1),0),NETWORKDAYS.INTL(DATE($B$3,5,15),DATE($B$3,5,15),1,'Non-working days'!$A$6:$A$45)=0),"",IF(COUNTIFS('Leave log'!$A$7:$A$306,Employees!$A$12,'Leave log'!$B$7:$B$306,"&lt;="&amp;DATE($B$3,5,15),'Leave log'!$C$7:$C$306,"&gt;="&amp;DATE($B$3,5,15),'Leave log'!$F$7:$F$306,"Pending")&gt;0,"P",""))))</f>
        <v/>
      </c>
      <c r="Q149" s="23" t="str">
        <f>IF(A149="","",IF(IF(OR(DATE($B$3,5,16)&gt;EOMONTH(DATE($B$3,5,1),0),NETWORKDAYS.INTL(DATE($B$3,5,16),DATE($B$3,5,16),1,'Non-working days'!$A$6:$A$45)=0),"",IF(COUNTIFS('Leave log'!$A$7:$A$306,Employees!$A$12,'Leave log'!$B$7:$B$306,"&lt;="&amp;DATE($B$3,5,16),'Leave log'!$C$7:$C$306,"&gt;="&amp;DATE($B$3,5,16),'Leave log'!$F$7:$F$306,"Approved")&gt;0,"A",""))="A","A",IF(OR(DATE($B$3,5,16)&gt;EOMONTH(DATE($B$3,5,1),0),NETWORKDAYS.INTL(DATE($B$3,5,16),DATE($B$3,5,16),1,'Non-working days'!$A$6:$A$45)=0),"",IF(COUNTIFS('Leave log'!$A$7:$A$306,Employees!$A$12,'Leave log'!$B$7:$B$306,"&lt;="&amp;DATE($B$3,5,16),'Leave log'!$C$7:$C$306,"&gt;="&amp;DATE($B$3,5,16),'Leave log'!$F$7:$F$306,"Pending")&gt;0,"P",""))))</f>
        <v/>
      </c>
      <c r="R149" s="23" t="str">
        <f>IF(A149="","",IF(IF(OR(DATE($B$3,5,17)&gt;EOMONTH(DATE($B$3,5,1),0),NETWORKDAYS.INTL(DATE($B$3,5,17),DATE($B$3,5,17),1,'Non-working days'!$A$6:$A$45)=0),"",IF(COUNTIFS('Leave log'!$A$7:$A$306,Employees!$A$12,'Leave log'!$B$7:$B$306,"&lt;="&amp;DATE($B$3,5,17),'Leave log'!$C$7:$C$306,"&gt;="&amp;DATE($B$3,5,17),'Leave log'!$F$7:$F$306,"Approved")&gt;0,"A",""))="A","A",IF(OR(DATE($B$3,5,17)&gt;EOMONTH(DATE($B$3,5,1),0),NETWORKDAYS.INTL(DATE($B$3,5,17),DATE($B$3,5,17),1,'Non-working days'!$A$6:$A$45)=0),"",IF(COUNTIFS('Leave log'!$A$7:$A$306,Employees!$A$12,'Leave log'!$B$7:$B$306,"&lt;="&amp;DATE($B$3,5,17),'Leave log'!$C$7:$C$306,"&gt;="&amp;DATE($B$3,5,17),'Leave log'!$F$7:$F$306,"Pending")&gt;0,"P",""))))</f>
        <v/>
      </c>
      <c r="S149" s="23" t="str">
        <f>IF(A149="","",IF(IF(OR(DATE($B$3,5,18)&gt;EOMONTH(DATE($B$3,5,1),0),NETWORKDAYS.INTL(DATE($B$3,5,18),DATE($B$3,5,18),1,'Non-working days'!$A$6:$A$45)=0),"",IF(COUNTIFS('Leave log'!$A$7:$A$306,Employees!$A$12,'Leave log'!$B$7:$B$306,"&lt;="&amp;DATE($B$3,5,18),'Leave log'!$C$7:$C$306,"&gt;="&amp;DATE($B$3,5,18),'Leave log'!$F$7:$F$306,"Approved")&gt;0,"A",""))="A","A",IF(OR(DATE($B$3,5,18)&gt;EOMONTH(DATE($B$3,5,1),0),NETWORKDAYS.INTL(DATE($B$3,5,18),DATE($B$3,5,18),1,'Non-working days'!$A$6:$A$45)=0),"",IF(COUNTIFS('Leave log'!$A$7:$A$306,Employees!$A$12,'Leave log'!$B$7:$B$306,"&lt;="&amp;DATE($B$3,5,18),'Leave log'!$C$7:$C$306,"&gt;="&amp;DATE($B$3,5,18),'Leave log'!$F$7:$F$306,"Pending")&gt;0,"P",""))))</f>
        <v/>
      </c>
      <c r="T149" s="23" t="str">
        <f>IF(A149="","",IF(IF(OR(DATE($B$3,5,19)&gt;EOMONTH(DATE($B$3,5,1),0),NETWORKDAYS.INTL(DATE($B$3,5,19),DATE($B$3,5,19),1,'Non-working days'!$A$6:$A$45)=0),"",IF(COUNTIFS('Leave log'!$A$7:$A$306,Employees!$A$12,'Leave log'!$B$7:$B$306,"&lt;="&amp;DATE($B$3,5,19),'Leave log'!$C$7:$C$306,"&gt;="&amp;DATE($B$3,5,19),'Leave log'!$F$7:$F$306,"Approved")&gt;0,"A",""))="A","A",IF(OR(DATE($B$3,5,19)&gt;EOMONTH(DATE($B$3,5,1),0),NETWORKDAYS.INTL(DATE($B$3,5,19),DATE($B$3,5,19),1,'Non-working days'!$A$6:$A$45)=0),"",IF(COUNTIFS('Leave log'!$A$7:$A$306,Employees!$A$12,'Leave log'!$B$7:$B$306,"&lt;="&amp;DATE($B$3,5,19),'Leave log'!$C$7:$C$306,"&gt;="&amp;DATE($B$3,5,19),'Leave log'!$F$7:$F$306,"Pending")&gt;0,"P",""))))</f>
        <v/>
      </c>
      <c r="U149" s="23" t="str">
        <f>IF(A149="","",IF(IF(OR(DATE($B$3,5,20)&gt;EOMONTH(DATE($B$3,5,1),0),NETWORKDAYS.INTL(DATE($B$3,5,20),DATE($B$3,5,20),1,'Non-working days'!$A$6:$A$45)=0),"",IF(COUNTIFS('Leave log'!$A$7:$A$306,Employees!$A$12,'Leave log'!$B$7:$B$306,"&lt;="&amp;DATE($B$3,5,20),'Leave log'!$C$7:$C$306,"&gt;="&amp;DATE($B$3,5,20),'Leave log'!$F$7:$F$306,"Approved")&gt;0,"A",""))="A","A",IF(OR(DATE($B$3,5,20)&gt;EOMONTH(DATE($B$3,5,1),0),NETWORKDAYS.INTL(DATE($B$3,5,20),DATE($B$3,5,20),1,'Non-working days'!$A$6:$A$45)=0),"",IF(COUNTIFS('Leave log'!$A$7:$A$306,Employees!$A$12,'Leave log'!$B$7:$B$306,"&lt;="&amp;DATE($B$3,5,20),'Leave log'!$C$7:$C$306,"&gt;="&amp;DATE($B$3,5,20),'Leave log'!$F$7:$F$306,"Pending")&gt;0,"P",""))))</f>
        <v/>
      </c>
      <c r="V149" s="23" t="str">
        <f>IF(A149="","",IF(IF(OR(DATE($B$3,5,21)&gt;EOMONTH(DATE($B$3,5,1),0),NETWORKDAYS.INTL(DATE($B$3,5,21),DATE($B$3,5,21),1,'Non-working days'!$A$6:$A$45)=0),"",IF(COUNTIFS('Leave log'!$A$7:$A$306,Employees!$A$12,'Leave log'!$B$7:$B$306,"&lt;="&amp;DATE($B$3,5,21),'Leave log'!$C$7:$C$306,"&gt;="&amp;DATE($B$3,5,21),'Leave log'!$F$7:$F$306,"Approved")&gt;0,"A",""))="A","A",IF(OR(DATE($B$3,5,21)&gt;EOMONTH(DATE($B$3,5,1),0),NETWORKDAYS.INTL(DATE($B$3,5,21),DATE($B$3,5,21),1,'Non-working days'!$A$6:$A$45)=0),"",IF(COUNTIFS('Leave log'!$A$7:$A$306,Employees!$A$12,'Leave log'!$B$7:$B$306,"&lt;="&amp;DATE($B$3,5,21),'Leave log'!$C$7:$C$306,"&gt;="&amp;DATE($B$3,5,21),'Leave log'!$F$7:$F$306,"Pending")&gt;0,"P",""))))</f>
        <v/>
      </c>
      <c r="W149" s="23" t="str">
        <f>IF(A149="","",IF(IF(OR(DATE($B$3,5,22)&gt;EOMONTH(DATE($B$3,5,1),0),NETWORKDAYS.INTL(DATE($B$3,5,22),DATE($B$3,5,22),1,'Non-working days'!$A$6:$A$45)=0),"",IF(COUNTIFS('Leave log'!$A$7:$A$306,Employees!$A$12,'Leave log'!$B$7:$B$306,"&lt;="&amp;DATE($B$3,5,22),'Leave log'!$C$7:$C$306,"&gt;="&amp;DATE($B$3,5,22),'Leave log'!$F$7:$F$306,"Approved")&gt;0,"A",""))="A","A",IF(OR(DATE($B$3,5,22)&gt;EOMONTH(DATE($B$3,5,1),0),NETWORKDAYS.INTL(DATE($B$3,5,22),DATE($B$3,5,22),1,'Non-working days'!$A$6:$A$45)=0),"",IF(COUNTIFS('Leave log'!$A$7:$A$306,Employees!$A$12,'Leave log'!$B$7:$B$306,"&lt;="&amp;DATE($B$3,5,22),'Leave log'!$C$7:$C$306,"&gt;="&amp;DATE($B$3,5,22),'Leave log'!$F$7:$F$306,"Pending")&gt;0,"P",""))))</f>
        <v/>
      </c>
      <c r="X149" s="23" t="str">
        <f>IF(A149="","",IF(IF(OR(DATE($B$3,5,23)&gt;EOMONTH(DATE($B$3,5,1),0),NETWORKDAYS.INTL(DATE($B$3,5,23),DATE($B$3,5,23),1,'Non-working days'!$A$6:$A$45)=0),"",IF(COUNTIFS('Leave log'!$A$7:$A$306,Employees!$A$12,'Leave log'!$B$7:$B$306,"&lt;="&amp;DATE($B$3,5,23),'Leave log'!$C$7:$C$306,"&gt;="&amp;DATE($B$3,5,23),'Leave log'!$F$7:$F$306,"Approved")&gt;0,"A",""))="A","A",IF(OR(DATE($B$3,5,23)&gt;EOMONTH(DATE($B$3,5,1),0),NETWORKDAYS.INTL(DATE($B$3,5,23),DATE($B$3,5,23),1,'Non-working days'!$A$6:$A$45)=0),"",IF(COUNTIFS('Leave log'!$A$7:$A$306,Employees!$A$12,'Leave log'!$B$7:$B$306,"&lt;="&amp;DATE($B$3,5,23),'Leave log'!$C$7:$C$306,"&gt;="&amp;DATE($B$3,5,23),'Leave log'!$F$7:$F$306,"Pending")&gt;0,"P",""))))</f>
        <v/>
      </c>
      <c r="Y149" s="23" t="str">
        <f>IF(A149="","",IF(IF(OR(DATE($B$3,5,24)&gt;EOMONTH(DATE($B$3,5,1),0),NETWORKDAYS.INTL(DATE($B$3,5,24),DATE($B$3,5,24),1,'Non-working days'!$A$6:$A$45)=0),"",IF(COUNTIFS('Leave log'!$A$7:$A$306,Employees!$A$12,'Leave log'!$B$7:$B$306,"&lt;="&amp;DATE($B$3,5,24),'Leave log'!$C$7:$C$306,"&gt;="&amp;DATE($B$3,5,24),'Leave log'!$F$7:$F$306,"Approved")&gt;0,"A",""))="A","A",IF(OR(DATE($B$3,5,24)&gt;EOMONTH(DATE($B$3,5,1),0),NETWORKDAYS.INTL(DATE($B$3,5,24),DATE($B$3,5,24),1,'Non-working days'!$A$6:$A$45)=0),"",IF(COUNTIFS('Leave log'!$A$7:$A$306,Employees!$A$12,'Leave log'!$B$7:$B$306,"&lt;="&amp;DATE($B$3,5,24),'Leave log'!$C$7:$C$306,"&gt;="&amp;DATE($B$3,5,24),'Leave log'!$F$7:$F$306,"Pending")&gt;0,"P",""))))</f>
        <v/>
      </c>
      <c r="Z149" s="23" t="str">
        <f>IF(A149="","",IF(IF(OR(DATE($B$3,5,25)&gt;EOMONTH(DATE($B$3,5,1),0),NETWORKDAYS.INTL(DATE($B$3,5,25),DATE($B$3,5,25),1,'Non-working days'!$A$6:$A$45)=0),"",IF(COUNTIFS('Leave log'!$A$7:$A$306,Employees!$A$12,'Leave log'!$B$7:$B$306,"&lt;="&amp;DATE($B$3,5,25),'Leave log'!$C$7:$C$306,"&gt;="&amp;DATE($B$3,5,25),'Leave log'!$F$7:$F$306,"Approved")&gt;0,"A",""))="A","A",IF(OR(DATE($B$3,5,25)&gt;EOMONTH(DATE($B$3,5,1),0),NETWORKDAYS.INTL(DATE($B$3,5,25),DATE($B$3,5,25),1,'Non-working days'!$A$6:$A$45)=0),"",IF(COUNTIFS('Leave log'!$A$7:$A$306,Employees!$A$12,'Leave log'!$B$7:$B$306,"&lt;="&amp;DATE($B$3,5,25),'Leave log'!$C$7:$C$306,"&gt;="&amp;DATE($B$3,5,25),'Leave log'!$F$7:$F$306,"Pending")&gt;0,"P",""))))</f>
        <v/>
      </c>
      <c r="AA149" s="23" t="str">
        <f>IF(A149="","",IF(IF(OR(DATE($B$3,5,26)&gt;EOMONTH(DATE($B$3,5,1),0),NETWORKDAYS.INTL(DATE($B$3,5,26),DATE($B$3,5,26),1,'Non-working days'!$A$6:$A$45)=0),"",IF(COUNTIFS('Leave log'!$A$7:$A$306,Employees!$A$12,'Leave log'!$B$7:$B$306,"&lt;="&amp;DATE($B$3,5,26),'Leave log'!$C$7:$C$306,"&gt;="&amp;DATE($B$3,5,26),'Leave log'!$F$7:$F$306,"Approved")&gt;0,"A",""))="A","A",IF(OR(DATE($B$3,5,26)&gt;EOMONTH(DATE($B$3,5,1),0),NETWORKDAYS.INTL(DATE($B$3,5,26),DATE($B$3,5,26),1,'Non-working days'!$A$6:$A$45)=0),"",IF(COUNTIFS('Leave log'!$A$7:$A$306,Employees!$A$12,'Leave log'!$B$7:$B$306,"&lt;="&amp;DATE($B$3,5,26),'Leave log'!$C$7:$C$306,"&gt;="&amp;DATE($B$3,5,26),'Leave log'!$F$7:$F$306,"Pending")&gt;0,"P",""))))</f>
        <v/>
      </c>
      <c r="AB149" s="23" t="str">
        <f>IF(A149="","",IF(IF(OR(DATE($B$3,5,27)&gt;EOMONTH(DATE($B$3,5,1),0),NETWORKDAYS.INTL(DATE($B$3,5,27),DATE($B$3,5,27),1,'Non-working days'!$A$6:$A$45)=0),"",IF(COUNTIFS('Leave log'!$A$7:$A$306,Employees!$A$12,'Leave log'!$B$7:$B$306,"&lt;="&amp;DATE($B$3,5,27),'Leave log'!$C$7:$C$306,"&gt;="&amp;DATE($B$3,5,27),'Leave log'!$F$7:$F$306,"Approved")&gt;0,"A",""))="A","A",IF(OR(DATE($B$3,5,27)&gt;EOMONTH(DATE($B$3,5,1),0),NETWORKDAYS.INTL(DATE($B$3,5,27),DATE($B$3,5,27),1,'Non-working days'!$A$6:$A$45)=0),"",IF(COUNTIFS('Leave log'!$A$7:$A$306,Employees!$A$12,'Leave log'!$B$7:$B$306,"&lt;="&amp;DATE($B$3,5,27),'Leave log'!$C$7:$C$306,"&gt;="&amp;DATE($B$3,5,27),'Leave log'!$F$7:$F$306,"Pending")&gt;0,"P",""))))</f>
        <v/>
      </c>
      <c r="AC149" s="23" t="str">
        <f>IF(A149="","",IF(IF(OR(DATE($B$3,5,28)&gt;EOMONTH(DATE($B$3,5,1),0),NETWORKDAYS.INTL(DATE($B$3,5,28),DATE($B$3,5,28),1,'Non-working days'!$A$6:$A$45)=0),"",IF(COUNTIFS('Leave log'!$A$7:$A$306,Employees!$A$12,'Leave log'!$B$7:$B$306,"&lt;="&amp;DATE($B$3,5,28),'Leave log'!$C$7:$C$306,"&gt;="&amp;DATE($B$3,5,28),'Leave log'!$F$7:$F$306,"Approved")&gt;0,"A",""))="A","A",IF(OR(DATE($B$3,5,28)&gt;EOMONTH(DATE($B$3,5,1),0),NETWORKDAYS.INTL(DATE($B$3,5,28),DATE($B$3,5,28),1,'Non-working days'!$A$6:$A$45)=0),"",IF(COUNTIFS('Leave log'!$A$7:$A$306,Employees!$A$12,'Leave log'!$B$7:$B$306,"&lt;="&amp;DATE($B$3,5,28),'Leave log'!$C$7:$C$306,"&gt;="&amp;DATE($B$3,5,28),'Leave log'!$F$7:$F$306,"Pending")&gt;0,"P",""))))</f>
        <v/>
      </c>
      <c r="AD149" s="23" t="str">
        <f>IF(A149="","",IF(IF(OR(DATE($B$3,5,29)&gt;EOMONTH(DATE($B$3,5,1),0),NETWORKDAYS.INTL(DATE($B$3,5,29),DATE($B$3,5,29),1,'Non-working days'!$A$6:$A$45)=0),"",IF(COUNTIFS('Leave log'!$A$7:$A$306,Employees!$A$12,'Leave log'!$B$7:$B$306,"&lt;="&amp;DATE($B$3,5,29),'Leave log'!$C$7:$C$306,"&gt;="&amp;DATE($B$3,5,29),'Leave log'!$F$7:$F$306,"Approved")&gt;0,"A",""))="A","A",IF(OR(DATE($B$3,5,29)&gt;EOMONTH(DATE($B$3,5,1),0),NETWORKDAYS.INTL(DATE($B$3,5,29),DATE($B$3,5,29),1,'Non-working days'!$A$6:$A$45)=0),"",IF(COUNTIFS('Leave log'!$A$7:$A$306,Employees!$A$12,'Leave log'!$B$7:$B$306,"&lt;="&amp;DATE($B$3,5,29),'Leave log'!$C$7:$C$306,"&gt;="&amp;DATE($B$3,5,29),'Leave log'!$F$7:$F$306,"Pending")&gt;0,"P",""))))</f>
        <v/>
      </c>
      <c r="AE149" s="23" t="str">
        <f>IF(A149="","",IF(IF(OR(DATE($B$3,5,30)&gt;EOMONTH(DATE($B$3,5,1),0),NETWORKDAYS.INTL(DATE($B$3,5,30),DATE($B$3,5,30),1,'Non-working days'!$A$6:$A$45)=0),"",IF(COUNTIFS('Leave log'!$A$7:$A$306,Employees!$A$12,'Leave log'!$B$7:$B$306,"&lt;="&amp;DATE($B$3,5,30),'Leave log'!$C$7:$C$306,"&gt;="&amp;DATE($B$3,5,30),'Leave log'!$F$7:$F$306,"Approved")&gt;0,"A",""))="A","A",IF(OR(DATE($B$3,5,30)&gt;EOMONTH(DATE($B$3,5,1),0),NETWORKDAYS.INTL(DATE($B$3,5,30),DATE($B$3,5,30),1,'Non-working days'!$A$6:$A$45)=0),"",IF(COUNTIFS('Leave log'!$A$7:$A$306,Employees!$A$12,'Leave log'!$B$7:$B$306,"&lt;="&amp;DATE($B$3,5,30),'Leave log'!$C$7:$C$306,"&gt;="&amp;DATE($B$3,5,30),'Leave log'!$F$7:$F$306,"Pending")&gt;0,"P",""))))</f>
        <v/>
      </c>
      <c r="AF149" s="23" t="str">
        <f>IF(A149="","",IF(IF(OR(DATE($B$3,5,31)&gt;EOMONTH(DATE($B$3,5,1),0),NETWORKDAYS.INTL(DATE($B$3,5,31),DATE($B$3,5,31),1,'Non-working days'!$A$6:$A$45)=0),"",IF(COUNTIFS('Leave log'!$A$7:$A$306,Employees!$A$12,'Leave log'!$B$7:$B$306,"&lt;="&amp;DATE($B$3,5,31),'Leave log'!$C$7:$C$306,"&gt;="&amp;DATE($B$3,5,31),'Leave log'!$F$7:$F$306,"Approved")&gt;0,"A",""))="A","A",IF(OR(DATE($B$3,5,31)&gt;EOMONTH(DATE($B$3,5,1),0),NETWORKDAYS.INTL(DATE($B$3,5,31),DATE($B$3,5,31),1,'Non-working days'!$A$6:$A$45)=0),"",IF(COUNTIFS('Leave log'!$A$7:$A$306,Employees!$A$12,'Leave log'!$B$7:$B$306,"&lt;="&amp;DATE($B$3,5,31),'Leave log'!$C$7:$C$306,"&gt;="&amp;DATE($B$3,5,31),'Leave log'!$F$7:$F$306,"Pending")&gt;0,"P",""))))</f>
        <v/>
      </c>
    </row>
    <row r="150" spans="1:32" ht="18" customHeight="1" x14ac:dyDescent="0.3">
      <c r="A150" s="22" t="str">
        <f>IF(Employees!F13="Yes",Employees!B13,"")</f>
        <v/>
      </c>
      <c r="B150" s="23" t="str">
        <f>IF(A150="","",IF(IF(OR(DATE($B$3,5,1)&gt;EOMONTH(DATE($B$3,5,1),0),NETWORKDAYS.INTL(DATE($B$3,5,1),DATE($B$3,5,1),1,'Non-working days'!$A$6:$A$45)=0),"",IF(COUNTIFS('Leave log'!$A$7:$A$306,Employees!$A$13,'Leave log'!$B$7:$B$306,"&lt;="&amp;DATE($B$3,5,1),'Leave log'!$C$7:$C$306,"&gt;="&amp;DATE($B$3,5,1),'Leave log'!$F$7:$F$306,"Approved")&gt;0,"A",""))="A","A",IF(OR(DATE($B$3,5,1)&gt;EOMONTH(DATE($B$3,5,1),0),NETWORKDAYS.INTL(DATE($B$3,5,1),DATE($B$3,5,1),1,'Non-working days'!$A$6:$A$45)=0),"",IF(COUNTIFS('Leave log'!$A$7:$A$306,Employees!$A$13,'Leave log'!$B$7:$B$306,"&lt;="&amp;DATE($B$3,5,1),'Leave log'!$C$7:$C$306,"&gt;="&amp;DATE($B$3,5,1),'Leave log'!$F$7:$F$306,"Pending")&gt;0,"P",""))))</f>
        <v/>
      </c>
      <c r="C150" s="23" t="str">
        <f>IF(A150="","",IF(IF(OR(DATE($B$3,5,2)&gt;EOMONTH(DATE($B$3,5,1),0),NETWORKDAYS.INTL(DATE($B$3,5,2),DATE($B$3,5,2),1,'Non-working days'!$A$6:$A$45)=0),"",IF(COUNTIFS('Leave log'!$A$7:$A$306,Employees!$A$13,'Leave log'!$B$7:$B$306,"&lt;="&amp;DATE($B$3,5,2),'Leave log'!$C$7:$C$306,"&gt;="&amp;DATE($B$3,5,2),'Leave log'!$F$7:$F$306,"Approved")&gt;0,"A",""))="A","A",IF(OR(DATE($B$3,5,2)&gt;EOMONTH(DATE($B$3,5,1),0),NETWORKDAYS.INTL(DATE($B$3,5,2),DATE($B$3,5,2),1,'Non-working days'!$A$6:$A$45)=0),"",IF(COUNTIFS('Leave log'!$A$7:$A$306,Employees!$A$13,'Leave log'!$B$7:$B$306,"&lt;="&amp;DATE($B$3,5,2),'Leave log'!$C$7:$C$306,"&gt;="&amp;DATE($B$3,5,2),'Leave log'!$F$7:$F$306,"Pending")&gt;0,"P",""))))</f>
        <v/>
      </c>
      <c r="D150" s="23" t="str">
        <f>IF(A150="","",IF(IF(OR(DATE($B$3,5,3)&gt;EOMONTH(DATE($B$3,5,1),0),NETWORKDAYS.INTL(DATE($B$3,5,3),DATE($B$3,5,3),1,'Non-working days'!$A$6:$A$45)=0),"",IF(COUNTIFS('Leave log'!$A$7:$A$306,Employees!$A$13,'Leave log'!$B$7:$B$306,"&lt;="&amp;DATE($B$3,5,3),'Leave log'!$C$7:$C$306,"&gt;="&amp;DATE($B$3,5,3),'Leave log'!$F$7:$F$306,"Approved")&gt;0,"A",""))="A","A",IF(OR(DATE($B$3,5,3)&gt;EOMONTH(DATE($B$3,5,1),0),NETWORKDAYS.INTL(DATE($B$3,5,3),DATE($B$3,5,3),1,'Non-working days'!$A$6:$A$45)=0),"",IF(COUNTIFS('Leave log'!$A$7:$A$306,Employees!$A$13,'Leave log'!$B$7:$B$306,"&lt;="&amp;DATE($B$3,5,3),'Leave log'!$C$7:$C$306,"&gt;="&amp;DATE($B$3,5,3),'Leave log'!$F$7:$F$306,"Pending")&gt;0,"P",""))))</f>
        <v/>
      </c>
      <c r="E150" s="23" t="str">
        <f>IF(A150="","",IF(IF(OR(DATE($B$3,5,4)&gt;EOMONTH(DATE($B$3,5,1),0),NETWORKDAYS.INTL(DATE($B$3,5,4),DATE($B$3,5,4),1,'Non-working days'!$A$6:$A$45)=0),"",IF(COUNTIFS('Leave log'!$A$7:$A$306,Employees!$A$13,'Leave log'!$B$7:$B$306,"&lt;="&amp;DATE($B$3,5,4),'Leave log'!$C$7:$C$306,"&gt;="&amp;DATE($B$3,5,4),'Leave log'!$F$7:$F$306,"Approved")&gt;0,"A",""))="A","A",IF(OR(DATE($B$3,5,4)&gt;EOMONTH(DATE($B$3,5,1),0),NETWORKDAYS.INTL(DATE($B$3,5,4),DATE($B$3,5,4),1,'Non-working days'!$A$6:$A$45)=0),"",IF(COUNTIFS('Leave log'!$A$7:$A$306,Employees!$A$13,'Leave log'!$B$7:$B$306,"&lt;="&amp;DATE($B$3,5,4),'Leave log'!$C$7:$C$306,"&gt;="&amp;DATE($B$3,5,4),'Leave log'!$F$7:$F$306,"Pending")&gt;0,"P",""))))</f>
        <v/>
      </c>
      <c r="F150" s="23" t="str">
        <f>IF(A150="","",IF(IF(OR(DATE($B$3,5,5)&gt;EOMONTH(DATE($B$3,5,1),0),NETWORKDAYS.INTL(DATE($B$3,5,5),DATE($B$3,5,5),1,'Non-working days'!$A$6:$A$45)=0),"",IF(COUNTIFS('Leave log'!$A$7:$A$306,Employees!$A$13,'Leave log'!$B$7:$B$306,"&lt;="&amp;DATE($B$3,5,5),'Leave log'!$C$7:$C$306,"&gt;="&amp;DATE($B$3,5,5),'Leave log'!$F$7:$F$306,"Approved")&gt;0,"A",""))="A","A",IF(OR(DATE($B$3,5,5)&gt;EOMONTH(DATE($B$3,5,1),0),NETWORKDAYS.INTL(DATE($B$3,5,5),DATE($B$3,5,5),1,'Non-working days'!$A$6:$A$45)=0),"",IF(COUNTIFS('Leave log'!$A$7:$A$306,Employees!$A$13,'Leave log'!$B$7:$B$306,"&lt;="&amp;DATE($B$3,5,5),'Leave log'!$C$7:$C$306,"&gt;="&amp;DATE($B$3,5,5),'Leave log'!$F$7:$F$306,"Pending")&gt;0,"P",""))))</f>
        <v/>
      </c>
      <c r="G150" s="23" t="str">
        <f>IF(A150="","",IF(IF(OR(DATE($B$3,5,6)&gt;EOMONTH(DATE($B$3,5,1),0),NETWORKDAYS.INTL(DATE($B$3,5,6),DATE($B$3,5,6),1,'Non-working days'!$A$6:$A$45)=0),"",IF(COUNTIFS('Leave log'!$A$7:$A$306,Employees!$A$13,'Leave log'!$B$7:$B$306,"&lt;="&amp;DATE($B$3,5,6),'Leave log'!$C$7:$C$306,"&gt;="&amp;DATE($B$3,5,6),'Leave log'!$F$7:$F$306,"Approved")&gt;0,"A",""))="A","A",IF(OR(DATE($B$3,5,6)&gt;EOMONTH(DATE($B$3,5,1),0),NETWORKDAYS.INTL(DATE($B$3,5,6),DATE($B$3,5,6),1,'Non-working days'!$A$6:$A$45)=0),"",IF(COUNTIFS('Leave log'!$A$7:$A$306,Employees!$A$13,'Leave log'!$B$7:$B$306,"&lt;="&amp;DATE($B$3,5,6),'Leave log'!$C$7:$C$306,"&gt;="&amp;DATE($B$3,5,6),'Leave log'!$F$7:$F$306,"Pending")&gt;0,"P",""))))</f>
        <v/>
      </c>
      <c r="H150" s="23" t="str">
        <f>IF(A150="","",IF(IF(OR(DATE($B$3,5,7)&gt;EOMONTH(DATE($B$3,5,1),0),NETWORKDAYS.INTL(DATE($B$3,5,7),DATE($B$3,5,7),1,'Non-working days'!$A$6:$A$45)=0),"",IF(COUNTIFS('Leave log'!$A$7:$A$306,Employees!$A$13,'Leave log'!$B$7:$B$306,"&lt;="&amp;DATE($B$3,5,7),'Leave log'!$C$7:$C$306,"&gt;="&amp;DATE($B$3,5,7),'Leave log'!$F$7:$F$306,"Approved")&gt;0,"A",""))="A","A",IF(OR(DATE($B$3,5,7)&gt;EOMONTH(DATE($B$3,5,1),0),NETWORKDAYS.INTL(DATE($B$3,5,7),DATE($B$3,5,7),1,'Non-working days'!$A$6:$A$45)=0),"",IF(COUNTIFS('Leave log'!$A$7:$A$306,Employees!$A$13,'Leave log'!$B$7:$B$306,"&lt;="&amp;DATE($B$3,5,7),'Leave log'!$C$7:$C$306,"&gt;="&amp;DATE($B$3,5,7),'Leave log'!$F$7:$F$306,"Pending")&gt;0,"P",""))))</f>
        <v/>
      </c>
      <c r="I150" s="23" t="str">
        <f>IF(A150="","",IF(IF(OR(DATE($B$3,5,8)&gt;EOMONTH(DATE($B$3,5,1),0),NETWORKDAYS.INTL(DATE($B$3,5,8),DATE($B$3,5,8),1,'Non-working days'!$A$6:$A$45)=0),"",IF(COUNTIFS('Leave log'!$A$7:$A$306,Employees!$A$13,'Leave log'!$B$7:$B$306,"&lt;="&amp;DATE($B$3,5,8),'Leave log'!$C$7:$C$306,"&gt;="&amp;DATE($B$3,5,8),'Leave log'!$F$7:$F$306,"Approved")&gt;0,"A",""))="A","A",IF(OR(DATE($B$3,5,8)&gt;EOMONTH(DATE($B$3,5,1),0),NETWORKDAYS.INTL(DATE($B$3,5,8),DATE($B$3,5,8),1,'Non-working days'!$A$6:$A$45)=0),"",IF(COUNTIFS('Leave log'!$A$7:$A$306,Employees!$A$13,'Leave log'!$B$7:$B$306,"&lt;="&amp;DATE($B$3,5,8),'Leave log'!$C$7:$C$306,"&gt;="&amp;DATE($B$3,5,8),'Leave log'!$F$7:$F$306,"Pending")&gt;0,"P",""))))</f>
        <v/>
      </c>
      <c r="J150" s="23" t="str">
        <f>IF(A150="","",IF(IF(OR(DATE($B$3,5,9)&gt;EOMONTH(DATE($B$3,5,1),0),NETWORKDAYS.INTL(DATE($B$3,5,9),DATE($B$3,5,9),1,'Non-working days'!$A$6:$A$45)=0),"",IF(COUNTIFS('Leave log'!$A$7:$A$306,Employees!$A$13,'Leave log'!$B$7:$B$306,"&lt;="&amp;DATE($B$3,5,9),'Leave log'!$C$7:$C$306,"&gt;="&amp;DATE($B$3,5,9),'Leave log'!$F$7:$F$306,"Approved")&gt;0,"A",""))="A","A",IF(OR(DATE($B$3,5,9)&gt;EOMONTH(DATE($B$3,5,1),0),NETWORKDAYS.INTL(DATE($B$3,5,9),DATE($B$3,5,9),1,'Non-working days'!$A$6:$A$45)=0),"",IF(COUNTIFS('Leave log'!$A$7:$A$306,Employees!$A$13,'Leave log'!$B$7:$B$306,"&lt;="&amp;DATE($B$3,5,9),'Leave log'!$C$7:$C$306,"&gt;="&amp;DATE($B$3,5,9),'Leave log'!$F$7:$F$306,"Pending")&gt;0,"P",""))))</f>
        <v/>
      </c>
      <c r="K150" s="23" t="str">
        <f>IF(A150="","",IF(IF(OR(DATE($B$3,5,10)&gt;EOMONTH(DATE($B$3,5,1),0),NETWORKDAYS.INTL(DATE($B$3,5,10),DATE($B$3,5,10),1,'Non-working days'!$A$6:$A$45)=0),"",IF(COUNTIFS('Leave log'!$A$7:$A$306,Employees!$A$13,'Leave log'!$B$7:$B$306,"&lt;="&amp;DATE($B$3,5,10),'Leave log'!$C$7:$C$306,"&gt;="&amp;DATE($B$3,5,10),'Leave log'!$F$7:$F$306,"Approved")&gt;0,"A",""))="A","A",IF(OR(DATE($B$3,5,10)&gt;EOMONTH(DATE($B$3,5,1),0),NETWORKDAYS.INTL(DATE($B$3,5,10),DATE($B$3,5,10),1,'Non-working days'!$A$6:$A$45)=0),"",IF(COUNTIFS('Leave log'!$A$7:$A$306,Employees!$A$13,'Leave log'!$B$7:$B$306,"&lt;="&amp;DATE($B$3,5,10),'Leave log'!$C$7:$C$306,"&gt;="&amp;DATE($B$3,5,10),'Leave log'!$F$7:$F$306,"Pending")&gt;0,"P",""))))</f>
        <v/>
      </c>
      <c r="L150" s="23" t="str">
        <f>IF(A150="","",IF(IF(OR(DATE($B$3,5,11)&gt;EOMONTH(DATE($B$3,5,1),0),NETWORKDAYS.INTL(DATE($B$3,5,11),DATE($B$3,5,11),1,'Non-working days'!$A$6:$A$45)=0),"",IF(COUNTIFS('Leave log'!$A$7:$A$306,Employees!$A$13,'Leave log'!$B$7:$B$306,"&lt;="&amp;DATE($B$3,5,11),'Leave log'!$C$7:$C$306,"&gt;="&amp;DATE($B$3,5,11),'Leave log'!$F$7:$F$306,"Approved")&gt;0,"A",""))="A","A",IF(OR(DATE($B$3,5,11)&gt;EOMONTH(DATE($B$3,5,1),0),NETWORKDAYS.INTL(DATE($B$3,5,11),DATE($B$3,5,11),1,'Non-working days'!$A$6:$A$45)=0),"",IF(COUNTIFS('Leave log'!$A$7:$A$306,Employees!$A$13,'Leave log'!$B$7:$B$306,"&lt;="&amp;DATE($B$3,5,11),'Leave log'!$C$7:$C$306,"&gt;="&amp;DATE($B$3,5,11),'Leave log'!$F$7:$F$306,"Pending")&gt;0,"P",""))))</f>
        <v/>
      </c>
      <c r="M150" s="23" t="str">
        <f>IF(A150="","",IF(IF(OR(DATE($B$3,5,12)&gt;EOMONTH(DATE($B$3,5,1),0),NETWORKDAYS.INTL(DATE($B$3,5,12),DATE($B$3,5,12),1,'Non-working days'!$A$6:$A$45)=0),"",IF(COUNTIFS('Leave log'!$A$7:$A$306,Employees!$A$13,'Leave log'!$B$7:$B$306,"&lt;="&amp;DATE($B$3,5,12),'Leave log'!$C$7:$C$306,"&gt;="&amp;DATE($B$3,5,12),'Leave log'!$F$7:$F$306,"Approved")&gt;0,"A",""))="A","A",IF(OR(DATE($B$3,5,12)&gt;EOMONTH(DATE($B$3,5,1),0),NETWORKDAYS.INTL(DATE($B$3,5,12),DATE($B$3,5,12),1,'Non-working days'!$A$6:$A$45)=0),"",IF(COUNTIFS('Leave log'!$A$7:$A$306,Employees!$A$13,'Leave log'!$B$7:$B$306,"&lt;="&amp;DATE($B$3,5,12),'Leave log'!$C$7:$C$306,"&gt;="&amp;DATE($B$3,5,12),'Leave log'!$F$7:$F$306,"Pending")&gt;0,"P",""))))</f>
        <v/>
      </c>
      <c r="N150" s="23" t="str">
        <f>IF(A150="","",IF(IF(OR(DATE($B$3,5,13)&gt;EOMONTH(DATE($B$3,5,1),0),NETWORKDAYS.INTL(DATE($B$3,5,13),DATE($B$3,5,13),1,'Non-working days'!$A$6:$A$45)=0),"",IF(COUNTIFS('Leave log'!$A$7:$A$306,Employees!$A$13,'Leave log'!$B$7:$B$306,"&lt;="&amp;DATE($B$3,5,13),'Leave log'!$C$7:$C$306,"&gt;="&amp;DATE($B$3,5,13),'Leave log'!$F$7:$F$306,"Approved")&gt;0,"A",""))="A","A",IF(OR(DATE($B$3,5,13)&gt;EOMONTH(DATE($B$3,5,1),0),NETWORKDAYS.INTL(DATE($B$3,5,13),DATE($B$3,5,13),1,'Non-working days'!$A$6:$A$45)=0),"",IF(COUNTIFS('Leave log'!$A$7:$A$306,Employees!$A$13,'Leave log'!$B$7:$B$306,"&lt;="&amp;DATE($B$3,5,13),'Leave log'!$C$7:$C$306,"&gt;="&amp;DATE($B$3,5,13),'Leave log'!$F$7:$F$306,"Pending")&gt;0,"P",""))))</f>
        <v/>
      </c>
      <c r="O150" s="23" t="str">
        <f>IF(A150="","",IF(IF(OR(DATE($B$3,5,14)&gt;EOMONTH(DATE($B$3,5,1),0),NETWORKDAYS.INTL(DATE($B$3,5,14),DATE($B$3,5,14),1,'Non-working days'!$A$6:$A$45)=0),"",IF(COUNTIFS('Leave log'!$A$7:$A$306,Employees!$A$13,'Leave log'!$B$7:$B$306,"&lt;="&amp;DATE($B$3,5,14),'Leave log'!$C$7:$C$306,"&gt;="&amp;DATE($B$3,5,14),'Leave log'!$F$7:$F$306,"Approved")&gt;0,"A",""))="A","A",IF(OR(DATE($B$3,5,14)&gt;EOMONTH(DATE($B$3,5,1),0),NETWORKDAYS.INTL(DATE($B$3,5,14),DATE($B$3,5,14),1,'Non-working days'!$A$6:$A$45)=0),"",IF(COUNTIFS('Leave log'!$A$7:$A$306,Employees!$A$13,'Leave log'!$B$7:$B$306,"&lt;="&amp;DATE($B$3,5,14),'Leave log'!$C$7:$C$306,"&gt;="&amp;DATE($B$3,5,14),'Leave log'!$F$7:$F$306,"Pending")&gt;0,"P",""))))</f>
        <v/>
      </c>
      <c r="P150" s="23" t="str">
        <f>IF(A150="","",IF(IF(OR(DATE($B$3,5,15)&gt;EOMONTH(DATE($B$3,5,1),0),NETWORKDAYS.INTL(DATE($B$3,5,15),DATE($B$3,5,15),1,'Non-working days'!$A$6:$A$45)=0),"",IF(COUNTIFS('Leave log'!$A$7:$A$306,Employees!$A$13,'Leave log'!$B$7:$B$306,"&lt;="&amp;DATE($B$3,5,15),'Leave log'!$C$7:$C$306,"&gt;="&amp;DATE($B$3,5,15),'Leave log'!$F$7:$F$306,"Approved")&gt;0,"A",""))="A","A",IF(OR(DATE($B$3,5,15)&gt;EOMONTH(DATE($B$3,5,1),0),NETWORKDAYS.INTL(DATE($B$3,5,15),DATE($B$3,5,15),1,'Non-working days'!$A$6:$A$45)=0),"",IF(COUNTIFS('Leave log'!$A$7:$A$306,Employees!$A$13,'Leave log'!$B$7:$B$306,"&lt;="&amp;DATE($B$3,5,15),'Leave log'!$C$7:$C$306,"&gt;="&amp;DATE($B$3,5,15),'Leave log'!$F$7:$F$306,"Pending")&gt;0,"P",""))))</f>
        <v/>
      </c>
      <c r="Q150" s="23" t="str">
        <f>IF(A150="","",IF(IF(OR(DATE($B$3,5,16)&gt;EOMONTH(DATE($B$3,5,1),0),NETWORKDAYS.INTL(DATE($B$3,5,16),DATE($B$3,5,16),1,'Non-working days'!$A$6:$A$45)=0),"",IF(COUNTIFS('Leave log'!$A$7:$A$306,Employees!$A$13,'Leave log'!$B$7:$B$306,"&lt;="&amp;DATE($B$3,5,16),'Leave log'!$C$7:$C$306,"&gt;="&amp;DATE($B$3,5,16),'Leave log'!$F$7:$F$306,"Approved")&gt;0,"A",""))="A","A",IF(OR(DATE($B$3,5,16)&gt;EOMONTH(DATE($B$3,5,1),0),NETWORKDAYS.INTL(DATE($B$3,5,16),DATE($B$3,5,16),1,'Non-working days'!$A$6:$A$45)=0),"",IF(COUNTIFS('Leave log'!$A$7:$A$306,Employees!$A$13,'Leave log'!$B$7:$B$306,"&lt;="&amp;DATE($B$3,5,16),'Leave log'!$C$7:$C$306,"&gt;="&amp;DATE($B$3,5,16),'Leave log'!$F$7:$F$306,"Pending")&gt;0,"P",""))))</f>
        <v/>
      </c>
      <c r="R150" s="23" t="str">
        <f>IF(A150="","",IF(IF(OR(DATE($B$3,5,17)&gt;EOMONTH(DATE($B$3,5,1),0),NETWORKDAYS.INTL(DATE($B$3,5,17),DATE($B$3,5,17),1,'Non-working days'!$A$6:$A$45)=0),"",IF(COUNTIFS('Leave log'!$A$7:$A$306,Employees!$A$13,'Leave log'!$B$7:$B$306,"&lt;="&amp;DATE($B$3,5,17),'Leave log'!$C$7:$C$306,"&gt;="&amp;DATE($B$3,5,17),'Leave log'!$F$7:$F$306,"Approved")&gt;0,"A",""))="A","A",IF(OR(DATE($B$3,5,17)&gt;EOMONTH(DATE($B$3,5,1),0),NETWORKDAYS.INTL(DATE($B$3,5,17),DATE($B$3,5,17),1,'Non-working days'!$A$6:$A$45)=0),"",IF(COUNTIFS('Leave log'!$A$7:$A$306,Employees!$A$13,'Leave log'!$B$7:$B$306,"&lt;="&amp;DATE($B$3,5,17),'Leave log'!$C$7:$C$306,"&gt;="&amp;DATE($B$3,5,17),'Leave log'!$F$7:$F$306,"Pending")&gt;0,"P",""))))</f>
        <v/>
      </c>
      <c r="S150" s="23" t="str">
        <f>IF(A150="","",IF(IF(OR(DATE($B$3,5,18)&gt;EOMONTH(DATE($B$3,5,1),0),NETWORKDAYS.INTL(DATE($B$3,5,18),DATE($B$3,5,18),1,'Non-working days'!$A$6:$A$45)=0),"",IF(COUNTIFS('Leave log'!$A$7:$A$306,Employees!$A$13,'Leave log'!$B$7:$B$306,"&lt;="&amp;DATE($B$3,5,18),'Leave log'!$C$7:$C$306,"&gt;="&amp;DATE($B$3,5,18),'Leave log'!$F$7:$F$306,"Approved")&gt;0,"A",""))="A","A",IF(OR(DATE($B$3,5,18)&gt;EOMONTH(DATE($B$3,5,1),0),NETWORKDAYS.INTL(DATE($B$3,5,18),DATE($B$3,5,18),1,'Non-working days'!$A$6:$A$45)=0),"",IF(COUNTIFS('Leave log'!$A$7:$A$306,Employees!$A$13,'Leave log'!$B$7:$B$306,"&lt;="&amp;DATE($B$3,5,18),'Leave log'!$C$7:$C$306,"&gt;="&amp;DATE($B$3,5,18),'Leave log'!$F$7:$F$306,"Pending")&gt;0,"P",""))))</f>
        <v/>
      </c>
      <c r="T150" s="23" t="str">
        <f>IF(A150="","",IF(IF(OR(DATE($B$3,5,19)&gt;EOMONTH(DATE($B$3,5,1),0),NETWORKDAYS.INTL(DATE($B$3,5,19),DATE($B$3,5,19),1,'Non-working days'!$A$6:$A$45)=0),"",IF(COUNTIFS('Leave log'!$A$7:$A$306,Employees!$A$13,'Leave log'!$B$7:$B$306,"&lt;="&amp;DATE($B$3,5,19),'Leave log'!$C$7:$C$306,"&gt;="&amp;DATE($B$3,5,19),'Leave log'!$F$7:$F$306,"Approved")&gt;0,"A",""))="A","A",IF(OR(DATE($B$3,5,19)&gt;EOMONTH(DATE($B$3,5,1),0),NETWORKDAYS.INTL(DATE($B$3,5,19),DATE($B$3,5,19),1,'Non-working days'!$A$6:$A$45)=0),"",IF(COUNTIFS('Leave log'!$A$7:$A$306,Employees!$A$13,'Leave log'!$B$7:$B$306,"&lt;="&amp;DATE($B$3,5,19),'Leave log'!$C$7:$C$306,"&gt;="&amp;DATE($B$3,5,19),'Leave log'!$F$7:$F$306,"Pending")&gt;0,"P",""))))</f>
        <v/>
      </c>
      <c r="U150" s="23" t="str">
        <f>IF(A150="","",IF(IF(OR(DATE($B$3,5,20)&gt;EOMONTH(DATE($B$3,5,1),0),NETWORKDAYS.INTL(DATE($B$3,5,20),DATE($B$3,5,20),1,'Non-working days'!$A$6:$A$45)=0),"",IF(COUNTIFS('Leave log'!$A$7:$A$306,Employees!$A$13,'Leave log'!$B$7:$B$306,"&lt;="&amp;DATE($B$3,5,20),'Leave log'!$C$7:$C$306,"&gt;="&amp;DATE($B$3,5,20),'Leave log'!$F$7:$F$306,"Approved")&gt;0,"A",""))="A","A",IF(OR(DATE($B$3,5,20)&gt;EOMONTH(DATE($B$3,5,1),0),NETWORKDAYS.INTL(DATE($B$3,5,20),DATE($B$3,5,20),1,'Non-working days'!$A$6:$A$45)=0),"",IF(COUNTIFS('Leave log'!$A$7:$A$306,Employees!$A$13,'Leave log'!$B$7:$B$306,"&lt;="&amp;DATE($B$3,5,20),'Leave log'!$C$7:$C$306,"&gt;="&amp;DATE($B$3,5,20),'Leave log'!$F$7:$F$306,"Pending")&gt;0,"P",""))))</f>
        <v/>
      </c>
      <c r="V150" s="23" t="str">
        <f>IF(A150="","",IF(IF(OR(DATE($B$3,5,21)&gt;EOMONTH(DATE($B$3,5,1),0),NETWORKDAYS.INTL(DATE($B$3,5,21),DATE($B$3,5,21),1,'Non-working days'!$A$6:$A$45)=0),"",IF(COUNTIFS('Leave log'!$A$7:$A$306,Employees!$A$13,'Leave log'!$B$7:$B$306,"&lt;="&amp;DATE($B$3,5,21),'Leave log'!$C$7:$C$306,"&gt;="&amp;DATE($B$3,5,21),'Leave log'!$F$7:$F$306,"Approved")&gt;0,"A",""))="A","A",IF(OR(DATE($B$3,5,21)&gt;EOMONTH(DATE($B$3,5,1),0),NETWORKDAYS.INTL(DATE($B$3,5,21),DATE($B$3,5,21),1,'Non-working days'!$A$6:$A$45)=0),"",IF(COUNTIFS('Leave log'!$A$7:$A$306,Employees!$A$13,'Leave log'!$B$7:$B$306,"&lt;="&amp;DATE($B$3,5,21),'Leave log'!$C$7:$C$306,"&gt;="&amp;DATE($B$3,5,21),'Leave log'!$F$7:$F$306,"Pending")&gt;0,"P",""))))</f>
        <v/>
      </c>
      <c r="W150" s="23" t="str">
        <f>IF(A150="","",IF(IF(OR(DATE($B$3,5,22)&gt;EOMONTH(DATE($B$3,5,1),0),NETWORKDAYS.INTL(DATE($B$3,5,22),DATE($B$3,5,22),1,'Non-working days'!$A$6:$A$45)=0),"",IF(COUNTIFS('Leave log'!$A$7:$A$306,Employees!$A$13,'Leave log'!$B$7:$B$306,"&lt;="&amp;DATE($B$3,5,22),'Leave log'!$C$7:$C$306,"&gt;="&amp;DATE($B$3,5,22),'Leave log'!$F$7:$F$306,"Approved")&gt;0,"A",""))="A","A",IF(OR(DATE($B$3,5,22)&gt;EOMONTH(DATE($B$3,5,1),0),NETWORKDAYS.INTL(DATE($B$3,5,22),DATE($B$3,5,22),1,'Non-working days'!$A$6:$A$45)=0),"",IF(COUNTIFS('Leave log'!$A$7:$A$306,Employees!$A$13,'Leave log'!$B$7:$B$306,"&lt;="&amp;DATE($B$3,5,22),'Leave log'!$C$7:$C$306,"&gt;="&amp;DATE($B$3,5,22),'Leave log'!$F$7:$F$306,"Pending")&gt;0,"P",""))))</f>
        <v/>
      </c>
      <c r="X150" s="23" t="str">
        <f>IF(A150="","",IF(IF(OR(DATE($B$3,5,23)&gt;EOMONTH(DATE($B$3,5,1),0),NETWORKDAYS.INTL(DATE($B$3,5,23),DATE($B$3,5,23),1,'Non-working days'!$A$6:$A$45)=0),"",IF(COUNTIFS('Leave log'!$A$7:$A$306,Employees!$A$13,'Leave log'!$B$7:$B$306,"&lt;="&amp;DATE($B$3,5,23),'Leave log'!$C$7:$C$306,"&gt;="&amp;DATE($B$3,5,23),'Leave log'!$F$7:$F$306,"Approved")&gt;0,"A",""))="A","A",IF(OR(DATE($B$3,5,23)&gt;EOMONTH(DATE($B$3,5,1),0),NETWORKDAYS.INTL(DATE($B$3,5,23),DATE($B$3,5,23),1,'Non-working days'!$A$6:$A$45)=0),"",IF(COUNTIFS('Leave log'!$A$7:$A$306,Employees!$A$13,'Leave log'!$B$7:$B$306,"&lt;="&amp;DATE($B$3,5,23),'Leave log'!$C$7:$C$306,"&gt;="&amp;DATE($B$3,5,23),'Leave log'!$F$7:$F$306,"Pending")&gt;0,"P",""))))</f>
        <v/>
      </c>
      <c r="Y150" s="23" t="str">
        <f>IF(A150="","",IF(IF(OR(DATE($B$3,5,24)&gt;EOMONTH(DATE($B$3,5,1),0),NETWORKDAYS.INTL(DATE($B$3,5,24),DATE($B$3,5,24),1,'Non-working days'!$A$6:$A$45)=0),"",IF(COUNTIFS('Leave log'!$A$7:$A$306,Employees!$A$13,'Leave log'!$B$7:$B$306,"&lt;="&amp;DATE($B$3,5,24),'Leave log'!$C$7:$C$306,"&gt;="&amp;DATE($B$3,5,24),'Leave log'!$F$7:$F$306,"Approved")&gt;0,"A",""))="A","A",IF(OR(DATE($B$3,5,24)&gt;EOMONTH(DATE($B$3,5,1),0),NETWORKDAYS.INTL(DATE($B$3,5,24),DATE($B$3,5,24),1,'Non-working days'!$A$6:$A$45)=0),"",IF(COUNTIFS('Leave log'!$A$7:$A$306,Employees!$A$13,'Leave log'!$B$7:$B$306,"&lt;="&amp;DATE($B$3,5,24),'Leave log'!$C$7:$C$306,"&gt;="&amp;DATE($B$3,5,24),'Leave log'!$F$7:$F$306,"Pending")&gt;0,"P",""))))</f>
        <v/>
      </c>
      <c r="Z150" s="23" t="str">
        <f>IF(A150="","",IF(IF(OR(DATE($B$3,5,25)&gt;EOMONTH(DATE($B$3,5,1),0),NETWORKDAYS.INTL(DATE($B$3,5,25),DATE($B$3,5,25),1,'Non-working days'!$A$6:$A$45)=0),"",IF(COUNTIFS('Leave log'!$A$7:$A$306,Employees!$A$13,'Leave log'!$B$7:$B$306,"&lt;="&amp;DATE($B$3,5,25),'Leave log'!$C$7:$C$306,"&gt;="&amp;DATE($B$3,5,25),'Leave log'!$F$7:$F$306,"Approved")&gt;0,"A",""))="A","A",IF(OR(DATE($B$3,5,25)&gt;EOMONTH(DATE($B$3,5,1),0),NETWORKDAYS.INTL(DATE($B$3,5,25),DATE($B$3,5,25),1,'Non-working days'!$A$6:$A$45)=0),"",IF(COUNTIFS('Leave log'!$A$7:$A$306,Employees!$A$13,'Leave log'!$B$7:$B$306,"&lt;="&amp;DATE($B$3,5,25),'Leave log'!$C$7:$C$306,"&gt;="&amp;DATE($B$3,5,25),'Leave log'!$F$7:$F$306,"Pending")&gt;0,"P",""))))</f>
        <v/>
      </c>
      <c r="AA150" s="23" t="str">
        <f>IF(A150="","",IF(IF(OR(DATE($B$3,5,26)&gt;EOMONTH(DATE($B$3,5,1),0),NETWORKDAYS.INTL(DATE($B$3,5,26),DATE($B$3,5,26),1,'Non-working days'!$A$6:$A$45)=0),"",IF(COUNTIFS('Leave log'!$A$7:$A$306,Employees!$A$13,'Leave log'!$B$7:$B$306,"&lt;="&amp;DATE($B$3,5,26),'Leave log'!$C$7:$C$306,"&gt;="&amp;DATE($B$3,5,26),'Leave log'!$F$7:$F$306,"Approved")&gt;0,"A",""))="A","A",IF(OR(DATE($B$3,5,26)&gt;EOMONTH(DATE($B$3,5,1),0),NETWORKDAYS.INTL(DATE($B$3,5,26),DATE($B$3,5,26),1,'Non-working days'!$A$6:$A$45)=0),"",IF(COUNTIFS('Leave log'!$A$7:$A$306,Employees!$A$13,'Leave log'!$B$7:$B$306,"&lt;="&amp;DATE($B$3,5,26),'Leave log'!$C$7:$C$306,"&gt;="&amp;DATE($B$3,5,26),'Leave log'!$F$7:$F$306,"Pending")&gt;0,"P",""))))</f>
        <v/>
      </c>
      <c r="AB150" s="23" t="str">
        <f>IF(A150="","",IF(IF(OR(DATE($B$3,5,27)&gt;EOMONTH(DATE($B$3,5,1),0),NETWORKDAYS.INTL(DATE($B$3,5,27),DATE($B$3,5,27),1,'Non-working days'!$A$6:$A$45)=0),"",IF(COUNTIFS('Leave log'!$A$7:$A$306,Employees!$A$13,'Leave log'!$B$7:$B$306,"&lt;="&amp;DATE($B$3,5,27),'Leave log'!$C$7:$C$306,"&gt;="&amp;DATE($B$3,5,27),'Leave log'!$F$7:$F$306,"Approved")&gt;0,"A",""))="A","A",IF(OR(DATE($B$3,5,27)&gt;EOMONTH(DATE($B$3,5,1),0),NETWORKDAYS.INTL(DATE($B$3,5,27),DATE($B$3,5,27),1,'Non-working days'!$A$6:$A$45)=0),"",IF(COUNTIFS('Leave log'!$A$7:$A$306,Employees!$A$13,'Leave log'!$B$7:$B$306,"&lt;="&amp;DATE($B$3,5,27),'Leave log'!$C$7:$C$306,"&gt;="&amp;DATE($B$3,5,27),'Leave log'!$F$7:$F$306,"Pending")&gt;0,"P",""))))</f>
        <v/>
      </c>
      <c r="AC150" s="23" t="str">
        <f>IF(A150="","",IF(IF(OR(DATE($B$3,5,28)&gt;EOMONTH(DATE($B$3,5,1),0),NETWORKDAYS.INTL(DATE($B$3,5,28),DATE($B$3,5,28),1,'Non-working days'!$A$6:$A$45)=0),"",IF(COUNTIFS('Leave log'!$A$7:$A$306,Employees!$A$13,'Leave log'!$B$7:$B$306,"&lt;="&amp;DATE($B$3,5,28),'Leave log'!$C$7:$C$306,"&gt;="&amp;DATE($B$3,5,28),'Leave log'!$F$7:$F$306,"Approved")&gt;0,"A",""))="A","A",IF(OR(DATE($B$3,5,28)&gt;EOMONTH(DATE($B$3,5,1),0),NETWORKDAYS.INTL(DATE($B$3,5,28),DATE($B$3,5,28),1,'Non-working days'!$A$6:$A$45)=0),"",IF(COUNTIFS('Leave log'!$A$7:$A$306,Employees!$A$13,'Leave log'!$B$7:$B$306,"&lt;="&amp;DATE($B$3,5,28),'Leave log'!$C$7:$C$306,"&gt;="&amp;DATE($B$3,5,28),'Leave log'!$F$7:$F$306,"Pending")&gt;0,"P",""))))</f>
        <v/>
      </c>
      <c r="AD150" s="23" t="str">
        <f>IF(A150="","",IF(IF(OR(DATE($B$3,5,29)&gt;EOMONTH(DATE($B$3,5,1),0),NETWORKDAYS.INTL(DATE($B$3,5,29),DATE($B$3,5,29),1,'Non-working days'!$A$6:$A$45)=0),"",IF(COUNTIFS('Leave log'!$A$7:$A$306,Employees!$A$13,'Leave log'!$B$7:$B$306,"&lt;="&amp;DATE($B$3,5,29),'Leave log'!$C$7:$C$306,"&gt;="&amp;DATE($B$3,5,29),'Leave log'!$F$7:$F$306,"Approved")&gt;0,"A",""))="A","A",IF(OR(DATE($B$3,5,29)&gt;EOMONTH(DATE($B$3,5,1),0),NETWORKDAYS.INTL(DATE($B$3,5,29),DATE($B$3,5,29),1,'Non-working days'!$A$6:$A$45)=0),"",IF(COUNTIFS('Leave log'!$A$7:$A$306,Employees!$A$13,'Leave log'!$B$7:$B$306,"&lt;="&amp;DATE($B$3,5,29),'Leave log'!$C$7:$C$306,"&gt;="&amp;DATE($B$3,5,29),'Leave log'!$F$7:$F$306,"Pending")&gt;0,"P",""))))</f>
        <v/>
      </c>
      <c r="AE150" s="23" t="str">
        <f>IF(A150="","",IF(IF(OR(DATE($B$3,5,30)&gt;EOMONTH(DATE($B$3,5,1),0),NETWORKDAYS.INTL(DATE($B$3,5,30),DATE($B$3,5,30),1,'Non-working days'!$A$6:$A$45)=0),"",IF(COUNTIFS('Leave log'!$A$7:$A$306,Employees!$A$13,'Leave log'!$B$7:$B$306,"&lt;="&amp;DATE($B$3,5,30),'Leave log'!$C$7:$C$306,"&gt;="&amp;DATE($B$3,5,30),'Leave log'!$F$7:$F$306,"Approved")&gt;0,"A",""))="A","A",IF(OR(DATE($B$3,5,30)&gt;EOMONTH(DATE($B$3,5,1),0),NETWORKDAYS.INTL(DATE($B$3,5,30),DATE($B$3,5,30),1,'Non-working days'!$A$6:$A$45)=0),"",IF(COUNTIFS('Leave log'!$A$7:$A$306,Employees!$A$13,'Leave log'!$B$7:$B$306,"&lt;="&amp;DATE($B$3,5,30),'Leave log'!$C$7:$C$306,"&gt;="&amp;DATE($B$3,5,30),'Leave log'!$F$7:$F$306,"Pending")&gt;0,"P",""))))</f>
        <v/>
      </c>
      <c r="AF150" s="23" t="str">
        <f>IF(A150="","",IF(IF(OR(DATE($B$3,5,31)&gt;EOMONTH(DATE($B$3,5,1),0),NETWORKDAYS.INTL(DATE($B$3,5,31),DATE($B$3,5,31),1,'Non-working days'!$A$6:$A$45)=0),"",IF(COUNTIFS('Leave log'!$A$7:$A$306,Employees!$A$13,'Leave log'!$B$7:$B$306,"&lt;="&amp;DATE($B$3,5,31),'Leave log'!$C$7:$C$306,"&gt;="&amp;DATE($B$3,5,31),'Leave log'!$F$7:$F$306,"Approved")&gt;0,"A",""))="A","A",IF(OR(DATE($B$3,5,31)&gt;EOMONTH(DATE($B$3,5,1),0),NETWORKDAYS.INTL(DATE($B$3,5,31),DATE($B$3,5,31),1,'Non-working days'!$A$6:$A$45)=0),"",IF(COUNTIFS('Leave log'!$A$7:$A$306,Employees!$A$13,'Leave log'!$B$7:$B$306,"&lt;="&amp;DATE($B$3,5,31),'Leave log'!$C$7:$C$306,"&gt;="&amp;DATE($B$3,5,31),'Leave log'!$F$7:$F$306,"Pending")&gt;0,"P",""))))</f>
        <v/>
      </c>
    </row>
    <row r="151" spans="1:32" ht="18" customHeight="1" x14ac:dyDescent="0.3">
      <c r="A151" s="22" t="str">
        <f>IF(Employees!F14="Yes",Employees!B14,"")</f>
        <v/>
      </c>
      <c r="B151" s="23" t="str">
        <f>IF(A151="","",IF(IF(OR(DATE($B$3,5,1)&gt;EOMONTH(DATE($B$3,5,1),0),NETWORKDAYS.INTL(DATE($B$3,5,1),DATE($B$3,5,1),1,'Non-working days'!$A$6:$A$45)=0),"",IF(COUNTIFS('Leave log'!$A$7:$A$306,Employees!$A$14,'Leave log'!$B$7:$B$306,"&lt;="&amp;DATE($B$3,5,1),'Leave log'!$C$7:$C$306,"&gt;="&amp;DATE($B$3,5,1),'Leave log'!$F$7:$F$306,"Approved")&gt;0,"A",""))="A","A",IF(OR(DATE($B$3,5,1)&gt;EOMONTH(DATE($B$3,5,1),0),NETWORKDAYS.INTL(DATE($B$3,5,1),DATE($B$3,5,1),1,'Non-working days'!$A$6:$A$45)=0),"",IF(COUNTIFS('Leave log'!$A$7:$A$306,Employees!$A$14,'Leave log'!$B$7:$B$306,"&lt;="&amp;DATE($B$3,5,1),'Leave log'!$C$7:$C$306,"&gt;="&amp;DATE($B$3,5,1),'Leave log'!$F$7:$F$306,"Pending")&gt;0,"P",""))))</f>
        <v/>
      </c>
      <c r="C151" s="23" t="str">
        <f>IF(A151="","",IF(IF(OR(DATE($B$3,5,2)&gt;EOMONTH(DATE($B$3,5,1),0),NETWORKDAYS.INTL(DATE($B$3,5,2),DATE($B$3,5,2),1,'Non-working days'!$A$6:$A$45)=0),"",IF(COUNTIFS('Leave log'!$A$7:$A$306,Employees!$A$14,'Leave log'!$B$7:$B$306,"&lt;="&amp;DATE($B$3,5,2),'Leave log'!$C$7:$C$306,"&gt;="&amp;DATE($B$3,5,2),'Leave log'!$F$7:$F$306,"Approved")&gt;0,"A",""))="A","A",IF(OR(DATE($B$3,5,2)&gt;EOMONTH(DATE($B$3,5,1),0),NETWORKDAYS.INTL(DATE($B$3,5,2),DATE($B$3,5,2),1,'Non-working days'!$A$6:$A$45)=0),"",IF(COUNTIFS('Leave log'!$A$7:$A$306,Employees!$A$14,'Leave log'!$B$7:$B$306,"&lt;="&amp;DATE($B$3,5,2),'Leave log'!$C$7:$C$306,"&gt;="&amp;DATE($B$3,5,2),'Leave log'!$F$7:$F$306,"Pending")&gt;0,"P",""))))</f>
        <v/>
      </c>
      <c r="D151" s="23" t="str">
        <f>IF(A151="","",IF(IF(OR(DATE($B$3,5,3)&gt;EOMONTH(DATE($B$3,5,1),0),NETWORKDAYS.INTL(DATE($B$3,5,3),DATE($B$3,5,3),1,'Non-working days'!$A$6:$A$45)=0),"",IF(COUNTIFS('Leave log'!$A$7:$A$306,Employees!$A$14,'Leave log'!$B$7:$B$306,"&lt;="&amp;DATE($B$3,5,3),'Leave log'!$C$7:$C$306,"&gt;="&amp;DATE($B$3,5,3),'Leave log'!$F$7:$F$306,"Approved")&gt;0,"A",""))="A","A",IF(OR(DATE($B$3,5,3)&gt;EOMONTH(DATE($B$3,5,1),0),NETWORKDAYS.INTL(DATE($B$3,5,3),DATE($B$3,5,3),1,'Non-working days'!$A$6:$A$45)=0),"",IF(COUNTIFS('Leave log'!$A$7:$A$306,Employees!$A$14,'Leave log'!$B$7:$B$306,"&lt;="&amp;DATE($B$3,5,3),'Leave log'!$C$7:$C$306,"&gt;="&amp;DATE($B$3,5,3),'Leave log'!$F$7:$F$306,"Pending")&gt;0,"P",""))))</f>
        <v/>
      </c>
      <c r="E151" s="23" t="str">
        <f>IF(A151="","",IF(IF(OR(DATE($B$3,5,4)&gt;EOMONTH(DATE($B$3,5,1),0),NETWORKDAYS.INTL(DATE($B$3,5,4),DATE($B$3,5,4),1,'Non-working days'!$A$6:$A$45)=0),"",IF(COUNTIFS('Leave log'!$A$7:$A$306,Employees!$A$14,'Leave log'!$B$7:$B$306,"&lt;="&amp;DATE($B$3,5,4),'Leave log'!$C$7:$C$306,"&gt;="&amp;DATE($B$3,5,4),'Leave log'!$F$7:$F$306,"Approved")&gt;0,"A",""))="A","A",IF(OR(DATE($B$3,5,4)&gt;EOMONTH(DATE($B$3,5,1),0),NETWORKDAYS.INTL(DATE($B$3,5,4),DATE($B$3,5,4),1,'Non-working days'!$A$6:$A$45)=0),"",IF(COUNTIFS('Leave log'!$A$7:$A$306,Employees!$A$14,'Leave log'!$B$7:$B$306,"&lt;="&amp;DATE($B$3,5,4),'Leave log'!$C$7:$C$306,"&gt;="&amp;DATE($B$3,5,4),'Leave log'!$F$7:$F$306,"Pending")&gt;0,"P",""))))</f>
        <v/>
      </c>
      <c r="F151" s="23" t="str">
        <f>IF(A151="","",IF(IF(OR(DATE($B$3,5,5)&gt;EOMONTH(DATE($B$3,5,1),0),NETWORKDAYS.INTL(DATE($B$3,5,5),DATE($B$3,5,5),1,'Non-working days'!$A$6:$A$45)=0),"",IF(COUNTIFS('Leave log'!$A$7:$A$306,Employees!$A$14,'Leave log'!$B$7:$B$306,"&lt;="&amp;DATE($B$3,5,5),'Leave log'!$C$7:$C$306,"&gt;="&amp;DATE($B$3,5,5),'Leave log'!$F$7:$F$306,"Approved")&gt;0,"A",""))="A","A",IF(OR(DATE($B$3,5,5)&gt;EOMONTH(DATE($B$3,5,1),0),NETWORKDAYS.INTL(DATE($B$3,5,5),DATE($B$3,5,5),1,'Non-working days'!$A$6:$A$45)=0),"",IF(COUNTIFS('Leave log'!$A$7:$A$306,Employees!$A$14,'Leave log'!$B$7:$B$306,"&lt;="&amp;DATE($B$3,5,5),'Leave log'!$C$7:$C$306,"&gt;="&amp;DATE($B$3,5,5),'Leave log'!$F$7:$F$306,"Pending")&gt;0,"P",""))))</f>
        <v/>
      </c>
      <c r="G151" s="23" t="str">
        <f>IF(A151="","",IF(IF(OR(DATE($B$3,5,6)&gt;EOMONTH(DATE($B$3,5,1),0),NETWORKDAYS.INTL(DATE($B$3,5,6),DATE($B$3,5,6),1,'Non-working days'!$A$6:$A$45)=0),"",IF(COUNTIFS('Leave log'!$A$7:$A$306,Employees!$A$14,'Leave log'!$B$7:$B$306,"&lt;="&amp;DATE($B$3,5,6),'Leave log'!$C$7:$C$306,"&gt;="&amp;DATE($B$3,5,6),'Leave log'!$F$7:$F$306,"Approved")&gt;0,"A",""))="A","A",IF(OR(DATE($B$3,5,6)&gt;EOMONTH(DATE($B$3,5,1),0),NETWORKDAYS.INTL(DATE($B$3,5,6),DATE($B$3,5,6),1,'Non-working days'!$A$6:$A$45)=0),"",IF(COUNTIFS('Leave log'!$A$7:$A$306,Employees!$A$14,'Leave log'!$B$7:$B$306,"&lt;="&amp;DATE($B$3,5,6),'Leave log'!$C$7:$C$306,"&gt;="&amp;DATE($B$3,5,6),'Leave log'!$F$7:$F$306,"Pending")&gt;0,"P",""))))</f>
        <v/>
      </c>
      <c r="H151" s="23" t="str">
        <f>IF(A151="","",IF(IF(OR(DATE($B$3,5,7)&gt;EOMONTH(DATE($B$3,5,1),0),NETWORKDAYS.INTL(DATE($B$3,5,7),DATE($B$3,5,7),1,'Non-working days'!$A$6:$A$45)=0),"",IF(COUNTIFS('Leave log'!$A$7:$A$306,Employees!$A$14,'Leave log'!$B$7:$B$306,"&lt;="&amp;DATE($B$3,5,7),'Leave log'!$C$7:$C$306,"&gt;="&amp;DATE($B$3,5,7),'Leave log'!$F$7:$F$306,"Approved")&gt;0,"A",""))="A","A",IF(OR(DATE($B$3,5,7)&gt;EOMONTH(DATE($B$3,5,1),0),NETWORKDAYS.INTL(DATE($B$3,5,7),DATE($B$3,5,7),1,'Non-working days'!$A$6:$A$45)=0),"",IF(COUNTIFS('Leave log'!$A$7:$A$306,Employees!$A$14,'Leave log'!$B$7:$B$306,"&lt;="&amp;DATE($B$3,5,7),'Leave log'!$C$7:$C$306,"&gt;="&amp;DATE($B$3,5,7),'Leave log'!$F$7:$F$306,"Pending")&gt;0,"P",""))))</f>
        <v/>
      </c>
      <c r="I151" s="23" t="str">
        <f>IF(A151="","",IF(IF(OR(DATE($B$3,5,8)&gt;EOMONTH(DATE($B$3,5,1),0),NETWORKDAYS.INTL(DATE($B$3,5,8),DATE($B$3,5,8),1,'Non-working days'!$A$6:$A$45)=0),"",IF(COUNTIFS('Leave log'!$A$7:$A$306,Employees!$A$14,'Leave log'!$B$7:$B$306,"&lt;="&amp;DATE($B$3,5,8),'Leave log'!$C$7:$C$306,"&gt;="&amp;DATE($B$3,5,8),'Leave log'!$F$7:$F$306,"Approved")&gt;0,"A",""))="A","A",IF(OR(DATE($B$3,5,8)&gt;EOMONTH(DATE($B$3,5,1),0),NETWORKDAYS.INTL(DATE($B$3,5,8),DATE($B$3,5,8),1,'Non-working days'!$A$6:$A$45)=0),"",IF(COUNTIFS('Leave log'!$A$7:$A$306,Employees!$A$14,'Leave log'!$B$7:$B$306,"&lt;="&amp;DATE($B$3,5,8),'Leave log'!$C$7:$C$306,"&gt;="&amp;DATE($B$3,5,8),'Leave log'!$F$7:$F$306,"Pending")&gt;0,"P",""))))</f>
        <v/>
      </c>
      <c r="J151" s="23" t="str">
        <f>IF(A151="","",IF(IF(OR(DATE($B$3,5,9)&gt;EOMONTH(DATE($B$3,5,1),0),NETWORKDAYS.INTL(DATE($B$3,5,9),DATE($B$3,5,9),1,'Non-working days'!$A$6:$A$45)=0),"",IF(COUNTIFS('Leave log'!$A$7:$A$306,Employees!$A$14,'Leave log'!$B$7:$B$306,"&lt;="&amp;DATE($B$3,5,9),'Leave log'!$C$7:$C$306,"&gt;="&amp;DATE($B$3,5,9),'Leave log'!$F$7:$F$306,"Approved")&gt;0,"A",""))="A","A",IF(OR(DATE($B$3,5,9)&gt;EOMONTH(DATE($B$3,5,1),0),NETWORKDAYS.INTL(DATE($B$3,5,9),DATE($B$3,5,9),1,'Non-working days'!$A$6:$A$45)=0),"",IF(COUNTIFS('Leave log'!$A$7:$A$306,Employees!$A$14,'Leave log'!$B$7:$B$306,"&lt;="&amp;DATE($B$3,5,9),'Leave log'!$C$7:$C$306,"&gt;="&amp;DATE($B$3,5,9),'Leave log'!$F$7:$F$306,"Pending")&gt;0,"P",""))))</f>
        <v/>
      </c>
      <c r="K151" s="23" t="str">
        <f>IF(A151="","",IF(IF(OR(DATE($B$3,5,10)&gt;EOMONTH(DATE($B$3,5,1),0),NETWORKDAYS.INTL(DATE($B$3,5,10),DATE($B$3,5,10),1,'Non-working days'!$A$6:$A$45)=0),"",IF(COUNTIFS('Leave log'!$A$7:$A$306,Employees!$A$14,'Leave log'!$B$7:$B$306,"&lt;="&amp;DATE($B$3,5,10),'Leave log'!$C$7:$C$306,"&gt;="&amp;DATE($B$3,5,10),'Leave log'!$F$7:$F$306,"Approved")&gt;0,"A",""))="A","A",IF(OR(DATE($B$3,5,10)&gt;EOMONTH(DATE($B$3,5,1),0),NETWORKDAYS.INTL(DATE($B$3,5,10),DATE($B$3,5,10),1,'Non-working days'!$A$6:$A$45)=0),"",IF(COUNTIFS('Leave log'!$A$7:$A$306,Employees!$A$14,'Leave log'!$B$7:$B$306,"&lt;="&amp;DATE($B$3,5,10),'Leave log'!$C$7:$C$306,"&gt;="&amp;DATE($B$3,5,10),'Leave log'!$F$7:$F$306,"Pending")&gt;0,"P",""))))</f>
        <v/>
      </c>
      <c r="L151" s="23" t="str">
        <f>IF(A151="","",IF(IF(OR(DATE($B$3,5,11)&gt;EOMONTH(DATE($B$3,5,1),0),NETWORKDAYS.INTL(DATE($B$3,5,11),DATE($B$3,5,11),1,'Non-working days'!$A$6:$A$45)=0),"",IF(COUNTIFS('Leave log'!$A$7:$A$306,Employees!$A$14,'Leave log'!$B$7:$B$306,"&lt;="&amp;DATE($B$3,5,11),'Leave log'!$C$7:$C$306,"&gt;="&amp;DATE($B$3,5,11),'Leave log'!$F$7:$F$306,"Approved")&gt;0,"A",""))="A","A",IF(OR(DATE($B$3,5,11)&gt;EOMONTH(DATE($B$3,5,1),0),NETWORKDAYS.INTL(DATE($B$3,5,11),DATE($B$3,5,11),1,'Non-working days'!$A$6:$A$45)=0),"",IF(COUNTIFS('Leave log'!$A$7:$A$306,Employees!$A$14,'Leave log'!$B$7:$B$306,"&lt;="&amp;DATE($B$3,5,11),'Leave log'!$C$7:$C$306,"&gt;="&amp;DATE($B$3,5,11),'Leave log'!$F$7:$F$306,"Pending")&gt;0,"P",""))))</f>
        <v/>
      </c>
      <c r="M151" s="23" t="str">
        <f>IF(A151="","",IF(IF(OR(DATE($B$3,5,12)&gt;EOMONTH(DATE($B$3,5,1),0),NETWORKDAYS.INTL(DATE($B$3,5,12),DATE($B$3,5,12),1,'Non-working days'!$A$6:$A$45)=0),"",IF(COUNTIFS('Leave log'!$A$7:$A$306,Employees!$A$14,'Leave log'!$B$7:$B$306,"&lt;="&amp;DATE($B$3,5,12),'Leave log'!$C$7:$C$306,"&gt;="&amp;DATE($B$3,5,12),'Leave log'!$F$7:$F$306,"Approved")&gt;0,"A",""))="A","A",IF(OR(DATE($B$3,5,12)&gt;EOMONTH(DATE($B$3,5,1),0),NETWORKDAYS.INTL(DATE($B$3,5,12),DATE($B$3,5,12),1,'Non-working days'!$A$6:$A$45)=0),"",IF(COUNTIFS('Leave log'!$A$7:$A$306,Employees!$A$14,'Leave log'!$B$7:$B$306,"&lt;="&amp;DATE($B$3,5,12),'Leave log'!$C$7:$C$306,"&gt;="&amp;DATE($B$3,5,12),'Leave log'!$F$7:$F$306,"Pending")&gt;0,"P",""))))</f>
        <v/>
      </c>
      <c r="N151" s="23" t="str">
        <f>IF(A151="","",IF(IF(OR(DATE($B$3,5,13)&gt;EOMONTH(DATE($B$3,5,1),0),NETWORKDAYS.INTL(DATE($B$3,5,13),DATE($B$3,5,13),1,'Non-working days'!$A$6:$A$45)=0),"",IF(COUNTIFS('Leave log'!$A$7:$A$306,Employees!$A$14,'Leave log'!$B$7:$B$306,"&lt;="&amp;DATE($B$3,5,13),'Leave log'!$C$7:$C$306,"&gt;="&amp;DATE($B$3,5,13),'Leave log'!$F$7:$F$306,"Approved")&gt;0,"A",""))="A","A",IF(OR(DATE($B$3,5,13)&gt;EOMONTH(DATE($B$3,5,1),0),NETWORKDAYS.INTL(DATE($B$3,5,13),DATE($B$3,5,13),1,'Non-working days'!$A$6:$A$45)=0),"",IF(COUNTIFS('Leave log'!$A$7:$A$306,Employees!$A$14,'Leave log'!$B$7:$B$306,"&lt;="&amp;DATE($B$3,5,13),'Leave log'!$C$7:$C$306,"&gt;="&amp;DATE($B$3,5,13),'Leave log'!$F$7:$F$306,"Pending")&gt;0,"P",""))))</f>
        <v/>
      </c>
      <c r="O151" s="23" t="str">
        <f>IF(A151="","",IF(IF(OR(DATE($B$3,5,14)&gt;EOMONTH(DATE($B$3,5,1),0),NETWORKDAYS.INTL(DATE($B$3,5,14),DATE($B$3,5,14),1,'Non-working days'!$A$6:$A$45)=0),"",IF(COUNTIFS('Leave log'!$A$7:$A$306,Employees!$A$14,'Leave log'!$B$7:$B$306,"&lt;="&amp;DATE($B$3,5,14),'Leave log'!$C$7:$C$306,"&gt;="&amp;DATE($B$3,5,14),'Leave log'!$F$7:$F$306,"Approved")&gt;0,"A",""))="A","A",IF(OR(DATE($B$3,5,14)&gt;EOMONTH(DATE($B$3,5,1),0),NETWORKDAYS.INTL(DATE($B$3,5,14),DATE($B$3,5,14),1,'Non-working days'!$A$6:$A$45)=0),"",IF(COUNTIFS('Leave log'!$A$7:$A$306,Employees!$A$14,'Leave log'!$B$7:$B$306,"&lt;="&amp;DATE($B$3,5,14),'Leave log'!$C$7:$C$306,"&gt;="&amp;DATE($B$3,5,14),'Leave log'!$F$7:$F$306,"Pending")&gt;0,"P",""))))</f>
        <v/>
      </c>
      <c r="P151" s="23" t="str">
        <f>IF(A151="","",IF(IF(OR(DATE($B$3,5,15)&gt;EOMONTH(DATE($B$3,5,1),0),NETWORKDAYS.INTL(DATE($B$3,5,15),DATE($B$3,5,15),1,'Non-working days'!$A$6:$A$45)=0),"",IF(COUNTIFS('Leave log'!$A$7:$A$306,Employees!$A$14,'Leave log'!$B$7:$B$306,"&lt;="&amp;DATE($B$3,5,15),'Leave log'!$C$7:$C$306,"&gt;="&amp;DATE($B$3,5,15),'Leave log'!$F$7:$F$306,"Approved")&gt;0,"A",""))="A","A",IF(OR(DATE($B$3,5,15)&gt;EOMONTH(DATE($B$3,5,1),0),NETWORKDAYS.INTL(DATE($B$3,5,15),DATE($B$3,5,15),1,'Non-working days'!$A$6:$A$45)=0),"",IF(COUNTIFS('Leave log'!$A$7:$A$306,Employees!$A$14,'Leave log'!$B$7:$B$306,"&lt;="&amp;DATE($B$3,5,15),'Leave log'!$C$7:$C$306,"&gt;="&amp;DATE($B$3,5,15),'Leave log'!$F$7:$F$306,"Pending")&gt;0,"P",""))))</f>
        <v/>
      </c>
      <c r="Q151" s="23" t="str">
        <f>IF(A151="","",IF(IF(OR(DATE($B$3,5,16)&gt;EOMONTH(DATE($B$3,5,1),0),NETWORKDAYS.INTL(DATE($B$3,5,16),DATE($B$3,5,16),1,'Non-working days'!$A$6:$A$45)=0),"",IF(COUNTIFS('Leave log'!$A$7:$A$306,Employees!$A$14,'Leave log'!$B$7:$B$306,"&lt;="&amp;DATE($B$3,5,16),'Leave log'!$C$7:$C$306,"&gt;="&amp;DATE($B$3,5,16),'Leave log'!$F$7:$F$306,"Approved")&gt;0,"A",""))="A","A",IF(OR(DATE($B$3,5,16)&gt;EOMONTH(DATE($B$3,5,1),0),NETWORKDAYS.INTL(DATE($B$3,5,16),DATE($B$3,5,16),1,'Non-working days'!$A$6:$A$45)=0),"",IF(COUNTIFS('Leave log'!$A$7:$A$306,Employees!$A$14,'Leave log'!$B$7:$B$306,"&lt;="&amp;DATE($B$3,5,16),'Leave log'!$C$7:$C$306,"&gt;="&amp;DATE($B$3,5,16),'Leave log'!$F$7:$F$306,"Pending")&gt;0,"P",""))))</f>
        <v/>
      </c>
      <c r="R151" s="23" t="str">
        <f>IF(A151="","",IF(IF(OR(DATE($B$3,5,17)&gt;EOMONTH(DATE($B$3,5,1),0),NETWORKDAYS.INTL(DATE($B$3,5,17),DATE($B$3,5,17),1,'Non-working days'!$A$6:$A$45)=0),"",IF(COUNTIFS('Leave log'!$A$7:$A$306,Employees!$A$14,'Leave log'!$B$7:$B$306,"&lt;="&amp;DATE($B$3,5,17),'Leave log'!$C$7:$C$306,"&gt;="&amp;DATE($B$3,5,17),'Leave log'!$F$7:$F$306,"Approved")&gt;0,"A",""))="A","A",IF(OR(DATE($B$3,5,17)&gt;EOMONTH(DATE($B$3,5,1),0),NETWORKDAYS.INTL(DATE($B$3,5,17),DATE($B$3,5,17),1,'Non-working days'!$A$6:$A$45)=0),"",IF(COUNTIFS('Leave log'!$A$7:$A$306,Employees!$A$14,'Leave log'!$B$7:$B$306,"&lt;="&amp;DATE($B$3,5,17),'Leave log'!$C$7:$C$306,"&gt;="&amp;DATE($B$3,5,17),'Leave log'!$F$7:$F$306,"Pending")&gt;0,"P",""))))</f>
        <v/>
      </c>
      <c r="S151" s="23" t="str">
        <f>IF(A151="","",IF(IF(OR(DATE($B$3,5,18)&gt;EOMONTH(DATE($B$3,5,1),0),NETWORKDAYS.INTL(DATE($B$3,5,18),DATE($B$3,5,18),1,'Non-working days'!$A$6:$A$45)=0),"",IF(COUNTIFS('Leave log'!$A$7:$A$306,Employees!$A$14,'Leave log'!$B$7:$B$306,"&lt;="&amp;DATE($B$3,5,18),'Leave log'!$C$7:$C$306,"&gt;="&amp;DATE($B$3,5,18),'Leave log'!$F$7:$F$306,"Approved")&gt;0,"A",""))="A","A",IF(OR(DATE($B$3,5,18)&gt;EOMONTH(DATE($B$3,5,1),0),NETWORKDAYS.INTL(DATE($B$3,5,18),DATE($B$3,5,18),1,'Non-working days'!$A$6:$A$45)=0),"",IF(COUNTIFS('Leave log'!$A$7:$A$306,Employees!$A$14,'Leave log'!$B$7:$B$306,"&lt;="&amp;DATE($B$3,5,18),'Leave log'!$C$7:$C$306,"&gt;="&amp;DATE($B$3,5,18),'Leave log'!$F$7:$F$306,"Pending")&gt;0,"P",""))))</f>
        <v/>
      </c>
      <c r="T151" s="23" t="str">
        <f>IF(A151="","",IF(IF(OR(DATE($B$3,5,19)&gt;EOMONTH(DATE($B$3,5,1),0),NETWORKDAYS.INTL(DATE($B$3,5,19),DATE($B$3,5,19),1,'Non-working days'!$A$6:$A$45)=0),"",IF(COUNTIFS('Leave log'!$A$7:$A$306,Employees!$A$14,'Leave log'!$B$7:$B$306,"&lt;="&amp;DATE($B$3,5,19),'Leave log'!$C$7:$C$306,"&gt;="&amp;DATE($B$3,5,19),'Leave log'!$F$7:$F$306,"Approved")&gt;0,"A",""))="A","A",IF(OR(DATE($B$3,5,19)&gt;EOMONTH(DATE($B$3,5,1),0),NETWORKDAYS.INTL(DATE($B$3,5,19),DATE($B$3,5,19),1,'Non-working days'!$A$6:$A$45)=0),"",IF(COUNTIFS('Leave log'!$A$7:$A$306,Employees!$A$14,'Leave log'!$B$7:$B$306,"&lt;="&amp;DATE($B$3,5,19),'Leave log'!$C$7:$C$306,"&gt;="&amp;DATE($B$3,5,19),'Leave log'!$F$7:$F$306,"Pending")&gt;0,"P",""))))</f>
        <v/>
      </c>
      <c r="U151" s="23" t="str">
        <f>IF(A151="","",IF(IF(OR(DATE($B$3,5,20)&gt;EOMONTH(DATE($B$3,5,1),0),NETWORKDAYS.INTL(DATE($B$3,5,20),DATE($B$3,5,20),1,'Non-working days'!$A$6:$A$45)=0),"",IF(COUNTIFS('Leave log'!$A$7:$A$306,Employees!$A$14,'Leave log'!$B$7:$B$306,"&lt;="&amp;DATE($B$3,5,20),'Leave log'!$C$7:$C$306,"&gt;="&amp;DATE($B$3,5,20),'Leave log'!$F$7:$F$306,"Approved")&gt;0,"A",""))="A","A",IF(OR(DATE($B$3,5,20)&gt;EOMONTH(DATE($B$3,5,1),0),NETWORKDAYS.INTL(DATE($B$3,5,20),DATE($B$3,5,20),1,'Non-working days'!$A$6:$A$45)=0),"",IF(COUNTIFS('Leave log'!$A$7:$A$306,Employees!$A$14,'Leave log'!$B$7:$B$306,"&lt;="&amp;DATE($B$3,5,20),'Leave log'!$C$7:$C$306,"&gt;="&amp;DATE($B$3,5,20),'Leave log'!$F$7:$F$306,"Pending")&gt;0,"P",""))))</f>
        <v/>
      </c>
      <c r="V151" s="23" t="str">
        <f>IF(A151="","",IF(IF(OR(DATE($B$3,5,21)&gt;EOMONTH(DATE($B$3,5,1),0),NETWORKDAYS.INTL(DATE($B$3,5,21),DATE($B$3,5,21),1,'Non-working days'!$A$6:$A$45)=0),"",IF(COUNTIFS('Leave log'!$A$7:$A$306,Employees!$A$14,'Leave log'!$B$7:$B$306,"&lt;="&amp;DATE($B$3,5,21),'Leave log'!$C$7:$C$306,"&gt;="&amp;DATE($B$3,5,21),'Leave log'!$F$7:$F$306,"Approved")&gt;0,"A",""))="A","A",IF(OR(DATE($B$3,5,21)&gt;EOMONTH(DATE($B$3,5,1),0),NETWORKDAYS.INTL(DATE($B$3,5,21),DATE($B$3,5,21),1,'Non-working days'!$A$6:$A$45)=0),"",IF(COUNTIFS('Leave log'!$A$7:$A$306,Employees!$A$14,'Leave log'!$B$7:$B$306,"&lt;="&amp;DATE($B$3,5,21),'Leave log'!$C$7:$C$306,"&gt;="&amp;DATE($B$3,5,21),'Leave log'!$F$7:$F$306,"Pending")&gt;0,"P",""))))</f>
        <v/>
      </c>
      <c r="W151" s="23" t="str">
        <f>IF(A151="","",IF(IF(OR(DATE($B$3,5,22)&gt;EOMONTH(DATE($B$3,5,1),0),NETWORKDAYS.INTL(DATE($B$3,5,22),DATE($B$3,5,22),1,'Non-working days'!$A$6:$A$45)=0),"",IF(COUNTIFS('Leave log'!$A$7:$A$306,Employees!$A$14,'Leave log'!$B$7:$B$306,"&lt;="&amp;DATE($B$3,5,22),'Leave log'!$C$7:$C$306,"&gt;="&amp;DATE($B$3,5,22),'Leave log'!$F$7:$F$306,"Approved")&gt;0,"A",""))="A","A",IF(OR(DATE($B$3,5,22)&gt;EOMONTH(DATE($B$3,5,1),0),NETWORKDAYS.INTL(DATE($B$3,5,22),DATE($B$3,5,22),1,'Non-working days'!$A$6:$A$45)=0),"",IF(COUNTIFS('Leave log'!$A$7:$A$306,Employees!$A$14,'Leave log'!$B$7:$B$306,"&lt;="&amp;DATE($B$3,5,22),'Leave log'!$C$7:$C$306,"&gt;="&amp;DATE($B$3,5,22),'Leave log'!$F$7:$F$306,"Pending")&gt;0,"P",""))))</f>
        <v/>
      </c>
      <c r="X151" s="23" t="str">
        <f>IF(A151="","",IF(IF(OR(DATE($B$3,5,23)&gt;EOMONTH(DATE($B$3,5,1),0),NETWORKDAYS.INTL(DATE($B$3,5,23),DATE($B$3,5,23),1,'Non-working days'!$A$6:$A$45)=0),"",IF(COUNTIFS('Leave log'!$A$7:$A$306,Employees!$A$14,'Leave log'!$B$7:$B$306,"&lt;="&amp;DATE($B$3,5,23),'Leave log'!$C$7:$C$306,"&gt;="&amp;DATE($B$3,5,23),'Leave log'!$F$7:$F$306,"Approved")&gt;0,"A",""))="A","A",IF(OR(DATE($B$3,5,23)&gt;EOMONTH(DATE($B$3,5,1),0),NETWORKDAYS.INTL(DATE($B$3,5,23),DATE($B$3,5,23),1,'Non-working days'!$A$6:$A$45)=0),"",IF(COUNTIFS('Leave log'!$A$7:$A$306,Employees!$A$14,'Leave log'!$B$7:$B$306,"&lt;="&amp;DATE($B$3,5,23),'Leave log'!$C$7:$C$306,"&gt;="&amp;DATE($B$3,5,23),'Leave log'!$F$7:$F$306,"Pending")&gt;0,"P",""))))</f>
        <v/>
      </c>
      <c r="Y151" s="23" t="str">
        <f>IF(A151="","",IF(IF(OR(DATE($B$3,5,24)&gt;EOMONTH(DATE($B$3,5,1),0),NETWORKDAYS.INTL(DATE($B$3,5,24),DATE($B$3,5,24),1,'Non-working days'!$A$6:$A$45)=0),"",IF(COUNTIFS('Leave log'!$A$7:$A$306,Employees!$A$14,'Leave log'!$B$7:$B$306,"&lt;="&amp;DATE($B$3,5,24),'Leave log'!$C$7:$C$306,"&gt;="&amp;DATE($B$3,5,24),'Leave log'!$F$7:$F$306,"Approved")&gt;0,"A",""))="A","A",IF(OR(DATE($B$3,5,24)&gt;EOMONTH(DATE($B$3,5,1),0),NETWORKDAYS.INTL(DATE($B$3,5,24),DATE($B$3,5,24),1,'Non-working days'!$A$6:$A$45)=0),"",IF(COUNTIFS('Leave log'!$A$7:$A$306,Employees!$A$14,'Leave log'!$B$7:$B$306,"&lt;="&amp;DATE($B$3,5,24),'Leave log'!$C$7:$C$306,"&gt;="&amp;DATE($B$3,5,24),'Leave log'!$F$7:$F$306,"Pending")&gt;0,"P",""))))</f>
        <v/>
      </c>
      <c r="Z151" s="23" t="str">
        <f>IF(A151="","",IF(IF(OR(DATE($B$3,5,25)&gt;EOMONTH(DATE($B$3,5,1),0),NETWORKDAYS.INTL(DATE($B$3,5,25),DATE($B$3,5,25),1,'Non-working days'!$A$6:$A$45)=0),"",IF(COUNTIFS('Leave log'!$A$7:$A$306,Employees!$A$14,'Leave log'!$B$7:$B$306,"&lt;="&amp;DATE($B$3,5,25),'Leave log'!$C$7:$C$306,"&gt;="&amp;DATE($B$3,5,25),'Leave log'!$F$7:$F$306,"Approved")&gt;0,"A",""))="A","A",IF(OR(DATE($B$3,5,25)&gt;EOMONTH(DATE($B$3,5,1),0),NETWORKDAYS.INTL(DATE($B$3,5,25),DATE($B$3,5,25),1,'Non-working days'!$A$6:$A$45)=0),"",IF(COUNTIFS('Leave log'!$A$7:$A$306,Employees!$A$14,'Leave log'!$B$7:$B$306,"&lt;="&amp;DATE($B$3,5,25),'Leave log'!$C$7:$C$306,"&gt;="&amp;DATE($B$3,5,25),'Leave log'!$F$7:$F$306,"Pending")&gt;0,"P",""))))</f>
        <v/>
      </c>
      <c r="AA151" s="23" t="str">
        <f>IF(A151="","",IF(IF(OR(DATE($B$3,5,26)&gt;EOMONTH(DATE($B$3,5,1),0),NETWORKDAYS.INTL(DATE($B$3,5,26),DATE($B$3,5,26),1,'Non-working days'!$A$6:$A$45)=0),"",IF(COUNTIFS('Leave log'!$A$7:$A$306,Employees!$A$14,'Leave log'!$B$7:$B$306,"&lt;="&amp;DATE($B$3,5,26),'Leave log'!$C$7:$C$306,"&gt;="&amp;DATE($B$3,5,26),'Leave log'!$F$7:$F$306,"Approved")&gt;0,"A",""))="A","A",IF(OR(DATE($B$3,5,26)&gt;EOMONTH(DATE($B$3,5,1),0),NETWORKDAYS.INTL(DATE($B$3,5,26),DATE($B$3,5,26),1,'Non-working days'!$A$6:$A$45)=0),"",IF(COUNTIFS('Leave log'!$A$7:$A$306,Employees!$A$14,'Leave log'!$B$7:$B$306,"&lt;="&amp;DATE($B$3,5,26),'Leave log'!$C$7:$C$306,"&gt;="&amp;DATE($B$3,5,26),'Leave log'!$F$7:$F$306,"Pending")&gt;0,"P",""))))</f>
        <v/>
      </c>
      <c r="AB151" s="23" t="str">
        <f>IF(A151="","",IF(IF(OR(DATE($B$3,5,27)&gt;EOMONTH(DATE($B$3,5,1),0),NETWORKDAYS.INTL(DATE($B$3,5,27),DATE($B$3,5,27),1,'Non-working days'!$A$6:$A$45)=0),"",IF(COUNTIFS('Leave log'!$A$7:$A$306,Employees!$A$14,'Leave log'!$B$7:$B$306,"&lt;="&amp;DATE($B$3,5,27),'Leave log'!$C$7:$C$306,"&gt;="&amp;DATE($B$3,5,27),'Leave log'!$F$7:$F$306,"Approved")&gt;0,"A",""))="A","A",IF(OR(DATE($B$3,5,27)&gt;EOMONTH(DATE($B$3,5,1),0),NETWORKDAYS.INTL(DATE($B$3,5,27),DATE($B$3,5,27),1,'Non-working days'!$A$6:$A$45)=0),"",IF(COUNTIFS('Leave log'!$A$7:$A$306,Employees!$A$14,'Leave log'!$B$7:$B$306,"&lt;="&amp;DATE($B$3,5,27),'Leave log'!$C$7:$C$306,"&gt;="&amp;DATE($B$3,5,27),'Leave log'!$F$7:$F$306,"Pending")&gt;0,"P",""))))</f>
        <v/>
      </c>
      <c r="AC151" s="23" t="str">
        <f>IF(A151="","",IF(IF(OR(DATE($B$3,5,28)&gt;EOMONTH(DATE($B$3,5,1),0),NETWORKDAYS.INTL(DATE($B$3,5,28),DATE($B$3,5,28),1,'Non-working days'!$A$6:$A$45)=0),"",IF(COUNTIFS('Leave log'!$A$7:$A$306,Employees!$A$14,'Leave log'!$B$7:$B$306,"&lt;="&amp;DATE($B$3,5,28),'Leave log'!$C$7:$C$306,"&gt;="&amp;DATE($B$3,5,28),'Leave log'!$F$7:$F$306,"Approved")&gt;0,"A",""))="A","A",IF(OR(DATE($B$3,5,28)&gt;EOMONTH(DATE($B$3,5,1),0),NETWORKDAYS.INTL(DATE($B$3,5,28),DATE($B$3,5,28),1,'Non-working days'!$A$6:$A$45)=0),"",IF(COUNTIFS('Leave log'!$A$7:$A$306,Employees!$A$14,'Leave log'!$B$7:$B$306,"&lt;="&amp;DATE($B$3,5,28),'Leave log'!$C$7:$C$306,"&gt;="&amp;DATE($B$3,5,28),'Leave log'!$F$7:$F$306,"Pending")&gt;0,"P",""))))</f>
        <v/>
      </c>
      <c r="AD151" s="23" t="str">
        <f>IF(A151="","",IF(IF(OR(DATE($B$3,5,29)&gt;EOMONTH(DATE($B$3,5,1),0),NETWORKDAYS.INTL(DATE($B$3,5,29),DATE($B$3,5,29),1,'Non-working days'!$A$6:$A$45)=0),"",IF(COUNTIFS('Leave log'!$A$7:$A$306,Employees!$A$14,'Leave log'!$B$7:$B$306,"&lt;="&amp;DATE($B$3,5,29),'Leave log'!$C$7:$C$306,"&gt;="&amp;DATE($B$3,5,29),'Leave log'!$F$7:$F$306,"Approved")&gt;0,"A",""))="A","A",IF(OR(DATE($B$3,5,29)&gt;EOMONTH(DATE($B$3,5,1),0),NETWORKDAYS.INTL(DATE($B$3,5,29),DATE($B$3,5,29),1,'Non-working days'!$A$6:$A$45)=0),"",IF(COUNTIFS('Leave log'!$A$7:$A$306,Employees!$A$14,'Leave log'!$B$7:$B$306,"&lt;="&amp;DATE($B$3,5,29),'Leave log'!$C$7:$C$306,"&gt;="&amp;DATE($B$3,5,29),'Leave log'!$F$7:$F$306,"Pending")&gt;0,"P",""))))</f>
        <v/>
      </c>
      <c r="AE151" s="23" t="str">
        <f>IF(A151="","",IF(IF(OR(DATE($B$3,5,30)&gt;EOMONTH(DATE($B$3,5,1),0),NETWORKDAYS.INTL(DATE($B$3,5,30),DATE($B$3,5,30),1,'Non-working days'!$A$6:$A$45)=0),"",IF(COUNTIFS('Leave log'!$A$7:$A$306,Employees!$A$14,'Leave log'!$B$7:$B$306,"&lt;="&amp;DATE($B$3,5,30),'Leave log'!$C$7:$C$306,"&gt;="&amp;DATE($B$3,5,30),'Leave log'!$F$7:$F$306,"Approved")&gt;0,"A",""))="A","A",IF(OR(DATE($B$3,5,30)&gt;EOMONTH(DATE($B$3,5,1),0),NETWORKDAYS.INTL(DATE($B$3,5,30),DATE($B$3,5,30),1,'Non-working days'!$A$6:$A$45)=0),"",IF(COUNTIFS('Leave log'!$A$7:$A$306,Employees!$A$14,'Leave log'!$B$7:$B$306,"&lt;="&amp;DATE($B$3,5,30),'Leave log'!$C$7:$C$306,"&gt;="&amp;DATE($B$3,5,30),'Leave log'!$F$7:$F$306,"Pending")&gt;0,"P",""))))</f>
        <v/>
      </c>
      <c r="AF151" s="23" t="str">
        <f>IF(A151="","",IF(IF(OR(DATE($B$3,5,31)&gt;EOMONTH(DATE($B$3,5,1),0),NETWORKDAYS.INTL(DATE($B$3,5,31),DATE($B$3,5,31),1,'Non-working days'!$A$6:$A$45)=0),"",IF(COUNTIFS('Leave log'!$A$7:$A$306,Employees!$A$14,'Leave log'!$B$7:$B$306,"&lt;="&amp;DATE($B$3,5,31),'Leave log'!$C$7:$C$306,"&gt;="&amp;DATE($B$3,5,31),'Leave log'!$F$7:$F$306,"Approved")&gt;0,"A",""))="A","A",IF(OR(DATE($B$3,5,31)&gt;EOMONTH(DATE($B$3,5,1),0),NETWORKDAYS.INTL(DATE($B$3,5,31),DATE($B$3,5,31),1,'Non-working days'!$A$6:$A$45)=0),"",IF(COUNTIFS('Leave log'!$A$7:$A$306,Employees!$A$14,'Leave log'!$B$7:$B$306,"&lt;="&amp;DATE($B$3,5,31),'Leave log'!$C$7:$C$306,"&gt;="&amp;DATE($B$3,5,31),'Leave log'!$F$7:$F$306,"Pending")&gt;0,"P",""))))</f>
        <v/>
      </c>
    </row>
    <row r="152" spans="1:32" ht="18" customHeight="1" x14ac:dyDescent="0.3">
      <c r="A152" s="22" t="str">
        <f>IF(Employees!F15="Yes",Employees!B15,"")</f>
        <v/>
      </c>
      <c r="B152" s="23" t="str">
        <f>IF(A152="","",IF(IF(OR(DATE($B$3,5,1)&gt;EOMONTH(DATE($B$3,5,1),0),NETWORKDAYS.INTL(DATE($B$3,5,1),DATE($B$3,5,1),1,'Non-working days'!$A$6:$A$45)=0),"",IF(COUNTIFS('Leave log'!$A$7:$A$306,Employees!$A$15,'Leave log'!$B$7:$B$306,"&lt;="&amp;DATE($B$3,5,1),'Leave log'!$C$7:$C$306,"&gt;="&amp;DATE($B$3,5,1),'Leave log'!$F$7:$F$306,"Approved")&gt;0,"A",""))="A","A",IF(OR(DATE($B$3,5,1)&gt;EOMONTH(DATE($B$3,5,1),0),NETWORKDAYS.INTL(DATE($B$3,5,1),DATE($B$3,5,1),1,'Non-working days'!$A$6:$A$45)=0),"",IF(COUNTIFS('Leave log'!$A$7:$A$306,Employees!$A$15,'Leave log'!$B$7:$B$306,"&lt;="&amp;DATE($B$3,5,1),'Leave log'!$C$7:$C$306,"&gt;="&amp;DATE($B$3,5,1),'Leave log'!$F$7:$F$306,"Pending")&gt;0,"P",""))))</f>
        <v/>
      </c>
      <c r="C152" s="23" t="str">
        <f>IF(A152="","",IF(IF(OR(DATE($B$3,5,2)&gt;EOMONTH(DATE($B$3,5,1),0),NETWORKDAYS.INTL(DATE($B$3,5,2),DATE($B$3,5,2),1,'Non-working days'!$A$6:$A$45)=0),"",IF(COUNTIFS('Leave log'!$A$7:$A$306,Employees!$A$15,'Leave log'!$B$7:$B$306,"&lt;="&amp;DATE($B$3,5,2),'Leave log'!$C$7:$C$306,"&gt;="&amp;DATE($B$3,5,2),'Leave log'!$F$7:$F$306,"Approved")&gt;0,"A",""))="A","A",IF(OR(DATE($B$3,5,2)&gt;EOMONTH(DATE($B$3,5,1),0),NETWORKDAYS.INTL(DATE($B$3,5,2),DATE($B$3,5,2),1,'Non-working days'!$A$6:$A$45)=0),"",IF(COUNTIFS('Leave log'!$A$7:$A$306,Employees!$A$15,'Leave log'!$B$7:$B$306,"&lt;="&amp;DATE($B$3,5,2),'Leave log'!$C$7:$C$306,"&gt;="&amp;DATE($B$3,5,2),'Leave log'!$F$7:$F$306,"Pending")&gt;0,"P",""))))</f>
        <v/>
      </c>
      <c r="D152" s="23" t="str">
        <f>IF(A152="","",IF(IF(OR(DATE($B$3,5,3)&gt;EOMONTH(DATE($B$3,5,1),0),NETWORKDAYS.INTL(DATE($B$3,5,3),DATE($B$3,5,3),1,'Non-working days'!$A$6:$A$45)=0),"",IF(COUNTIFS('Leave log'!$A$7:$A$306,Employees!$A$15,'Leave log'!$B$7:$B$306,"&lt;="&amp;DATE($B$3,5,3),'Leave log'!$C$7:$C$306,"&gt;="&amp;DATE($B$3,5,3),'Leave log'!$F$7:$F$306,"Approved")&gt;0,"A",""))="A","A",IF(OR(DATE($B$3,5,3)&gt;EOMONTH(DATE($B$3,5,1),0),NETWORKDAYS.INTL(DATE($B$3,5,3),DATE($B$3,5,3),1,'Non-working days'!$A$6:$A$45)=0),"",IF(COUNTIFS('Leave log'!$A$7:$A$306,Employees!$A$15,'Leave log'!$B$7:$B$306,"&lt;="&amp;DATE($B$3,5,3),'Leave log'!$C$7:$C$306,"&gt;="&amp;DATE($B$3,5,3),'Leave log'!$F$7:$F$306,"Pending")&gt;0,"P",""))))</f>
        <v/>
      </c>
      <c r="E152" s="23" t="str">
        <f>IF(A152="","",IF(IF(OR(DATE($B$3,5,4)&gt;EOMONTH(DATE($B$3,5,1),0),NETWORKDAYS.INTL(DATE($B$3,5,4),DATE($B$3,5,4),1,'Non-working days'!$A$6:$A$45)=0),"",IF(COUNTIFS('Leave log'!$A$7:$A$306,Employees!$A$15,'Leave log'!$B$7:$B$306,"&lt;="&amp;DATE($B$3,5,4),'Leave log'!$C$7:$C$306,"&gt;="&amp;DATE($B$3,5,4),'Leave log'!$F$7:$F$306,"Approved")&gt;0,"A",""))="A","A",IF(OR(DATE($B$3,5,4)&gt;EOMONTH(DATE($B$3,5,1),0),NETWORKDAYS.INTL(DATE($B$3,5,4),DATE($B$3,5,4),1,'Non-working days'!$A$6:$A$45)=0),"",IF(COUNTIFS('Leave log'!$A$7:$A$306,Employees!$A$15,'Leave log'!$B$7:$B$306,"&lt;="&amp;DATE($B$3,5,4),'Leave log'!$C$7:$C$306,"&gt;="&amp;DATE($B$3,5,4),'Leave log'!$F$7:$F$306,"Pending")&gt;0,"P",""))))</f>
        <v/>
      </c>
      <c r="F152" s="23" t="str">
        <f>IF(A152="","",IF(IF(OR(DATE($B$3,5,5)&gt;EOMONTH(DATE($B$3,5,1),0),NETWORKDAYS.INTL(DATE($B$3,5,5),DATE($B$3,5,5),1,'Non-working days'!$A$6:$A$45)=0),"",IF(COUNTIFS('Leave log'!$A$7:$A$306,Employees!$A$15,'Leave log'!$B$7:$B$306,"&lt;="&amp;DATE($B$3,5,5),'Leave log'!$C$7:$C$306,"&gt;="&amp;DATE($B$3,5,5),'Leave log'!$F$7:$F$306,"Approved")&gt;0,"A",""))="A","A",IF(OR(DATE($B$3,5,5)&gt;EOMONTH(DATE($B$3,5,1),0),NETWORKDAYS.INTL(DATE($B$3,5,5),DATE($B$3,5,5),1,'Non-working days'!$A$6:$A$45)=0),"",IF(COUNTIFS('Leave log'!$A$7:$A$306,Employees!$A$15,'Leave log'!$B$7:$B$306,"&lt;="&amp;DATE($B$3,5,5),'Leave log'!$C$7:$C$306,"&gt;="&amp;DATE($B$3,5,5),'Leave log'!$F$7:$F$306,"Pending")&gt;0,"P",""))))</f>
        <v/>
      </c>
      <c r="G152" s="23" t="str">
        <f>IF(A152="","",IF(IF(OR(DATE($B$3,5,6)&gt;EOMONTH(DATE($B$3,5,1),0),NETWORKDAYS.INTL(DATE($B$3,5,6),DATE($B$3,5,6),1,'Non-working days'!$A$6:$A$45)=0),"",IF(COUNTIFS('Leave log'!$A$7:$A$306,Employees!$A$15,'Leave log'!$B$7:$B$306,"&lt;="&amp;DATE($B$3,5,6),'Leave log'!$C$7:$C$306,"&gt;="&amp;DATE($B$3,5,6),'Leave log'!$F$7:$F$306,"Approved")&gt;0,"A",""))="A","A",IF(OR(DATE($B$3,5,6)&gt;EOMONTH(DATE($B$3,5,1),0),NETWORKDAYS.INTL(DATE($B$3,5,6),DATE($B$3,5,6),1,'Non-working days'!$A$6:$A$45)=0),"",IF(COUNTIFS('Leave log'!$A$7:$A$306,Employees!$A$15,'Leave log'!$B$7:$B$306,"&lt;="&amp;DATE($B$3,5,6),'Leave log'!$C$7:$C$306,"&gt;="&amp;DATE($B$3,5,6),'Leave log'!$F$7:$F$306,"Pending")&gt;0,"P",""))))</f>
        <v/>
      </c>
      <c r="H152" s="23" t="str">
        <f>IF(A152="","",IF(IF(OR(DATE($B$3,5,7)&gt;EOMONTH(DATE($B$3,5,1),0),NETWORKDAYS.INTL(DATE($B$3,5,7),DATE($B$3,5,7),1,'Non-working days'!$A$6:$A$45)=0),"",IF(COUNTIFS('Leave log'!$A$7:$A$306,Employees!$A$15,'Leave log'!$B$7:$B$306,"&lt;="&amp;DATE($B$3,5,7),'Leave log'!$C$7:$C$306,"&gt;="&amp;DATE($B$3,5,7),'Leave log'!$F$7:$F$306,"Approved")&gt;0,"A",""))="A","A",IF(OR(DATE($B$3,5,7)&gt;EOMONTH(DATE($B$3,5,1),0),NETWORKDAYS.INTL(DATE($B$3,5,7),DATE($B$3,5,7),1,'Non-working days'!$A$6:$A$45)=0),"",IF(COUNTIFS('Leave log'!$A$7:$A$306,Employees!$A$15,'Leave log'!$B$7:$B$306,"&lt;="&amp;DATE($B$3,5,7),'Leave log'!$C$7:$C$306,"&gt;="&amp;DATE($B$3,5,7),'Leave log'!$F$7:$F$306,"Pending")&gt;0,"P",""))))</f>
        <v/>
      </c>
      <c r="I152" s="23" t="str">
        <f>IF(A152="","",IF(IF(OR(DATE($B$3,5,8)&gt;EOMONTH(DATE($B$3,5,1),0),NETWORKDAYS.INTL(DATE($B$3,5,8),DATE($B$3,5,8),1,'Non-working days'!$A$6:$A$45)=0),"",IF(COUNTIFS('Leave log'!$A$7:$A$306,Employees!$A$15,'Leave log'!$B$7:$B$306,"&lt;="&amp;DATE($B$3,5,8),'Leave log'!$C$7:$C$306,"&gt;="&amp;DATE($B$3,5,8),'Leave log'!$F$7:$F$306,"Approved")&gt;0,"A",""))="A","A",IF(OR(DATE($B$3,5,8)&gt;EOMONTH(DATE($B$3,5,1),0),NETWORKDAYS.INTL(DATE($B$3,5,8),DATE($B$3,5,8),1,'Non-working days'!$A$6:$A$45)=0),"",IF(COUNTIFS('Leave log'!$A$7:$A$306,Employees!$A$15,'Leave log'!$B$7:$B$306,"&lt;="&amp;DATE($B$3,5,8),'Leave log'!$C$7:$C$306,"&gt;="&amp;DATE($B$3,5,8),'Leave log'!$F$7:$F$306,"Pending")&gt;0,"P",""))))</f>
        <v/>
      </c>
      <c r="J152" s="23" t="str">
        <f>IF(A152="","",IF(IF(OR(DATE($B$3,5,9)&gt;EOMONTH(DATE($B$3,5,1),0),NETWORKDAYS.INTL(DATE($B$3,5,9),DATE($B$3,5,9),1,'Non-working days'!$A$6:$A$45)=0),"",IF(COUNTIFS('Leave log'!$A$7:$A$306,Employees!$A$15,'Leave log'!$B$7:$B$306,"&lt;="&amp;DATE($B$3,5,9),'Leave log'!$C$7:$C$306,"&gt;="&amp;DATE($B$3,5,9),'Leave log'!$F$7:$F$306,"Approved")&gt;0,"A",""))="A","A",IF(OR(DATE($B$3,5,9)&gt;EOMONTH(DATE($B$3,5,1),0),NETWORKDAYS.INTL(DATE($B$3,5,9),DATE($B$3,5,9),1,'Non-working days'!$A$6:$A$45)=0),"",IF(COUNTIFS('Leave log'!$A$7:$A$306,Employees!$A$15,'Leave log'!$B$7:$B$306,"&lt;="&amp;DATE($B$3,5,9),'Leave log'!$C$7:$C$306,"&gt;="&amp;DATE($B$3,5,9),'Leave log'!$F$7:$F$306,"Pending")&gt;0,"P",""))))</f>
        <v/>
      </c>
      <c r="K152" s="23" t="str">
        <f>IF(A152="","",IF(IF(OR(DATE($B$3,5,10)&gt;EOMONTH(DATE($B$3,5,1),0),NETWORKDAYS.INTL(DATE($B$3,5,10),DATE($B$3,5,10),1,'Non-working days'!$A$6:$A$45)=0),"",IF(COUNTIFS('Leave log'!$A$7:$A$306,Employees!$A$15,'Leave log'!$B$7:$B$306,"&lt;="&amp;DATE($B$3,5,10),'Leave log'!$C$7:$C$306,"&gt;="&amp;DATE($B$3,5,10),'Leave log'!$F$7:$F$306,"Approved")&gt;0,"A",""))="A","A",IF(OR(DATE($B$3,5,10)&gt;EOMONTH(DATE($B$3,5,1),0),NETWORKDAYS.INTL(DATE($B$3,5,10),DATE($B$3,5,10),1,'Non-working days'!$A$6:$A$45)=0),"",IF(COUNTIFS('Leave log'!$A$7:$A$306,Employees!$A$15,'Leave log'!$B$7:$B$306,"&lt;="&amp;DATE($B$3,5,10),'Leave log'!$C$7:$C$306,"&gt;="&amp;DATE($B$3,5,10),'Leave log'!$F$7:$F$306,"Pending")&gt;0,"P",""))))</f>
        <v/>
      </c>
      <c r="L152" s="23" t="str">
        <f>IF(A152="","",IF(IF(OR(DATE($B$3,5,11)&gt;EOMONTH(DATE($B$3,5,1),0),NETWORKDAYS.INTL(DATE($B$3,5,11),DATE($B$3,5,11),1,'Non-working days'!$A$6:$A$45)=0),"",IF(COUNTIFS('Leave log'!$A$7:$A$306,Employees!$A$15,'Leave log'!$B$7:$B$306,"&lt;="&amp;DATE($B$3,5,11),'Leave log'!$C$7:$C$306,"&gt;="&amp;DATE($B$3,5,11),'Leave log'!$F$7:$F$306,"Approved")&gt;0,"A",""))="A","A",IF(OR(DATE($B$3,5,11)&gt;EOMONTH(DATE($B$3,5,1),0),NETWORKDAYS.INTL(DATE($B$3,5,11),DATE($B$3,5,11),1,'Non-working days'!$A$6:$A$45)=0),"",IF(COUNTIFS('Leave log'!$A$7:$A$306,Employees!$A$15,'Leave log'!$B$7:$B$306,"&lt;="&amp;DATE($B$3,5,11),'Leave log'!$C$7:$C$306,"&gt;="&amp;DATE($B$3,5,11),'Leave log'!$F$7:$F$306,"Pending")&gt;0,"P",""))))</f>
        <v/>
      </c>
      <c r="M152" s="23" t="str">
        <f>IF(A152="","",IF(IF(OR(DATE($B$3,5,12)&gt;EOMONTH(DATE($B$3,5,1),0),NETWORKDAYS.INTL(DATE($B$3,5,12),DATE($B$3,5,12),1,'Non-working days'!$A$6:$A$45)=0),"",IF(COUNTIFS('Leave log'!$A$7:$A$306,Employees!$A$15,'Leave log'!$B$7:$B$306,"&lt;="&amp;DATE($B$3,5,12),'Leave log'!$C$7:$C$306,"&gt;="&amp;DATE($B$3,5,12),'Leave log'!$F$7:$F$306,"Approved")&gt;0,"A",""))="A","A",IF(OR(DATE($B$3,5,12)&gt;EOMONTH(DATE($B$3,5,1),0),NETWORKDAYS.INTL(DATE($B$3,5,12),DATE($B$3,5,12),1,'Non-working days'!$A$6:$A$45)=0),"",IF(COUNTIFS('Leave log'!$A$7:$A$306,Employees!$A$15,'Leave log'!$B$7:$B$306,"&lt;="&amp;DATE($B$3,5,12),'Leave log'!$C$7:$C$306,"&gt;="&amp;DATE($B$3,5,12),'Leave log'!$F$7:$F$306,"Pending")&gt;0,"P",""))))</f>
        <v/>
      </c>
      <c r="N152" s="23" t="str">
        <f>IF(A152="","",IF(IF(OR(DATE($B$3,5,13)&gt;EOMONTH(DATE($B$3,5,1),0),NETWORKDAYS.INTL(DATE($B$3,5,13),DATE($B$3,5,13),1,'Non-working days'!$A$6:$A$45)=0),"",IF(COUNTIFS('Leave log'!$A$7:$A$306,Employees!$A$15,'Leave log'!$B$7:$B$306,"&lt;="&amp;DATE($B$3,5,13),'Leave log'!$C$7:$C$306,"&gt;="&amp;DATE($B$3,5,13),'Leave log'!$F$7:$F$306,"Approved")&gt;0,"A",""))="A","A",IF(OR(DATE($B$3,5,13)&gt;EOMONTH(DATE($B$3,5,1),0),NETWORKDAYS.INTL(DATE($B$3,5,13),DATE($B$3,5,13),1,'Non-working days'!$A$6:$A$45)=0),"",IF(COUNTIFS('Leave log'!$A$7:$A$306,Employees!$A$15,'Leave log'!$B$7:$B$306,"&lt;="&amp;DATE($B$3,5,13),'Leave log'!$C$7:$C$306,"&gt;="&amp;DATE($B$3,5,13),'Leave log'!$F$7:$F$306,"Pending")&gt;0,"P",""))))</f>
        <v/>
      </c>
      <c r="O152" s="23" t="str">
        <f>IF(A152="","",IF(IF(OR(DATE($B$3,5,14)&gt;EOMONTH(DATE($B$3,5,1),0),NETWORKDAYS.INTL(DATE($B$3,5,14),DATE($B$3,5,14),1,'Non-working days'!$A$6:$A$45)=0),"",IF(COUNTIFS('Leave log'!$A$7:$A$306,Employees!$A$15,'Leave log'!$B$7:$B$306,"&lt;="&amp;DATE($B$3,5,14),'Leave log'!$C$7:$C$306,"&gt;="&amp;DATE($B$3,5,14),'Leave log'!$F$7:$F$306,"Approved")&gt;0,"A",""))="A","A",IF(OR(DATE($B$3,5,14)&gt;EOMONTH(DATE($B$3,5,1),0),NETWORKDAYS.INTL(DATE($B$3,5,14),DATE($B$3,5,14),1,'Non-working days'!$A$6:$A$45)=0),"",IF(COUNTIFS('Leave log'!$A$7:$A$306,Employees!$A$15,'Leave log'!$B$7:$B$306,"&lt;="&amp;DATE($B$3,5,14),'Leave log'!$C$7:$C$306,"&gt;="&amp;DATE($B$3,5,14),'Leave log'!$F$7:$F$306,"Pending")&gt;0,"P",""))))</f>
        <v/>
      </c>
      <c r="P152" s="23" t="str">
        <f>IF(A152="","",IF(IF(OR(DATE($B$3,5,15)&gt;EOMONTH(DATE($B$3,5,1),0),NETWORKDAYS.INTL(DATE($B$3,5,15),DATE($B$3,5,15),1,'Non-working days'!$A$6:$A$45)=0),"",IF(COUNTIFS('Leave log'!$A$7:$A$306,Employees!$A$15,'Leave log'!$B$7:$B$306,"&lt;="&amp;DATE($B$3,5,15),'Leave log'!$C$7:$C$306,"&gt;="&amp;DATE($B$3,5,15),'Leave log'!$F$7:$F$306,"Approved")&gt;0,"A",""))="A","A",IF(OR(DATE($B$3,5,15)&gt;EOMONTH(DATE($B$3,5,1),0),NETWORKDAYS.INTL(DATE($B$3,5,15),DATE($B$3,5,15),1,'Non-working days'!$A$6:$A$45)=0),"",IF(COUNTIFS('Leave log'!$A$7:$A$306,Employees!$A$15,'Leave log'!$B$7:$B$306,"&lt;="&amp;DATE($B$3,5,15),'Leave log'!$C$7:$C$306,"&gt;="&amp;DATE($B$3,5,15),'Leave log'!$F$7:$F$306,"Pending")&gt;0,"P",""))))</f>
        <v/>
      </c>
      <c r="Q152" s="23" t="str">
        <f>IF(A152="","",IF(IF(OR(DATE($B$3,5,16)&gt;EOMONTH(DATE($B$3,5,1),0),NETWORKDAYS.INTL(DATE($B$3,5,16),DATE($B$3,5,16),1,'Non-working days'!$A$6:$A$45)=0),"",IF(COUNTIFS('Leave log'!$A$7:$A$306,Employees!$A$15,'Leave log'!$B$7:$B$306,"&lt;="&amp;DATE($B$3,5,16),'Leave log'!$C$7:$C$306,"&gt;="&amp;DATE($B$3,5,16),'Leave log'!$F$7:$F$306,"Approved")&gt;0,"A",""))="A","A",IF(OR(DATE($B$3,5,16)&gt;EOMONTH(DATE($B$3,5,1),0),NETWORKDAYS.INTL(DATE($B$3,5,16),DATE($B$3,5,16),1,'Non-working days'!$A$6:$A$45)=0),"",IF(COUNTIFS('Leave log'!$A$7:$A$306,Employees!$A$15,'Leave log'!$B$7:$B$306,"&lt;="&amp;DATE($B$3,5,16),'Leave log'!$C$7:$C$306,"&gt;="&amp;DATE($B$3,5,16),'Leave log'!$F$7:$F$306,"Pending")&gt;0,"P",""))))</f>
        <v/>
      </c>
      <c r="R152" s="23" t="str">
        <f>IF(A152="","",IF(IF(OR(DATE($B$3,5,17)&gt;EOMONTH(DATE($B$3,5,1),0),NETWORKDAYS.INTL(DATE($B$3,5,17),DATE($B$3,5,17),1,'Non-working days'!$A$6:$A$45)=0),"",IF(COUNTIFS('Leave log'!$A$7:$A$306,Employees!$A$15,'Leave log'!$B$7:$B$306,"&lt;="&amp;DATE($B$3,5,17),'Leave log'!$C$7:$C$306,"&gt;="&amp;DATE($B$3,5,17),'Leave log'!$F$7:$F$306,"Approved")&gt;0,"A",""))="A","A",IF(OR(DATE($B$3,5,17)&gt;EOMONTH(DATE($B$3,5,1),0),NETWORKDAYS.INTL(DATE($B$3,5,17),DATE($B$3,5,17),1,'Non-working days'!$A$6:$A$45)=0),"",IF(COUNTIFS('Leave log'!$A$7:$A$306,Employees!$A$15,'Leave log'!$B$7:$B$306,"&lt;="&amp;DATE($B$3,5,17),'Leave log'!$C$7:$C$306,"&gt;="&amp;DATE($B$3,5,17),'Leave log'!$F$7:$F$306,"Pending")&gt;0,"P",""))))</f>
        <v/>
      </c>
      <c r="S152" s="23" t="str">
        <f>IF(A152="","",IF(IF(OR(DATE($B$3,5,18)&gt;EOMONTH(DATE($B$3,5,1),0),NETWORKDAYS.INTL(DATE($B$3,5,18),DATE($B$3,5,18),1,'Non-working days'!$A$6:$A$45)=0),"",IF(COUNTIFS('Leave log'!$A$7:$A$306,Employees!$A$15,'Leave log'!$B$7:$B$306,"&lt;="&amp;DATE($B$3,5,18),'Leave log'!$C$7:$C$306,"&gt;="&amp;DATE($B$3,5,18),'Leave log'!$F$7:$F$306,"Approved")&gt;0,"A",""))="A","A",IF(OR(DATE($B$3,5,18)&gt;EOMONTH(DATE($B$3,5,1),0),NETWORKDAYS.INTL(DATE($B$3,5,18),DATE($B$3,5,18),1,'Non-working days'!$A$6:$A$45)=0),"",IF(COUNTIFS('Leave log'!$A$7:$A$306,Employees!$A$15,'Leave log'!$B$7:$B$306,"&lt;="&amp;DATE($B$3,5,18),'Leave log'!$C$7:$C$306,"&gt;="&amp;DATE($B$3,5,18),'Leave log'!$F$7:$F$306,"Pending")&gt;0,"P",""))))</f>
        <v/>
      </c>
      <c r="T152" s="23" t="str">
        <f>IF(A152="","",IF(IF(OR(DATE($B$3,5,19)&gt;EOMONTH(DATE($B$3,5,1),0),NETWORKDAYS.INTL(DATE($B$3,5,19),DATE($B$3,5,19),1,'Non-working days'!$A$6:$A$45)=0),"",IF(COUNTIFS('Leave log'!$A$7:$A$306,Employees!$A$15,'Leave log'!$B$7:$B$306,"&lt;="&amp;DATE($B$3,5,19),'Leave log'!$C$7:$C$306,"&gt;="&amp;DATE($B$3,5,19),'Leave log'!$F$7:$F$306,"Approved")&gt;0,"A",""))="A","A",IF(OR(DATE($B$3,5,19)&gt;EOMONTH(DATE($B$3,5,1),0),NETWORKDAYS.INTL(DATE($B$3,5,19),DATE($B$3,5,19),1,'Non-working days'!$A$6:$A$45)=0),"",IF(COUNTIFS('Leave log'!$A$7:$A$306,Employees!$A$15,'Leave log'!$B$7:$B$306,"&lt;="&amp;DATE($B$3,5,19),'Leave log'!$C$7:$C$306,"&gt;="&amp;DATE($B$3,5,19),'Leave log'!$F$7:$F$306,"Pending")&gt;0,"P",""))))</f>
        <v/>
      </c>
      <c r="U152" s="23" t="str">
        <f>IF(A152="","",IF(IF(OR(DATE($B$3,5,20)&gt;EOMONTH(DATE($B$3,5,1),0),NETWORKDAYS.INTL(DATE($B$3,5,20),DATE($B$3,5,20),1,'Non-working days'!$A$6:$A$45)=0),"",IF(COUNTIFS('Leave log'!$A$7:$A$306,Employees!$A$15,'Leave log'!$B$7:$B$306,"&lt;="&amp;DATE($B$3,5,20),'Leave log'!$C$7:$C$306,"&gt;="&amp;DATE($B$3,5,20),'Leave log'!$F$7:$F$306,"Approved")&gt;0,"A",""))="A","A",IF(OR(DATE($B$3,5,20)&gt;EOMONTH(DATE($B$3,5,1),0),NETWORKDAYS.INTL(DATE($B$3,5,20),DATE($B$3,5,20),1,'Non-working days'!$A$6:$A$45)=0),"",IF(COUNTIFS('Leave log'!$A$7:$A$306,Employees!$A$15,'Leave log'!$B$7:$B$306,"&lt;="&amp;DATE($B$3,5,20),'Leave log'!$C$7:$C$306,"&gt;="&amp;DATE($B$3,5,20),'Leave log'!$F$7:$F$306,"Pending")&gt;0,"P",""))))</f>
        <v/>
      </c>
      <c r="V152" s="23" t="str">
        <f>IF(A152="","",IF(IF(OR(DATE($B$3,5,21)&gt;EOMONTH(DATE($B$3,5,1),0),NETWORKDAYS.INTL(DATE($B$3,5,21),DATE($B$3,5,21),1,'Non-working days'!$A$6:$A$45)=0),"",IF(COUNTIFS('Leave log'!$A$7:$A$306,Employees!$A$15,'Leave log'!$B$7:$B$306,"&lt;="&amp;DATE($B$3,5,21),'Leave log'!$C$7:$C$306,"&gt;="&amp;DATE($B$3,5,21),'Leave log'!$F$7:$F$306,"Approved")&gt;0,"A",""))="A","A",IF(OR(DATE($B$3,5,21)&gt;EOMONTH(DATE($B$3,5,1),0),NETWORKDAYS.INTL(DATE($B$3,5,21),DATE($B$3,5,21),1,'Non-working days'!$A$6:$A$45)=0),"",IF(COUNTIFS('Leave log'!$A$7:$A$306,Employees!$A$15,'Leave log'!$B$7:$B$306,"&lt;="&amp;DATE($B$3,5,21),'Leave log'!$C$7:$C$306,"&gt;="&amp;DATE($B$3,5,21),'Leave log'!$F$7:$F$306,"Pending")&gt;0,"P",""))))</f>
        <v/>
      </c>
      <c r="W152" s="23" t="str">
        <f>IF(A152="","",IF(IF(OR(DATE($B$3,5,22)&gt;EOMONTH(DATE($B$3,5,1),0),NETWORKDAYS.INTL(DATE($B$3,5,22),DATE($B$3,5,22),1,'Non-working days'!$A$6:$A$45)=0),"",IF(COUNTIFS('Leave log'!$A$7:$A$306,Employees!$A$15,'Leave log'!$B$7:$B$306,"&lt;="&amp;DATE($B$3,5,22),'Leave log'!$C$7:$C$306,"&gt;="&amp;DATE($B$3,5,22),'Leave log'!$F$7:$F$306,"Approved")&gt;0,"A",""))="A","A",IF(OR(DATE($B$3,5,22)&gt;EOMONTH(DATE($B$3,5,1),0),NETWORKDAYS.INTL(DATE($B$3,5,22),DATE($B$3,5,22),1,'Non-working days'!$A$6:$A$45)=0),"",IF(COUNTIFS('Leave log'!$A$7:$A$306,Employees!$A$15,'Leave log'!$B$7:$B$306,"&lt;="&amp;DATE($B$3,5,22),'Leave log'!$C$7:$C$306,"&gt;="&amp;DATE($B$3,5,22),'Leave log'!$F$7:$F$306,"Pending")&gt;0,"P",""))))</f>
        <v/>
      </c>
      <c r="X152" s="23" t="str">
        <f>IF(A152="","",IF(IF(OR(DATE($B$3,5,23)&gt;EOMONTH(DATE($B$3,5,1),0),NETWORKDAYS.INTL(DATE($B$3,5,23),DATE($B$3,5,23),1,'Non-working days'!$A$6:$A$45)=0),"",IF(COUNTIFS('Leave log'!$A$7:$A$306,Employees!$A$15,'Leave log'!$B$7:$B$306,"&lt;="&amp;DATE($B$3,5,23),'Leave log'!$C$7:$C$306,"&gt;="&amp;DATE($B$3,5,23),'Leave log'!$F$7:$F$306,"Approved")&gt;0,"A",""))="A","A",IF(OR(DATE($B$3,5,23)&gt;EOMONTH(DATE($B$3,5,1),0),NETWORKDAYS.INTL(DATE($B$3,5,23),DATE($B$3,5,23),1,'Non-working days'!$A$6:$A$45)=0),"",IF(COUNTIFS('Leave log'!$A$7:$A$306,Employees!$A$15,'Leave log'!$B$7:$B$306,"&lt;="&amp;DATE($B$3,5,23),'Leave log'!$C$7:$C$306,"&gt;="&amp;DATE($B$3,5,23),'Leave log'!$F$7:$F$306,"Pending")&gt;0,"P",""))))</f>
        <v/>
      </c>
      <c r="Y152" s="23" t="str">
        <f>IF(A152="","",IF(IF(OR(DATE($B$3,5,24)&gt;EOMONTH(DATE($B$3,5,1),0),NETWORKDAYS.INTL(DATE($B$3,5,24),DATE($B$3,5,24),1,'Non-working days'!$A$6:$A$45)=0),"",IF(COUNTIFS('Leave log'!$A$7:$A$306,Employees!$A$15,'Leave log'!$B$7:$B$306,"&lt;="&amp;DATE($B$3,5,24),'Leave log'!$C$7:$C$306,"&gt;="&amp;DATE($B$3,5,24),'Leave log'!$F$7:$F$306,"Approved")&gt;0,"A",""))="A","A",IF(OR(DATE($B$3,5,24)&gt;EOMONTH(DATE($B$3,5,1),0),NETWORKDAYS.INTL(DATE($B$3,5,24),DATE($B$3,5,24),1,'Non-working days'!$A$6:$A$45)=0),"",IF(COUNTIFS('Leave log'!$A$7:$A$306,Employees!$A$15,'Leave log'!$B$7:$B$306,"&lt;="&amp;DATE($B$3,5,24),'Leave log'!$C$7:$C$306,"&gt;="&amp;DATE($B$3,5,24),'Leave log'!$F$7:$F$306,"Pending")&gt;0,"P",""))))</f>
        <v/>
      </c>
      <c r="Z152" s="23" t="str">
        <f>IF(A152="","",IF(IF(OR(DATE($B$3,5,25)&gt;EOMONTH(DATE($B$3,5,1),0),NETWORKDAYS.INTL(DATE($B$3,5,25),DATE($B$3,5,25),1,'Non-working days'!$A$6:$A$45)=0),"",IF(COUNTIFS('Leave log'!$A$7:$A$306,Employees!$A$15,'Leave log'!$B$7:$B$306,"&lt;="&amp;DATE($B$3,5,25),'Leave log'!$C$7:$C$306,"&gt;="&amp;DATE($B$3,5,25),'Leave log'!$F$7:$F$306,"Approved")&gt;0,"A",""))="A","A",IF(OR(DATE($B$3,5,25)&gt;EOMONTH(DATE($B$3,5,1),0),NETWORKDAYS.INTL(DATE($B$3,5,25),DATE($B$3,5,25),1,'Non-working days'!$A$6:$A$45)=0),"",IF(COUNTIFS('Leave log'!$A$7:$A$306,Employees!$A$15,'Leave log'!$B$7:$B$306,"&lt;="&amp;DATE($B$3,5,25),'Leave log'!$C$7:$C$306,"&gt;="&amp;DATE($B$3,5,25),'Leave log'!$F$7:$F$306,"Pending")&gt;0,"P",""))))</f>
        <v/>
      </c>
      <c r="AA152" s="23" t="str">
        <f>IF(A152="","",IF(IF(OR(DATE($B$3,5,26)&gt;EOMONTH(DATE($B$3,5,1),0),NETWORKDAYS.INTL(DATE($B$3,5,26),DATE($B$3,5,26),1,'Non-working days'!$A$6:$A$45)=0),"",IF(COUNTIFS('Leave log'!$A$7:$A$306,Employees!$A$15,'Leave log'!$B$7:$B$306,"&lt;="&amp;DATE($B$3,5,26),'Leave log'!$C$7:$C$306,"&gt;="&amp;DATE($B$3,5,26),'Leave log'!$F$7:$F$306,"Approved")&gt;0,"A",""))="A","A",IF(OR(DATE($B$3,5,26)&gt;EOMONTH(DATE($B$3,5,1),0),NETWORKDAYS.INTL(DATE($B$3,5,26),DATE($B$3,5,26),1,'Non-working days'!$A$6:$A$45)=0),"",IF(COUNTIFS('Leave log'!$A$7:$A$306,Employees!$A$15,'Leave log'!$B$7:$B$306,"&lt;="&amp;DATE($B$3,5,26),'Leave log'!$C$7:$C$306,"&gt;="&amp;DATE($B$3,5,26),'Leave log'!$F$7:$F$306,"Pending")&gt;0,"P",""))))</f>
        <v/>
      </c>
      <c r="AB152" s="23" t="str">
        <f>IF(A152="","",IF(IF(OR(DATE($B$3,5,27)&gt;EOMONTH(DATE($B$3,5,1),0),NETWORKDAYS.INTL(DATE($B$3,5,27),DATE($B$3,5,27),1,'Non-working days'!$A$6:$A$45)=0),"",IF(COUNTIFS('Leave log'!$A$7:$A$306,Employees!$A$15,'Leave log'!$B$7:$B$306,"&lt;="&amp;DATE($B$3,5,27),'Leave log'!$C$7:$C$306,"&gt;="&amp;DATE($B$3,5,27),'Leave log'!$F$7:$F$306,"Approved")&gt;0,"A",""))="A","A",IF(OR(DATE($B$3,5,27)&gt;EOMONTH(DATE($B$3,5,1),0),NETWORKDAYS.INTL(DATE($B$3,5,27),DATE($B$3,5,27),1,'Non-working days'!$A$6:$A$45)=0),"",IF(COUNTIFS('Leave log'!$A$7:$A$306,Employees!$A$15,'Leave log'!$B$7:$B$306,"&lt;="&amp;DATE($B$3,5,27),'Leave log'!$C$7:$C$306,"&gt;="&amp;DATE($B$3,5,27),'Leave log'!$F$7:$F$306,"Pending")&gt;0,"P",""))))</f>
        <v/>
      </c>
      <c r="AC152" s="23" t="str">
        <f>IF(A152="","",IF(IF(OR(DATE($B$3,5,28)&gt;EOMONTH(DATE($B$3,5,1),0),NETWORKDAYS.INTL(DATE($B$3,5,28),DATE($B$3,5,28),1,'Non-working days'!$A$6:$A$45)=0),"",IF(COUNTIFS('Leave log'!$A$7:$A$306,Employees!$A$15,'Leave log'!$B$7:$B$306,"&lt;="&amp;DATE($B$3,5,28),'Leave log'!$C$7:$C$306,"&gt;="&amp;DATE($B$3,5,28),'Leave log'!$F$7:$F$306,"Approved")&gt;0,"A",""))="A","A",IF(OR(DATE($B$3,5,28)&gt;EOMONTH(DATE($B$3,5,1),0),NETWORKDAYS.INTL(DATE($B$3,5,28),DATE($B$3,5,28),1,'Non-working days'!$A$6:$A$45)=0),"",IF(COUNTIFS('Leave log'!$A$7:$A$306,Employees!$A$15,'Leave log'!$B$7:$B$306,"&lt;="&amp;DATE($B$3,5,28),'Leave log'!$C$7:$C$306,"&gt;="&amp;DATE($B$3,5,28),'Leave log'!$F$7:$F$306,"Pending")&gt;0,"P",""))))</f>
        <v/>
      </c>
      <c r="AD152" s="23" t="str">
        <f>IF(A152="","",IF(IF(OR(DATE($B$3,5,29)&gt;EOMONTH(DATE($B$3,5,1),0),NETWORKDAYS.INTL(DATE($B$3,5,29),DATE($B$3,5,29),1,'Non-working days'!$A$6:$A$45)=0),"",IF(COUNTIFS('Leave log'!$A$7:$A$306,Employees!$A$15,'Leave log'!$B$7:$B$306,"&lt;="&amp;DATE($B$3,5,29),'Leave log'!$C$7:$C$306,"&gt;="&amp;DATE($B$3,5,29),'Leave log'!$F$7:$F$306,"Approved")&gt;0,"A",""))="A","A",IF(OR(DATE($B$3,5,29)&gt;EOMONTH(DATE($B$3,5,1),0),NETWORKDAYS.INTL(DATE($B$3,5,29),DATE($B$3,5,29),1,'Non-working days'!$A$6:$A$45)=0),"",IF(COUNTIFS('Leave log'!$A$7:$A$306,Employees!$A$15,'Leave log'!$B$7:$B$306,"&lt;="&amp;DATE($B$3,5,29),'Leave log'!$C$7:$C$306,"&gt;="&amp;DATE($B$3,5,29),'Leave log'!$F$7:$F$306,"Pending")&gt;0,"P",""))))</f>
        <v/>
      </c>
      <c r="AE152" s="23" t="str">
        <f>IF(A152="","",IF(IF(OR(DATE($B$3,5,30)&gt;EOMONTH(DATE($B$3,5,1),0),NETWORKDAYS.INTL(DATE($B$3,5,30),DATE($B$3,5,30),1,'Non-working days'!$A$6:$A$45)=0),"",IF(COUNTIFS('Leave log'!$A$7:$A$306,Employees!$A$15,'Leave log'!$B$7:$B$306,"&lt;="&amp;DATE($B$3,5,30),'Leave log'!$C$7:$C$306,"&gt;="&amp;DATE($B$3,5,30),'Leave log'!$F$7:$F$306,"Approved")&gt;0,"A",""))="A","A",IF(OR(DATE($B$3,5,30)&gt;EOMONTH(DATE($B$3,5,1),0),NETWORKDAYS.INTL(DATE($B$3,5,30),DATE($B$3,5,30),1,'Non-working days'!$A$6:$A$45)=0),"",IF(COUNTIFS('Leave log'!$A$7:$A$306,Employees!$A$15,'Leave log'!$B$7:$B$306,"&lt;="&amp;DATE($B$3,5,30),'Leave log'!$C$7:$C$306,"&gt;="&amp;DATE($B$3,5,30),'Leave log'!$F$7:$F$306,"Pending")&gt;0,"P",""))))</f>
        <v/>
      </c>
      <c r="AF152" s="23" t="str">
        <f>IF(A152="","",IF(IF(OR(DATE($B$3,5,31)&gt;EOMONTH(DATE($B$3,5,1),0),NETWORKDAYS.INTL(DATE($B$3,5,31),DATE($B$3,5,31),1,'Non-working days'!$A$6:$A$45)=0),"",IF(COUNTIFS('Leave log'!$A$7:$A$306,Employees!$A$15,'Leave log'!$B$7:$B$306,"&lt;="&amp;DATE($B$3,5,31),'Leave log'!$C$7:$C$306,"&gt;="&amp;DATE($B$3,5,31),'Leave log'!$F$7:$F$306,"Approved")&gt;0,"A",""))="A","A",IF(OR(DATE($B$3,5,31)&gt;EOMONTH(DATE($B$3,5,1),0),NETWORKDAYS.INTL(DATE($B$3,5,31),DATE($B$3,5,31),1,'Non-working days'!$A$6:$A$45)=0),"",IF(COUNTIFS('Leave log'!$A$7:$A$306,Employees!$A$15,'Leave log'!$B$7:$B$306,"&lt;="&amp;DATE($B$3,5,31),'Leave log'!$C$7:$C$306,"&gt;="&amp;DATE($B$3,5,31),'Leave log'!$F$7:$F$306,"Pending")&gt;0,"P",""))))</f>
        <v/>
      </c>
    </row>
    <row r="153" spans="1:32" ht="18" customHeight="1" x14ac:dyDescent="0.3">
      <c r="A153" s="22" t="str">
        <f>IF(Employees!F16="Yes",Employees!B16,"")</f>
        <v/>
      </c>
      <c r="B153" s="23" t="str">
        <f>IF(A153="","",IF(IF(OR(DATE($B$3,5,1)&gt;EOMONTH(DATE($B$3,5,1),0),NETWORKDAYS.INTL(DATE($B$3,5,1),DATE($B$3,5,1),1,'Non-working days'!$A$6:$A$45)=0),"",IF(COUNTIFS('Leave log'!$A$7:$A$306,Employees!$A$16,'Leave log'!$B$7:$B$306,"&lt;="&amp;DATE($B$3,5,1),'Leave log'!$C$7:$C$306,"&gt;="&amp;DATE($B$3,5,1),'Leave log'!$F$7:$F$306,"Approved")&gt;0,"A",""))="A","A",IF(OR(DATE($B$3,5,1)&gt;EOMONTH(DATE($B$3,5,1),0),NETWORKDAYS.INTL(DATE($B$3,5,1),DATE($B$3,5,1),1,'Non-working days'!$A$6:$A$45)=0),"",IF(COUNTIFS('Leave log'!$A$7:$A$306,Employees!$A$16,'Leave log'!$B$7:$B$306,"&lt;="&amp;DATE($B$3,5,1),'Leave log'!$C$7:$C$306,"&gt;="&amp;DATE($B$3,5,1),'Leave log'!$F$7:$F$306,"Pending")&gt;0,"P",""))))</f>
        <v/>
      </c>
      <c r="C153" s="23" t="str">
        <f>IF(A153="","",IF(IF(OR(DATE($B$3,5,2)&gt;EOMONTH(DATE($B$3,5,1),0),NETWORKDAYS.INTL(DATE($B$3,5,2),DATE($B$3,5,2),1,'Non-working days'!$A$6:$A$45)=0),"",IF(COUNTIFS('Leave log'!$A$7:$A$306,Employees!$A$16,'Leave log'!$B$7:$B$306,"&lt;="&amp;DATE($B$3,5,2),'Leave log'!$C$7:$C$306,"&gt;="&amp;DATE($B$3,5,2),'Leave log'!$F$7:$F$306,"Approved")&gt;0,"A",""))="A","A",IF(OR(DATE($B$3,5,2)&gt;EOMONTH(DATE($B$3,5,1),0),NETWORKDAYS.INTL(DATE($B$3,5,2),DATE($B$3,5,2),1,'Non-working days'!$A$6:$A$45)=0),"",IF(COUNTIFS('Leave log'!$A$7:$A$306,Employees!$A$16,'Leave log'!$B$7:$B$306,"&lt;="&amp;DATE($B$3,5,2),'Leave log'!$C$7:$C$306,"&gt;="&amp;DATE($B$3,5,2),'Leave log'!$F$7:$F$306,"Pending")&gt;0,"P",""))))</f>
        <v/>
      </c>
      <c r="D153" s="23" t="str">
        <f>IF(A153="","",IF(IF(OR(DATE($B$3,5,3)&gt;EOMONTH(DATE($B$3,5,1),0),NETWORKDAYS.INTL(DATE($B$3,5,3),DATE($B$3,5,3),1,'Non-working days'!$A$6:$A$45)=0),"",IF(COUNTIFS('Leave log'!$A$7:$A$306,Employees!$A$16,'Leave log'!$B$7:$B$306,"&lt;="&amp;DATE($B$3,5,3),'Leave log'!$C$7:$C$306,"&gt;="&amp;DATE($B$3,5,3),'Leave log'!$F$7:$F$306,"Approved")&gt;0,"A",""))="A","A",IF(OR(DATE($B$3,5,3)&gt;EOMONTH(DATE($B$3,5,1),0),NETWORKDAYS.INTL(DATE($B$3,5,3),DATE($B$3,5,3),1,'Non-working days'!$A$6:$A$45)=0),"",IF(COUNTIFS('Leave log'!$A$7:$A$306,Employees!$A$16,'Leave log'!$B$7:$B$306,"&lt;="&amp;DATE($B$3,5,3),'Leave log'!$C$7:$C$306,"&gt;="&amp;DATE($B$3,5,3),'Leave log'!$F$7:$F$306,"Pending")&gt;0,"P",""))))</f>
        <v/>
      </c>
      <c r="E153" s="23" t="str">
        <f>IF(A153="","",IF(IF(OR(DATE($B$3,5,4)&gt;EOMONTH(DATE($B$3,5,1),0),NETWORKDAYS.INTL(DATE($B$3,5,4),DATE($B$3,5,4),1,'Non-working days'!$A$6:$A$45)=0),"",IF(COUNTIFS('Leave log'!$A$7:$A$306,Employees!$A$16,'Leave log'!$B$7:$B$306,"&lt;="&amp;DATE($B$3,5,4),'Leave log'!$C$7:$C$306,"&gt;="&amp;DATE($B$3,5,4),'Leave log'!$F$7:$F$306,"Approved")&gt;0,"A",""))="A","A",IF(OR(DATE($B$3,5,4)&gt;EOMONTH(DATE($B$3,5,1),0),NETWORKDAYS.INTL(DATE($B$3,5,4),DATE($B$3,5,4),1,'Non-working days'!$A$6:$A$45)=0),"",IF(COUNTIFS('Leave log'!$A$7:$A$306,Employees!$A$16,'Leave log'!$B$7:$B$306,"&lt;="&amp;DATE($B$3,5,4),'Leave log'!$C$7:$C$306,"&gt;="&amp;DATE($B$3,5,4),'Leave log'!$F$7:$F$306,"Pending")&gt;0,"P",""))))</f>
        <v/>
      </c>
      <c r="F153" s="23" t="str">
        <f>IF(A153="","",IF(IF(OR(DATE($B$3,5,5)&gt;EOMONTH(DATE($B$3,5,1),0),NETWORKDAYS.INTL(DATE($B$3,5,5),DATE($B$3,5,5),1,'Non-working days'!$A$6:$A$45)=0),"",IF(COUNTIFS('Leave log'!$A$7:$A$306,Employees!$A$16,'Leave log'!$B$7:$B$306,"&lt;="&amp;DATE($B$3,5,5),'Leave log'!$C$7:$C$306,"&gt;="&amp;DATE($B$3,5,5),'Leave log'!$F$7:$F$306,"Approved")&gt;0,"A",""))="A","A",IF(OR(DATE($B$3,5,5)&gt;EOMONTH(DATE($B$3,5,1),0),NETWORKDAYS.INTL(DATE($B$3,5,5),DATE($B$3,5,5),1,'Non-working days'!$A$6:$A$45)=0),"",IF(COUNTIFS('Leave log'!$A$7:$A$306,Employees!$A$16,'Leave log'!$B$7:$B$306,"&lt;="&amp;DATE($B$3,5,5),'Leave log'!$C$7:$C$306,"&gt;="&amp;DATE($B$3,5,5),'Leave log'!$F$7:$F$306,"Pending")&gt;0,"P",""))))</f>
        <v/>
      </c>
      <c r="G153" s="23" t="str">
        <f>IF(A153="","",IF(IF(OR(DATE($B$3,5,6)&gt;EOMONTH(DATE($B$3,5,1),0),NETWORKDAYS.INTL(DATE($B$3,5,6),DATE($B$3,5,6),1,'Non-working days'!$A$6:$A$45)=0),"",IF(COUNTIFS('Leave log'!$A$7:$A$306,Employees!$A$16,'Leave log'!$B$7:$B$306,"&lt;="&amp;DATE($B$3,5,6),'Leave log'!$C$7:$C$306,"&gt;="&amp;DATE($B$3,5,6),'Leave log'!$F$7:$F$306,"Approved")&gt;0,"A",""))="A","A",IF(OR(DATE($B$3,5,6)&gt;EOMONTH(DATE($B$3,5,1),0),NETWORKDAYS.INTL(DATE($B$3,5,6),DATE($B$3,5,6),1,'Non-working days'!$A$6:$A$45)=0),"",IF(COUNTIFS('Leave log'!$A$7:$A$306,Employees!$A$16,'Leave log'!$B$7:$B$306,"&lt;="&amp;DATE($B$3,5,6),'Leave log'!$C$7:$C$306,"&gt;="&amp;DATE($B$3,5,6),'Leave log'!$F$7:$F$306,"Pending")&gt;0,"P",""))))</f>
        <v/>
      </c>
      <c r="H153" s="23" t="str">
        <f>IF(A153="","",IF(IF(OR(DATE($B$3,5,7)&gt;EOMONTH(DATE($B$3,5,1),0),NETWORKDAYS.INTL(DATE($B$3,5,7),DATE($B$3,5,7),1,'Non-working days'!$A$6:$A$45)=0),"",IF(COUNTIFS('Leave log'!$A$7:$A$306,Employees!$A$16,'Leave log'!$B$7:$B$306,"&lt;="&amp;DATE($B$3,5,7),'Leave log'!$C$7:$C$306,"&gt;="&amp;DATE($B$3,5,7),'Leave log'!$F$7:$F$306,"Approved")&gt;0,"A",""))="A","A",IF(OR(DATE($B$3,5,7)&gt;EOMONTH(DATE($B$3,5,1),0),NETWORKDAYS.INTL(DATE($B$3,5,7),DATE($B$3,5,7),1,'Non-working days'!$A$6:$A$45)=0),"",IF(COUNTIFS('Leave log'!$A$7:$A$306,Employees!$A$16,'Leave log'!$B$7:$B$306,"&lt;="&amp;DATE($B$3,5,7),'Leave log'!$C$7:$C$306,"&gt;="&amp;DATE($B$3,5,7),'Leave log'!$F$7:$F$306,"Pending")&gt;0,"P",""))))</f>
        <v/>
      </c>
      <c r="I153" s="23" t="str">
        <f>IF(A153="","",IF(IF(OR(DATE($B$3,5,8)&gt;EOMONTH(DATE($B$3,5,1),0),NETWORKDAYS.INTL(DATE($B$3,5,8),DATE($B$3,5,8),1,'Non-working days'!$A$6:$A$45)=0),"",IF(COUNTIFS('Leave log'!$A$7:$A$306,Employees!$A$16,'Leave log'!$B$7:$B$306,"&lt;="&amp;DATE($B$3,5,8),'Leave log'!$C$7:$C$306,"&gt;="&amp;DATE($B$3,5,8),'Leave log'!$F$7:$F$306,"Approved")&gt;0,"A",""))="A","A",IF(OR(DATE($B$3,5,8)&gt;EOMONTH(DATE($B$3,5,1),0),NETWORKDAYS.INTL(DATE($B$3,5,8),DATE($B$3,5,8),1,'Non-working days'!$A$6:$A$45)=0),"",IF(COUNTIFS('Leave log'!$A$7:$A$306,Employees!$A$16,'Leave log'!$B$7:$B$306,"&lt;="&amp;DATE($B$3,5,8),'Leave log'!$C$7:$C$306,"&gt;="&amp;DATE($B$3,5,8),'Leave log'!$F$7:$F$306,"Pending")&gt;0,"P",""))))</f>
        <v/>
      </c>
      <c r="J153" s="23" t="str">
        <f>IF(A153="","",IF(IF(OR(DATE($B$3,5,9)&gt;EOMONTH(DATE($B$3,5,1),0),NETWORKDAYS.INTL(DATE($B$3,5,9),DATE($B$3,5,9),1,'Non-working days'!$A$6:$A$45)=0),"",IF(COUNTIFS('Leave log'!$A$7:$A$306,Employees!$A$16,'Leave log'!$B$7:$B$306,"&lt;="&amp;DATE($B$3,5,9),'Leave log'!$C$7:$C$306,"&gt;="&amp;DATE($B$3,5,9),'Leave log'!$F$7:$F$306,"Approved")&gt;0,"A",""))="A","A",IF(OR(DATE($B$3,5,9)&gt;EOMONTH(DATE($B$3,5,1),0),NETWORKDAYS.INTL(DATE($B$3,5,9),DATE($B$3,5,9),1,'Non-working days'!$A$6:$A$45)=0),"",IF(COUNTIFS('Leave log'!$A$7:$A$306,Employees!$A$16,'Leave log'!$B$7:$B$306,"&lt;="&amp;DATE($B$3,5,9),'Leave log'!$C$7:$C$306,"&gt;="&amp;DATE($B$3,5,9),'Leave log'!$F$7:$F$306,"Pending")&gt;0,"P",""))))</f>
        <v/>
      </c>
      <c r="K153" s="23" t="str">
        <f>IF(A153="","",IF(IF(OR(DATE($B$3,5,10)&gt;EOMONTH(DATE($B$3,5,1),0),NETWORKDAYS.INTL(DATE($B$3,5,10),DATE($B$3,5,10),1,'Non-working days'!$A$6:$A$45)=0),"",IF(COUNTIFS('Leave log'!$A$7:$A$306,Employees!$A$16,'Leave log'!$B$7:$B$306,"&lt;="&amp;DATE($B$3,5,10),'Leave log'!$C$7:$C$306,"&gt;="&amp;DATE($B$3,5,10),'Leave log'!$F$7:$F$306,"Approved")&gt;0,"A",""))="A","A",IF(OR(DATE($B$3,5,10)&gt;EOMONTH(DATE($B$3,5,1),0),NETWORKDAYS.INTL(DATE($B$3,5,10),DATE($B$3,5,10),1,'Non-working days'!$A$6:$A$45)=0),"",IF(COUNTIFS('Leave log'!$A$7:$A$306,Employees!$A$16,'Leave log'!$B$7:$B$306,"&lt;="&amp;DATE($B$3,5,10),'Leave log'!$C$7:$C$306,"&gt;="&amp;DATE($B$3,5,10),'Leave log'!$F$7:$F$306,"Pending")&gt;0,"P",""))))</f>
        <v/>
      </c>
      <c r="L153" s="23" t="str">
        <f>IF(A153="","",IF(IF(OR(DATE($B$3,5,11)&gt;EOMONTH(DATE($B$3,5,1),0),NETWORKDAYS.INTL(DATE($B$3,5,11),DATE($B$3,5,11),1,'Non-working days'!$A$6:$A$45)=0),"",IF(COUNTIFS('Leave log'!$A$7:$A$306,Employees!$A$16,'Leave log'!$B$7:$B$306,"&lt;="&amp;DATE($B$3,5,11),'Leave log'!$C$7:$C$306,"&gt;="&amp;DATE($B$3,5,11),'Leave log'!$F$7:$F$306,"Approved")&gt;0,"A",""))="A","A",IF(OR(DATE($B$3,5,11)&gt;EOMONTH(DATE($B$3,5,1),0),NETWORKDAYS.INTL(DATE($B$3,5,11),DATE($B$3,5,11),1,'Non-working days'!$A$6:$A$45)=0),"",IF(COUNTIFS('Leave log'!$A$7:$A$306,Employees!$A$16,'Leave log'!$B$7:$B$306,"&lt;="&amp;DATE($B$3,5,11),'Leave log'!$C$7:$C$306,"&gt;="&amp;DATE($B$3,5,11),'Leave log'!$F$7:$F$306,"Pending")&gt;0,"P",""))))</f>
        <v/>
      </c>
      <c r="M153" s="23" t="str">
        <f>IF(A153="","",IF(IF(OR(DATE($B$3,5,12)&gt;EOMONTH(DATE($B$3,5,1),0),NETWORKDAYS.INTL(DATE($B$3,5,12),DATE($B$3,5,12),1,'Non-working days'!$A$6:$A$45)=0),"",IF(COUNTIFS('Leave log'!$A$7:$A$306,Employees!$A$16,'Leave log'!$B$7:$B$306,"&lt;="&amp;DATE($B$3,5,12),'Leave log'!$C$7:$C$306,"&gt;="&amp;DATE($B$3,5,12),'Leave log'!$F$7:$F$306,"Approved")&gt;0,"A",""))="A","A",IF(OR(DATE($B$3,5,12)&gt;EOMONTH(DATE($B$3,5,1),0),NETWORKDAYS.INTL(DATE($B$3,5,12),DATE($B$3,5,12),1,'Non-working days'!$A$6:$A$45)=0),"",IF(COUNTIFS('Leave log'!$A$7:$A$306,Employees!$A$16,'Leave log'!$B$7:$B$306,"&lt;="&amp;DATE($B$3,5,12),'Leave log'!$C$7:$C$306,"&gt;="&amp;DATE($B$3,5,12),'Leave log'!$F$7:$F$306,"Pending")&gt;0,"P",""))))</f>
        <v/>
      </c>
      <c r="N153" s="23" t="str">
        <f>IF(A153="","",IF(IF(OR(DATE($B$3,5,13)&gt;EOMONTH(DATE($B$3,5,1),0),NETWORKDAYS.INTL(DATE($B$3,5,13),DATE($B$3,5,13),1,'Non-working days'!$A$6:$A$45)=0),"",IF(COUNTIFS('Leave log'!$A$7:$A$306,Employees!$A$16,'Leave log'!$B$7:$B$306,"&lt;="&amp;DATE($B$3,5,13),'Leave log'!$C$7:$C$306,"&gt;="&amp;DATE($B$3,5,13),'Leave log'!$F$7:$F$306,"Approved")&gt;0,"A",""))="A","A",IF(OR(DATE($B$3,5,13)&gt;EOMONTH(DATE($B$3,5,1),0),NETWORKDAYS.INTL(DATE($B$3,5,13),DATE($B$3,5,13),1,'Non-working days'!$A$6:$A$45)=0),"",IF(COUNTIFS('Leave log'!$A$7:$A$306,Employees!$A$16,'Leave log'!$B$7:$B$306,"&lt;="&amp;DATE($B$3,5,13),'Leave log'!$C$7:$C$306,"&gt;="&amp;DATE($B$3,5,13),'Leave log'!$F$7:$F$306,"Pending")&gt;0,"P",""))))</f>
        <v/>
      </c>
      <c r="O153" s="23" t="str">
        <f>IF(A153="","",IF(IF(OR(DATE($B$3,5,14)&gt;EOMONTH(DATE($B$3,5,1),0),NETWORKDAYS.INTL(DATE($B$3,5,14),DATE($B$3,5,14),1,'Non-working days'!$A$6:$A$45)=0),"",IF(COUNTIFS('Leave log'!$A$7:$A$306,Employees!$A$16,'Leave log'!$B$7:$B$306,"&lt;="&amp;DATE($B$3,5,14),'Leave log'!$C$7:$C$306,"&gt;="&amp;DATE($B$3,5,14),'Leave log'!$F$7:$F$306,"Approved")&gt;0,"A",""))="A","A",IF(OR(DATE($B$3,5,14)&gt;EOMONTH(DATE($B$3,5,1),0),NETWORKDAYS.INTL(DATE($B$3,5,14),DATE($B$3,5,14),1,'Non-working days'!$A$6:$A$45)=0),"",IF(COUNTIFS('Leave log'!$A$7:$A$306,Employees!$A$16,'Leave log'!$B$7:$B$306,"&lt;="&amp;DATE($B$3,5,14),'Leave log'!$C$7:$C$306,"&gt;="&amp;DATE($B$3,5,14),'Leave log'!$F$7:$F$306,"Pending")&gt;0,"P",""))))</f>
        <v/>
      </c>
      <c r="P153" s="23" t="str">
        <f>IF(A153="","",IF(IF(OR(DATE($B$3,5,15)&gt;EOMONTH(DATE($B$3,5,1),0),NETWORKDAYS.INTL(DATE($B$3,5,15),DATE($B$3,5,15),1,'Non-working days'!$A$6:$A$45)=0),"",IF(COUNTIFS('Leave log'!$A$7:$A$306,Employees!$A$16,'Leave log'!$B$7:$B$306,"&lt;="&amp;DATE($B$3,5,15),'Leave log'!$C$7:$C$306,"&gt;="&amp;DATE($B$3,5,15),'Leave log'!$F$7:$F$306,"Approved")&gt;0,"A",""))="A","A",IF(OR(DATE($B$3,5,15)&gt;EOMONTH(DATE($B$3,5,1),0),NETWORKDAYS.INTL(DATE($B$3,5,15),DATE($B$3,5,15),1,'Non-working days'!$A$6:$A$45)=0),"",IF(COUNTIFS('Leave log'!$A$7:$A$306,Employees!$A$16,'Leave log'!$B$7:$B$306,"&lt;="&amp;DATE($B$3,5,15),'Leave log'!$C$7:$C$306,"&gt;="&amp;DATE($B$3,5,15),'Leave log'!$F$7:$F$306,"Pending")&gt;0,"P",""))))</f>
        <v/>
      </c>
      <c r="Q153" s="23" t="str">
        <f>IF(A153="","",IF(IF(OR(DATE($B$3,5,16)&gt;EOMONTH(DATE($B$3,5,1),0),NETWORKDAYS.INTL(DATE($B$3,5,16),DATE($B$3,5,16),1,'Non-working days'!$A$6:$A$45)=0),"",IF(COUNTIFS('Leave log'!$A$7:$A$306,Employees!$A$16,'Leave log'!$B$7:$B$306,"&lt;="&amp;DATE($B$3,5,16),'Leave log'!$C$7:$C$306,"&gt;="&amp;DATE($B$3,5,16),'Leave log'!$F$7:$F$306,"Approved")&gt;0,"A",""))="A","A",IF(OR(DATE($B$3,5,16)&gt;EOMONTH(DATE($B$3,5,1),0),NETWORKDAYS.INTL(DATE($B$3,5,16),DATE($B$3,5,16),1,'Non-working days'!$A$6:$A$45)=0),"",IF(COUNTIFS('Leave log'!$A$7:$A$306,Employees!$A$16,'Leave log'!$B$7:$B$306,"&lt;="&amp;DATE($B$3,5,16),'Leave log'!$C$7:$C$306,"&gt;="&amp;DATE($B$3,5,16),'Leave log'!$F$7:$F$306,"Pending")&gt;0,"P",""))))</f>
        <v/>
      </c>
      <c r="R153" s="23" t="str">
        <f>IF(A153="","",IF(IF(OR(DATE($B$3,5,17)&gt;EOMONTH(DATE($B$3,5,1),0),NETWORKDAYS.INTL(DATE($B$3,5,17),DATE($B$3,5,17),1,'Non-working days'!$A$6:$A$45)=0),"",IF(COUNTIFS('Leave log'!$A$7:$A$306,Employees!$A$16,'Leave log'!$B$7:$B$306,"&lt;="&amp;DATE($B$3,5,17),'Leave log'!$C$7:$C$306,"&gt;="&amp;DATE($B$3,5,17),'Leave log'!$F$7:$F$306,"Approved")&gt;0,"A",""))="A","A",IF(OR(DATE($B$3,5,17)&gt;EOMONTH(DATE($B$3,5,1),0),NETWORKDAYS.INTL(DATE($B$3,5,17),DATE($B$3,5,17),1,'Non-working days'!$A$6:$A$45)=0),"",IF(COUNTIFS('Leave log'!$A$7:$A$306,Employees!$A$16,'Leave log'!$B$7:$B$306,"&lt;="&amp;DATE($B$3,5,17),'Leave log'!$C$7:$C$306,"&gt;="&amp;DATE($B$3,5,17),'Leave log'!$F$7:$F$306,"Pending")&gt;0,"P",""))))</f>
        <v/>
      </c>
      <c r="S153" s="23" t="str">
        <f>IF(A153="","",IF(IF(OR(DATE($B$3,5,18)&gt;EOMONTH(DATE($B$3,5,1),0),NETWORKDAYS.INTL(DATE($B$3,5,18),DATE($B$3,5,18),1,'Non-working days'!$A$6:$A$45)=0),"",IF(COUNTIFS('Leave log'!$A$7:$A$306,Employees!$A$16,'Leave log'!$B$7:$B$306,"&lt;="&amp;DATE($B$3,5,18),'Leave log'!$C$7:$C$306,"&gt;="&amp;DATE($B$3,5,18),'Leave log'!$F$7:$F$306,"Approved")&gt;0,"A",""))="A","A",IF(OR(DATE($B$3,5,18)&gt;EOMONTH(DATE($B$3,5,1),0),NETWORKDAYS.INTL(DATE($B$3,5,18),DATE($B$3,5,18),1,'Non-working days'!$A$6:$A$45)=0),"",IF(COUNTIFS('Leave log'!$A$7:$A$306,Employees!$A$16,'Leave log'!$B$7:$B$306,"&lt;="&amp;DATE($B$3,5,18),'Leave log'!$C$7:$C$306,"&gt;="&amp;DATE($B$3,5,18),'Leave log'!$F$7:$F$306,"Pending")&gt;0,"P",""))))</f>
        <v/>
      </c>
      <c r="T153" s="23" t="str">
        <f>IF(A153="","",IF(IF(OR(DATE($B$3,5,19)&gt;EOMONTH(DATE($B$3,5,1),0),NETWORKDAYS.INTL(DATE($B$3,5,19),DATE($B$3,5,19),1,'Non-working days'!$A$6:$A$45)=0),"",IF(COUNTIFS('Leave log'!$A$7:$A$306,Employees!$A$16,'Leave log'!$B$7:$B$306,"&lt;="&amp;DATE($B$3,5,19),'Leave log'!$C$7:$C$306,"&gt;="&amp;DATE($B$3,5,19),'Leave log'!$F$7:$F$306,"Approved")&gt;0,"A",""))="A","A",IF(OR(DATE($B$3,5,19)&gt;EOMONTH(DATE($B$3,5,1),0),NETWORKDAYS.INTL(DATE($B$3,5,19),DATE($B$3,5,19),1,'Non-working days'!$A$6:$A$45)=0),"",IF(COUNTIFS('Leave log'!$A$7:$A$306,Employees!$A$16,'Leave log'!$B$7:$B$306,"&lt;="&amp;DATE($B$3,5,19),'Leave log'!$C$7:$C$306,"&gt;="&amp;DATE($B$3,5,19),'Leave log'!$F$7:$F$306,"Pending")&gt;0,"P",""))))</f>
        <v/>
      </c>
      <c r="U153" s="23" t="str">
        <f>IF(A153="","",IF(IF(OR(DATE($B$3,5,20)&gt;EOMONTH(DATE($B$3,5,1),0),NETWORKDAYS.INTL(DATE($B$3,5,20),DATE($B$3,5,20),1,'Non-working days'!$A$6:$A$45)=0),"",IF(COUNTIFS('Leave log'!$A$7:$A$306,Employees!$A$16,'Leave log'!$B$7:$B$306,"&lt;="&amp;DATE($B$3,5,20),'Leave log'!$C$7:$C$306,"&gt;="&amp;DATE($B$3,5,20),'Leave log'!$F$7:$F$306,"Approved")&gt;0,"A",""))="A","A",IF(OR(DATE($B$3,5,20)&gt;EOMONTH(DATE($B$3,5,1),0),NETWORKDAYS.INTL(DATE($B$3,5,20),DATE($B$3,5,20),1,'Non-working days'!$A$6:$A$45)=0),"",IF(COUNTIFS('Leave log'!$A$7:$A$306,Employees!$A$16,'Leave log'!$B$7:$B$306,"&lt;="&amp;DATE($B$3,5,20),'Leave log'!$C$7:$C$306,"&gt;="&amp;DATE($B$3,5,20),'Leave log'!$F$7:$F$306,"Pending")&gt;0,"P",""))))</f>
        <v/>
      </c>
      <c r="V153" s="23" t="str">
        <f>IF(A153="","",IF(IF(OR(DATE($B$3,5,21)&gt;EOMONTH(DATE($B$3,5,1),0),NETWORKDAYS.INTL(DATE($B$3,5,21),DATE($B$3,5,21),1,'Non-working days'!$A$6:$A$45)=0),"",IF(COUNTIFS('Leave log'!$A$7:$A$306,Employees!$A$16,'Leave log'!$B$7:$B$306,"&lt;="&amp;DATE($B$3,5,21),'Leave log'!$C$7:$C$306,"&gt;="&amp;DATE($B$3,5,21),'Leave log'!$F$7:$F$306,"Approved")&gt;0,"A",""))="A","A",IF(OR(DATE($B$3,5,21)&gt;EOMONTH(DATE($B$3,5,1),0),NETWORKDAYS.INTL(DATE($B$3,5,21),DATE($B$3,5,21),1,'Non-working days'!$A$6:$A$45)=0),"",IF(COUNTIFS('Leave log'!$A$7:$A$306,Employees!$A$16,'Leave log'!$B$7:$B$306,"&lt;="&amp;DATE($B$3,5,21),'Leave log'!$C$7:$C$306,"&gt;="&amp;DATE($B$3,5,21),'Leave log'!$F$7:$F$306,"Pending")&gt;0,"P",""))))</f>
        <v/>
      </c>
      <c r="W153" s="23" t="str">
        <f>IF(A153="","",IF(IF(OR(DATE($B$3,5,22)&gt;EOMONTH(DATE($B$3,5,1),0),NETWORKDAYS.INTL(DATE($B$3,5,22),DATE($B$3,5,22),1,'Non-working days'!$A$6:$A$45)=0),"",IF(COUNTIFS('Leave log'!$A$7:$A$306,Employees!$A$16,'Leave log'!$B$7:$B$306,"&lt;="&amp;DATE($B$3,5,22),'Leave log'!$C$7:$C$306,"&gt;="&amp;DATE($B$3,5,22),'Leave log'!$F$7:$F$306,"Approved")&gt;0,"A",""))="A","A",IF(OR(DATE($B$3,5,22)&gt;EOMONTH(DATE($B$3,5,1),0),NETWORKDAYS.INTL(DATE($B$3,5,22),DATE($B$3,5,22),1,'Non-working days'!$A$6:$A$45)=0),"",IF(COUNTIFS('Leave log'!$A$7:$A$306,Employees!$A$16,'Leave log'!$B$7:$B$306,"&lt;="&amp;DATE($B$3,5,22),'Leave log'!$C$7:$C$306,"&gt;="&amp;DATE($B$3,5,22),'Leave log'!$F$7:$F$306,"Pending")&gt;0,"P",""))))</f>
        <v/>
      </c>
      <c r="X153" s="23" t="str">
        <f>IF(A153="","",IF(IF(OR(DATE($B$3,5,23)&gt;EOMONTH(DATE($B$3,5,1),0),NETWORKDAYS.INTL(DATE($B$3,5,23),DATE($B$3,5,23),1,'Non-working days'!$A$6:$A$45)=0),"",IF(COUNTIFS('Leave log'!$A$7:$A$306,Employees!$A$16,'Leave log'!$B$7:$B$306,"&lt;="&amp;DATE($B$3,5,23),'Leave log'!$C$7:$C$306,"&gt;="&amp;DATE($B$3,5,23),'Leave log'!$F$7:$F$306,"Approved")&gt;0,"A",""))="A","A",IF(OR(DATE($B$3,5,23)&gt;EOMONTH(DATE($B$3,5,1),0),NETWORKDAYS.INTL(DATE($B$3,5,23),DATE($B$3,5,23),1,'Non-working days'!$A$6:$A$45)=0),"",IF(COUNTIFS('Leave log'!$A$7:$A$306,Employees!$A$16,'Leave log'!$B$7:$B$306,"&lt;="&amp;DATE($B$3,5,23),'Leave log'!$C$7:$C$306,"&gt;="&amp;DATE($B$3,5,23),'Leave log'!$F$7:$F$306,"Pending")&gt;0,"P",""))))</f>
        <v/>
      </c>
      <c r="Y153" s="23" t="str">
        <f>IF(A153="","",IF(IF(OR(DATE($B$3,5,24)&gt;EOMONTH(DATE($B$3,5,1),0),NETWORKDAYS.INTL(DATE($B$3,5,24),DATE($B$3,5,24),1,'Non-working days'!$A$6:$A$45)=0),"",IF(COUNTIFS('Leave log'!$A$7:$A$306,Employees!$A$16,'Leave log'!$B$7:$B$306,"&lt;="&amp;DATE($B$3,5,24),'Leave log'!$C$7:$C$306,"&gt;="&amp;DATE($B$3,5,24),'Leave log'!$F$7:$F$306,"Approved")&gt;0,"A",""))="A","A",IF(OR(DATE($B$3,5,24)&gt;EOMONTH(DATE($B$3,5,1),0),NETWORKDAYS.INTL(DATE($B$3,5,24),DATE($B$3,5,24),1,'Non-working days'!$A$6:$A$45)=0),"",IF(COUNTIFS('Leave log'!$A$7:$A$306,Employees!$A$16,'Leave log'!$B$7:$B$306,"&lt;="&amp;DATE($B$3,5,24),'Leave log'!$C$7:$C$306,"&gt;="&amp;DATE($B$3,5,24),'Leave log'!$F$7:$F$306,"Pending")&gt;0,"P",""))))</f>
        <v/>
      </c>
      <c r="Z153" s="23" t="str">
        <f>IF(A153="","",IF(IF(OR(DATE($B$3,5,25)&gt;EOMONTH(DATE($B$3,5,1),0),NETWORKDAYS.INTL(DATE($B$3,5,25),DATE($B$3,5,25),1,'Non-working days'!$A$6:$A$45)=0),"",IF(COUNTIFS('Leave log'!$A$7:$A$306,Employees!$A$16,'Leave log'!$B$7:$B$306,"&lt;="&amp;DATE($B$3,5,25),'Leave log'!$C$7:$C$306,"&gt;="&amp;DATE($B$3,5,25),'Leave log'!$F$7:$F$306,"Approved")&gt;0,"A",""))="A","A",IF(OR(DATE($B$3,5,25)&gt;EOMONTH(DATE($B$3,5,1),0),NETWORKDAYS.INTL(DATE($B$3,5,25),DATE($B$3,5,25),1,'Non-working days'!$A$6:$A$45)=0),"",IF(COUNTIFS('Leave log'!$A$7:$A$306,Employees!$A$16,'Leave log'!$B$7:$B$306,"&lt;="&amp;DATE($B$3,5,25),'Leave log'!$C$7:$C$306,"&gt;="&amp;DATE($B$3,5,25),'Leave log'!$F$7:$F$306,"Pending")&gt;0,"P",""))))</f>
        <v/>
      </c>
      <c r="AA153" s="23" t="str">
        <f>IF(A153="","",IF(IF(OR(DATE($B$3,5,26)&gt;EOMONTH(DATE($B$3,5,1),0),NETWORKDAYS.INTL(DATE($B$3,5,26),DATE($B$3,5,26),1,'Non-working days'!$A$6:$A$45)=0),"",IF(COUNTIFS('Leave log'!$A$7:$A$306,Employees!$A$16,'Leave log'!$B$7:$B$306,"&lt;="&amp;DATE($B$3,5,26),'Leave log'!$C$7:$C$306,"&gt;="&amp;DATE($B$3,5,26),'Leave log'!$F$7:$F$306,"Approved")&gt;0,"A",""))="A","A",IF(OR(DATE($B$3,5,26)&gt;EOMONTH(DATE($B$3,5,1),0),NETWORKDAYS.INTL(DATE($B$3,5,26),DATE($B$3,5,26),1,'Non-working days'!$A$6:$A$45)=0),"",IF(COUNTIFS('Leave log'!$A$7:$A$306,Employees!$A$16,'Leave log'!$B$7:$B$306,"&lt;="&amp;DATE($B$3,5,26),'Leave log'!$C$7:$C$306,"&gt;="&amp;DATE($B$3,5,26),'Leave log'!$F$7:$F$306,"Pending")&gt;0,"P",""))))</f>
        <v/>
      </c>
      <c r="AB153" s="23" t="str">
        <f>IF(A153="","",IF(IF(OR(DATE($B$3,5,27)&gt;EOMONTH(DATE($B$3,5,1),0),NETWORKDAYS.INTL(DATE($B$3,5,27),DATE($B$3,5,27),1,'Non-working days'!$A$6:$A$45)=0),"",IF(COUNTIFS('Leave log'!$A$7:$A$306,Employees!$A$16,'Leave log'!$B$7:$B$306,"&lt;="&amp;DATE($B$3,5,27),'Leave log'!$C$7:$C$306,"&gt;="&amp;DATE($B$3,5,27),'Leave log'!$F$7:$F$306,"Approved")&gt;0,"A",""))="A","A",IF(OR(DATE($B$3,5,27)&gt;EOMONTH(DATE($B$3,5,1),0),NETWORKDAYS.INTL(DATE($B$3,5,27),DATE($B$3,5,27),1,'Non-working days'!$A$6:$A$45)=0),"",IF(COUNTIFS('Leave log'!$A$7:$A$306,Employees!$A$16,'Leave log'!$B$7:$B$306,"&lt;="&amp;DATE($B$3,5,27),'Leave log'!$C$7:$C$306,"&gt;="&amp;DATE($B$3,5,27),'Leave log'!$F$7:$F$306,"Pending")&gt;0,"P",""))))</f>
        <v/>
      </c>
      <c r="AC153" s="23" t="str">
        <f>IF(A153="","",IF(IF(OR(DATE($B$3,5,28)&gt;EOMONTH(DATE($B$3,5,1),0),NETWORKDAYS.INTL(DATE($B$3,5,28),DATE($B$3,5,28),1,'Non-working days'!$A$6:$A$45)=0),"",IF(COUNTIFS('Leave log'!$A$7:$A$306,Employees!$A$16,'Leave log'!$B$7:$B$306,"&lt;="&amp;DATE($B$3,5,28),'Leave log'!$C$7:$C$306,"&gt;="&amp;DATE($B$3,5,28),'Leave log'!$F$7:$F$306,"Approved")&gt;0,"A",""))="A","A",IF(OR(DATE($B$3,5,28)&gt;EOMONTH(DATE($B$3,5,1),0),NETWORKDAYS.INTL(DATE($B$3,5,28),DATE($B$3,5,28),1,'Non-working days'!$A$6:$A$45)=0),"",IF(COUNTIFS('Leave log'!$A$7:$A$306,Employees!$A$16,'Leave log'!$B$7:$B$306,"&lt;="&amp;DATE($B$3,5,28),'Leave log'!$C$7:$C$306,"&gt;="&amp;DATE($B$3,5,28),'Leave log'!$F$7:$F$306,"Pending")&gt;0,"P",""))))</f>
        <v/>
      </c>
      <c r="AD153" s="23" t="str">
        <f>IF(A153="","",IF(IF(OR(DATE($B$3,5,29)&gt;EOMONTH(DATE($B$3,5,1),0),NETWORKDAYS.INTL(DATE($B$3,5,29),DATE($B$3,5,29),1,'Non-working days'!$A$6:$A$45)=0),"",IF(COUNTIFS('Leave log'!$A$7:$A$306,Employees!$A$16,'Leave log'!$B$7:$B$306,"&lt;="&amp;DATE($B$3,5,29),'Leave log'!$C$7:$C$306,"&gt;="&amp;DATE($B$3,5,29),'Leave log'!$F$7:$F$306,"Approved")&gt;0,"A",""))="A","A",IF(OR(DATE($B$3,5,29)&gt;EOMONTH(DATE($B$3,5,1),0),NETWORKDAYS.INTL(DATE($B$3,5,29),DATE($B$3,5,29),1,'Non-working days'!$A$6:$A$45)=0),"",IF(COUNTIFS('Leave log'!$A$7:$A$306,Employees!$A$16,'Leave log'!$B$7:$B$306,"&lt;="&amp;DATE($B$3,5,29),'Leave log'!$C$7:$C$306,"&gt;="&amp;DATE($B$3,5,29),'Leave log'!$F$7:$F$306,"Pending")&gt;0,"P",""))))</f>
        <v/>
      </c>
      <c r="AE153" s="23" t="str">
        <f>IF(A153="","",IF(IF(OR(DATE($B$3,5,30)&gt;EOMONTH(DATE($B$3,5,1),0),NETWORKDAYS.INTL(DATE($B$3,5,30),DATE($B$3,5,30),1,'Non-working days'!$A$6:$A$45)=0),"",IF(COUNTIFS('Leave log'!$A$7:$A$306,Employees!$A$16,'Leave log'!$B$7:$B$306,"&lt;="&amp;DATE($B$3,5,30),'Leave log'!$C$7:$C$306,"&gt;="&amp;DATE($B$3,5,30),'Leave log'!$F$7:$F$306,"Approved")&gt;0,"A",""))="A","A",IF(OR(DATE($B$3,5,30)&gt;EOMONTH(DATE($B$3,5,1),0),NETWORKDAYS.INTL(DATE($B$3,5,30),DATE($B$3,5,30),1,'Non-working days'!$A$6:$A$45)=0),"",IF(COUNTIFS('Leave log'!$A$7:$A$306,Employees!$A$16,'Leave log'!$B$7:$B$306,"&lt;="&amp;DATE($B$3,5,30),'Leave log'!$C$7:$C$306,"&gt;="&amp;DATE($B$3,5,30),'Leave log'!$F$7:$F$306,"Pending")&gt;0,"P",""))))</f>
        <v/>
      </c>
      <c r="AF153" s="23" t="str">
        <f>IF(A153="","",IF(IF(OR(DATE($B$3,5,31)&gt;EOMONTH(DATE($B$3,5,1),0),NETWORKDAYS.INTL(DATE($B$3,5,31),DATE($B$3,5,31),1,'Non-working days'!$A$6:$A$45)=0),"",IF(COUNTIFS('Leave log'!$A$7:$A$306,Employees!$A$16,'Leave log'!$B$7:$B$306,"&lt;="&amp;DATE($B$3,5,31),'Leave log'!$C$7:$C$306,"&gt;="&amp;DATE($B$3,5,31),'Leave log'!$F$7:$F$306,"Approved")&gt;0,"A",""))="A","A",IF(OR(DATE($B$3,5,31)&gt;EOMONTH(DATE($B$3,5,1),0),NETWORKDAYS.INTL(DATE($B$3,5,31),DATE($B$3,5,31),1,'Non-working days'!$A$6:$A$45)=0),"",IF(COUNTIFS('Leave log'!$A$7:$A$306,Employees!$A$16,'Leave log'!$B$7:$B$306,"&lt;="&amp;DATE($B$3,5,31),'Leave log'!$C$7:$C$306,"&gt;="&amp;DATE($B$3,5,31),'Leave log'!$F$7:$F$306,"Pending")&gt;0,"P",""))))</f>
        <v/>
      </c>
    </row>
    <row r="154" spans="1:32" ht="18" customHeight="1" x14ac:dyDescent="0.3">
      <c r="A154" s="22" t="str">
        <f>IF(Employees!F17="Yes",Employees!B17,"")</f>
        <v/>
      </c>
      <c r="B154" s="23" t="str">
        <f>IF(A154="","",IF(IF(OR(DATE($B$3,5,1)&gt;EOMONTH(DATE($B$3,5,1),0),NETWORKDAYS.INTL(DATE($B$3,5,1),DATE($B$3,5,1),1,'Non-working days'!$A$6:$A$45)=0),"",IF(COUNTIFS('Leave log'!$A$7:$A$306,Employees!$A$17,'Leave log'!$B$7:$B$306,"&lt;="&amp;DATE($B$3,5,1),'Leave log'!$C$7:$C$306,"&gt;="&amp;DATE($B$3,5,1),'Leave log'!$F$7:$F$306,"Approved")&gt;0,"A",""))="A","A",IF(OR(DATE($B$3,5,1)&gt;EOMONTH(DATE($B$3,5,1),0),NETWORKDAYS.INTL(DATE($B$3,5,1),DATE($B$3,5,1),1,'Non-working days'!$A$6:$A$45)=0),"",IF(COUNTIFS('Leave log'!$A$7:$A$306,Employees!$A$17,'Leave log'!$B$7:$B$306,"&lt;="&amp;DATE($B$3,5,1),'Leave log'!$C$7:$C$306,"&gt;="&amp;DATE($B$3,5,1),'Leave log'!$F$7:$F$306,"Pending")&gt;0,"P",""))))</f>
        <v/>
      </c>
      <c r="C154" s="23" t="str">
        <f>IF(A154="","",IF(IF(OR(DATE($B$3,5,2)&gt;EOMONTH(DATE($B$3,5,1),0),NETWORKDAYS.INTL(DATE($B$3,5,2),DATE($B$3,5,2),1,'Non-working days'!$A$6:$A$45)=0),"",IF(COUNTIFS('Leave log'!$A$7:$A$306,Employees!$A$17,'Leave log'!$B$7:$B$306,"&lt;="&amp;DATE($B$3,5,2),'Leave log'!$C$7:$C$306,"&gt;="&amp;DATE($B$3,5,2),'Leave log'!$F$7:$F$306,"Approved")&gt;0,"A",""))="A","A",IF(OR(DATE($B$3,5,2)&gt;EOMONTH(DATE($B$3,5,1),0),NETWORKDAYS.INTL(DATE($B$3,5,2),DATE($B$3,5,2),1,'Non-working days'!$A$6:$A$45)=0),"",IF(COUNTIFS('Leave log'!$A$7:$A$306,Employees!$A$17,'Leave log'!$B$7:$B$306,"&lt;="&amp;DATE($B$3,5,2),'Leave log'!$C$7:$C$306,"&gt;="&amp;DATE($B$3,5,2),'Leave log'!$F$7:$F$306,"Pending")&gt;0,"P",""))))</f>
        <v/>
      </c>
      <c r="D154" s="23" t="str">
        <f>IF(A154="","",IF(IF(OR(DATE($B$3,5,3)&gt;EOMONTH(DATE($B$3,5,1),0),NETWORKDAYS.INTL(DATE($B$3,5,3),DATE($B$3,5,3),1,'Non-working days'!$A$6:$A$45)=0),"",IF(COUNTIFS('Leave log'!$A$7:$A$306,Employees!$A$17,'Leave log'!$B$7:$B$306,"&lt;="&amp;DATE($B$3,5,3),'Leave log'!$C$7:$C$306,"&gt;="&amp;DATE($B$3,5,3),'Leave log'!$F$7:$F$306,"Approved")&gt;0,"A",""))="A","A",IF(OR(DATE($B$3,5,3)&gt;EOMONTH(DATE($B$3,5,1),0),NETWORKDAYS.INTL(DATE($B$3,5,3),DATE($B$3,5,3),1,'Non-working days'!$A$6:$A$45)=0),"",IF(COUNTIFS('Leave log'!$A$7:$A$306,Employees!$A$17,'Leave log'!$B$7:$B$306,"&lt;="&amp;DATE($B$3,5,3),'Leave log'!$C$7:$C$306,"&gt;="&amp;DATE($B$3,5,3),'Leave log'!$F$7:$F$306,"Pending")&gt;0,"P",""))))</f>
        <v/>
      </c>
      <c r="E154" s="23" t="str">
        <f>IF(A154="","",IF(IF(OR(DATE($B$3,5,4)&gt;EOMONTH(DATE($B$3,5,1),0),NETWORKDAYS.INTL(DATE($B$3,5,4),DATE($B$3,5,4),1,'Non-working days'!$A$6:$A$45)=0),"",IF(COUNTIFS('Leave log'!$A$7:$A$306,Employees!$A$17,'Leave log'!$B$7:$B$306,"&lt;="&amp;DATE($B$3,5,4),'Leave log'!$C$7:$C$306,"&gt;="&amp;DATE($B$3,5,4),'Leave log'!$F$7:$F$306,"Approved")&gt;0,"A",""))="A","A",IF(OR(DATE($B$3,5,4)&gt;EOMONTH(DATE($B$3,5,1),0),NETWORKDAYS.INTL(DATE($B$3,5,4),DATE($B$3,5,4),1,'Non-working days'!$A$6:$A$45)=0),"",IF(COUNTIFS('Leave log'!$A$7:$A$306,Employees!$A$17,'Leave log'!$B$7:$B$306,"&lt;="&amp;DATE($B$3,5,4),'Leave log'!$C$7:$C$306,"&gt;="&amp;DATE($B$3,5,4),'Leave log'!$F$7:$F$306,"Pending")&gt;0,"P",""))))</f>
        <v/>
      </c>
      <c r="F154" s="23" t="str">
        <f>IF(A154="","",IF(IF(OR(DATE($B$3,5,5)&gt;EOMONTH(DATE($B$3,5,1),0),NETWORKDAYS.INTL(DATE($B$3,5,5),DATE($B$3,5,5),1,'Non-working days'!$A$6:$A$45)=0),"",IF(COUNTIFS('Leave log'!$A$7:$A$306,Employees!$A$17,'Leave log'!$B$7:$B$306,"&lt;="&amp;DATE($B$3,5,5),'Leave log'!$C$7:$C$306,"&gt;="&amp;DATE($B$3,5,5),'Leave log'!$F$7:$F$306,"Approved")&gt;0,"A",""))="A","A",IF(OR(DATE($B$3,5,5)&gt;EOMONTH(DATE($B$3,5,1),0),NETWORKDAYS.INTL(DATE($B$3,5,5),DATE($B$3,5,5),1,'Non-working days'!$A$6:$A$45)=0),"",IF(COUNTIFS('Leave log'!$A$7:$A$306,Employees!$A$17,'Leave log'!$B$7:$B$306,"&lt;="&amp;DATE($B$3,5,5),'Leave log'!$C$7:$C$306,"&gt;="&amp;DATE($B$3,5,5),'Leave log'!$F$7:$F$306,"Pending")&gt;0,"P",""))))</f>
        <v/>
      </c>
      <c r="G154" s="23" t="str">
        <f>IF(A154="","",IF(IF(OR(DATE($B$3,5,6)&gt;EOMONTH(DATE($B$3,5,1),0),NETWORKDAYS.INTL(DATE($B$3,5,6),DATE($B$3,5,6),1,'Non-working days'!$A$6:$A$45)=0),"",IF(COUNTIFS('Leave log'!$A$7:$A$306,Employees!$A$17,'Leave log'!$B$7:$B$306,"&lt;="&amp;DATE($B$3,5,6),'Leave log'!$C$7:$C$306,"&gt;="&amp;DATE($B$3,5,6),'Leave log'!$F$7:$F$306,"Approved")&gt;0,"A",""))="A","A",IF(OR(DATE($B$3,5,6)&gt;EOMONTH(DATE($B$3,5,1),0),NETWORKDAYS.INTL(DATE($B$3,5,6),DATE($B$3,5,6),1,'Non-working days'!$A$6:$A$45)=0),"",IF(COUNTIFS('Leave log'!$A$7:$A$306,Employees!$A$17,'Leave log'!$B$7:$B$306,"&lt;="&amp;DATE($B$3,5,6),'Leave log'!$C$7:$C$306,"&gt;="&amp;DATE($B$3,5,6),'Leave log'!$F$7:$F$306,"Pending")&gt;0,"P",""))))</f>
        <v/>
      </c>
      <c r="H154" s="23" t="str">
        <f>IF(A154="","",IF(IF(OR(DATE($B$3,5,7)&gt;EOMONTH(DATE($B$3,5,1),0),NETWORKDAYS.INTL(DATE($B$3,5,7),DATE($B$3,5,7),1,'Non-working days'!$A$6:$A$45)=0),"",IF(COUNTIFS('Leave log'!$A$7:$A$306,Employees!$A$17,'Leave log'!$B$7:$B$306,"&lt;="&amp;DATE($B$3,5,7),'Leave log'!$C$7:$C$306,"&gt;="&amp;DATE($B$3,5,7),'Leave log'!$F$7:$F$306,"Approved")&gt;0,"A",""))="A","A",IF(OR(DATE($B$3,5,7)&gt;EOMONTH(DATE($B$3,5,1),0),NETWORKDAYS.INTL(DATE($B$3,5,7),DATE($B$3,5,7),1,'Non-working days'!$A$6:$A$45)=0),"",IF(COUNTIFS('Leave log'!$A$7:$A$306,Employees!$A$17,'Leave log'!$B$7:$B$306,"&lt;="&amp;DATE($B$3,5,7),'Leave log'!$C$7:$C$306,"&gt;="&amp;DATE($B$3,5,7),'Leave log'!$F$7:$F$306,"Pending")&gt;0,"P",""))))</f>
        <v/>
      </c>
      <c r="I154" s="23" t="str">
        <f>IF(A154="","",IF(IF(OR(DATE($B$3,5,8)&gt;EOMONTH(DATE($B$3,5,1),0),NETWORKDAYS.INTL(DATE($B$3,5,8),DATE($B$3,5,8),1,'Non-working days'!$A$6:$A$45)=0),"",IF(COUNTIFS('Leave log'!$A$7:$A$306,Employees!$A$17,'Leave log'!$B$7:$B$306,"&lt;="&amp;DATE($B$3,5,8),'Leave log'!$C$7:$C$306,"&gt;="&amp;DATE($B$3,5,8),'Leave log'!$F$7:$F$306,"Approved")&gt;0,"A",""))="A","A",IF(OR(DATE($B$3,5,8)&gt;EOMONTH(DATE($B$3,5,1),0),NETWORKDAYS.INTL(DATE($B$3,5,8),DATE($B$3,5,8),1,'Non-working days'!$A$6:$A$45)=0),"",IF(COUNTIFS('Leave log'!$A$7:$A$306,Employees!$A$17,'Leave log'!$B$7:$B$306,"&lt;="&amp;DATE($B$3,5,8),'Leave log'!$C$7:$C$306,"&gt;="&amp;DATE($B$3,5,8),'Leave log'!$F$7:$F$306,"Pending")&gt;0,"P",""))))</f>
        <v/>
      </c>
      <c r="J154" s="23" t="str">
        <f>IF(A154="","",IF(IF(OR(DATE($B$3,5,9)&gt;EOMONTH(DATE($B$3,5,1),0),NETWORKDAYS.INTL(DATE($B$3,5,9),DATE($B$3,5,9),1,'Non-working days'!$A$6:$A$45)=0),"",IF(COUNTIFS('Leave log'!$A$7:$A$306,Employees!$A$17,'Leave log'!$B$7:$B$306,"&lt;="&amp;DATE($B$3,5,9),'Leave log'!$C$7:$C$306,"&gt;="&amp;DATE($B$3,5,9),'Leave log'!$F$7:$F$306,"Approved")&gt;0,"A",""))="A","A",IF(OR(DATE($B$3,5,9)&gt;EOMONTH(DATE($B$3,5,1),0),NETWORKDAYS.INTL(DATE($B$3,5,9),DATE($B$3,5,9),1,'Non-working days'!$A$6:$A$45)=0),"",IF(COUNTIFS('Leave log'!$A$7:$A$306,Employees!$A$17,'Leave log'!$B$7:$B$306,"&lt;="&amp;DATE($B$3,5,9),'Leave log'!$C$7:$C$306,"&gt;="&amp;DATE($B$3,5,9),'Leave log'!$F$7:$F$306,"Pending")&gt;0,"P",""))))</f>
        <v/>
      </c>
      <c r="K154" s="23" t="str">
        <f>IF(A154="","",IF(IF(OR(DATE($B$3,5,10)&gt;EOMONTH(DATE($B$3,5,1),0),NETWORKDAYS.INTL(DATE($B$3,5,10),DATE($B$3,5,10),1,'Non-working days'!$A$6:$A$45)=0),"",IF(COUNTIFS('Leave log'!$A$7:$A$306,Employees!$A$17,'Leave log'!$B$7:$B$306,"&lt;="&amp;DATE($B$3,5,10),'Leave log'!$C$7:$C$306,"&gt;="&amp;DATE($B$3,5,10),'Leave log'!$F$7:$F$306,"Approved")&gt;0,"A",""))="A","A",IF(OR(DATE($B$3,5,10)&gt;EOMONTH(DATE($B$3,5,1),0),NETWORKDAYS.INTL(DATE($B$3,5,10),DATE($B$3,5,10),1,'Non-working days'!$A$6:$A$45)=0),"",IF(COUNTIFS('Leave log'!$A$7:$A$306,Employees!$A$17,'Leave log'!$B$7:$B$306,"&lt;="&amp;DATE($B$3,5,10),'Leave log'!$C$7:$C$306,"&gt;="&amp;DATE($B$3,5,10),'Leave log'!$F$7:$F$306,"Pending")&gt;0,"P",""))))</f>
        <v/>
      </c>
      <c r="L154" s="23" t="str">
        <f>IF(A154="","",IF(IF(OR(DATE($B$3,5,11)&gt;EOMONTH(DATE($B$3,5,1),0),NETWORKDAYS.INTL(DATE($B$3,5,11),DATE($B$3,5,11),1,'Non-working days'!$A$6:$A$45)=0),"",IF(COUNTIFS('Leave log'!$A$7:$A$306,Employees!$A$17,'Leave log'!$B$7:$B$306,"&lt;="&amp;DATE($B$3,5,11),'Leave log'!$C$7:$C$306,"&gt;="&amp;DATE($B$3,5,11),'Leave log'!$F$7:$F$306,"Approved")&gt;0,"A",""))="A","A",IF(OR(DATE($B$3,5,11)&gt;EOMONTH(DATE($B$3,5,1),0),NETWORKDAYS.INTL(DATE($B$3,5,11),DATE($B$3,5,11),1,'Non-working days'!$A$6:$A$45)=0),"",IF(COUNTIFS('Leave log'!$A$7:$A$306,Employees!$A$17,'Leave log'!$B$7:$B$306,"&lt;="&amp;DATE($B$3,5,11),'Leave log'!$C$7:$C$306,"&gt;="&amp;DATE($B$3,5,11),'Leave log'!$F$7:$F$306,"Pending")&gt;0,"P",""))))</f>
        <v/>
      </c>
      <c r="M154" s="23" t="str">
        <f>IF(A154="","",IF(IF(OR(DATE($B$3,5,12)&gt;EOMONTH(DATE($B$3,5,1),0),NETWORKDAYS.INTL(DATE($B$3,5,12),DATE($B$3,5,12),1,'Non-working days'!$A$6:$A$45)=0),"",IF(COUNTIFS('Leave log'!$A$7:$A$306,Employees!$A$17,'Leave log'!$B$7:$B$306,"&lt;="&amp;DATE($B$3,5,12),'Leave log'!$C$7:$C$306,"&gt;="&amp;DATE($B$3,5,12),'Leave log'!$F$7:$F$306,"Approved")&gt;0,"A",""))="A","A",IF(OR(DATE($B$3,5,12)&gt;EOMONTH(DATE($B$3,5,1),0),NETWORKDAYS.INTL(DATE($B$3,5,12),DATE($B$3,5,12),1,'Non-working days'!$A$6:$A$45)=0),"",IF(COUNTIFS('Leave log'!$A$7:$A$306,Employees!$A$17,'Leave log'!$B$7:$B$306,"&lt;="&amp;DATE($B$3,5,12),'Leave log'!$C$7:$C$306,"&gt;="&amp;DATE($B$3,5,12),'Leave log'!$F$7:$F$306,"Pending")&gt;0,"P",""))))</f>
        <v/>
      </c>
      <c r="N154" s="23" t="str">
        <f>IF(A154="","",IF(IF(OR(DATE($B$3,5,13)&gt;EOMONTH(DATE($B$3,5,1),0),NETWORKDAYS.INTL(DATE($B$3,5,13),DATE($B$3,5,13),1,'Non-working days'!$A$6:$A$45)=0),"",IF(COUNTIFS('Leave log'!$A$7:$A$306,Employees!$A$17,'Leave log'!$B$7:$B$306,"&lt;="&amp;DATE($B$3,5,13),'Leave log'!$C$7:$C$306,"&gt;="&amp;DATE($B$3,5,13),'Leave log'!$F$7:$F$306,"Approved")&gt;0,"A",""))="A","A",IF(OR(DATE($B$3,5,13)&gt;EOMONTH(DATE($B$3,5,1),0),NETWORKDAYS.INTL(DATE($B$3,5,13),DATE($B$3,5,13),1,'Non-working days'!$A$6:$A$45)=0),"",IF(COUNTIFS('Leave log'!$A$7:$A$306,Employees!$A$17,'Leave log'!$B$7:$B$306,"&lt;="&amp;DATE($B$3,5,13),'Leave log'!$C$7:$C$306,"&gt;="&amp;DATE($B$3,5,13),'Leave log'!$F$7:$F$306,"Pending")&gt;0,"P",""))))</f>
        <v/>
      </c>
      <c r="O154" s="23" t="str">
        <f>IF(A154="","",IF(IF(OR(DATE($B$3,5,14)&gt;EOMONTH(DATE($B$3,5,1),0),NETWORKDAYS.INTL(DATE($B$3,5,14),DATE($B$3,5,14),1,'Non-working days'!$A$6:$A$45)=0),"",IF(COUNTIFS('Leave log'!$A$7:$A$306,Employees!$A$17,'Leave log'!$B$7:$B$306,"&lt;="&amp;DATE($B$3,5,14),'Leave log'!$C$7:$C$306,"&gt;="&amp;DATE($B$3,5,14),'Leave log'!$F$7:$F$306,"Approved")&gt;0,"A",""))="A","A",IF(OR(DATE($B$3,5,14)&gt;EOMONTH(DATE($B$3,5,1),0),NETWORKDAYS.INTL(DATE($B$3,5,14),DATE($B$3,5,14),1,'Non-working days'!$A$6:$A$45)=0),"",IF(COUNTIFS('Leave log'!$A$7:$A$306,Employees!$A$17,'Leave log'!$B$7:$B$306,"&lt;="&amp;DATE($B$3,5,14),'Leave log'!$C$7:$C$306,"&gt;="&amp;DATE($B$3,5,14),'Leave log'!$F$7:$F$306,"Pending")&gt;0,"P",""))))</f>
        <v/>
      </c>
      <c r="P154" s="23" t="str">
        <f>IF(A154="","",IF(IF(OR(DATE($B$3,5,15)&gt;EOMONTH(DATE($B$3,5,1),0),NETWORKDAYS.INTL(DATE($B$3,5,15),DATE($B$3,5,15),1,'Non-working days'!$A$6:$A$45)=0),"",IF(COUNTIFS('Leave log'!$A$7:$A$306,Employees!$A$17,'Leave log'!$B$7:$B$306,"&lt;="&amp;DATE($B$3,5,15),'Leave log'!$C$7:$C$306,"&gt;="&amp;DATE($B$3,5,15),'Leave log'!$F$7:$F$306,"Approved")&gt;0,"A",""))="A","A",IF(OR(DATE($B$3,5,15)&gt;EOMONTH(DATE($B$3,5,1),0),NETWORKDAYS.INTL(DATE($B$3,5,15),DATE($B$3,5,15),1,'Non-working days'!$A$6:$A$45)=0),"",IF(COUNTIFS('Leave log'!$A$7:$A$306,Employees!$A$17,'Leave log'!$B$7:$B$306,"&lt;="&amp;DATE($B$3,5,15),'Leave log'!$C$7:$C$306,"&gt;="&amp;DATE($B$3,5,15),'Leave log'!$F$7:$F$306,"Pending")&gt;0,"P",""))))</f>
        <v/>
      </c>
      <c r="Q154" s="23" t="str">
        <f>IF(A154="","",IF(IF(OR(DATE($B$3,5,16)&gt;EOMONTH(DATE($B$3,5,1),0),NETWORKDAYS.INTL(DATE($B$3,5,16),DATE($B$3,5,16),1,'Non-working days'!$A$6:$A$45)=0),"",IF(COUNTIFS('Leave log'!$A$7:$A$306,Employees!$A$17,'Leave log'!$B$7:$B$306,"&lt;="&amp;DATE($B$3,5,16),'Leave log'!$C$7:$C$306,"&gt;="&amp;DATE($B$3,5,16),'Leave log'!$F$7:$F$306,"Approved")&gt;0,"A",""))="A","A",IF(OR(DATE($B$3,5,16)&gt;EOMONTH(DATE($B$3,5,1),0),NETWORKDAYS.INTL(DATE($B$3,5,16),DATE($B$3,5,16),1,'Non-working days'!$A$6:$A$45)=0),"",IF(COUNTIFS('Leave log'!$A$7:$A$306,Employees!$A$17,'Leave log'!$B$7:$B$306,"&lt;="&amp;DATE($B$3,5,16),'Leave log'!$C$7:$C$306,"&gt;="&amp;DATE($B$3,5,16),'Leave log'!$F$7:$F$306,"Pending")&gt;0,"P",""))))</f>
        <v/>
      </c>
      <c r="R154" s="23" t="str">
        <f>IF(A154="","",IF(IF(OR(DATE($B$3,5,17)&gt;EOMONTH(DATE($B$3,5,1),0),NETWORKDAYS.INTL(DATE($B$3,5,17),DATE($B$3,5,17),1,'Non-working days'!$A$6:$A$45)=0),"",IF(COUNTIFS('Leave log'!$A$7:$A$306,Employees!$A$17,'Leave log'!$B$7:$B$306,"&lt;="&amp;DATE($B$3,5,17),'Leave log'!$C$7:$C$306,"&gt;="&amp;DATE($B$3,5,17),'Leave log'!$F$7:$F$306,"Approved")&gt;0,"A",""))="A","A",IF(OR(DATE($B$3,5,17)&gt;EOMONTH(DATE($B$3,5,1),0),NETWORKDAYS.INTL(DATE($B$3,5,17),DATE($B$3,5,17),1,'Non-working days'!$A$6:$A$45)=0),"",IF(COUNTIFS('Leave log'!$A$7:$A$306,Employees!$A$17,'Leave log'!$B$7:$B$306,"&lt;="&amp;DATE($B$3,5,17),'Leave log'!$C$7:$C$306,"&gt;="&amp;DATE($B$3,5,17),'Leave log'!$F$7:$F$306,"Pending")&gt;0,"P",""))))</f>
        <v/>
      </c>
      <c r="S154" s="23" t="str">
        <f>IF(A154="","",IF(IF(OR(DATE($B$3,5,18)&gt;EOMONTH(DATE($B$3,5,1),0),NETWORKDAYS.INTL(DATE($B$3,5,18),DATE($B$3,5,18),1,'Non-working days'!$A$6:$A$45)=0),"",IF(COUNTIFS('Leave log'!$A$7:$A$306,Employees!$A$17,'Leave log'!$B$7:$B$306,"&lt;="&amp;DATE($B$3,5,18),'Leave log'!$C$7:$C$306,"&gt;="&amp;DATE($B$3,5,18),'Leave log'!$F$7:$F$306,"Approved")&gt;0,"A",""))="A","A",IF(OR(DATE($B$3,5,18)&gt;EOMONTH(DATE($B$3,5,1),0),NETWORKDAYS.INTL(DATE($B$3,5,18),DATE($B$3,5,18),1,'Non-working days'!$A$6:$A$45)=0),"",IF(COUNTIFS('Leave log'!$A$7:$A$306,Employees!$A$17,'Leave log'!$B$7:$B$306,"&lt;="&amp;DATE($B$3,5,18),'Leave log'!$C$7:$C$306,"&gt;="&amp;DATE($B$3,5,18),'Leave log'!$F$7:$F$306,"Pending")&gt;0,"P",""))))</f>
        <v/>
      </c>
      <c r="T154" s="23" t="str">
        <f>IF(A154="","",IF(IF(OR(DATE($B$3,5,19)&gt;EOMONTH(DATE($B$3,5,1),0),NETWORKDAYS.INTL(DATE($B$3,5,19),DATE($B$3,5,19),1,'Non-working days'!$A$6:$A$45)=0),"",IF(COUNTIFS('Leave log'!$A$7:$A$306,Employees!$A$17,'Leave log'!$B$7:$B$306,"&lt;="&amp;DATE($B$3,5,19),'Leave log'!$C$7:$C$306,"&gt;="&amp;DATE($B$3,5,19),'Leave log'!$F$7:$F$306,"Approved")&gt;0,"A",""))="A","A",IF(OR(DATE($B$3,5,19)&gt;EOMONTH(DATE($B$3,5,1),0),NETWORKDAYS.INTL(DATE($B$3,5,19),DATE($B$3,5,19),1,'Non-working days'!$A$6:$A$45)=0),"",IF(COUNTIFS('Leave log'!$A$7:$A$306,Employees!$A$17,'Leave log'!$B$7:$B$306,"&lt;="&amp;DATE($B$3,5,19),'Leave log'!$C$7:$C$306,"&gt;="&amp;DATE($B$3,5,19),'Leave log'!$F$7:$F$306,"Pending")&gt;0,"P",""))))</f>
        <v/>
      </c>
      <c r="U154" s="23" t="str">
        <f>IF(A154="","",IF(IF(OR(DATE($B$3,5,20)&gt;EOMONTH(DATE($B$3,5,1),0),NETWORKDAYS.INTL(DATE($B$3,5,20),DATE($B$3,5,20),1,'Non-working days'!$A$6:$A$45)=0),"",IF(COUNTIFS('Leave log'!$A$7:$A$306,Employees!$A$17,'Leave log'!$B$7:$B$306,"&lt;="&amp;DATE($B$3,5,20),'Leave log'!$C$7:$C$306,"&gt;="&amp;DATE($B$3,5,20),'Leave log'!$F$7:$F$306,"Approved")&gt;0,"A",""))="A","A",IF(OR(DATE($B$3,5,20)&gt;EOMONTH(DATE($B$3,5,1),0),NETWORKDAYS.INTL(DATE($B$3,5,20),DATE($B$3,5,20),1,'Non-working days'!$A$6:$A$45)=0),"",IF(COUNTIFS('Leave log'!$A$7:$A$306,Employees!$A$17,'Leave log'!$B$7:$B$306,"&lt;="&amp;DATE($B$3,5,20),'Leave log'!$C$7:$C$306,"&gt;="&amp;DATE($B$3,5,20),'Leave log'!$F$7:$F$306,"Pending")&gt;0,"P",""))))</f>
        <v/>
      </c>
      <c r="V154" s="23" t="str">
        <f>IF(A154="","",IF(IF(OR(DATE($B$3,5,21)&gt;EOMONTH(DATE($B$3,5,1),0),NETWORKDAYS.INTL(DATE($B$3,5,21),DATE($B$3,5,21),1,'Non-working days'!$A$6:$A$45)=0),"",IF(COUNTIFS('Leave log'!$A$7:$A$306,Employees!$A$17,'Leave log'!$B$7:$B$306,"&lt;="&amp;DATE($B$3,5,21),'Leave log'!$C$7:$C$306,"&gt;="&amp;DATE($B$3,5,21),'Leave log'!$F$7:$F$306,"Approved")&gt;0,"A",""))="A","A",IF(OR(DATE($B$3,5,21)&gt;EOMONTH(DATE($B$3,5,1),0),NETWORKDAYS.INTL(DATE($B$3,5,21),DATE($B$3,5,21),1,'Non-working days'!$A$6:$A$45)=0),"",IF(COUNTIFS('Leave log'!$A$7:$A$306,Employees!$A$17,'Leave log'!$B$7:$B$306,"&lt;="&amp;DATE($B$3,5,21),'Leave log'!$C$7:$C$306,"&gt;="&amp;DATE($B$3,5,21),'Leave log'!$F$7:$F$306,"Pending")&gt;0,"P",""))))</f>
        <v/>
      </c>
      <c r="W154" s="23" t="str">
        <f>IF(A154="","",IF(IF(OR(DATE($B$3,5,22)&gt;EOMONTH(DATE($B$3,5,1),0),NETWORKDAYS.INTL(DATE($B$3,5,22),DATE($B$3,5,22),1,'Non-working days'!$A$6:$A$45)=0),"",IF(COUNTIFS('Leave log'!$A$7:$A$306,Employees!$A$17,'Leave log'!$B$7:$B$306,"&lt;="&amp;DATE($B$3,5,22),'Leave log'!$C$7:$C$306,"&gt;="&amp;DATE($B$3,5,22),'Leave log'!$F$7:$F$306,"Approved")&gt;0,"A",""))="A","A",IF(OR(DATE($B$3,5,22)&gt;EOMONTH(DATE($B$3,5,1),0),NETWORKDAYS.INTL(DATE($B$3,5,22),DATE($B$3,5,22),1,'Non-working days'!$A$6:$A$45)=0),"",IF(COUNTIFS('Leave log'!$A$7:$A$306,Employees!$A$17,'Leave log'!$B$7:$B$306,"&lt;="&amp;DATE($B$3,5,22),'Leave log'!$C$7:$C$306,"&gt;="&amp;DATE($B$3,5,22),'Leave log'!$F$7:$F$306,"Pending")&gt;0,"P",""))))</f>
        <v/>
      </c>
      <c r="X154" s="23" t="str">
        <f>IF(A154="","",IF(IF(OR(DATE($B$3,5,23)&gt;EOMONTH(DATE($B$3,5,1),0),NETWORKDAYS.INTL(DATE($B$3,5,23),DATE($B$3,5,23),1,'Non-working days'!$A$6:$A$45)=0),"",IF(COUNTIFS('Leave log'!$A$7:$A$306,Employees!$A$17,'Leave log'!$B$7:$B$306,"&lt;="&amp;DATE($B$3,5,23),'Leave log'!$C$7:$C$306,"&gt;="&amp;DATE($B$3,5,23),'Leave log'!$F$7:$F$306,"Approved")&gt;0,"A",""))="A","A",IF(OR(DATE($B$3,5,23)&gt;EOMONTH(DATE($B$3,5,1),0),NETWORKDAYS.INTL(DATE($B$3,5,23),DATE($B$3,5,23),1,'Non-working days'!$A$6:$A$45)=0),"",IF(COUNTIFS('Leave log'!$A$7:$A$306,Employees!$A$17,'Leave log'!$B$7:$B$306,"&lt;="&amp;DATE($B$3,5,23),'Leave log'!$C$7:$C$306,"&gt;="&amp;DATE($B$3,5,23),'Leave log'!$F$7:$F$306,"Pending")&gt;0,"P",""))))</f>
        <v/>
      </c>
      <c r="Y154" s="23" t="str">
        <f>IF(A154="","",IF(IF(OR(DATE($B$3,5,24)&gt;EOMONTH(DATE($B$3,5,1),0),NETWORKDAYS.INTL(DATE($B$3,5,24),DATE($B$3,5,24),1,'Non-working days'!$A$6:$A$45)=0),"",IF(COUNTIFS('Leave log'!$A$7:$A$306,Employees!$A$17,'Leave log'!$B$7:$B$306,"&lt;="&amp;DATE($B$3,5,24),'Leave log'!$C$7:$C$306,"&gt;="&amp;DATE($B$3,5,24),'Leave log'!$F$7:$F$306,"Approved")&gt;0,"A",""))="A","A",IF(OR(DATE($B$3,5,24)&gt;EOMONTH(DATE($B$3,5,1),0),NETWORKDAYS.INTL(DATE($B$3,5,24),DATE($B$3,5,24),1,'Non-working days'!$A$6:$A$45)=0),"",IF(COUNTIFS('Leave log'!$A$7:$A$306,Employees!$A$17,'Leave log'!$B$7:$B$306,"&lt;="&amp;DATE($B$3,5,24),'Leave log'!$C$7:$C$306,"&gt;="&amp;DATE($B$3,5,24),'Leave log'!$F$7:$F$306,"Pending")&gt;0,"P",""))))</f>
        <v/>
      </c>
      <c r="Z154" s="23" t="str">
        <f>IF(A154="","",IF(IF(OR(DATE($B$3,5,25)&gt;EOMONTH(DATE($B$3,5,1),0),NETWORKDAYS.INTL(DATE($B$3,5,25),DATE($B$3,5,25),1,'Non-working days'!$A$6:$A$45)=0),"",IF(COUNTIFS('Leave log'!$A$7:$A$306,Employees!$A$17,'Leave log'!$B$7:$B$306,"&lt;="&amp;DATE($B$3,5,25),'Leave log'!$C$7:$C$306,"&gt;="&amp;DATE($B$3,5,25),'Leave log'!$F$7:$F$306,"Approved")&gt;0,"A",""))="A","A",IF(OR(DATE($B$3,5,25)&gt;EOMONTH(DATE($B$3,5,1),0),NETWORKDAYS.INTL(DATE($B$3,5,25),DATE($B$3,5,25),1,'Non-working days'!$A$6:$A$45)=0),"",IF(COUNTIFS('Leave log'!$A$7:$A$306,Employees!$A$17,'Leave log'!$B$7:$B$306,"&lt;="&amp;DATE($B$3,5,25),'Leave log'!$C$7:$C$306,"&gt;="&amp;DATE($B$3,5,25),'Leave log'!$F$7:$F$306,"Pending")&gt;0,"P",""))))</f>
        <v/>
      </c>
      <c r="AA154" s="23" t="str">
        <f>IF(A154="","",IF(IF(OR(DATE($B$3,5,26)&gt;EOMONTH(DATE($B$3,5,1),0),NETWORKDAYS.INTL(DATE($B$3,5,26),DATE($B$3,5,26),1,'Non-working days'!$A$6:$A$45)=0),"",IF(COUNTIFS('Leave log'!$A$7:$A$306,Employees!$A$17,'Leave log'!$B$7:$B$306,"&lt;="&amp;DATE($B$3,5,26),'Leave log'!$C$7:$C$306,"&gt;="&amp;DATE($B$3,5,26),'Leave log'!$F$7:$F$306,"Approved")&gt;0,"A",""))="A","A",IF(OR(DATE($B$3,5,26)&gt;EOMONTH(DATE($B$3,5,1),0),NETWORKDAYS.INTL(DATE($B$3,5,26),DATE($B$3,5,26),1,'Non-working days'!$A$6:$A$45)=0),"",IF(COUNTIFS('Leave log'!$A$7:$A$306,Employees!$A$17,'Leave log'!$B$7:$B$306,"&lt;="&amp;DATE($B$3,5,26),'Leave log'!$C$7:$C$306,"&gt;="&amp;DATE($B$3,5,26),'Leave log'!$F$7:$F$306,"Pending")&gt;0,"P",""))))</f>
        <v/>
      </c>
      <c r="AB154" s="23" t="str">
        <f>IF(A154="","",IF(IF(OR(DATE($B$3,5,27)&gt;EOMONTH(DATE($B$3,5,1),0),NETWORKDAYS.INTL(DATE($B$3,5,27),DATE($B$3,5,27),1,'Non-working days'!$A$6:$A$45)=0),"",IF(COUNTIFS('Leave log'!$A$7:$A$306,Employees!$A$17,'Leave log'!$B$7:$B$306,"&lt;="&amp;DATE($B$3,5,27),'Leave log'!$C$7:$C$306,"&gt;="&amp;DATE($B$3,5,27),'Leave log'!$F$7:$F$306,"Approved")&gt;0,"A",""))="A","A",IF(OR(DATE($B$3,5,27)&gt;EOMONTH(DATE($B$3,5,1),0),NETWORKDAYS.INTL(DATE($B$3,5,27),DATE($B$3,5,27),1,'Non-working days'!$A$6:$A$45)=0),"",IF(COUNTIFS('Leave log'!$A$7:$A$306,Employees!$A$17,'Leave log'!$B$7:$B$306,"&lt;="&amp;DATE($B$3,5,27),'Leave log'!$C$7:$C$306,"&gt;="&amp;DATE($B$3,5,27),'Leave log'!$F$7:$F$306,"Pending")&gt;0,"P",""))))</f>
        <v/>
      </c>
      <c r="AC154" s="23" t="str">
        <f>IF(A154="","",IF(IF(OR(DATE($B$3,5,28)&gt;EOMONTH(DATE($B$3,5,1),0),NETWORKDAYS.INTL(DATE($B$3,5,28),DATE($B$3,5,28),1,'Non-working days'!$A$6:$A$45)=0),"",IF(COUNTIFS('Leave log'!$A$7:$A$306,Employees!$A$17,'Leave log'!$B$7:$B$306,"&lt;="&amp;DATE($B$3,5,28),'Leave log'!$C$7:$C$306,"&gt;="&amp;DATE($B$3,5,28),'Leave log'!$F$7:$F$306,"Approved")&gt;0,"A",""))="A","A",IF(OR(DATE($B$3,5,28)&gt;EOMONTH(DATE($B$3,5,1),0),NETWORKDAYS.INTL(DATE($B$3,5,28),DATE($B$3,5,28),1,'Non-working days'!$A$6:$A$45)=0),"",IF(COUNTIFS('Leave log'!$A$7:$A$306,Employees!$A$17,'Leave log'!$B$7:$B$306,"&lt;="&amp;DATE($B$3,5,28),'Leave log'!$C$7:$C$306,"&gt;="&amp;DATE($B$3,5,28),'Leave log'!$F$7:$F$306,"Pending")&gt;0,"P",""))))</f>
        <v/>
      </c>
      <c r="AD154" s="23" t="str">
        <f>IF(A154="","",IF(IF(OR(DATE($B$3,5,29)&gt;EOMONTH(DATE($B$3,5,1),0),NETWORKDAYS.INTL(DATE($B$3,5,29),DATE($B$3,5,29),1,'Non-working days'!$A$6:$A$45)=0),"",IF(COUNTIFS('Leave log'!$A$7:$A$306,Employees!$A$17,'Leave log'!$B$7:$B$306,"&lt;="&amp;DATE($B$3,5,29),'Leave log'!$C$7:$C$306,"&gt;="&amp;DATE($B$3,5,29),'Leave log'!$F$7:$F$306,"Approved")&gt;0,"A",""))="A","A",IF(OR(DATE($B$3,5,29)&gt;EOMONTH(DATE($B$3,5,1),0),NETWORKDAYS.INTL(DATE($B$3,5,29),DATE($B$3,5,29),1,'Non-working days'!$A$6:$A$45)=0),"",IF(COUNTIFS('Leave log'!$A$7:$A$306,Employees!$A$17,'Leave log'!$B$7:$B$306,"&lt;="&amp;DATE($B$3,5,29),'Leave log'!$C$7:$C$306,"&gt;="&amp;DATE($B$3,5,29),'Leave log'!$F$7:$F$306,"Pending")&gt;0,"P",""))))</f>
        <v/>
      </c>
      <c r="AE154" s="23" t="str">
        <f>IF(A154="","",IF(IF(OR(DATE($B$3,5,30)&gt;EOMONTH(DATE($B$3,5,1),0),NETWORKDAYS.INTL(DATE($B$3,5,30),DATE($B$3,5,30),1,'Non-working days'!$A$6:$A$45)=0),"",IF(COUNTIFS('Leave log'!$A$7:$A$306,Employees!$A$17,'Leave log'!$B$7:$B$306,"&lt;="&amp;DATE($B$3,5,30),'Leave log'!$C$7:$C$306,"&gt;="&amp;DATE($B$3,5,30),'Leave log'!$F$7:$F$306,"Approved")&gt;0,"A",""))="A","A",IF(OR(DATE($B$3,5,30)&gt;EOMONTH(DATE($B$3,5,1),0),NETWORKDAYS.INTL(DATE($B$3,5,30),DATE($B$3,5,30),1,'Non-working days'!$A$6:$A$45)=0),"",IF(COUNTIFS('Leave log'!$A$7:$A$306,Employees!$A$17,'Leave log'!$B$7:$B$306,"&lt;="&amp;DATE($B$3,5,30),'Leave log'!$C$7:$C$306,"&gt;="&amp;DATE($B$3,5,30),'Leave log'!$F$7:$F$306,"Pending")&gt;0,"P",""))))</f>
        <v/>
      </c>
      <c r="AF154" s="23" t="str">
        <f>IF(A154="","",IF(IF(OR(DATE($B$3,5,31)&gt;EOMONTH(DATE($B$3,5,1),0),NETWORKDAYS.INTL(DATE($B$3,5,31),DATE($B$3,5,31),1,'Non-working days'!$A$6:$A$45)=0),"",IF(COUNTIFS('Leave log'!$A$7:$A$306,Employees!$A$17,'Leave log'!$B$7:$B$306,"&lt;="&amp;DATE($B$3,5,31),'Leave log'!$C$7:$C$306,"&gt;="&amp;DATE($B$3,5,31),'Leave log'!$F$7:$F$306,"Approved")&gt;0,"A",""))="A","A",IF(OR(DATE($B$3,5,31)&gt;EOMONTH(DATE($B$3,5,1),0),NETWORKDAYS.INTL(DATE($B$3,5,31),DATE($B$3,5,31),1,'Non-working days'!$A$6:$A$45)=0),"",IF(COUNTIFS('Leave log'!$A$7:$A$306,Employees!$A$17,'Leave log'!$B$7:$B$306,"&lt;="&amp;DATE($B$3,5,31),'Leave log'!$C$7:$C$306,"&gt;="&amp;DATE($B$3,5,31),'Leave log'!$F$7:$F$306,"Pending")&gt;0,"P",""))))</f>
        <v/>
      </c>
    </row>
    <row r="155" spans="1:32" ht="18" customHeight="1" x14ac:dyDescent="0.3">
      <c r="A155" s="22" t="str">
        <f>IF(Employees!F18="Yes",Employees!B18,"")</f>
        <v/>
      </c>
      <c r="B155" s="23" t="str">
        <f>IF(A155="","",IF(IF(OR(DATE($B$3,5,1)&gt;EOMONTH(DATE($B$3,5,1),0),NETWORKDAYS.INTL(DATE($B$3,5,1),DATE($B$3,5,1),1,'Non-working days'!$A$6:$A$45)=0),"",IF(COUNTIFS('Leave log'!$A$7:$A$306,Employees!$A$18,'Leave log'!$B$7:$B$306,"&lt;="&amp;DATE($B$3,5,1),'Leave log'!$C$7:$C$306,"&gt;="&amp;DATE($B$3,5,1),'Leave log'!$F$7:$F$306,"Approved")&gt;0,"A",""))="A","A",IF(OR(DATE($B$3,5,1)&gt;EOMONTH(DATE($B$3,5,1),0),NETWORKDAYS.INTL(DATE($B$3,5,1),DATE($B$3,5,1),1,'Non-working days'!$A$6:$A$45)=0),"",IF(COUNTIFS('Leave log'!$A$7:$A$306,Employees!$A$18,'Leave log'!$B$7:$B$306,"&lt;="&amp;DATE($B$3,5,1),'Leave log'!$C$7:$C$306,"&gt;="&amp;DATE($B$3,5,1),'Leave log'!$F$7:$F$306,"Pending")&gt;0,"P",""))))</f>
        <v/>
      </c>
      <c r="C155" s="23" t="str">
        <f>IF(A155="","",IF(IF(OR(DATE($B$3,5,2)&gt;EOMONTH(DATE($B$3,5,1),0),NETWORKDAYS.INTL(DATE($B$3,5,2),DATE($B$3,5,2),1,'Non-working days'!$A$6:$A$45)=0),"",IF(COUNTIFS('Leave log'!$A$7:$A$306,Employees!$A$18,'Leave log'!$B$7:$B$306,"&lt;="&amp;DATE($B$3,5,2),'Leave log'!$C$7:$C$306,"&gt;="&amp;DATE($B$3,5,2),'Leave log'!$F$7:$F$306,"Approved")&gt;0,"A",""))="A","A",IF(OR(DATE($B$3,5,2)&gt;EOMONTH(DATE($B$3,5,1),0),NETWORKDAYS.INTL(DATE($B$3,5,2),DATE($B$3,5,2),1,'Non-working days'!$A$6:$A$45)=0),"",IF(COUNTIFS('Leave log'!$A$7:$A$306,Employees!$A$18,'Leave log'!$B$7:$B$306,"&lt;="&amp;DATE($B$3,5,2),'Leave log'!$C$7:$C$306,"&gt;="&amp;DATE($B$3,5,2),'Leave log'!$F$7:$F$306,"Pending")&gt;0,"P",""))))</f>
        <v/>
      </c>
      <c r="D155" s="23" t="str">
        <f>IF(A155="","",IF(IF(OR(DATE($B$3,5,3)&gt;EOMONTH(DATE($B$3,5,1),0),NETWORKDAYS.INTL(DATE($B$3,5,3),DATE($B$3,5,3),1,'Non-working days'!$A$6:$A$45)=0),"",IF(COUNTIFS('Leave log'!$A$7:$A$306,Employees!$A$18,'Leave log'!$B$7:$B$306,"&lt;="&amp;DATE($B$3,5,3),'Leave log'!$C$7:$C$306,"&gt;="&amp;DATE($B$3,5,3),'Leave log'!$F$7:$F$306,"Approved")&gt;0,"A",""))="A","A",IF(OR(DATE($B$3,5,3)&gt;EOMONTH(DATE($B$3,5,1),0),NETWORKDAYS.INTL(DATE($B$3,5,3),DATE($B$3,5,3),1,'Non-working days'!$A$6:$A$45)=0),"",IF(COUNTIFS('Leave log'!$A$7:$A$306,Employees!$A$18,'Leave log'!$B$7:$B$306,"&lt;="&amp;DATE($B$3,5,3),'Leave log'!$C$7:$C$306,"&gt;="&amp;DATE($B$3,5,3),'Leave log'!$F$7:$F$306,"Pending")&gt;0,"P",""))))</f>
        <v/>
      </c>
      <c r="E155" s="23" t="str">
        <f>IF(A155="","",IF(IF(OR(DATE($B$3,5,4)&gt;EOMONTH(DATE($B$3,5,1),0),NETWORKDAYS.INTL(DATE($B$3,5,4),DATE($B$3,5,4),1,'Non-working days'!$A$6:$A$45)=0),"",IF(COUNTIFS('Leave log'!$A$7:$A$306,Employees!$A$18,'Leave log'!$B$7:$B$306,"&lt;="&amp;DATE($B$3,5,4),'Leave log'!$C$7:$C$306,"&gt;="&amp;DATE($B$3,5,4),'Leave log'!$F$7:$F$306,"Approved")&gt;0,"A",""))="A","A",IF(OR(DATE($B$3,5,4)&gt;EOMONTH(DATE($B$3,5,1),0),NETWORKDAYS.INTL(DATE($B$3,5,4),DATE($B$3,5,4),1,'Non-working days'!$A$6:$A$45)=0),"",IF(COUNTIFS('Leave log'!$A$7:$A$306,Employees!$A$18,'Leave log'!$B$7:$B$306,"&lt;="&amp;DATE($B$3,5,4),'Leave log'!$C$7:$C$306,"&gt;="&amp;DATE($B$3,5,4),'Leave log'!$F$7:$F$306,"Pending")&gt;0,"P",""))))</f>
        <v/>
      </c>
      <c r="F155" s="23" t="str">
        <f>IF(A155="","",IF(IF(OR(DATE($B$3,5,5)&gt;EOMONTH(DATE($B$3,5,1),0),NETWORKDAYS.INTL(DATE($B$3,5,5),DATE($B$3,5,5),1,'Non-working days'!$A$6:$A$45)=0),"",IF(COUNTIFS('Leave log'!$A$7:$A$306,Employees!$A$18,'Leave log'!$B$7:$B$306,"&lt;="&amp;DATE($B$3,5,5),'Leave log'!$C$7:$C$306,"&gt;="&amp;DATE($B$3,5,5),'Leave log'!$F$7:$F$306,"Approved")&gt;0,"A",""))="A","A",IF(OR(DATE($B$3,5,5)&gt;EOMONTH(DATE($B$3,5,1),0),NETWORKDAYS.INTL(DATE($B$3,5,5),DATE($B$3,5,5),1,'Non-working days'!$A$6:$A$45)=0),"",IF(COUNTIFS('Leave log'!$A$7:$A$306,Employees!$A$18,'Leave log'!$B$7:$B$306,"&lt;="&amp;DATE($B$3,5,5),'Leave log'!$C$7:$C$306,"&gt;="&amp;DATE($B$3,5,5),'Leave log'!$F$7:$F$306,"Pending")&gt;0,"P",""))))</f>
        <v/>
      </c>
      <c r="G155" s="23" t="str">
        <f>IF(A155="","",IF(IF(OR(DATE($B$3,5,6)&gt;EOMONTH(DATE($B$3,5,1),0),NETWORKDAYS.INTL(DATE($B$3,5,6),DATE($B$3,5,6),1,'Non-working days'!$A$6:$A$45)=0),"",IF(COUNTIFS('Leave log'!$A$7:$A$306,Employees!$A$18,'Leave log'!$B$7:$B$306,"&lt;="&amp;DATE($B$3,5,6),'Leave log'!$C$7:$C$306,"&gt;="&amp;DATE($B$3,5,6),'Leave log'!$F$7:$F$306,"Approved")&gt;0,"A",""))="A","A",IF(OR(DATE($B$3,5,6)&gt;EOMONTH(DATE($B$3,5,1),0),NETWORKDAYS.INTL(DATE($B$3,5,6),DATE($B$3,5,6),1,'Non-working days'!$A$6:$A$45)=0),"",IF(COUNTIFS('Leave log'!$A$7:$A$306,Employees!$A$18,'Leave log'!$B$7:$B$306,"&lt;="&amp;DATE($B$3,5,6),'Leave log'!$C$7:$C$306,"&gt;="&amp;DATE($B$3,5,6),'Leave log'!$F$7:$F$306,"Pending")&gt;0,"P",""))))</f>
        <v/>
      </c>
      <c r="H155" s="23" t="str">
        <f>IF(A155="","",IF(IF(OR(DATE($B$3,5,7)&gt;EOMONTH(DATE($B$3,5,1),0),NETWORKDAYS.INTL(DATE($B$3,5,7),DATE($B$3,5,7),1,'Non-working days'!$A$6:$A$45)=0),"",IF(COUNTIFS('Leave log'!$A$7:$A$306,Employees!$A$18,'Leave log'!$B$7:$B$306,"&lt;="&amp;DATE($B$3,5,7),'Leave log'!$C$7:$C$306,"&gt;="&amp;DATE($B$3,5,7),'Leave log'!$F$7:$F$306,"Approved")&gt;0,"A",""))="A","A",IF(OR(DATE($B$3,5,7)&gt;EOMONTH(DATE($B$3,5,1),0),NETWORKDAYS.INTL(DATE($B$3,5,7),DATE($B$3,5,7),1,'Non-working days'!$A$6:$A$45)=0),"",IF(COUNTIFS('Leave log'!$A$7:$A$306,Employees!$A$18,'Leave log'!$B$7:$B$306,"&lt;="&amp;DATE($B$3,5,7),'Leave log'!$C$7:$C$306,"&gt;="&amp;DATE($B$3,5,7),'Leave log'!$F$7:$F$306,"Pending")&gt;0,"P",""))))</f>
        <v/>
      </c>
      <c r="I155" s="23" t="str">
        <f>IF(A155="","",IF(IF(OR(DATE($B$3,5,8)&gt;EOMONTH(DATE($B$3,5,1),0),NETWORKDAYS.INTL(DATE($B$3,5,8),DATE($B$3,5,8),1,'Non-working days'!$A$6:$A$45)=0),"",IF(COUNTIFS('Leave log'!$A$7:$A$306,Employees!$A$18,'Leave log'!$B$7:$B$306,"&lt;="&amp;DATE($B$3,5,8),'Leave log'!$C$7:$C$306,"&gt;="&amp;DATE($B$3,5,8),'Leave log'!$F$7:$F$306,"Approved")&gt;0,"A",""))="A","A",IF(OR(DATE($B$3,5,8)&gt;EOMONTH(DATE($B$3,5,1),0),NETWORKDAYS.INTL(DATE($B$3,5,8),DATE($B$3,5,8),1,'Non-working days'!$A$6:$A$45)=0),"",IF(COUNTIFS('Leave log'!$A$7:$A$306,Employees!$A$18,'Leave log'!$B$7:$B$306,"&lt;="&amp;DATE($B$3,5,8),'Leave log'!$C$7:$C$306,"&gt;="&amp;DATE($B$3,5,8),'Leave log'!$F$7:$F$306,"Pending")&gt;0,"P",""))))</f>
        <v/>
      </c>
      <c r="J155" s="23" t="str">
        <f>IF(A155="","",IF(IF(OR(DATE($B$3,5,9)&gt;EOMONTH(DATE($B$3,5,1),0),NETWORKDAYS.INTL(DATE($B$3,5,9),DATE($B$3,5,9),1,'Non-working days'!$A$6:$A$45)=0),"",IF(COUNTIFS('Leave log'!$A$7:$A$306,Employees!$A$18,'Leave log'!$B$7:$B$306,"&lt;="&amp;DATE($B$3,5,9),'Leave log'!$C$7:$C$306,"&gt;="&amp;DATE($B$3,5,9),'Leave log'!$F$7:$F$306,"Approved")&gt;0,"A",""))="A","A",IF(OR(DATE($B$3,5,9)&gt;EOMONTH(DATE($B$3,5,1),0),NETWORKDAYS.INTL(DATE($B$3,5,9),DATE($B$3,5,9),1,'Non-working days'!$A$6:$A$45)=0),"",IF(COUNTIFS('Leave log'!$A$7:$A$306,Employees!$A$18,'Leave log'!$B$7:$B$306,"&lt;="&amp;DATE($B$3,5,9),'Leave log'!$C$7:$C$306,"&gt;="&amp;DATE($B$3,5,9),'Leave log'!$F$7:$F$306,"Pending")&gt;0,"P",""))))</f>
        <v/>
      </c>
      <c r="K155" s="23" t="str">
        <f>IF(A155="","",IF(IF(OR(DATE($B$3,5,10)&gt;EOMONTH(DATE($B$3,5,1),0),NETWORKDAYS.INTL(DATE($B$3,5,10),DATE($B$3,5,10),1,'Non-working days'!$A$6:$A$45)=0),"",IF(COUNTIFS('Leave log'!$A$7:$A$306,Employees!$A$18,'Leave log'!$B$7:$B$306,"&lt;="&amp;DATE($B$3,5,10),'Leave log'!$C$7:$C$306,"&gt;="&amp;DATE($B$3,5,10),'Leave log'!$F$7:$F$306,"Approved")&gt;0,"A",""))="A","A",IF(OR(DATE($B$3,5,10)&gt;EOMONTH(DATE($B$3,5,1),0),NETWORKDAYS.INTL(DATE($B$3,5,10),DATE($B$3,5,10),1,'Non-working days'!$A$6:$A$45)=0),"",IF(COUNTIFS('Leave log'!$A$7:$A$306,Employees!$A$18,'Leave log'!$B$7:$B$306,"&lt;="&amp;DATE($B$3,5,10),'Leave log'!$C$7:$C$306,"&gt;="&amp;DATE($B$3,5,10),'Leave log'!$F$7:$F$306,"Pending")&gt;0,"P",""))))</f>
        <v/>
      </c>
      <c r="L155" s="23" t="str">
        <f>IF(A155="","",IF(IF(OR(DATE($B$3,5,11)&gt;EOMONTH(DATE($B$3,5,1),0),NETWORKDAYS.INTL(DATE($B$3,5,11),DATE($B$3,5,11),1,'Non-working days'!$A$6:$A$45)=0),"",IF(COUNTIFS('Leave log'!$A$7:$A$306,Employees!$A$18,'Leave log'!$B$7:$B$306,"&lt;="&amp;DATE($B$3,5,11),'Leave log'!$C$7:$C$306,"&gt;="&amp;DATE($B$3,5,11),'Leave log'!$F$7:$F$306,"Approved")&gt;0,"A",""))="A","A",IF(OR(DATE($B$3,5,11)&gt;EOMONTH(DATE($B$3,5,1),0),NETWORKDAYS.INTL(DATE($B$3,5,11),DATE($B$3,5,11),1,'Non-working days'!$A$6:$A$45)=0),"",IF(COUNTIFS('Leave log'!$A$7:$A$306,Employees!$A$18,'Leave log'!$B$7:$B$306,"&lt;="&amp;DATE($B$3,5,11),'Leave log'!$C$7:$C$306,"&gt;="&amp;DATE($B$3,5,11),'Leave log'!$F$7:$F$306,"Pending")&gt;0,"P",""))))</f>
        <v/>
      </c>
      <c r="M155" s="23" t="str">
        <f>IF(A155="","",IF(IF(OR(DATE($B$3,5,12)&gt;EOMONTH(DATE($B$3,5,1),0),NETWORKDAYS.INTL(DATE($B$3,5,12),DATE($B$3,5,12),1,'Non-working days'!$A$6:$A$45)=0),"",IF(COUNTIFS('Leave log'!$A$7:$A$306,Employees!$A$18,'Leave log'!$B$7:$B$306,"&lt;="&amp;DATE($B$3,5,12),'Leave log'!$C$7:$C$306,"&gt;="&amp;DATE($B$3,5,12),'Leave log'!$F$7:$F$306,"Approved")&gt;0,"A",""))="A","A",IF(OR(DATE($B$3,5,12)&gt;EOMONTH(DATE($B$3,5,1),0),NETWORKDAYS.INTL(DATE($B$3,5,12),DATE($B$3,5,12),1,'Non-working days'!$A$6:$A$45)=0),"",IF(COUNTIFS('Leave log'!$A$7:$A$306,Employees!$A$18,'Leave log'!$B$7:$B$306,"&lt;="&amp;DATE($B$3,5,12),'Leave log'!$C$7:$C$306,"&gt;="&amp;DATE($B$3,5,12),'Leave log'!$F$7:$F$306,"Pending")&gt;0,"P",""))))</f>
        <v/>
      </c>
      <c r="N155" s="23" t="str">
        <f>IF(A155="","",IF(IF(OR(DATE($B$3,5,13)&gt;EOMONTH(DATE($B$3,5,1),0),NETWORKDAYS.INTL(DATE($B$3,5,13),DATE($B$3,5,13),1,'Non-working days'!$A$6:$A$45)=0),"",IF(COUNTIFS('Leave log'!$A$7:$A$306,Employees!$A$18,'Leave log'!$B$7:$B$306,"&lt;="&amp;DATE($B$3,5,13),'Leave log'!$C$7:$C$306,"&gt;="&amp;DATE($B$3,5,13),'Leave log'!$F$7:$F$306,"Approved")&gt;0,"A",""))="A","A",IF(OR(DATE($B$3,5,13)&gt;EOMONTH(DATE($B$3,5,1),0),NETWORKDAYS.INTL(DATE($B$3,5,13),DATE($B$3,5,13),1,'Non-working days'!$A$6:$A$45)=0),"",IF(COUNTIFS('Leave log'!$A$7:$A$306,Employees!$A$18,'Leave log'!$B$7:$B$306,"&lt;="&amp;DATE($B$3,5,13),'Leave log'!$C$7:$C$306,"&gt;="&amp;DATE($B$3,5,13),'Leave log'!$F$7:$F$306,"Pending")&gt;0,"P",""))))</f>
        <v/>
      </c>
      <c r="O155" s="23" t="str">
        <f>IF(A155="","",IF(IF(OR(DATE($B$3,5,14)&gt;EOMONTH(DATE($B$3,5,1),0),NETWORKDAYS.INTL(DATE($B$3,5,14),DATE($B$3,5,14),1,'Non-working days'!$A$6:$A$45)=0),"",IF(COUNTIFS('Leave log'!$A$7:$A$306,Employees!$A$18,'Leave log'!$B$7:$B$306,"&lt;="&amp;DATE($B$3,5,14),'Leave log'!$C$7:$C$306,"&gt;="&amp;DATE($B$3,5,14),'Leave log'!$F$7:$F$306,"Approved")&gt;0,"A",""))="A","A",IF(OR(DATE($B$3,5,14)&gt;EOMONTH(DATE($B$3,5,1),0),NETWORKDAYS.INTL(DATE($B$3,5,14),DATE($B$3,5,14),1,'Non-working days'!$A$6:$A$45)=0),"",IF(COUNTIFS('Leave log'!$A$7:$A$306,Employees!$A$18,'Leave log'!$B$7:$B$306,"&lt;="&amp;DATE($B$3,5,14),'Leave log'!$C$7:$C$306,"&gt;="&amp;DATE($B$3,5,14),'Leave log'!$F$7:$F$306,"Pending")&gt;0,"P",""))))</f>
        <v/>
      </c>
      <c r="P155" s="23" t="str">
        <f>IF(A155="","",IF(IF(OR(DATE($B$3,5,15)&gt;EOMONTH(DATE($B$3,5,1),0),NETWORKDAYS.INTL(DATE($B$3,5,15),DATE($B$3,5,15),1,'Non-working days'!$A$6:$A$45)=0),"",IF(COUNTIFS('Leave log'!$A$7:$A$306,Employees!$A$18,'Leave log'!$B$7:$B$306,"&lt;="&amp;DATE($B$3,5,15),'Leave log'!$C$7:$C$306,"&gt;="&amp;DATE($B$3,5,15),'Leave log'!$F$7:$F$306,"Approved")&gt;0,"A",""))="A","A",IF(OR(DATE($B$3,5,15)&gt;EOMONTH(DATE($B$3,5,1),0),NETWORKDAYS.INTL(DATE($B$3,5,15),DATE($B$3,5,15),1,'Non-working days'!$A$6:$A$45)=0),"",IF(COUNTIFS('Leave log'!$A$7:$A$306,Employees!$A$18,'Leave log'!$B$7:$B$306,"&lt;="&amp;DATE($B$3,5,15),'Leave log'!$C$7:$C$306,"&gt;="&amp;DATE($B$3,5,15),'Leave log'!$F$7:$F$306,"Pending")&gt;0,"P",""))))</f>
        <v/>
      </c>
      <c r="Q155" s="23" t="str">
        <f>IF(A155="","",IF(IF(OR(DATE($B$3,5,16)&gt;EOMONTH(DATE($B$3,5,1),0),NETWORKDAYS.INTL(DATE($B$3,5,16),DATE($B$3,5,16),1,'Non-working days'!$A$6:$A$45)=0),"",IF(COUNTIFS('Leave log'!$A$7:$A$306,Employees!$A$18,'Leave log'!$B$7:$B$306,"&lt;="&amp;DATE($B$3,5,16),'Leave log'!$C$7:$C$306,"&gt;="&amp;DATE($B$3,5,16),'Leave log'!$F$7:$F$306,"Approved")&gt;0,"A",""))="A","A",IF(OR(DATE($B$3,5,16)&gt;EOMONTH(DATE($B$3,5,1),0),NETWORKDAYS.INTL(DATE($B$3,5,16),DATE($B$3,5,16),1,'Non-working days'!$A$6:$A$45)=0),"",IF(COUNTIFS('Leave log'!$A$7:$A$306,Employees!$A$18,'Leave log'!$B$7:$B$306,"&lt;="&amp;DATE($B$3,5,16),'Leave log'!$C$7:$C$306,"&gt;="&amp;DATE($B$3,5,16),'Leave log'!$F$7:$F$306,"Pending")&gt;0,"P",""))))</f>
        <v/>
      </c>
      <c r="R155" s="23" t="str">
        <f>IF(A155="","",IF(IF(OR(DATE($B$3,5,17)&gt;EOMONTH(DATE($B$3,5,1),0),NETWORKDAYS.INTL(DATE($B$3,5,17),DATE($B$3,5,17),1,'Non-working days'!$A$6:$A$45)=0),"",IF(COUNTIFS('Leave log'!$A$7:$A$306,Employees!$A$18,'Leave log'!$B$7:$B$306,"&lt;="&amp;DATE($B$3,5,17),'Leave log'!$C$7:$C$306,"&gt;="&amp;DATE($B$3,5,17),'Leave log'!$F$7:$F$306,"Approved")&gt;0,"A",""))="A","A",IF(OR(DATE($B$3,5,17)&gt;EOMONTH(DATE($B$3,5,1),0),NETWORKDAYS.INTL(DATE($B$3,5,17),DATE($B$3,5,17),1,'Non-working days'!$A$6:$A$45)=0),"",IF(COUNTIFS('Leave log'!$A$7:$A$306,Employees!$A$18,'Leave log'!$B$7:$B$306,"&lt;="&amp;DATE($B$3,5,17),'Leave log'!$C$7:$C$306,"&gt;="&amp;DATE($B$3,5,17),'Leave log'!$F$7:$F$306,"Pending")&gt;0,"P",""))))</f>
        <v/>
      </c>
      <c r="S155" s="23" t="str">
        <f>IF(A155="","",IF(IF(OR(DATE($B$3,5,18)&gt;EOMONTH(DATE($B$3,5,1),0),NETWORKDAYS.INTL(DATE($B$3,5,18),DATE($B$3,5,18),1,'Non-working days'!$A$6:$A$45)=0),"",IF(COUNTIFS('Leave log'!$A$7:$A$306,Employees!$A$18,'Leave log'!$B$7:$B$306,"&lt;="&amp;DATE($B$3,5,18),'Leave log'!$C$7:$C$306,"&gt;="&amp;DATE($B$3,5,18),'Leave log'!$F$7:$F$306,"Approved")&gt;0,"A",""))="A","A",IF(OR(DATE($B$3,5,18)&gt;EOMONTH(DATE($B$3,5,1),0),NETWORKDAYS.INTL(DATE($B$3,5,18),DATE($B$3,5,18),1,'Non-working days'!$A$6:$A$45)=0),"",IF(COUNTIFS('Leave log'!$A$7:$A$306,Employees!$A$18,'Leave log'!$B$7:$B$306,"&lt;="&amp;DATE($B$3,5,18),'Leave log'!$C$7:$C$306,"&gt;="&amp;DATE($B$3,5,18),'Leave log'!$F$7:$F$306,"Pending")&gt;0,"P",""))))</f>
        <v/>
      </c>
      <c r="T155" s="23" t="str">
        <f>IF(A155="","",IF(IF(OR(DATE($B$3,5,19)&gt;EOMONTH(DATE($B$3,5,1),0),NETWORKDAYS.INTL(DATE($B$3,5,19),DATE($B$3,5,19),1,'Non-working days'!$A$6:$A$45)=0),"",IF(COUNTIFS('Leave log'!$A$7:$A$306,Employees!$A$18,'Leave log'!$B$7:$B$306,"&lt;="&amp;DATE($B$3,5,19),'Leave log'!$C$7:$C$306,"&gt;="&amp;DATE($B$3,5,19),'Leave log'!$F$7:$F$306,"Approved")&gt;0,"A",""))="A","A",IF(OR(DATE($B$3,5,19)&gt;EOMONTH(DATE($B$3,5,1),0),NETWORKDAYS.INTL(DATE($B$3,5,19),DATE($B$3,5,19),1,'Non-working days'!$A$6:$A$45)=0),"",IF(COUNTIFS('Leave log'!$A$7:$A$306,Employees!$A$18,'Leave log'!$B$7:$B$306,"&lt;="&amp;DATE($B$3,5,19),'Leave log'!$C$7:$C$306,"&gt;="&amp;DATE($B$3,5,19),'Leave log'!$F$7:$F$306,"Pending")&gt;0,"P",""))))</f>
        <v/>
      </c>
      <c r="U155" s="23" t="str">
        <f>IF(A155="","",IF(IF(OR(DATE($B$3,5,20)&gt;EOMONTH(DATE($B$3,5,1),0),NETWORKDAYS.INTL(DATE($B$3,5,20),DATE($B$3,5,20),1,'Non-working days'!$A$6:$A$45)=0),"",IF(COUNTIFS('Leave log'!$A$7:$A$306,Employees!$A$18,'Leave log'!$B$7:$B$306,"&lt;="&amp;DATE($B$3,5,20),'Leave log'!$C$7:$C$306,"&gt;="&amp;DATE($B$3,5,20),'Leave log'!$F$7:$F$306,"Approved")&gt;0,"A",""))="A","A",IF(OR(DATE($B$3,5,20)&gt;EOMONTH(DATE($B$3,5,1),0),NETWORKDAYS.INTL(DATE($B$3,5,20),DATE($B$3,5,20),1,'Non-working days'!$A$6:$A$45)=0),"",IF(COUNTIFS('Leave log'!$A$7:$A$306,Employees!$A$18,'Leave log'!$B$7:$B$306,"&lt;="&amp;DATE($B$3,5,20),'Leave log'!$C$7:$C$306,"&gt;="&amp;DATE($B$3,5,20),'Leave log'!$F$7:$F$306,"Pending")&gt;0,"P",""))))</f>
        <v/>
      </c>
      <c r="V155" s="23" t="str">
        <f>IF(A155="","",IF(IF(OR(DATE($B$3,5,21)&gt;EOMONTH(DATE($B$3,5,1),0),NETWORKDAYS.INTL(DATE($B$3,5,21),DATE($B$3,5,21),1,'Non-working days'!$A$6:$A$45)=0),"",IF(COUNTIFS('Leave log'!$A$7:$A$306,Employees!$A$18,'Leave log'!$B$7:$B$306,"&lt;="&amp;DATE($B$3,5,21),'Leave log'!$C$7:$C$306,"&gt;="&amp;DATE($B$3,5,21),'Leave log'!$F$7:$F$306,"Approved")&gt;0,"A",""))="A","A",IF(OR(DATE($B$3,5,21)&gt;EOMONTH(DATE($B$3,5,1),0),NETWORKDAYS.INTL(DATE($B$3,5,21),DATE($B$3,5,21),1,'Non-working days'!$A$6:$A$45)=0),"",IF(COUNTIFS('Leave log'!$A$7:$A$306,Employees!$A$18,'Leave log'!$B$7:$B$306,"&lt;="&amp;DATE($B$3,5,21),'Leave log'!$C$7:$C$306,"&gt;="&amp;DATE($B$3,5,21),'Leave log'!$F$7:$F$306,"Pending")&gt;0,"P",""))))</f>
        <v/>
      </c>
      <c r="W155" s="23" t="str">
        <f>IF(A155="","",IF(IF(OR(DATE($B$3,5,22)&gt;EOMONTH(DATE($B$3,5,1),0),NETWORKDAYS.INTL(DATE($B$3,5,22),DATE($B$3,5,22),1,'Non-working days'!$A$6:$A$45)=0),"",IF(COUNTIFS('Leave log'!$A$7:$A$306,Employees!$A$18,'Leave log'!$B$7:$B$306,"&lt;="&amp;DATE($B$3,5,22),'Leave log'!$C$7:$C$306,"&gt;="&amp;DATE($B$3,5,22),'Leave log'!$F$7:$F$306,"Approved")&gt;0,"A",""))="A","A",IF(OR(DATE($B$3,5,22)&gt;EOMONTH(DATE($B$3,5,1),0),NETWORKDAYS.INTL(DATE($B$3,5,22),DATE($B$3,5,22),1,'Non-working days'!$A$6:$A$45)=0),"",IF(COUNTIFS('Leave log'!$A$7:$A$306,Employees!$A$18,'Leave log'!$B$7:$B$306,"&lt;="&amp;DATE($B$3,5,22),'Leave log'!$C$7:$C$306,"&gt;="&amp;DATE($B$3,5,22),'Leave log'!$F$7:$F$306,"Pending")&gt;0,"P",""))))</f>
        <v/>
      </c>
      <c r="X155" s="23" t="str">
        <f>IF(A155="","",IF(IF(OR(DATE($B$3,5,23)&gt;EOMONTH(DATE($B$3,5,1),0),NETWORKDAYS.INTL(DATE($B$3,5,23),DATE($B$3,5,23),1,'Non-working days'!$A$6:$A$45)=0),"",IF(COUNTIFS('Leave log'!$A$7:$A$306,Employees!$A$18,'Leave log'!$B$7:$B$306,"&lt;="&amp;DATE($B$3,5,23),'Leave log'!$C$7:$C$306,"&gt;="&amp;DATE($B$3,5,23),'Leave log'!$F$7:$F$306,"Approved")&gt;0,"A",""))="A","A",IF(OR(DATE($B$3,5,23)&gt;EOMONTH(DATE($B$3,5,1),0),NETWORKDAYS.INTL(DATE($B$3,5,23),DATE($B$3,5,23),1,'Non-working days'!$A$6:$A$45)=0),"",IF(COUNTIFS('Leave log'!$A$7:$A$306,Employees!$A$18,'Leave log'!$B$7:$B$306,"&lt;="&amp;DATE($B$3,5,23),'Leave log'!$C$7:$C$306,"&gt;="&amp;DATE($B$3,5,23),'Leave log'!$F$7:$F$306,"Pending")&gt;0,"P",""))))</f>
        <v/>
      </c>
      <c r="Y155" s="23" t="str">
        <f>IF(A155="","",IF(IF(OR(DATE($B$3,5,24)&gt;EOMONTH(DATE($B$3,5,1),0),NETWORKDAYS.INTL(DATE($B$3,5,24),DATE($B$3,5,24),1,'Non-working days'!$A$6:$A$45)=0),"",IF(COUNTIFS('Leave log'!$A$7:$A$306,Employees!$A$18,'Leave log'!$B$7:$B$306,"&lt;="&amp;DATE($B$3,5,24),'Leave log'!$C$7:$C$306,"&gt;="&amp;DATE($B$3,5,24),'Leave log'!$F$7:$F$306,"Approved")&gt;0,"A",""))="A","A",IF(OR(DATE($B$3,5,24)&gt;EOMONTH(DATE($B$3,5,1),0),NETWORKDAYS.INTL(DATE($B$3,5,24),DATE($B$3,5,24),1,'Non-working days'!$A$6:$A$45)=0),"",IF(COUNTIFS('Leave log'!$A$7:$A$306,Employees!$A$18,'Leave log'!$B$7:$B$306,"&lt;="&amp;DATE($B$3,5,24),'Leave log'!$C$7:$C$306,"&gt;="&amp;DATE($B$3,5,24),'Leave log'!$F$7:$F$306,"Pending")&gt;0,"P",""))))</f>
        <v/>
      </c>
      <c r="Z155" s="23" t="str">
        <f>IF(A155="","",IF(IF(OR(DATE($B$3,5,25)&gt;EOMONTH(DATE($B$3,5,1),0),NETWORKDAYS.INTL(DATE($B$3,5,25),DATE($B$3,5,25),1,'Non-working days'!$A$6:$A$45)=0),"",IF(COUNTIFS('Leave log'!$A$7:$A$306,Employees!$A$18,'Leave log'!$B$7:$B$306,"&lt;="&amp;DATE($B$3,5,25),'Leave log'!$C$7:$C$306,"&gt;="&amp;DATE($B$3,5,25),'Leave log'!$F$7:$F$306,"Approved")&gt;0,"A",""))="A","A",IF(OR(DATE($B$3,5,25)&gt;EOMONTH(DATE($B$3,5,1),0),NETWORKDAYS.INTL(DATE($B$3,5,25),DATE($B$3,5,25),1,'Non-working days'!$A$6:$A$45)=0),"",IF(COUNTIFS('Leave log'!$A$7:$A$306,Employees!$A$18,'Leave log'!$B$7:$B$306,"&lt;="&amp;DATE($B$3,5,25),'Leave log'!$C$7:$C$306,"&gt;="&amp;DATE($B$3,5,25),'Leave log'!$F$7:$F$306,"Pending")&gt;0,"P",""))))</f>
        <v/>
      </c>
      <c r="AA155" s="23" t="str">
        <f>IF(A155="","",IF(IF(OR(DATE($B$3,5,26)&gt;EOMONTH(DATE($B$3,5,1),0),NETWORKDAYS.INTL(DATE($B$3,5,26),DATE($B$3,5,26),1,'Non-working days'!$A$6:$A$45)=0),"",IF(COUNTIFS('Leave log'!$A$7:$A$306,Employees!$A$18,'Leave log'!$B$7:$B$306,"&lt;="&amp;DATE($B$3,5,26),'Leave log'!$C$7:$C$306,"&gt;="&amp;DATE($B$3,5,26),'Leave log'!$F$7:$F$306,"Approved")&gt;0,"A",""))="A","A",IF(OR(DATE($B$3,5,26)&gt;EOMONTH(DATE($B$3,5,1),0),NETWORKDAYS.INTL(DATE($B$3,5,26),DATE($B$3,5,26),1,'Non-working days'!$A$6:$A$45)=0),"",IF(COUNTIFS('Leave log'!$A$7:$A$306,Employees!$A$18,'Leave log'!$B$7:$B$306,"&lt;="&amp;DATE($B$3,5,26),'Leave log'!$C$7:$C$306,"&gt;="&amp;DATE($B$3,5,26),'Leave log'!$F$7:$F$306,"Pending")&gt;0,"P",""))))</f>
        <v/>
      </c>
      <c r="AB155" s="23" t="str">
        <f>IF(A155="","",IF(IF(OR(DATE($B$3,5,27)&gt;EOMONTH(DATE($B$3,5,1),0),NETWORKDAYS.INTL(DATE($B$3,5,27),DATE($B$3,5,27),1,'Non-working days'!$A$6:$A$45)=0),"",IF(COUNTIFS('Leave log'!$A$7:$A$306,Employees!$A$18,'Leave log'!$B$7:$B$306,"&lt;="&amp;DATE($B$3,5,27),'Leave log'!$C$7:$C$306,"&gt;="&amp;DATE($B$3,5,27),'Leave log'!$F$7:$F$306,"Approved")&gt;0,"A",""))="A","A",IF(OR(DATE($B$3,5,27)&gt;EOMONTH(DATE($B$3,5,1),0),NETWORKDAYS.INTL(DATE($B$3,5,27),DATE($B$3,5,27),1,'Non-working days'!$A$6:$A$45)=0),"",IF(COUNTIFS('Leave log'!$A$7:$A$306,Employees!$A$18,'Leave log'!$B$7:$B$306,"&lt;="&amp;DATE($B$3,5,27),'Leave log'!$C$7:$C$306,"&gt;="&amp;DATE($B$3,5,27),'Leave log'!$F$7:$F$306,"Pending")&gt;0,"P",""))))</f>
        <v/>
      </c>
      <c r="AC155" s="23" t="str">
        <f>IF(A155="","",IF(IF(OR(DATE($B$3,5,28)&gt;EOMONTH(DATE($B$3,5,1),0),NETWORKDAYS.INTL(DATE($B$3,5,28),DATE($B$3,5,28),1,'Non-working days'!$A$6:$A$45)=0),"",IF(COUNTIFS('Leave log'!$A$7:$A$306,Employees!$A$18,'Leave log'!$B$7:$B$306,"&lt;="&amp;DATE($B$3,5,28),'Leave log'!$C$7:$C$306,"&gt;="&amp;DATE($B$3,5,28),'Leave log'!$F$7:$F$306,"Approved")&gt;0,"A",""))="A","A",IF(OR(DATE($B$3,5,28)&gt;EOMONTH(DATE($B$3,5,1),0),NETWORKDAYS.INTL(DATE($B$3,5,28),DATE($B$3,5,28),1,'Non-working days'!$A$6:$A$45)=0),"",IF(COUNTIFS('Leave log'!$A$7:$A$306,Employees!$A$18,'Leave log'!$B$7:$B$306,"&lt;="&amp;DATE($B$3,5,28),'Leave log'!$C$7:$C$306,"&gt;="&amp;DATE($B$3,5,28),'Leave log'!$F$7:$F$306,"Pending")&gt;0,"P",""))))</f>
        <v/>
      </c>
      <c r="AD155" s="23" t="str">
        <f>IF(A155="","",IF(IF(OR(DATE($B$3,5,29)&gt;EOMONTH(DATE($B$3,5,1),0),NETWORKDAYS.INTL(DATE($B$3,5,29),DATE($B$3,5,29),1,'Non-working days'!$A$6:$A$45)=0),"",IF(COUNTIFS('Leave log'!$A$7:$A$306,Employees!$A$18,'Leave log'!$B$7:$B$306,"&lt;="&amp;DATE($B$3,5,29),'Leave log'!$C$7:$C$306,"&gt;="&amp;DATE($B$3,5,29),'Leave log'!$F$7:$F$306,"Approved")&gt;0,"A",""))="A","A",IF(OR(DATE($B$3,5,29)&gt;EOMONTH(DATE($B$3,5,1),0),NETWORKDAYS.INTL(DATE($B$3,5,29),DATE($B$3,5,29),1,'Non-working days'!$A$6:$A$45)=0),"",IF(COUNTIFS('Leave log'!$A$7:$A$306,Employees!$A$18,'Leave log'!$B$7:$B$306,"&lt;="&amp;DATE($B$3,5,29),'Leave log'!$C$7:$C$306,"&gt;="&amp;DATE($B$3,5,29),'Leave log'!$F$7:$F$306,"Pending")&gt;0,"P",""))))</f>
        <v/>
      </c>
      <c r="AE155" s="23" t="str">
        <f>IF(A155="","",IF(IF(OR(DATE($B$3,5,30)&gt;EOMONTH(DATE($B$3,5,1),0),NETWORKDAYS.INTL(DATE($B$3,5,30),DATE($B$3,5,30),1,'Non-working days'!$A$6:$A$45)=0),"",IF(COUNTIFS('Leave log'!$A$7:$A$306,Employees!$A$18,'Leave log'!$B$7:$B$306,"&lt;="&amp;DATE($B$3,5,30),'Leave log'!$C$7:$C$306,"&gt;="&amp;DATE($B$3,5,30),'Leave log'!$F$7:$F$306,"Approved")&gt;0,"A",""))="A","A",IF(OR(DATE($B$3,5,30)&gt;EOMONTH(DATE($B$3,5,1),0),NETWORKDAYS.INTL(DATE($B$3,5,30),DATE($B$3,5,30),1,'Non-working days'!$A$6:$A$45)=0),"",IF(COUNTIFS('Leave log'!$A$7:$A$306,Employees!$A$18,'Leave log'!$B$7:$B$306,"&lt;="&amp;DATE($B$3,5,30),'Leave log'!$C$7:$C$306,"&gt;="&amp;DATE($B$3,5,30),'Leave log'!$F$7:$F$306,"Pending")&gt;0,"P",""))))</f>
        <v/>
      </c>
      <c r="AF155" s="23" t="str">
        <f>IF(A155="","",IF(IF(OR(DATE($B$3,5,31)&gt;EOMONTH(DATE($B$3,5,1),0),NETWORKDAYS.INTL(DATE($B$3,5,31),DATE($B$3,5,31),1,'Non-working days'!$A$6:$A$45)=0),"",IF(COUNTIFS('Leave log'!$A$7:$A$306,Employees!$A$18,'Leave log'!$B$7:$B$306,"&lt;="&amp;DATE($B$3,5,31),'Leave log'!$C$7:$C$306,"&gt;="&amp;DATE($B$3,5,31),'Leave log'!$F$7:$F$306,"Approved")&gt;0,"A",""))="A","A",IF(OR(DATE($B$3,5,31)&gt;EOMONTH(DATE($B$3,5,1),0),NETWORKDAYS.INTL(DATE($B$3,5,31),DATE($B$3,5,31),1,'Non-working days'!$A$6:$A$45)=0),"",IF(COUNTIFS('Leave log'!$A$7:$A$306,Employees!$A$18,'Leave log'!$B$7:$B$306,"&lt;="&amp;DATE($B$3,5,31),'Leave log'!$C$7:$C$306,"&gt;="&amp;DATE($B$3,5,31),'Leave log'!$F$7:$F$306,"Pending")&gt;0,"P",""))))</f>
        <v/>
      </c>
    </row>
    <row r="156" spans="1:32" ht="18" customHeight="1" x14ac:dyDescent="0.3">
      <c r="A156" s="22" t="str">
        <f>IF(Employees!F19="Yes",Employees!B19,"")</f>
        <v/>
      </c>
      <c r="B156" s="23" t="str">
        <f>IF(A156="","",IF(IF(OR(DATE($B$3,5,1)&gt;EOMONTH(DATE($B$3,5,1),0),NETWORKDAYS.INTL(DATE($B$3,5,1),DATE($B$3,5,1),1,'Non-working days'!$A$6:$A$45)=0),"",IF(COUNTIFS('Leave log'!$A$7:$A$306,Employees!$A$19,'Leave log'!$B$7:$B$306,"&lt;="&amp;DATE($B$3,5,1),'Leave log'!$C$7:$C$306,"&gt;="&amp;DATE($B$3,5,1),'Leave log'!$F$7:$F$306,"Approved")&gt;0,"A",""))="A","A",IF(OR(DATE($B$3,5,1)&gt;EOMONTH(DATE($B$3,5,1),0),NETWORKDAYS.INTL(DATE($B$3,5,1),DATE($B$3,5,1),1,'Non-working days'!$A$6:$A$45)=0),"",IF(COUNTIFS('Leave log'!$A$7:$A$306,Employees!$A$19,'Leave log'!$B$7:$B$306,"&lt;="&amp;DATE($B$3,5,1),'Leave log'!$C$7:$C$306,"&gt;="&amp;DATE($B$3,5,1),'Leave log'!$F$7:$F$306,"Pending")&gt;0,"P",""))))</f>
        <v/>
      </c>
      <c r="C156" s="23" t="str">
        <f>IF(A156="","",IF(IF(OR(DATE($B$3,5,2)&gt;EOMONTH(DATE($B$3,5,1),0),NETWORKDAYS.INTL(DATE($B$3,5,2),DATE($B$3,5,2),1,'Non-working days'!$A$6:$A$45)=0),"",IF(COUNTIFS('Leave log'!$A$7:$A$306,Employees!$A$19,'Leave log'!$B$7:$B$306,"&lt;="&amp;DATE($B$3,5,2),'Leave log'!$C$7:$C$306,"&gt;="&amp;DATE($B$3,5,2),'Leave log'!$F$7:$F$306,"Approved")&gt;0,"A",""))="A","A",IF(OR(DATE($B$3,5,2)&gt;EOMONTH(DATE($B$3,5,1),0),NETWORKDAYS.INTL(DATE($B$3,5,2),DATE($B$3,5,2),1,'Non-working days'!$A$6:$A$45)=0),"",IF(COUNTIFS('Leave log'!$A$7:$A$306,Employees!$A$19,'Leave log'!$B$7:$B$306,"&lt;="&amp;DATE($B$3,5,2),'Leave log'!$C$7:$C$306,"&gt;="&amp;DATE($B$3,5,2),'Leave log'!$F$7:$F$306,"Pending")&gt;0,"P",""))))</f>
        <v/>
      </c>
      <c r="D156" s="23" t="str">
        <f>IF(A156="","",IF(IF(OR(DATE($B$3,5,3)&gt;EOMONTH(DATE($B$3,5,1),0),NETWORKDAYS.INTL(DATE($B$3,5,3),DATE($B$3,5,3),1,'Non-working days'!$A$6:$A$45)=0),"",IF(COUNTIFS('Leave log'!$A$7:$A$306,Employees!$A$19,'Leave log'!$B$7:$B$306,"&lt;="&amp;DATE($B$3,5,3),'Leave log'!$C$7:$C$306,"&gt;="&amp;DATE($B$3,5,3),'Leave log'!$F$7:$F$306,"Approved")&gt;0,"A",""))="A","A",IF(OR(DATE($B$3,5,3)&gt;EOMONTH(DATE($B$3,5,1),0),NETWORKDAYS.INTL(DATE($B$3,5,3),DATE($B$3,5,3),1,'Non-working days'!$A$6:$A$45)=0),"",IF(COUNTIFS('Leave log'!$A$7:$A$306,Employees!$A$19,'Leave log'!$B$7:$B$306,"&lt;="&amp;DATE($B$3,5,3),'Leave log'!$C$7:$C$306,"&gt;="&amp;DATE($B$3,5,3),'Leave log'!$F$7:$F$306,"Pending")&gt;0,"P",""))))</f>
        <v/>
      </c>
      <c r="E156" s="23" t="str">
        <f>IF(A156="","",IF(IF(OR(DATE($B$3,5,4)&gt;EOMONTH(DATE($B$3,5,1),0),NETWORKDAYS.INTL(DATE($B$3,5,4),DATE($B$3,5,4),1,'Non-working days'!$A$6:$A$45)=0),"",IF(COUNTIFS('Leave log'!$A$7:$A$306,Employees!$A$19,'Leave log'!$B$7:$B$306,"&lt;="&amp;DATE($B$3,5,4),'Leave log'!$C$7:$C$306,"&gt;="&amp;DATE($B$3,5,4),'Leave log'!$F$7:$F$306,"Approved")&gt;0,"A",""))="A","A",IF(OR(DATE($B$3,5,4)&gt;EOMONTH(DATE($B$3,5,1),0),NETWORKDAYS.INTL(DATE($B$3,5,4),DATE($B$3,5,4),1,'Non-working days'!$A$6:$A$45)=0),"",IF(COUNTIFS('Leave log'!$A$7:$A$306,Employees!$A$19,'Leave log'!$B$7:$B$306,"&lt;="&amp;DATE($B$3,5,4),'Leave log'!$C$7:$C$306,"&gt;="&amp;DATE($B$3,5,4),'Leave log'!$F$7:$F$306,"Pending")&gt;0,"P",""))))</f>
        <v/>
      </c>
      <c r="F156" s="23" t="str">
        <f>IF(A156="","",IF(IF(OR(DATE($B$3,5,5)&gt;EOMONTH(DATE($B$3,5,1),0),NETWORKDAYS.INTL(DATE($B$3,5,5),DATE($B$3,5,5),1,'Non-working days'!$A$6:$A$45)=0),"",IF(COUNTIFS('Leave log'!$A$7:$A$306,Employees!$A$19,'Leave log'!$B$7:$B$306,"&lt;="&amp;DATE($B$3,5,5),'Leave log'!$C$7:$C$306,"&gt;="&amp;DATE($B$3,5,5),'Leave log'!$F$7:$F$306,"Approved")&gt;0,"A",""))="A","A",IF(OR(DATE($B$3,5,5)&gt;EOMONTH(DATE($B$3,5,1),0),NETWORKDAYS.INTL(DATE($B$3,5,5),DATE($B$3,5,5),1,'Non-working days'!$A$6:$A$45)=0),"",IF(COUNTIFS('Leave log'!$A$7:$A$306,Employees!$A$19,'Leave log'!$B$7:$B$306,"&lt;="&amp;DATE($B$3,5,5),'Leave log'!$C$7:$C$306,"&gt;="&amp;DATE($B$3,5,5),'Leave log'!$F$7:$F$306,"Pending")&gt;0,"P",""))))</f>
        <v/>
      </c>
      <c r="G156" s="23" t="str">
        <f>IF(A156="","",IF(IF(OR(DATE($B$3,5,6)&gt;EOMONTH(DATE($B$3,5,1),0),NETWORKDAYS.INTL(DATE($B$3,5,6),DATE($B$3,5,6),1,'Non-working days'!$A$6:$A$45)=0),"",IF(COUNTIFS('Leave log'!$A$7:$A$306,Employees!$A$19,'Leave log'!$B$7:$B$306,"&lt;="&amp;DATE($B$3,5,6),'Leave log'!$C$7:$C$306,"&gt;="&amp;DATE($B$3,5,6),'Leave log'!$F$7:$F$306,"Approved")&gt;0,"A",""))="A","A",IF(OR(DATE($B$3,5,6)&gt;EOMONTH(DATE($B$3,5,1),0),NETWORKDAYS.INTL(DATE($B$3,5,6),DATE($B$3,5,6),1,'Non-working days'!$A$6:$A$45)=0),"",IF(COUNTIFS('Leave log'!$A$7:$A$306,Employees!$A$19,'Leave log'!$B$7:$B$306,"&lt;="&amp;DATE($B$3,5,6),'Leave log'!$C$7:$C$306,"&gt;="&amp;DATE($B$3,5,6),'Leave log'!$F$7:$F$306,"Pending")&gt;0,"P",""))))</f>
        <v/>
      </c>
      <c r="H156" s="23" t="str">
        <f>IF(A156="","",IF(IF(OR(DATE($B$3,5,7)&gt;EOMONTH(DATE($B$3,5,1),0),NETWORKDAYS.INTL(DATE($B$3,5,7),DATE($B$3,5,7),1,'Non-working days'!$A$6:$A$45)=0),"",IF(COUNTIFS('Leave log'!$A$7:$A$306,Employees!$A$19,'Leave log'!$B$7:$B$306,"&lt;="&amp;DATE($B$3,5,7),'Leave log'!$C$7:$C$306,"&gt;="&amp;DATE($B$3,5,7),'Leave log'!$F$7:$F$306,"Approved")&gt;0,"A",""))="A","A",IF(OR(DATE($B$3,5,7)&gt;EOMONTH(DATE($B$3,5,1),0),NETWORKDAYS.INTL(DATE($B$3,5,7),DATE($B$3,5,7),1,'Non-working days'!$A$6:$A$45)=0),"",IF(COUNTIFS('Leave log'!$A$7:$A$306,Employees!$A$19,'Leave log'!$B$7:$B$306,"&lt;="&amp;DATE($B$3,5,7),'Leave log'!$C$7:$C$306,"&gt;="&amp;DATE($B$3,5,7),'Leave log'!$F$7:$F$306,"Pending")&gt;0,"P",""))))</f>
        <v/>
      </c>
      <c r="I156" s="23" t="str">
        <f>IF(A156="","",IF(IF(OR(DATE($B$3,5,8)&gt;EOMONTH(DATE($B$3,5,1),0),NETWORKDAYS.INTL(DATE($B$3,5,8),DATE($B$3,5,8),1,'Non-working days'!$A$6:$A$45)=0),"",IF(COUNTIFS('Leave log'!$A$7:$A$306,Employees!$A$19,'Leave log'!$B$7:$B$306,"&lt;="&amp;DATE($B$3,5,8),'Leave log'!$C$7:$C$306,"&gt;="&amp;DATE($B$3,5,8),'Leave log'!$F$7:$F$306,"Approved")&gt;0,"A",""))="A","A",IF(OR(DATE($B$3,5,8)&gt;EOMONTH(DATE($B$3,5,1),0),NETWORKDAYS.INTL(DATE($B$3,5,8),DATE($B$3,5,8),1,'Non-working days'!$A$6:$A$45)=0),"",IF(COUNTIFS('Leave log'!$A$7:$A$306,Employees!$A$19,'Leave log'!$B$7:$B$306,"&lt;="&amp;DATE($B$3,5,8),'Leave log'!$C$7:$C$306,"&gt;="&amp;DATE($B$3,5,8),'Leave log'!$F$7:$F$306,"Pending")&gt;0,"P",""))))</f>
        <v/>
      </c>
      <c r="J156" s="23" t="str">
        <f>IF(A156="","",IF(IF(OR(DATE($B$3,5,9)&gt;EOMONTH(DATE($B$3,5,1),0),NETWORKDAYS.INTL(DATE($B$3,5,9),DATE($B$3,5,9),1,'Non-working days'!$A$6:$A$45)=0),"",IF(COUNTIFS('Leave log'!$A$7:$A$306,Employees!$A$19,'Leave log'!$B$7:$B$306,"&lt;="&amp;DATE($B$3,5,9),'Leave log'!$C$7:$C$306,"&gt;="&amp;DATE($B$3,5,9),'Leave log'!$F$7:$F$306,"Approved")&gt;0,"A",""))="A","A",IF(OR(DATE($B$3,5,9)&gt;EOMONTH(DATE($B$3,5,1),0),NETWORKDAYS.INTL(DATE($B$3,5,9),DATE($B$3,5,9),1,'Non-working days'!$A$6:$A$45)=0),"",IF(COUNTIFS('Leave log'!$A$7:$A$306,Employees!$A$19,'Leave log'!$B$7:$B$306,"&lt;="&amp;DATE($B$3,5,9),'Leave log'!$C$7:$C$306,"&gt;="&amp;DATE($B$3,5,9),'Leave log'!$F$7:$F$306,"Pending")&gt;0,"P",""))))</f>
        <v/>
      </c>
      <c r="K156" s="23" t="str">
        <f>IF(A156="","",IF(IF(OR(DATE($B$3,5,10)&gt;EOMONTH(DATE($B$3,5,1),0),NETWORKDAYS.INTL(DATE($B$3,5,10),DATE($B$3,5,10),1,'Non-working days'!$A$6:$A$45)=0),"",IF(COUNTIFS('Leave log'!$A$7:$A$306,Employees!$A$19,'Leave log'!$B$7:$B$306,"&lt;="&amp;DATE($B$3,5,10),'Leave log'!$C$7:$C$306,"&gt;="&amp;DATE($B$3,5,10),'Leave log'!$F$7:$F$306,"Approved")&gt;0,"A",""))="A","A",IF(OR(DATE($B$3,5,10)&gt;EOMONTH(DATE($B$3,5,1),0),NETWORKDAYS.INTL(DATE($B$3,5,10),DATE($B$3,5,10),1,'Non-working days'!$A$6:$A$45)=0),"",IF(COUNTIFS('Leave log'!$A$7:$A$306,Employees!$A$19,'Leave log'!$B$7:$B$306,"&lt;="&amp;DATE($B$3,5,10),'Leave log'!$C$7:$C$306,"&gt;="&amp;DATE($B$3,5,10),'Leave log'!$F$7:$F$306,"Pending")&gt;0,"P",""))))</f>
        <v/>
      </c>
      <c r="L156" s="23" t="str">
        <f>IF(A156="","",IF(IF(OR(DATE($B$3,5,11)&gt;EOMONTH(DATE($B$3,5,1),0),NETWORKDAYS.INTL(DATE($B$3,5,11),DATE($B$3,5,11),1,'Non-working days'!$A$6:$A$45)=0),"",IF(COUNTIFS('Leave log'!$A$7:$A$306,Employees!$A$19,'Leave log'!$B$7:$B$306,"&lt;="&amp;DATE($B$3,5,11),'Leave log'!$C$7:$C$306,"&gt;="&amp;DATE($B$3,5,11),'Leave log'!$F$7:$F$306,"Approved")&gt;0,"A",""))="A","A",IF(OR(DATE($B$3,5,11)&gt;EOMONTH(DATE($B$3,5,1),0),NETWORKDAYS.INTL(DATE($B$3,5,11),DATE($B$3,5,11),1,'Non-working days'!$A$6:$A$45)=0),"",IF(COUNTIFS('Leave log'!$A$7:$A$306,Employees!$A$19,'Leave log'!$B$7:$B$306,"&lt;="&amp;DATE($B$3,5,11),'Leave log'!$C$7:$C$306,"&gt;="&amp;DATE($B$3,5,11),'Leave log'!$F$7:$F$306,"Pending")&gt;0,"P",""))))</f>
        <v/>
      </c>
      <c r="M156" s="23" t="str">
        <f>IF(A156="","",IF(IF(OR(DATE($B$3,5,12)&gt;EOMONTH(DATE($B$3,5,1),0),NETWORKDAYS.INTL(DATE($B$3,5,12),DATE($B$3,5,12),1,'Non-working days'!$A$6:$A$45)=0),"",IF(COUNTIFS('Leave log'!$A$7:$A$306,Employees!$A$19,'Leave log'!$B$7:$B$306,"&lt;="&amp;DATE($B$3,5,12),'Leave log'!$C$7:$C$306,"&gt;="&amp;DATE($B$3,5,12),'Leave log'!$F$7:$F$306,"Approved")&gt;0,"A",""))="A","A",IF(OR(DATE($B$3,5,12)&gt;EOMONTH(DATE($B$3,5,1),0),NETWORKDAYS.INTL(DATE($B$3,5,12),DATE($B$3,5,12),1,'Non-working days'!$A$6:$A$45)=0),"",IF(COUNTIFS('Leave log'!$A$7:$A$306,Employees!$A$19,'Leave log'!$B$7:$B$306,"&lt;="&amp;DATE($B$3,5,12),'Leave log'!$C$7:$C$306,"&gt;="&amp;DATE($B$3,5,12),'Leave log'!$F$7:$F$306,"Pending")&gt;0,"P",""))))</f>
        <v/>
      </c>
      <c r="N156" s="23" t="str">
        <f>IF(A156="","",IF(IF(OR(DATE($B$3,5,13)&gt;EOMONTH(DATE($B$3,5,1),0),NETWORKDAYS.INTL(DATE($B$3,5,13),DATE($B$3,5,13),1,'Non-working days'!$A$6:$A$45)=0),"",IF(COUNTIFS('Leave log'!$A$7:$A$306,Employees!$A$19,'Leave log'!$B$7:$B$306,"&lt;="&amp;DATE($B$3,5,13),'Leave log'!$C$7:$C$306,"&gt;="&amp;DATE($B$3,5,13),'Leave log'!$F$7:$F$306,"Approved")&gt;0,"A",""))="A","A",IF(OR(DATE($B$3,5,13)&gt;EOMONTH(DATE($B$3,5,1),0),NETWORKDAYS.INTL(DATE($B$3,5,13),DATE($B$3,5,13),1,'Non-working days'!$A$6:$A$45)=0),"",IF(COUNTIFS('Leave log'!$A$7:$A$306,Employees!$A$19,'Leave log'!$B$7:$B$306,"&lt;="&amp;DATE($B$3,5,13),'Leave log'!$C$7:$C$306,"&gt;="&amp;DATE($B$3,5,13),'Leave log'!$F$7:$F$306,"Pending")&gt;0,"P",""))))</f>
        <v/>
      </c>
      <c r="O156" s="23" t="str">
        <f>IF(A156="","",IF(IF(OR(DATE($B$3,5,14)&gt;EOMONTH(DATE($B$3,5,1),0),NETWORKDAYS.INTL(DATE($B$3,5,14),DATE($B$3,5,14),1,'Non-working days'!$A$6:$A$45)=0),"",IF(COUNTIFS('Leave log'!$A$7:$A$306,Employees!$A$19,'Leave log'!$B$7:$B$306,"&lt;="&amp;DATE($B$3,5,14),'Leave log'!$C$7:$C$306,"&gt;="&amp;DATE($B$3,5,14),'Leave log'!$F$7:$F$306,"Approved")&gt;0,"A",""))="A","A",IF(OR(DATE($B$3,5,14)&gt;EOMONTH(DATE($B$3,5,1),0),NETWORKDAYS.INTL(DATE($B$3,5,14),DATE($B$3,5,14),1,'Non-working days'!$A$6:$A$45)=0),"",IF(COUNTIFS('Leave log'!$A$7:$A$306,Employees!$A$19,'Leave log'!$B$7:$B$306,"&lt;="&amp;DATE($B$3,5,14),'Leave log'!$C$7:$C$306,"&gt;="&amp;DATE($B$3,5,14),'Leave log'!$F$7:$F$306,"Pending")&gt;0,"P",""))))</f>
        <v/>
      </c>
      <c r="P156" s="23" t="str">
        <f>IF(A156="","",IF(IF(OR(DATE($B$3,5,15)&gt;EOMONTH(DATE($B$3,5,1),0),NETWORKDAYS.INTL(DATE($B$3,5,15),DATE($B$3,5,15),1,'Non-working days'!$A$6:$A$45)=0),"",IF(COUNTIFS('Leave log'!$A$7:$A$306,Employees!$A$19,'Leave log'!$B$7:$B$306,"&lt;="&amp;DATE($B$3,5,15),'Leave log'!$C$7:$C$306,"&gt;="&amp;DATE($B$3,5,15),'Leave log'!$F$7:$F$306,"Approved")&gt;0,"A",""))="A","A",IF(OR(DATE($B$3,5,15)&gt;EOMONTH(DATE($B$3,5,1),0),NETWORKDAYS.INTL(DATE($B$3,5,15),DATE($B$3,5,15),1,'Non-working days'!$A$6:$A$45)=0),"",IF(COUNTIFS('Leave log'!$A$7:$A$306,Employees!$A$19,'Leave log'!$B$7:$B$306,"&lt;="&amp;DATE($B$3,5,15),'Leave log'!$C$7:$C$306,"&gt;="&amp;DATE($B$3,5,15),'Leave log'!$F$7:$F$306,"Pending")&gt;0,"P",""))))</f>
        <v/>
      </c>
      <c r="Q156" s="23" t="str">
        <f>IF(A156="","",IF(IF(OR(DATE($B$3,5,16)&gt;EOMONTH(DATE($B$3,5,1),0),NETWORKDAYS.INTL(DATE($B$3,5,16),DATE($B$3,5,16),1,'Non-working days'!$A$6:$A$45)=0),"",IF(COUNTIFS('Leave log'!$A$7:$A$306,Employees!$A$19,'Leave log'!$B$7:$B$306,"&lt;="&amp;DATE($B$3,5,16),'Leave log'!$C$7:$C$306,"&gt;="&amp;DATE($B$3,5,16),'Leave log'!$F$7:$F$306,"Approved")&gt;0,"A",""))="A","A",IF(OR(DATE($B$3,5,16)&gt;EOMONTH(DATE($B$3,5,1),0),NETWORKDAYS.INTL(DATE($B$3,5,16),DATE($B$3,5,16),1,'Non-working days'!$A$6:$A$45)=0),"",IF(COUNTIFS('Leave log'!$A$7:$A$306,Employees!$A$19,'Leave log'!$B$7:$B$306,"&lt;="&amp;DATE($B$3,5,16),'Leave log'!$C$7:$C$306,"&gt;="&amp;DATE($B$3,5,16),'Leave log'!$F$7:$F$306,"Pending")&gt;0,"P",""))))</f>
        <v/>
      </c>
      <c r="R156" s="23" t="str">
        <f>IF(A156="","",IF(IF(OR(DATE($B$3,5,17)&gt;EOMONTH(DATE($B$3,5,1),0),NETWORKDAYS.INTL(DATE($B$3,5,17),DATE($B$3,5,17),1,'Non-working days'!$A$6:$A$45)=0),"",IF(COUNTIFS('Leave log'!$A$7:$A$306,Employees!$A$19,'Leave log'!$B$7:$B$306,"&lt;="&amp;DATE($B$3,5,17),'Leave log'!$C$7:$C$306,"&gt;="&amp;DATE($B$3,5,17),'Leave log'!$F$7:$F$306,"Approved")&gt;0,"A",""))="A","A",IF(OR(DATE($B$3,5,17)&gt;EOMONTH(DATE($B$3,5,1),0),NETWORKDAYS.INTL(DATE($B$3,5,17),DATE($B$3,5,17),1,'Non-working days'!$A$6:$A$45)=0),"",IF(COUNTIFS('Leave log'!$A$7:$A$306,Employees!$A$19,'Leave log'!$B$7:$B$306,"&lt;="&amp;DATE($B$3,5,17),'Leave log'!$C$7:$C$306,"&gt;="&amp;DATE($B$3,5,17),'Leave log'!$F$7:$F$306,"Pending")&gt;0,"P",""))))</f>
        <v/>
      </c>
      <c r="S156" s="23" t="str">
        <f>IF(A156="","",IF(IF(OR(DATE($B$3,5,18)&gt;EOMONTH(DATE($B$3,5,1),0),NETWORKDAYS.INTL(DATE($B$3,5,18),DATE($B$3,5,18),1,'Non-working days'!$A$6:$A$45)=0),"",IF(COUNTIFS('Leave log'!$A$7:$A$306,Employees!$A$19,'Leave log'!$B$7:$B$306,"&lt;="&amp;DATE($B$3,5,18),'Leave log'!$C$7:$C$306,"&gt;="&amp;DATE($B$3,5,18),'Leave log'!$F$7:$F$306,"Approved")&gt;0,"A",""))="A","A",IF(OR(DATE($B$3,5,18)&gt;EOMONTH(DATE($B$3,5,1),0),NETWORKDAYS.INTL(DATE($B$3,5,18),DATE($B$3,5,18),1,'Non-working days'!$A$6:$A$45)=0),"",IF(COUNTIFS('Leave log'!$A$7:$A$306,Employees!$A$19,'Leave log'!$B$7:$B$306,"&lt;="&amp;DATE($B$3,5,18),'Leave log'!$C$7:$C$306,"&gt;="&amp;DATE($B$3,5,18),'Leave log'!$F$7:$F$306,"Pending")&gt;0,"P",""))))</f>
        <v/>
      </c>
      <c r="T156" s="23" t="str">
        <f>IF(A156="","",IF(IF(OR(DATE($B$3,5,19)&gt;EOMONTH(DATE($B$3,5,1),0),NETWORKDAYS.INTL(DATE($B$3,5,19),DATE($B$3,5,19),1,'Non-working days'!$A$6:$A$45)=0),"",IF(COUNTIFS('Leave log'!$A$7:$A$306,Employees!$A$19,'Leave log'!$B$7:$B$306,"&lt;="&amp;DATE($B$3,5,19),'Leave log'!$C$7:$C$306,"&gt;="&amp;DATE($B$3,5,19),'Leave log'!$F$7:$F$306,"Approved")&gt;0,"A",""))="A","A",IF(OR(DATE($B$3,5,19)&gt;EOMONTH(DATE($B$3,5,1),0),NETWORKDAYS.INTL(DATE($B$3,5,19),DATE($B$3,5,19),1,'Non-working days'!$A$6:$A$45)=0),"",IF(COUNTIFS('Leave log'!$A$7:$A$306,Employees!$A$19,'Leave log'!$B$7:$B$306,"&lt;="&amp;DATE($B$3,5,19),'Leave log'!$C$7:$C$306,"&gt;="&amp;DATE($B$3,5,19),'Leave log'!$F$7:$F$306,"Pending")&gt;0,"P",""))))</f>
        <v/>
      </c>
      <c r="U156" s="23" t="str">
        <f>IF(A156="","",IF(IF(OR(DATE($B$3,5,20)&gt;EOMONTH(DATE($B$3,5,1),0),NETWORKDAYS.INTL(DATE($B$3,5,20),DATE($B$3,5,20),1,'Non-working days'!$A$6:$A$45)=0),"",IF(COUNTIFS('Leave log'!$A$7:$A$306,Employees!$A$19,'Leave log'!$B$7:$B$306,"&lt;="&amp;DATE($B$3,5,20),'Leave log'!$C$7:$C$306,"&gt;="&amp;DATE($B$3,5,20),'Leave log'!$F$7:$F$306,"Approved")&gt;0,"A",""))="A","A",IF(OR(DATE($B$3,5,20)&gt;EOMONTH(DATE($B$3,5,1),0),NETWORKDAYS.INTL(DATE($B$3,5,20),DATE($B$3,5,20),1,'Non-working days'!$A$6:$A$45)=0),"",IF(COUNTIFS('Leave log'!$A$7:$A$306,Employees!$A$19,'Leave log'!$B$7:$B$306,"&lt;="&amp;DATE($B$3,5,20),'Leave log'!$C$7:$C$306,"&gt;="&amp;DATE($B$3,5,20),'Leave log'!$F$7:$F$306,"Pending")&gt;0,"P",""))))</f>
        <v/>
      </c>
      <c r="V156" s="23" t="str">
        <f>IF(A156="","",IF(IF(OR(DATE($B$3,5,21)&gt;EOMONTH(DATE($B$3,5,1),0),NETWORKDAYS.INTL(DATE($B$3,5,21),DATE($B$3,5,21),1,'Non-working days'!$A$6:$A$45)=0),"",IF(COUNTIFS('Leave log'!$A$7:$A$306,Employees!$A$19,'Leave log'!$B$7:$B$306,"&lt;="&amp;DATE($B$3,5,21),'Leave log'!$C$7:$C$306,"&gt;="&amp;DATE($B$3,5,21),'Leave log'!$F$7:$F$306,"Approved")&gt;0,"A",""))="A","A",IF(OR(DATE($B$3,5,21)&gt;EOMONTH(DATE($B$3,5,1),0),NETWORKDAYS.INTL(DATE($B$3,5,21),DATE($B$3,5,21),1,'Non-working days'!$A$6:$A$45)=0),"",IF(COUNTIFS('Leave log'!$A$7:$A$306,Employees!$A$19,'Leave log'!$B$7:$B$306,"&lt;="&amp;DATE($B$3,5,21),'Leave log'!$C$7:$C$306,"&gt;="&amp;DATE($B$3,5,21),'Leave log'!$F$7:$F$306,"Pending")&gt;0,"P",""))))</f>
        <v/>
      </c>
      <c r="W156" s="23" t="str">
        <f>IF(A156="","",IF(IF(OR(DATE($B$3,5,22)&gt;EOMONTH(DATE($B$3,5,1),0),NETWORKDAYS.INTL(DATE($B$3,5,22),DATE($B$3,5,22),1,'Non-working days'!$A$6:$A$45)=0),"",IF(COUNTIFS('Leave log'!$A$7:$A$306,Employees!$A$19,'Leave log'!$B$7:$B$306,"&lt;="&amp;DATE($B$3,5,22),'Leave log'!$C$7:$C$306,"&gt;="&amp;DATE($B$3,5,22),'Leave log'!$F$7:$F$306,"Approved")&gt;0,"A",""))="A","A",IF(OR(DATE($B$3,5,22)&gt;EOMONTH(DATE($B$3,5,1),0),NETWORKDAYS.INTL(DATE($B$3,5,22),DATE($B$3,5,22),1,'Non-working days'!$A$6:$A$45)=0),"",IF(COUNTIFS('Leave log'!$A$7:$A$306,Employees!$A$19,'Leave log'!$B$7:$B$306,"&lt;="&amp;DATE($B$3,5,22),'Leave log'!$C$7:$C$306,"&gt;="&amp;DATE($B$3,5,22),'Leave log'!$F$7:$F$306,"Pending")&gt;0,"P",""))))</f>
        <v/>
      </c>
      <c r="X156" s="23" t="str">
        <f>IF(A156="","",IF(IF(OR(DATE($B$3,5,23)&gt;EOMONTH(DATE($B$3,5,1),0),NETWORKDAYS.INTL(DATE($B$3,5,23),DATE($B$3,5,23),1,'Non-working days'!$A$6:$A$45)=0),"",IF(COUNTIFS('Leave log'!$A$7:$A$306,Employees!$A$19,'Leave log'!$B$7:$B$306,"&lt;="&amp;DATE($B$3,5,23),'Leave log'!$C$7:$C$306,"&gt;="&amp;DATE($B$3,5,23),'Leave log'!$F$7:$F$306,"Approved")&gt;0,"A",""))="A","A",IF(OR(DATE($B$3,5,23)&gt;EOMONTH(DATE($B$3,5,1),0),NETWORKDAYS.INTL(DATE($B$3,5,23),DATE($B$3,5,23),1,'Non-working days'!$A$6:$A$45)=0),"",IF(COUNTIFS('Leave log'!$A$7:$A$306,Employees!$A$19,'Leave log'!$B$7:$B$306,"&lt;="&amp;DATE($B$3,5,23),'Leave log'!$C$7:$C$306,"&gt;="&amp;DATE($B$3,5,23),'Leave log'!$F$7:$F$306,"Pending")&gt;0,"P",""))))</f>
        <v/>
      </c>
      <c r="Y156" s="23" t="str">
        <f>IF(A156="","",IF(IF(OR(DATE($B$3,5,24)&gt;EOMONTH(DATE($B$3,5,1),0),NETWORKDAYS.INTL(DATE($B$3,5,24),DATE($B$3,5,24),1,'Non-working days'!$A$6:$A$45)=0),"",IF(COUNTIFS('Leave log'!$A$7:$A$306,Employees!$A$19,'Leave log'!$B$7:$B$306,"&lt;="&amp;DATE($B$3,5,24),'Leave log'!$C$7:$C$306,"&gt;="&amp;DATE($B$3,5,24),'Leave log'!$F$7:$F$306,"Approved")&gt;0,"A",""))="A","A",IF(OR(DATE($B$3,5,24)&gt;EOMONTH(DATE($B$3,5,1),0),NETWORKDAYS.INTL(DATE($B$3,5,24),DATE($B$3,5,24),1,'Non-working days'!$A$6:$A$45)=0),"",IF(COUNTIFS('Leave log'!$A$7:$A$306,Employees!$A$19,'Leave log'!$B$7:$B$306,"&lt;="&amp;DATE($B$3,5,24),'Leave log'!$C$7:$C$306,"&gt;="&amp;DATE($B$3,5,24),'Leave log'!$F$7:$F$306,"Pending")&gt;0,"P",""))))</f>
        <v/>
      </c>
      <c r="Z156" s="23" t="str">
        <f>IF(A156="","",IF(IF(OR(DATE($B$3,5,25)&gt;EOMONTH(DATE($B$3,5,1),0),NETWORKDAYS.INTL(DATE($B$3,5,25),DATE($B$3,5,25),1,'Non-working days'!$A$6:$A$45)=0),"",IF(COUNTIFS('Leave log'!$A$7:$A$306,Employees!$A$19,'Leave log'!$B$7:$B$306,"&lt;="&amp;DATE($B$3,5,25),'Leave log'!$C$7:$C$306,"&gt;="&amp;DATE($B$3,5,25),'Leave log'!$F$7:$F$306,"Approved")&gt;0,"A",""))="A","A",IF(OR(DATE($B$3,5,25)&gt;EOMONTH(DATE($B$3,5,1),0),NETWORKDAYS.INTL(DATE($B$3,5,25),DATE($B$3,5,25),1,'Non-working days'!$A$6:$A$45)=0),"",IF(COUNTIFS('Leave log'!$A$7:$A$306,Employees!$A$19,'Leave log'!$B$7:$B$306,"&lt;="&amp;DATE($B$3,5,25),'Leave log'!$C$7:$C$306,"&gt;="&amp;DATE($B$3,5,25),'Leave log'!$F$7:$F$306,"Pending")&gt;0,"P",""))))</f>
        <v/>
      </c>
      <c r="AA156" s="23" t="str">
        <f>IF(A156="","",IF(IF(OR(DATE($B$3,5,26)&gt;EOMONTH(DATE($B$3,5,1),0),NETWORKDAYS.INTL(DATE($B$3,5,26),DATE($B$3,5,26),1,'Non-working days'!$A$6:$A$45)=0),"",IF(COUNTIFS('Leave log'!$A$7:$A$306,Employees!$A$19,'Leave log'!$B$7:$B$306,"&lt;="&amp;DATE($B$3,5,26),'Leave log'!$C$7:$C$306,"&gt;="&amp;DATE($B$3,5,26),'Leave log'!$F$7:$F$306,"Approved")&gt;0,"A",""))="A","A",IF(OR(DATE($B$3,5,26)&gt;EOMONTH(DATE($B$3,5,1),0),NETWORKDAYS.INTL(DATE($B$3,5,26),DATE($B$3,5,26),1,'Non-working days'!$A$6:$A$45)=0),"",IF(COUNTIFS('Leave log'!$A$7:$A$306,Employees!$A$19,'Leave log'!$B$7:$B$306,"&lt;="&amp;DATE($B$3,5,26),'Leave log'!$C$7:$C$306,"&gt;="&amp;DATE($B$3,5,26),'Leave log'!$F$7:$F$306,"Pending")&gt;0,"P",""))))</f>
        <v/>
      </c>
      <c r="AB156" s="23" t="str">
        <f>IF(A156="","",IF(IF(OR(DATE($B$3,5,27)&gt;EOMONTH(DATE($B$3,5,1),0),NETWORKDAYS.INTL(DATE($B$3,5,27),DATE($B$3,5,27),1,'Non-working days'!$A$6:$A$45)=0),"",IF(COUNTIFS('Leave log'!$A$7:$A$306,Employees!$A$19,'Leave log'!$B$7:$B$306,"&lt;="&amp;DATE($B$3,5,27),'Leave log'!$C$7:$C$306,"&gt;="&amp;DATE($B$3,5,27),'Leave log'!$F$7:$F$306,"Approved")&gt;0,"A",""))="A","A",IF(OR(DATE($B$3,5,27)&gt;EOMONTH(DATE($B$3,5,1),0),NETWORKDAYS.INTL(DATE($B$3,5,27),DATE($B$3,5,27),1,'Non-working days'!$A$6:$A$45)=0),"",IF(COUNTIFS('Leave log'!$A$7:$A$306,Employees!$A$19,'Leave log'!$B$7:$B$306,"&lt;="&amp;DATE($B$3,5,27),'Leave log'!$C$7:$C$306,"&gt;="&amp;DATE($B$3,5,27),'Leave log'!$F$7:$F$306,"Pending")&gt;0,"P",""))))</f>
        <v/>
      </c>
      <c r="AC156" s="23" t="str">
        <f>IF(A156="","",IF(IF(OR(DATE($B$3,5,28)&gt;EOMONTH(DATE($B$3,5,1),0),NETWORKDAYS.INTL(DATE($B$3,5,28),DATE($B$3,5,28),1,'Non-working days'!$A$6:$A$45)=0),"",IF(COUNTIFS('Leave log'!$A$7:$A$306,Employees!$A$19,'Leave log'!$B$7:$B$306,"&lt;="&amp;DATE($B$3,5,28),'Leave log'!$C$7:$C$306,"&gt;="&amp;DATE($B$3,5,28),'Leave log'!$F$7:$F$306,"Approved")&gt;0,"A",""))="A","A",IF(OR(DATE($B$3,5,28)&gt;EOMONTH(DATE($B$3,5,1),0),NETWORKDAYS.INTL(DATE($B$3,5,28),DATE($B$3,5,28),1,'Non-working days'!$A$6:$A$45)=0),"",IF(COUNTIFS('Leave log'!$A$7:$A$306,Employees!$A$19,'Leave log'!$B$7:$B$306,"&lt;="&amp;DATE($B$3,5,28),'Leave log'!$C$7:$C$306,"&gt;="&amp;DATE($B$3,5,28),'Leave log'!$F$7:$F$306,"Pending")&gt;0,"P",""))))</f>
        <v/>
      </c>
      <c r="AD156" s="23" t="str">
        <f>IF(A156="","",IF(IF(OR(DATE($B$3,5,29)&gt;EOMONTH(DATE($B$3,5,1),0),NETWORKDAYS.INTL(DATE($B$3,5,29),DATE($B$3,5,29),1,'Non-working days'!$A$6:$A$45)=0),"",IF(COUNTIFS('Leave log'!$A$7:$A$306,Employees!$A$19,'Leave log'!$B$7:$B$306,"&lt;="&amp;DATE($B$3,5,29),'Leave log'!$C$7:$C$306,"&gt;="&amp;DATE($B$3,5,29),'Leave log'!$F$7:$F$306,"Approved")&gt;0,"A",""))="A","A",IF(OR(DATE($B$3,5,29)&gt;EOMONTH(DATE($B$3,5,1),0),NETWORKDAYS.INTL(DATE($B$3,5,29),DATE($B$3,5,29),1,'Non-working days'!$A$6:$A$45)=0),"",IF(COUNTIFS('Leave log'!$A$7:$A$306,Employees!$A$19,'Leave log'!$B$7:$B$306,"&lt;="&amp;DATE($B$3,5,29),'Leave log'!$C$7:$C$306,"&gt;="&amp;DATE($B$3,5,29),'Leave log'!$F$7:$F$306,"Pending")&gt;0,"P",""))))</f>
        <v/>
      </c>
      <c r="AE156" s="23" t="str">
        <f>IF(A156="","",IF(IF(OR(DATE($B$3,5,30)&gt;EOMONTH(DATE($B$3,5,1),0),NETWORKDAYS.INTL(DATE($B$3,5,30),DATE($B$3,5,30),1,'Non-working days'!$A$6:$A$45)=0),"",IF(COUNTIFS('Leave log'!$A$7:$A$306,Employees!$A$19,'Leave log'!$B$7:$B$306,"&lt;="&amp;DATE($B$3,5,30),'Leave log'!$C$7:$C$306,"&gt;="&amp;DATE($B$3,5,30),'Leave log'!$F$7:$F$306,"Approved")&gt;0,"A",""))="A","A",IF(OR(DATE($B$3,5,30)&gt;EOMONTH(DATE($B$3,5,1),0),NETWORKDAYS.INTL(DATE($B$3,5,30),DATE($B$3,5,30),1,'Non-working days'!$A$6:$A$45)=0),"",IF(COUNTIFS('Leave log'!$A$7:$A$306,Employees!$A$19,'Leave log'!$B$7:$B$306,"&lt;="&amp;DATE($B$3,5,30),'Leave log'!$C$7:$C$306,"&gt;="&amp;DATE($B$3,5,30),'Leave log'!$F$7:$F$306,"Pending")&gt;0,"P",""))))</f>
        <v/>
      </c>
      <c r="AF156" s="23" t="str">
        <f>IF(A156="","",IF(IF(OR(DATE($B$3,5,31)&gt;EOMONTH(DATE($B$3,5,1),0),NETWORKDAYS.INTL(DATE($B$3,5,31),DATE($B$3,5,31),1,'Non-working days'!$A$6:$A$45)=0),"",IF(COUNTIFS('Leave log'!$A$7:$A$306,Employees!$A$19,'Leave log'!$B$7:$B$306,"&lt;="&amp;DATE($B$3,5,31),'Leave log'!$C$7:$C$306,"&gt;="&amp;DATE($B$3,5,31),'Leave log'!$F$7:$F$306,"Approved")&gt;0,"A",""))="A","A",IF(OR(DATE($B$3,5,31)&gt;EOMONTH(DATE($B$3,5,1),0),NETWORKDAYS.INTL(DATE($B$3,5,31),DATE($B$3,5,31),1,'Non-working days'!$A$6:$A$45)=0),"",IF(COUNTIFS('Leave log'!$A$7:$A$306,Employees!$A$19,'Leave log'!$B$7:$B$306,"&lt;="&amp;DATE($B$3,5,31),'Leave log'!$C$7:$C$306,"&gt;="&amp;DATE($B$3,5,31),'Leave log'!$F$7:$F$306,"Pending")&gt;0,"P",""))))</f>
        <v/>
      </c>
    </row>
    <row r="157" spans="1:32" ht="18" customHeight="1" x14ac:dyDescent="0.3">
      <c r="A157" s="22" t="str">
        <f>IF(Employees!F20="Yes",Employees!B20,"")</f>
        <v/>
      </c>
      <c r="B157" s="23" t="str">
        <f>IF(A157="","",IF(IF(OR(DATE($B$3,5,1)&gt;EOMONTH(DATE($B$3,5,1),0),NETWORKDAYS.INTL(DATE($B$3,5,1),DATE($B$3,5,1),1,'Non-working days'!$A$6:$A$45)=0),"",IF(COUNTIFS('Leave log'!$A$7:$A$306,Employees!$A$20,'Leave log'!$B$7:$B$306,"&lt;="&amp;DATE($B$3,5,1),'Leave log'!$C$7:$C$306,"&gt;="&amp;DATE($B$3,5,1),'Leave log'!$F$7:$F$306,"Approved")&gt;0,"A",""))="A","A",IF(OR(DATE($B$3,5,1)&gt;EOMONTH(DATE($B$3,5,1),0),NETWORKDAYS.INTL(DATE($B$3,5,1),DATE($B$3,5,1),1,'Non-working days'!$A$6:$A$45)=0),"",IF(COUNTIFS('Leave log'!$A$7:$A$306,Employees!$A$20,'Leave log'!$B$7:$B$306,"&lt;="&amp;DATE($B$3,5,1),'Leave log'!$C$7:$C$306,"&gt;="&amp;DATE($B$3,5,1),'Leave log'!$F$7:$F$306,"Pending")&gt;0,"P",""))))</f>
        <v/>
      </c>
      <c r="C157" s="23" t="str">
        <f>IF(A157="","",IF(IF(OR(DATE($B$3,5,2)&gt;EOMONTH(DATE($B$3,5,1),0),NETWORKDAYS.INTL(DATE($B$3,5,2),DATE($B$3,5,2),1,'Non-working days'!$A$6:$A$45)=0),"",IF(COUNTIFS('Leave log'!$A$7:$A$306,Employees!$A$20,'Leave log'!$B$7:$B$306,"&lt;="&amp;DATE($B$3,5,2),'Leave log'!$C$7:$C$306,"&gt;="&amp;DATE($B$3,5,2),'Leave log'!$F$7:$F$306,"Approved")&gt;0,"A",""))="A","A",IF(OR(DATE($B$3,5,2)&gt;EOMONTH(DATE($B$3,5,1),0),NETWORKDAYS.INTL(DATE($B$3,5,2),DATE($B$3,5,2),1,'Non-working days'!$A$6:$A$45)=0),"",IF(COUNTIFS('Leave log'!$A$7:$A$306,Employees!$A$20,'Leave log'!$B$7:$B$306,"&lt;="&amp;DATE($B$3,5,2),'Leave log'!$C$7:$C$306,"&gt;="&amp;DATE($B$3,5,2),'Leave log'!$F$7:$F$306,"Pending")&gt;0,"P",""))))</f>
        <v/>
      </c>
      <c r="D157" s="23" t="str">
        <f>IF(A157="","",IF(IF(OR(DATE($B$3,5,3)&gt;EOMONTH(DATE($B$3,5,1),0),NETWORKDAYS.INTL(DATE($B$3,5,3),DATE($B$3,5,3),1,'Non-working days'!$A$6:$A$45)=0),"",IF(COUNTIFS('Leave log'!$A$7:$A$306,Employees!$A$20,'Leave log'!$B$7:$B$306,"&lt;="&amp;DATE($B$3,5,3),'Leave log'!$C$7:$C$306,"&gt;="&amp;DATE($B$3,5,3),'Leave log'!$F$7:$F$306,"Approved")&gt;0,"A",""))="A","A",IF(OR(DATE($B$3,5,3)&gt;EOMONTH(DATE($B$3,5,1),0),NETWORKDAYS.INTL(DATE($B$3,5,3),DATE($B$3,5,3),1,'Non-working days'!$A$6:$A$45)=0),"",IF(COUNTIFS('Leave log'!$A$7:$A$306,Employees!$A$20,'Leave log'!$B$7:$B$306,"&lt;="&amp;DATE($B$3,5,3),'Leave log'!$C$7:$C$306,"&gt;="&amp;DATE($B$3,5,3),'Leave log'!$F$7:$F$306,"Pending")&gt;0,"P",""))))</f>
        <v/>
      </c>
      <c r="E157" s="23" t="str">
        <f>IF(A157="","",IF(IF(OR(DATE($B$3,5,4)&gt;EOMONTH(DATE($B$3,5,1),0),NETWORKDAYS.INTL(DATE($B$3,5,4),DATE($B$3,5,4),1,'Non-working days'!$A$6:$A$45)=0),"",IF(COUNTIFS('Leave log'!$A$7:$A$306,Employees!$A$20,'Leave log'!$B$7:$B$306,"&lt;="&amp;DATE($B$3,5,4),'Leave log'!$C$7:$C$306,"&gt;="&amp;DATE($B$3,5,4),'Leave log'!$F$7:$F$306,"Approved")&gt;0,"A",""))="A","A",IF(OR(DATE($B$3,5,4)&gt;EOMONTH(DATE($B$3,5,1),0),NETWORKDAYS.INTL(DATE($B$3,5,4),DATE($B$3,5,4),1,'Non-working days'!$A$6:$A$45)=0),"",IF(COUNTIFS('Leave log'!$A$7:$A$306,Employees!$A$20,'Leave log'!$B$7:$B$306,"&lt;="&amp;DATE($B$3,5,4),'Leave log'!$C$7:$C$306,"&gt;="&amp;DATE($B$3,5,4),'Leave log'!$F$7:$F$306,"Pending")&gt;0,"P",""))))</f>
        <v/>
      </c>
      <c r="F157" s="23" t="str">
        <f>IF(A157="","",IF(IF(OR(DATE($B$3,5,5)&gt;EOMONTH(DATE($B$3,5,1),0),NETWORKDAYS.INTL(DATE($B$3,5,5),DATE($B$3,5,5),1,'Non-working days'!$A$6:$A$45)=0),"",IF(COUNTIFS('Leave log'!$A$7:$A$306,Employees!$A$20,'Leave log'!$B$7:$B$306,"&lt;="&amp;DATE($B$3,5,5),'Leave log'!$C$7:$C$306,"&gt;="&amp;DATE($B$3,5,5),'Leave log'!$F$7:$F$306,"Approved")&gt;0,"A",""))="A","A",IF(OR(DATE($B$3,5,5)&gt;EOMONTH(DATE($B$3,5,1),0),NETWORKDAYS.INTL(DATE($B$3,5,5),DATE($B$3,5,5),1,'Non-working days'!$A$6:$A$45)=0),"",IF(COUNTIFS('Leave log'!$A$7:$A$306,Employees!$A$20,'Leave log'!$B$7:$B$306,"&lt;="&amp;DATE($B$3,5,5),'Leave log'!$C$7:$C$306,"&gt;="&amp;DATE($B$3,5,5),'Leave log'!$F$7:$F$306,"Pending")&gt;0,"P",""))))</f>
        <v/>
      </c>
      <c r="G157" s="23" t="str">
        <f>IF(A157="","",IF(IF(OR(DATE($B$3,5,6)&gt;EOMONTH(DATE($B$3,5,1),0),NETWORKDAYS.INTL(DATE($B$3,5,6),DATE($B$3,5,6),1,'Non-working days'!$A$6:$A$45)=0),"",IF(COUNTIFS('Leave log'!$A$7:$A$306,Employees!$A$20,'Leave log'!$B$7:$B$306,"&lt;="&amp;DATE($B$3,5,6),'Leave log'!$C$7:$C$306,"&gt;="&amp;DATE($B$3,5,6),'Leave log'!$F$7:$F$306,"Approved")&gt;0,"A",""))="A","A",IF(OR(DATE($B$3,5,6)&gt;EOMONTH(DATE($B$3,5,1),0),NETWORKDAYS.INTL(DATE($B$3,5,6),DATE($B$3,5,6),1,'Non-working days'!$A$6:$A$45)=0),"",IF(COUNTIFS('Leave log'!$A$7:$A$306,Employees!$A$20,'Leave log'!$B$7:$B$306,"&lt;="&amp;DATE($B$3,5,6),'Leave log'!$C$7:$C$306,"&gt;="&amp;DATE($B$3,5,6),'Leave log'!$F$7:$F$306,"Pending")&gt;0,"P",""))))</f>
        <v/>
      </c>
      <c r="H157" s="23" t="str">
        <f>IF(A157="","",IF(IF(OR(DATE($B$3,5,7)&gt;EOMONTH(DATE($B$3,5,1),0),NETWORKDAYS.INTL(DATE($B$3,5,7),DATE($B$3,5,7),1,'Non-working days'!$A$6:$A$45)=0),"",IF(COUNTIFS('Leave log'!$A$7:$A$306,Employees!$A$20,'Leave log'!$B$7:$B$306,"&lt;="&amp;DATE($B$3,5,7),'Leave log'!$C$7:$C$306,"&gt;="&amp;DATE($B$3,5,7),'Leave log'!$F$7:$F$306,"Approved")&gt;0,"A",""))="A","A",IF(OR(DATE($B$3,5,7)&gt;EOMONTH(DATE($B$3,5,1),0),NETWORKDAYS.INTL(DATE($B$3,5,7),DATE($B$3,5,7),1,'Non-working days'!$A$6:$A$45)=0),"",IF(COUNTIFS('Leave log'!$A$7:$A$306,Employees!$A$20,'Leave log'!$B$7:$B$306,"&lt;="&amp;DATE($B$3,5,7),'Leave log'!$C$7:$C$306,"&gt;="&amp;DATE($B$3,5,7),'Leave log'!$F$7:$F$306,"Pending")&gt;0,"P",""))))</f>
        <v/>
      </c>
      <c r="I157" s="23" t="str">
        <f>IF(A157="","",IF(IF(OR(DATE($B$3,5,8)&gt;EOMONTH(DATE($B$3,5,1),0),NETWORKDAYS.INTL(DATE($B$3,5,8),DATE($B$3,5,8),1,'Non-working days'!$A$6:$A$45)=0),"",IF(COUNTIFS('Leave log'!$A$7:$A$306,Employees!$A$20,'Leave log'!$B$7:$B$306,"&lt;="&amp;DATE($B$3,5,8),'Leave log'!$C$7:$C$306,"&gt;="&amp;DATE($B$3,5,8),'Leave log'!$F$7:$F$306,"Approved")&gt;0,"A",""))="A","A",IF(OR(DATE($B$3,5,8)&gt;EOMONTH(DATE($B$3,5,1),0),NETWORKDAYS.INTL(DATE($B$3,5,8),DATE($B$3,5,8),1,'Non-working days'!$A$6:$A$45)=0),"",IF(COUNTIFS('Leave log'!$A$7:$A$306,Employees!$A$20,'Leave log'!$B$7:$B$306,"&lt;="&amp;DATE($B$3,5,8),'Leave log'!$C$7:$C$306,"&gt;="&amp;DATE($B$3,5,8),'Leave log'!$F$7:$F$306,"Pending")&gt;0,"P",""))))</f>
        <v/>
      </c>
      <c r="J157" s="23" t="str">
        <f>IF(A157="","",IF(IF(OR(DATE($B$3,5,9)&gt;EOMONTH(DATE($B$3,5,1),0),NETWORKDAYS.INTL(DATE($B$3,5,9),DATE($B$3,5,9),1,'Non-working days'!$A$6:$A$45)=0),"",IF(COUNTIFS('Leave log'!$A$7:$A$306,Employees!$A$20,'Leave log'!$B$7:$B$306,"&lt;="&amp;DATE($B$3,5,9),'Leave log'!$C$7:$C$306,"&gt;="&amp;DATE($B$3,5,9),'Leave log'!$F$7:$F$306,"Approved")&gt;0,"A",""))="A","A",IF(OR(DATE($B$3,5,9)&gt;EOMONTH(DATE($B$3,5,1),0),NETWORKDAYS.INTL(DATE($B$3,5,9),DATE($B$3,5,9),1,'Non-working days'!$A$6:$A$45)=0),"",IF(COUNTIFS('Leave log'!$A$7:$A$306,Employees!$A$20,'Leave log'!$B$7:$B$306,"&lt;="&amp;DATE($B$3,5,9),'Leave log'!$C$7:$C$306,"&gt;="&amp;DATE($B$3,5,9),'Leave log'!$F$7:$F$306,"Pending")&gt;0,"P",""))))</f>
        <v/>
      </c>
      <c r="K157" s="23" t="str">
        <f>IF(A157="","",IF(IF(OR(DATE($B$3,5,10)&gt;EOMONTH(DATE($B$3,5,1),0),NETWORKDAYS.INTL(DATE($B$3,5,10),DATE($B$3,5,10),1,'Non-working days'!$A$6:$A$45)=0),"",IF(COUNTIFS('Leave log'!$A$7:$A$306,Employees!$A$20,'Leave log'!$B$7:$B$306,"&lt;="&amp;DATE($B$3,5,10),'Leave log'!$C$7:$C$306,"&gt;="&amp;DATE($B$3,5,10),'Leave log'!$F$7:$F$306,"Approved")&gt;0,"A",""))="A","A",IF(OR(DATE($B$3,5,10)&gt;EOMONTH(DATE($B$3,5,1),0),NETWORKDAYS.INTL(DATE($B$3,5,10),DATE($B$3,5,10),1,'Non-working days'!$A$6:$A$45)=0),"",IF(COUNTIFS('Leave log'!$A$7:$A$306,Employees!$A$20,'Leave log'!$B$7:$B$306,"&lt;="&amp;DATE($B$3,5,10),'Leave log'!$C$7:$C$306,"&gt;="&amp;DATE($B$3,5,10),'Leave log'!$F$7:$F$306,"Pending")&gt;0,"P",""))))</f>
        <v/>
      </c>
      <c r="L157" s="23" t="str">
        <f>IF(A157="","",IF(IF(OR(DATE($B$3,5,11)&gt;EOMONTH(DATE($B$3,5,1),0),NETWORKDAYS.INTL(DATE($B$3,5,11),DATE($B$3,5,11),1,'Non-working days'!$A$6:$A$45)=0),"",IF(COUNTIFS('Leave log'!$A$7:$A$306,Employees!$A$20,'Leave log'!$B$7:$B$306,"&lt;="&amp;DATE($B$3,5,11),'Leave log'!$C$7:$C$306,"&gt;="&amp;DATE($B$3,5,11),'Leave log'!$F$7:$F$306,"Approved")&gt;0,"A",""))="A","A",IF(OR(DATE($B$3,5,11)&gt;EOMONTH(DATE($B$3,5,1),0),NETWORKDAYS.INTL(DATE($B$3,5,11),DATE($B$3,5,11),1,'Non-working days'!$A$6:$A$45)=0),"",IF(COUNTIFS('Leave log'!$A$7:$A$306,Employees!$A$20,'Leave log'!$B$7:$B$306,"&lt;="&amp;DATE($B$3,5,11),'Leave log'!$C$7:$C$306,"&gt;="&amp;DATE($B$3,5,11),'Leave log'!$F$7:$F$306,"Pending")&gt;0,"P",""))))</f>
        <v/>
      </c>
      <c r="M157" s="23" t="str">
        <f>IF(A157="","",IF(IF(OR(DATE($B$3,5,12)&gt;EOMONTH(DATE($B$3,5,1),0),NETWORKDAYS.INTL(DATE($B$3,5,12),DATE($B$3,5,12),1,'Non-working days'!$A$6:$A$45)=0),"",IF(COUNTIFS('Leave log'!$A$7:$A$306,Employees!$A$20,'Leave log'!$B$7:$B$306,"&lt;="&amp;DATE($B$3,5,12),'Leave log'!$C$7:$C$306,"&gt;="&amp;DATE($B$3,5,12),'Leave log'!$F$7:$F$306,"Approved")&gt;0,"A",""))="A","A",IF(OR(DATE($B$3,5,12)&gt;EOMONTH(DATE($B$3,5,1),0),NETWORKDAYS.INTL(DATE($B$3,5,12),DATE($B$3,5,12),1,'Non-working days'!$A$6:$A$45)=0),"",IF(COUNTIFS('Leave log'!$A$7:$A$306,Employees!$A$20,'Leave log'!$B$7:$B$306,"&lt;="&amp;DATE($B$3,5,12),'Leave log'!$C$7:$C$306,"&gt;="&amp;DATE($B$3,5,12),'Leave log'!$F$7:$F$306,"Pending")&gt;0,"P",""))))</f>
        <v/>
      </c>
      <c r="N157" s="23" t="str">
        <f>IF(A157="","",IF(IF(OR(DATE($B$3,5,13)&gt;EOMONTH(DATE($B$3,5,1),0),NETWORKDAYS.INTL(DATE($B$3,5,13),DATE($B$3,5,13),1,'Non-working days'!$A$6:$A$45)=0),"",IF(COUNTIFS('Leave log'!$A$7:$A$306,Employees!$A$20,'Leave log'!$B$7:$B$306,"&lt;="&amp;DATE($B$3,5,13),'Leave log'!$C$7:$C$306,"&gt;="&amp;DATE($B$3,5,13),'Leave log'!$F$7:$F$306,"Approved")&gt;0,"A",""))="A","A",IF(OR(DATE($B$3,5,13)&gt;EOMONTH(DATE($B$3,5,1),0),NETWORKDAYS.INTL(DATE($B$3,5,13),DATE($B$3,5,13),1,'Non-working days'!$A$6:$A$45)=0),"",IF(COUNTIFS('Leave log'!$A$7:$A$306,Employees!$A$20,'Leave log'!$B$7:$B$306,"&lt;="&amp;DATE($B$3,5,13),'Leave log'!$C$7:$C$306,"&gt;="&amp;DATE($B$3,5,13),'Leave log'!$F$7:$F$306,"Pending")&gt;0,"P",""))))</f>
        <v/>
      </c>
      <c r="O157" s="23" t="str">
        <f>IF(A157="","",IF(IF(OR(DATE($B$3,5,14)&gt;EOMONTH(DATE($B$3,5,1),0),NETWORKDAYS.INTL(DATE($B$3,5,14),DATE($B$3,5,14),1,'Non-working days'!$A$6:$A$45)=0),"",IF(COUNTIFS('Leave log'!$A$7:$A$306,Employees!$A$20,'Leave log'!$B$7:$B$306,"&lt;="&amp;DATE($B$3,5,14),'Leave log'!$C$7:$C$306,"&gt;="&amp;DATE($B$3,5,14),'Leave log'!$F$7:$F$306,"Approved")&gt;0,"A",""))="A","A",IF(OR(DATE($B$3,5,14)&gt;EOMONTH(DATE($B$3,5,1),0),NETWORKDAYS.INTL(DATE($B$3,5,14),DATE($B$3,5,14),1,'Non-working days'!$A$6:$A$45)=0),"",IF(COUNTIFS('Leave log'!$A$7:$A$306,Employees!$A$20,'Leave log'!$B$7:$B$306,"&lt;="&amp;DATE($B$3,5,14),'Leave log'!$C$7:$C$306,"&gt;="&amp;DATE($B$3,5,14),'Leave log'!$F$7:$F$306,"Pending")&gt;0,"P",""))))</f>
        <v/>
      </c>
      <c r="P157" s="23" t="str">
        <f>IF(A157="","",IF(IF(OR(DATE($B$3,5,15)&gt;EOMONTH(DATE($B$3,5,1),0),NETWORKDAYS.INTL(DATE($B$3,5,15),DATE($B$3,5,15),1,'Non-working days'!$A$6:$A$45)=0),"",IF(COUNTIFS('Leave log'!$A$7:$A$306,Employees!$A$20,'Leave log'!$B$7:$B$306,"&lt;="&amp;DATE($B$3,5,15),'Leave log'!$C$7:$C$306,"&gt;="&amp;DATE($B$3,5,15),'Leave log'!$F$7:$F$306,"Approved")&gt;0,"A",""))="A","A",IF(OR(DATE($B$3,5,15)&gt;EOMONTH(DATE($B$3,5,1),0),NETWORKDAYS.INTL(DATE($B$3,5,15),DATE($B$3,5,15),1,'Non-working days'!$A$6:$A$45)=0),"",IF(COUNTIFS('Leave log'!$A$7:$A$306,Employees!$A$20,'Leave log'!$B$7:$B$306,"&lt;="&amp;DATE($B$3,5,15),'Leave log'!$C$7:$C$306,"&gt;="&amp;DATE($B$3,5,15),'Leave log'!$F$7:$F$306,"Pending")&gt;0,"P",""))))</f>
        <v/>
      </c>
      <c r="Q157" s="23" t="str">
        <f>IF(A157="","",IF(IF(OR(DATE($B$3,5,16)&gt;EOMONTH(DATE($B$3,5,1),0),NETWORKDAYS.INTL(DATE($B$3,5,16),DATE($B$3,5,16),1,'Non-working days'!$A$6:$A$45)=0),"",IF(COUNTIFS('Leave log'!$A$7:$A$306,Employees!$A$20,'Leave log'!$B$7:$B$306,"&lt;="&amp;DATE($B$3,5,16),'Leave log'!$C$7:$C$306,"&gt;="&amp;DATE($B$3,5,16),'Leave log'!$F$7:$F$306,"Approved")&gt;0,"A",""))="A","A",IF(OR(DATE($B$3,5,16)&gt;EOMONTH(DATE($B$3,5,1),0),NETWORKDAYS.INTL(DATE($B$3,5,16),DATE($B$3,5,16),1,'Non-working days'!$A$6:$A$45)=0),"",IF(COUNTIFS('Leave log'!$A$7:$A$306,Employees!$A$20,'Leave log'!$B$7:$B$306,"&lt;="&amp;DATE($B$3,5,16),'Leave log'!$C$7:$C$306,"&gt;="&amp;DATE($B$3,5,16),'Leave log'!$F$7:$F$306,"Pending")&gt;0,"P",""))))</f>
        <v/>
      </c>
      <c r="R157" s="23" t="str">
        <f>IF(A157="","",IF(IF(OR(DATE($B$3,5,17)&gt;EOMONTH(DATE($B$3,5,1),0),NETWORKDAYS.INTL(DATE($B$3,5,17),DATE($B$3,5,17),1,'Non-working days'!$A$6:$A$45)=0),"",IF(COUNTIFS('Leave log'!$A$7:$A$306,Employees!$A$20,'Leave log'!$B$7:$B$306,"&lt;="&amp;DATE($B$3,5,17),'Leave log'!$C$7:$C$306,"&gt;="&amp;DATE($B$3,5,17),'Leave log'!$F$7:$F$306,"Approved")&gt;0,"A",""))="A","A",IF(OR(DATE($B$3,5,17)&gt;EOMONTH(DATE($B$3,5,1),0),NETWORKDAYS.INTL(DATE($B$3,5,17),DATE($B$3,5,17),1,'Non-working days'!$A$6:$A$45)=0),"",IF(COUNTIFS('Leave log'!$A$7:$A$306,Employees!$A$20,'Leave log'!$B$7:$B$306,"&lt;="&amp;DATE($B$3,5,17),'Leave log'!$C$7:$C$306,"&gt;="&amp;DATE($B$3,5,17),'Leave log'!$F$7:$F$306,"Pending")&gt;0,"P",""))))</f>
        <v/>
      </c>
      <c r="S157" s="23" t="str">
        <f>IF(A157="","",IF(IF(OR(DATE($B$3,5,18)&gt;EOMONTH(DATE($B$3,5,1),0),NETWORKDAYS.INTL(DATE($B$3,5,18),DATE($B$3,5,18),1,'Non-working days'!$A$6:$A$45)=0),"",IF(COUNTIFS('Leave log'!$A$7:$A$306,Employees!$A$20,'Leave log'!$B$7:$B$306,"&lt;="&amp;DATE($B$3,5,18),'Leave log'!$C$7:$C$306,"&gt;="&amp;DATE($B$3,5,18),'Leave log'!$F$7:$F$306,"Approved")&gt;0,"A",""))="A","A",IF(OR(DATE($B$3,5,18)&gt;EOMONTH(DATE($B$3,5,1),0),NETWORKDAYS.INTL(DATE($B$3,5,18),DATE($B$3,5,18),1,'Non-working days'!$A$6:$A$45)=0),"",IF(COUNTIFS('Leave log'!$A$7:$A$306,Employees!$A$20,'Leave log'!$B$7:$B$306,"&lt;="&amp;DATE($B$3,5,18),'Leave log'!$C$7:$C$306,"&gt;="&amp;DATE($B$3,5,18),'Leave log'!$F$7:$F$306,"Pending")&gt;0,"P",""))))</f>
        <v/>
      </c>
      <c r="T157" s="23" t="str">
        <f>IF(A157="","",IF(IF(OR(DATE($B$3,5,19)&gt;EOMONTH(DATE($B$3,5,1),0),NETWORKDAYS.INTL(DATE($B$3,5,19),DATE($B$3,5,19),1,'Non-working days'!$A$6:$A$45)=0),"",IF(COUNTIFS('Leave log'!$A$7:$A$306,Employees!$A$20,'Leave log'!$B$7:$B$306,"&lt;="&amp;DATE($B$3,5,19),'Leave log'!$C$7:$C$306,"&gt;="&amp;DATE($B$3,5,19),'Leave log'!$F$7:$F$306,"Approved")&gt;0,"A",""))="A","A",IF(OR(DATE($B$3,5,19)&gt;EOMONTH(DATE($B$3,5,1),0),NETWORKDAYS.INTL(DATE($B$3,5,19),DATE($B$3,5,19),1,'Non-working days'!$A$6:$A$45)=0),"",IF(COUNTIFS('Leave log'!$A$7:$A$306,Employees!$A$20,'Leave log'!$B$7:$B$306,"&lt;="&amp;DATE($B$3,5,19),'Leave log'!$C$7:$C$306,"&gt;="&amp;DATE($B$3,5,19),'Leave log'!$F$7:$F$306,"Pending")&gt;0,"P",""))))</f>
        <v/>
      </c>
      <c r="U157" s="23" t="str">
        <f>IF(A157="","",IF(IF(OR(DATE($B$3,5,20)&gt;EOMONTH(DATE($B$3,5,1),0),NETWORKDAYS.INTL(DATE($B$3,5,20),DATE($B$3,5,20),1,'Non-working days'!$A$6:$A$45)=0),"",IF(COUNTIFS('Leave log'!$A$7:$A$306,Employees!$A$20,'Leave log'!$B$7:$B$306,"&lt;="&amp;DATE($B$3,5,20),'Leave log'!$C$7:$C$306,"&gt;="&amp;DATE($B$3,5,20),'Leave log'!$F$7:$F$306,"Approved")&gt;0,"A",""))="A","A",IF(OR(DATE($B$3,5,20)&gt;EOMONTH(DATE($B$3,5,1),0),NETWORKDAYS.INTL(DATE($B$3,5,20),DATE($B$3,5,20),1,'Non-working days'!$A$6:$A$45)=0),"",IF(COUNTIFS('Leave log'!$A$7:$A$306,Employees!$A$20,'Leave log'!$B$7:$B$306,"&lt;="&amp;DATE($B$3,5,20),'Leave log'!$C$7:$C$306,"&gt;="&amp;DATE($B$3,5,20),'Leave log'!$F$7:$F$306,"Pending")&gt;0,"P",""))))</f>
        <v/>
      </c>
      <c r="V157" s="23" t="str">
        <f>IF(A157="","",IF(IF(OR(DATE($B$3,5,21)&gt;EOMONTH(DATE($B$3,5,1),0),NETWORKDAYS.INTL(DATE($B$3,5,21),DATE($B$3,5,21),1,'Non-working days'!$A$6:$A$45)=0),"",IF(COUNTIFS('Leave log'!$A$7:$A$306,Employees!$A$20,'Leave log'!$B$7:$B$306,"&lt;="&amp;DATE($B$3,5,21),'Leave log'!$C$7:$C$306,"&gt;="&amp;DATE($B$3,5,21),'Leave log'!$F$7:$F$306,"Approved")&gt;0,"A",""))="A","A",IF(OR(DATE($B$3,5,21)&gt;EOMONTH(DATE($B$3,5,1),0),NETWORKDAYS.INTL(DATE($B$3,5,21),DATE($B$3,5,21),1,'Non-working days'!$A$6:$A$45)=0),"",IF(COUNTIFS('Leave log'!$A$7:$A$306,Employees!$A$20,'Leave log'!$B$7:$B$306,"&lt;="&amp;DATE($B$3,5,21),'Leave log'!$C$7:$C$306,"&gt;="&amp;DATE($B$3,5,21),'Leave log'!$F$7:$F$306,"Pending")&gt;0,"P",""))))</f>
        <v/>
      </c>
      <c r="W157" s="23" t="str">
        <f>IF(A157="","",IF(IF(OR(DATE($B$3,5,22)&gt;EOMONTH(DATE($B$3,5,1),0),NETWORKDAYS.INTL(DATE($B$3,5,22),DATE($B$3,5,22),1,'Non-working days'!$A$6:$A$45)=0),"",IF(COUNTIFS('Leave log'!$A$7:$A$306,Employees!$A$20,'Leave log'!$B$7:$B$306,"&lt;="&amp;DATE($B$3,5,22),'Leave log'!$C$7:$C$306,"&gt;="&amp;DATE($B$3,5,22),'Leave log'!$F$7:$F$306,"Approved")&gt;0,"A",""))="A","A",IF(OR(DATE($B$3,5,22)&gt;EOMONTH(DATE($B$3,5,1),0),NETWORKDAYS.INTL(DATE($B$3,5,22),DATE($B$3,5,22),1,'Non-working days'!$A$6:$A$45)=0),"",IF(COUNTIFS('Leave log'!$A$7:$A$306,Employees!$A$20,'Leave log'!$B$7:$B$306,"&lt;="&amp;DATE($B$3,5,22),'Leave log'!$C$7:$C$306,"&gt;="&amp;DATE($B$3,5,22),'Leave log'!$F$7:$F$306,"Pending")&gt;0,"P",""))))</f>
        <v/>
      </c>
      <c r="X157" s="23" t="str">
        <f>IF(A157="","",IF(IF(OR(DATE($B$3,5,23)&gt;EOMONTH(DATE($B$3,5,1),0),NETWORKDAYS.INTL(DATE($B$3,5,23),DATE($B$3,5,23),1,'Non-working days'!$A$6:$A$45)=0),"",IF(COUNTIFS('Leave log'!$A$7:$A$306,Employees!$A$20,'Leave log'!$B$7:$B$306,"&lt;="&amp;DATE($B$3,5,23),'Leave log'!$C$7:$C$306,"&gt;="&amp;DATE($B$3,5,23),'Leave log'!$F$7:$F$306,"Approved")&gt;0,"A",""))="A","A",IF(OR(DATE($B$3,5,23)&gt;EOMONTH(DATE($B$3,5,1),0),NETWORKDAYS.INTL(DATE($B$3,5,23),DATE($B$3,5,23),1,'Non-working days'!$A$6:$A$45)=0),"",IF(COUNTIFS('Leave log'!$A$7:$A$306,Employees!$A$20,'Leave log'!$B$7:$B$306,"&lt;="&amp;DATE($B$3,5,23),'Leave log'!$C$7:$C$306,"&gt;="&amp;DATE($B$3,5,23),'Leave log'!$F$7:$F$306,"Pending")&gt;0,"P",""))))</f>
        <v/>
      </c>
      <c r="Y157" s="23" t="str">
        <f>IF(A157="","",IF(IF(OR(DATE($B$3,5,24)&gt;EOMONTH(DATE($B$3,5,1),0),NETWORKDAYS.INTL(DATE($B$3,5,24),DATE($B$3,5,24),1,'Non-working days'!$A$6:$A$45)=0),"",IF(COUNTIFS('Leave log'!$A$7:$A$306,Employees!$A$20,'Leave log'!$B$7:$B$306,"&lt;="&amp;DATE($B$3,5,24),'Leave log'!$C$7:$C$306,"&gt;="&amp;DATE($B$3,5,24),'Leave log'!$F$7:$F$306,"Approved")&gt;0,"A",""))="A","A",IF(OR(DATE($B$3,5,24)&gt;EOMONTH(DATE($B$3,5,1),0),NETWORKDAYS.INTL(DATE($B$3,5,24),DATE($B$3,5,24),1,'Non-working days'!$A$6:$A$45)=0),"",IF(COUNTIFS('Leave log'!$A$7:$A$306,Employees!$A$20,'Leave log'!$B$7:$B$306,"&lt;="&amp;DATE($B$3,5,24),'Leave log'!$C$7:$C$306,"&gt;="&amp;DATE($B$3,5,24),'Leave log'!$F$7:$F$306,"Pending")&gt;0,"P",""))))</f>
        <v/>
      </c>
      <c r="Z157" s="23" t="str">
        <f>IF(A157="","",IF(IF(OR(DATE($B$3,5,25)&gt;EOMONTH(DATE($B$3,5,1),0),NETWORKDAYS.INTL(DATE($B$3,5,25),DATE($B$3,5,25),1,'Non-working days'!$A$6:$A$45)=0),"",IF(COUNTIFS('Leave log'!$A$7:$A$306,Employees!$A$20,'Leave log'!$B$7:$B$306,"&lt;="&amp;DATE($B$3,5,25),'Leave log'!$C$7:$C$306,"&gt;="&amp;DATE($B$3,5,25),'Leave log'!$F$7:$F$306,"Approved")&gt;0,"A",""))="A","A",IF(OR(DATE($B$3,5,25)&gt;EOMONTH(DATE($B$3,5,1),0),NETWORKDAYS.INTL(DATE($B$3,5,25),DATE($B$3,5,25),1,'Non-working days'!$A$6:$A$45)=0),"",IF(COUNTIFS('Leave log'!$A$7:$A$306,Employees!$A$20,'Leave log'!$B$7:$B$306,"&lt;="&amp;DATE($B$3,5,25),'Leave log'!$C$7:$C$306,"&gt;="&amp;DATE($B$3,5,25),'Leave log'!$F$7:$F$306,"Pending")&gt;0,"P",""))))</f>
        <v/>
      </c>
      <c r="AA157" s="23" t="str">
        <f>IF(A157="","",IF(IF(OR(DATE($B$3,5,26)&gt;EOMONTH(DATE($B$3,5,1),0),NETWORKDAYS.INTL(DATE($B$3,5,26),DATE($B$3,5,26),1,'Non-working days'!$A$6:$A$45)=0),"",IF(COUNTIFS('Leave log'!$A$7:$A$306,Employees!$A$20,'Leave log'!$B$7:$B$306,"&lt;="&amp;DATE($B$3,5,26),'Leave log'!$C$7:$C$306,"&gt;="&amp;DATE($B$3,5,26),'Leave log'!$F$7:$F$306,"Approved")&gt;0,"A",""))="A","A",IF(OR(DATE($B$3,5,26)&gt;EOMONTH(DATE($B$3,5,1),0),NETWORKDAYS.INTL(DATE($B$3,5,26),DATE($B$3,5,26),1,'Non-working days'!$A$6:$A$45)=0),"",IF(COUNTIFS('Leave log'!$A$7:$A$306,Employees!$A$20,'Leave log'!$B$7:$B$306,"&lt;="&amp;DATE($B$3,5,26),'Leave log'!$C$7:$C$306,"&gt;="&amp;DATE($B$3,5,26),'Leave log'!$F$7:$F$306,"Pending")&gt;0,"P",""))))</f>
        <v/>
      </c>
      <c r="AB157" s="23" t="str">
        <f>IF(A157="","",IF(IF(OR(DATE($B$3,5,27)&gt;EOMONTH(DATE($B$3,5,1),0),NETWORKDAYS.INTL(DATE($B$3,5,27),DATE($B$3,5,27),1,'Non-working days'!$A$6:$A$45)=0),"",IF(COUNTIFS('Leave log'!$A$7:$A$306,Employees!$A$20,'Leave log'!$B$7:$B$306,"&lt;="&amp;DATE($B$3,5,27),'Leave log'!$C$7:$C$306,"&gt;="&amp;DATE($B$3,5,27),'Leave log'!$F$7:$F$306,"Approved")&gt;0,"A",""))="A","A",IF(OR(DATE($B$3,5,27)&gt;EOMONTH(DATE($B$3,5,1),0),NETWORKDAYS.INTL(DATE($B$3,5,27),DATE($B$3,5,27),1,'Non-working days'!$A$6:$A$45)=0),"",IF(COUNTIFS('Leave log'!$A$7:$A$306,Employees!$A$20,'Leave log'!$B$7:$B$306,"&lt;="&amp;DATE($B$3,5,27),'Leave log'!$C$7:$C$306,"&gt;="&amp;DATE($B$3,5,27),'Leave log'!$F$7:$F$306,"Pending")&gt;0,"P",""))))</f>
        <v/>
      </c>
      <c r="AC157" s="23" t="str">
        <f>IF(A157="","",IF(IF(OR(DATE($B$3,5,28)&gt;EOMONTH(DATE($B$3,5,1),0),NETWORKDAYS.INTL(DATE($B$3,5,28),DATE($B$3,5,28),1,'Non-working days'!$A$6:$A$45)=0),"",IF(COUNTIFS('Leave log'!$A$7:$A$306,Employees!$A$20,'Leave log'!$B$7:$B$306,"&lt;="&amp;DATE($B$3,5,28),'Leave log'!$C$7:$C$306,"&gt;="&amp;DATE($B$3,5,28),'Leave log'!$F$7:$F$306,"Approved")&gt;0,"A",""))="A","A",IF(OR(DATE($B$3,5,28)&gt;EOMONTH(DATE($B$3,5,1),0),NETWORKDAYS.INTL(DATE($B$3,5,28),DATE($B$3,5,28),1,'Non-working days'!$A$6:$A$45)=0),"",IF(COUNTIFS('Leave log'!$A$7:$A$306,Employees!$A$20,'Leave log'!$B$7:$B$306,"&lt;="&amp;DATE($B$3,5,28),'Leave log'!$C$7:$C$306,"&gt;="&amp;DATE($B$3,5,28),'Leave log'!$F$7:$F$306,"Pending")&gt;0,"P",""))))</f>
        <v/>
      </c>
      <c r="AD157" s="23" t="str">
        <f>IF(A157="","",IF(IF(OR(DATE($B$3,5,29)&gt;EOMONTH(DATE($B$3,5,1),0),NETWORKDAYS.INTL(DATE($B$3,5,29),DATE($B$3,5,29),1,'Non-working days'!$A$6:$A$45)=0),"",IF(COUNTIFS('Leave log'!$A$7:$A$306,Employees!$A$20,'Leave log'!$B$7:$B$306,"&lt;="&amp;DATE($B$3,5,29),'Leave log'!$C$7:$C$306,"&gt;="&amp;DATE($B$3,5,29),'Leave log'!$F$7:$F$306,"Approved")&gt;0,"A",""))="A","A",IF(OR(DATE($B$3,5,29)&gt;EOMONTH(DATE($B$3,5,1),0),NETWORKDAYS.INTL(DATE($B$3,5,29),DATE($B$3,5,29),1,'Non-working days'!$A$6:$A$45)=0),"",IF(COUNTIFS('Leave log'!$A$7:$A$306,Employees!$A$20,'Leave log'!$B$7:$B$306,"&lt;="&amp;DATE($B$3,5,29),'Leave log'!$C$7:$C$306,"&gt;="&amp;DATE($B$3,5,29),'Leave log'!$F$7:$F$306,"Pending")&gt;0,"P",""))))</f>
        <v/>
      </c>
      <c r="AE157" s="23" t="str">
        <f>IF(A157="","",IF(IF(OR(DATE($B$3,5,30)&gt;EOMONTH(DATE($B$3,5,1),0),NETWORKDAYS.INTL(DATE($B$3,5,30),DATE($B$3,5,30),1,'Non-working days'!$A$6:$A$45)=0),"",IF(COUNTIFS('Leave log'!$A$7:$A$306,Employees!$A$20,'Leave log'!$B$7:$B$306,"&lt;="&amp;DATE($B$3,5,30),'Leave log'!$C$7:$C$306,"&gt;="&amp;DATE($B$3,5,30),'Leave log'!$F$7:$F$306,"Approved")&gt;0,"A",""))="A","A",IF(OR(DATE($B$3,5,30)&gt;EOMONTH(DATE($B$3,5,1),0),NETWORKDAYS.INTL(DATE($B$3,5,30),DATE($B$3,5,30),1,'Non-working days'!$A$6:$A$45)=0),"",IF(COUNTIFS('Leave log'!$A$7:$A$306,Employees!$A$20,'Leave log'!$B$7:$B$306,"&lt;="&amp;DATE($B$3,5,30),'Leave log'!$C$7:$C$306,"&gt;="&amp;DATE($B$3,5,30),'Leave log'!$F$7:$F$306,"Pending")&gt;0,"P",""))))</f>
        <v/>
      </c>
      <c r="AF157" s="23" t="str">
        <f>IF(A157="","",IF(IF(OR(DATE($B$3,5,31)&gt;EOMONTH(DATE($B$3,5,1),0),NETWORKDAYS.INTL(DATE($B$3,5,31),DATE($B$3,5,31),1,'Non-working days'!$A$6:$A$45)=0),"",IF(COUNTIFS('Leave log'!$A$7:$A$306,Employees!$A$20,'Leave log'!$B$7:$B$306,"&lt;="&amp;DATE($B$3,5,31),'Leave log'!$C$7:$C$306,"&gt;="&amp;DATE($B$3,5,31),'Leave log'!$F$7:$F$306,"Approved")&gt;0,"A",""))="A","A",IF(OR(DATE($B$3,5,31)&gt;EOMONTH(DATE($B$3,5,1),0),NETWORKDAYS.INTL(DATE($B$3,5,31),DATE($B$3,5,31),1,'Non-working days'!$A$6:$A$45)=0),"",IF(COUNTIFS('Leave log'!$A$7:$A$306,Employees!$A$20,'Leave log'!$B$7:$B$306,"&lt;="&amp;DATE($B$3,5,31),'Leave log'!$C$7:$C$306,"&gt;="&amp;DATE($B$3,5,31),'Leave log'!$F$7:$F$306,"Pending")&gt;0,"P",""))))</f>
        <v/>
      </c>
    </row>
    <row r="158" spans="1:32" ht="18" customHeight="1" x14ac:dyDescent="0.3">
      <c r="A158" s="22" t="str">
        <f>IF(Employees!F21="Yes",Employees!B21,"")</f>
        <v/>
      </c>
      <c r="B158" s="23" t="str">
        <f>IF(A158="","",IF(IF(OR(DATE($B$3,5,1)&gt;EOMONTH(DATE($B$3,5,1),0),NETWORKDAYS.INTL(DATE($B$3,5,1),DATE($B$3,5,1),1,'Non-working days'!$A$6:$A$45)=0),"",IF(COUNTIFS('Leave log'!$A$7:$A$306,Employees!$A$21,'Leave log'!$B$7:$B$306,"&lt;="&amp;DATE($B$3,5,1),'Leave log'!$C$7:$C$306,"&gt;="&amp;DATE($B$3,5,1),'Leave log'!$F$7:$F$306,"Approved")&gt;0,"A",""))="A","A",IF(OR(DATE($B$3,5,1)&gt;EOMONTH(DATE($B$3,5,1),0),NETWORKDAYS.INTL(DATE($B$3,5,1),DATE($B$3,5,1),1,'Non-working days'!$A$6:$A$45)=0),"",IF(COUNTIFS('Leave log'!$A$7:$A$306,Employees!$A$21,'Leave log'!$B$7:$B$306,"&lt;="&amp;DATE($B$3,5,1),'Leave log'!$C$7:$C$306,"&gt;="&amp;DATE($B$3,5,1),'Leave log'!$F$7:$F$306,"Pending")&gt;0,"P",""))))</f>
        <v/>
      </c>
      <c r="C158" s="23" t="str">
        <f>IF(A158="","",IF(IF(OR(DATE($B$3,5,2)&gt;EOMONTH(DATE($B$3,5,1),0),NETWORKDAYS.INTL(DATE($B$3,5,2),DATE($B$3,5,2),1,'Non-working days'!$A$6:$A$45)=0),"",IF(COUNTIFS('Leave log'!$A$7:$A$306,Employees!$A$21,'Leave log'!$B$7:$B$306,"&lt;="&amp;DATE($B$3,5,2),'Leave log'!$C$7:$C$306,"&gt;="&amp;DATE($B$3,5,2),'Leave log'!$F$7:$F$306,"Approved")&gt;0,"A",""))="A","A",IF(OR(DATE($B$3,5,2)&gt;EOMONTH(DATE($B$3,5,1),0),NETWORKDAYS.INTL(DATE($B$3,5,2),DATE($B$3,5,2),1,'Non-working days'!$A$6:$A$45)=0),"",IF(COUNTIFS('Leave log'!$A$7:$A$306,Employees!$A$21,'Leave log'!$B$7:$B$306,"&lt;="&amp;DATE($B$3,5,2),'Leave log'!$C$7:$C$306,"&gt;="&amp;DATE($B$3,5,2),'Leave log'!$F$7:$F$306,"Pending")&gt;0,"P",""))))</f>
        <v/>
      </c>
      <c r="D158" s="23" t="str">
        <f>IF(A158="","",IF(IF(OR(DATE($B$3,5,3)&gt;EOMONTH(DATE($B$3,5,1),0),NETWORKDAYS.INTL(DATE($B$3,5,3),DATE($B$3,5,3),1,'Non-working days'!$A$6:$A$45)=0),"",IF(COUNTIFS('Leave log'!$A$7:$A$306,Employees!$A$21,'Leave log'!$B$7:$B$306,"&lt;="&amp;DATE($B$3,5,3),'Leave log'!$C$7:$C$306,"&gt;="&amp;DATE($B$3,5,3),'Leave log'!$F$7:$F$306,"Approved")&gt;0,"A",""))="A","A",IF(OR(DATE($B$3,5,3)&gt;EOMONTH(DATE($B$3,5,1),0),NETWORKDAYS.INTL(DATE($B$3,5,3),DATE($B$3,5,3),1,'Non-working days'!$A$6:$A$45)=0),"",IF(COUNTIFS('Leave log'!$A$7:$A$306,Employees!$A$21,'Leave log'!$B$7:$B$306,"&lt;="&amp;DATE($B$3,5,3),'Leave log'!$C$7:$C$306,"&gt;="&amp;DATE($B$3,5,3),'Leave log'!$F$7:$F$306,"Pending")&gt;0,"P",""))))</f>
        <v/>
      </c>
      <c r="E158" s="23" t="str">
        <f>IF(A158="","",IF(IF(OR(DATE($B$3,5,4)&gt;EOMONTH(DATE($B$3,5,1),0),NETWORKDAYS.INTL(DATE($B$3,5,4),DATE($B$3,5,4),1,'Non-working days'!$A$6:$A$45)=0),"",IF(COUNTIFS('Leave log'!$A$7:$A$306,Employees!$A$21,'Leave log'!$B$7:$B$306,"&lt;="&amp;DATE($B$3,5,4),'Leave log'!$C$7:$C$306,"&gt;="&amp;DATE($B$3,5,4),'Leave log'!$F$7:$F$306,"Approved")&gt;0,"A",""))="A","A",IF(OR(DATE($B$3,5,4)&gt;EOMONTH(DATE($B$3,5,1),0),NETWORKDAYS.INTL(DATE($B$3,5,4),DATE($B$3,5,4),1,'Non-working days'!$A$6:$A$45)=0),"",IF(COUNTIFS('Leave log'!$A$7:$A$306,Employees!$A$21,'Leave log'!$B$7:$B$306,"&lt;="&amp;DATE($B$3,5,4),'Leave log'!$C$7:$C$306,"&gt;="&amp;DATE($B$3,5,4),'Leave log'!$F$7:$F$306,"Pending")&gt;0,"P",""))))</f>
        <v/>
      </c>
      <c r="F158" s="23" t="str">
        <f>IF(A158="","",IF(IF(OR(DATE($B$3,5,5)&gt;EOMONTH(DATE($B$3,5,1),0),NETWORKDAYS.INTL(DATE($B$3,5,5),DATE($B$3,5,5),1,'Non-working days'!$A$6:$A$45)=0),"",IF(COUNTIFS('Leave log'!$A$7:$A$306,Employees!$A$21,'Leave log'!$B$7:$B$306,"&lt;="&amp;DATE($B$3,5,5),'Leave log'!$C$7:$C$306,"&gt;="&amp;DATE($B$3,5,5),'Leave log'!$F$7:$F$306,"Approved")&gt;0,"A",""))="A","A",IF(OR(DATE($B$3,5,5)&gt;EOMONTH(DATE($B$3,5,1),0),NETWORKDAYS.INTL(DATE($B$3,5,5),DATE($B$3,5,5),1,'Non-working days'!$A$6:$A$45)=0),"",IF(COUNTIFS('Leave log'!$A$7:$A$306,Employees!$A$21,'Leave log'!$B$7:$B$306,"&lt;="&amp;DATE($B$3,5,5),'Leave log'!$C$7:$C$306,"&gt;="&amp;DATE($B$3,5,5),'Leave log'!$F$7:$F$306,"Pending")&gt;0,"P",""))))</f>
        <v/>
      </c>
      <c r="G158" s="23" t="str">
        <f>IF(A158="","",IF(IF(OR(DATE($B$3,5,6)&gt;EOMONTH(DATE($B$3,5,1),0),NETWORKDAYS.INTL(DATE($B$3,5,6),DATE($B$3,5,6),1,'Non-working days'!$A$6:$A$45)=0),"",IF(COUNTIFS('Leave log'!$A$7:$A$306,Employees!$A$21,'Leave log'!$B$7:$B$306,"&lt;="&amp;DATE($B$3,5,6),'Leave log'!$C$7:$C$306,"&gt;="&amp;DATE($B$3,5,6),'Leave log'!$F$7:$F$306,"Approved")&gt;0,"A",""))="A","A",IF(OR(DATE($B$3,5,6)&gt;EOMONTH(DATE($B$3,5,1),0),NETWORKDAYS.INTL(DATE($B$3,5,6),DATE($B$3,5,6),1,'Non-working days'!$A$6:$A$45)=0),"",IF(COUNTIFS('Leave log'!$A$7:$A$306,Employees!$A$21,'Leave log'!$B$7:$B$306,"&lt;="&amp;DATE($B$3,5,6),'Leave log'!$C$7:$C$306,"&gt;="&amp;DATE($B$3,5,6),'Leave log'!$F$7:$F$306,"Pending")&gt;0,"P",""))))</f>
        <v/>
      </c>
      <c r="H158" s="23" t="str">
        <f>IF(A158="","",IF(IF(OR(DATE($B$3,5,7)&gt;EOMONTH(DATE($B$3,5,1),0),NETWORKDAYS.INTL(DATE($B$3,5,7),DATE($B$3,5,7),1,'Non-working days'!$A$6:$A$45)=0),"",IF(COUNTIFS('Leave log'!$A$7:$A$306,Employees!$A$21,'Leave log'!$B$7:$B$306,"&lt;="&amp;DATE($B$3,5,7),'Leave log'!$C$7:$C$306,"&gt;="&amp;DATE($B$3,5,7),'Leave log'!$F$7:$F$306,"Approved")&gt;0,"A",""))="A","A",IF(OR(DATE($B$3,5,7)&gt;EOMONTH(DATE($B$3,5,1),0),NETWORKDAYS.INTL(DATE($B$3,5,7),DATE($B$3,5,7),1,'Non-working days'!$A$6:$A$45)=0),"",IF(COUNTIFS('Leave log'!$A$7:$A$306,Employees!$A$21,'Leave log'!$B$7:$B$306,"&lt;="&amp;DATE($B$3,5,7),'Leave log'!$C$7:$C$306,"&gt;="&amp;DATE($B$3,5,7),'Leave log'!$F$7:$F$306,"Pending")&gt;0,"P",""))))</f>
        <v/>
      </c>
      <c r="I158" s="23" t="str">
        <f>IF(A158="","",IF(IF(OR(DATE($B$3,5,8)&gt;EOMONTH(DATE($B$3,5,1),0),NETWORKDAYS.INTL(DATE($B$3,5,8),DATE($B$3,5,8),1,'Non-working days'!$A$6:$A$45)=0),"",IF(COUNTIFS('Leave log'!$A$7:$A$306,Employees!$A$21,'Leave log'!$B$7:$B$306,"&lt;="&amp;DATE($B$3,5,8),'Leave log'!$C$7:$C$306,"&gt;="&amp;DATE($B$3,5,8),'Leave log'!$F$7:$F$306,"Approved")&gt;0,"A",""))="A","A",IF(OR(DATE($B$3,5,8)&gt;EOMONTH(DATE($B$3,5,1),0),NETWORKDAYS.INTL(DATE($B$3,5,8),DATE($B$3,5,8),1,'Non-working days'!$A$6:$A$45)=0),"",IF(COUNTIFS('Leave log'!$A$7:$A$306,Employees!$A$21,'Leave log'!$B$7:$B$306,"&lt;="&amp;DATE($B$3,5,8),'Leave log'!$C$7:$C$306,"&gt;="&amp;DATE($B$3,5,8),'Leave log'!$F$7:$F$306,"Pending")&gt;0,"P",""))))</f>
        <v/>
      </c>
      <c r="J158" s="23" t="str">
        <f>IF(A158="","",IF(IF(OR(DATE($B$3,5,9)&gt;EOMONTH(DATE($B$3,5,1),0),NETWORKDAYS.INTL(DATE($B$3,5,9),DATE($B$3,5,9),1,'Non-working days'!$A$6:$A$45)=0),"",IF(COUNTIFS('Leave log'!$A$7:$A$306,Employees!$A$21,'Leave log'!$B$7:$B$306,"&lt;="&amp;DATE($B$3,5,9),'Leave log'!$C$7:$C$306,"&gt;="&amp;DATE($B$3,5,9),'Leave log'!$F$7:$F$306,"Approved")&gt;0,"A",""))="A","A",IF(OR(DATE($B$3,5,9)&gt;EOMONTH(DATE($B$3,5,1),0),NETWORKDAYS.INTL(DATE($B$3,5,9),DATE($B$3,5,9),1,'Non-working days'!$A$6:$A$45)=0),"",IF(COUNTIFS('Leave log'!$A$7:$A$306,Employees!$A$21,'Leave log'!$B$7:$B$306,"&lt;="&amp;DATE($B$3,5,9),'Leave log'!$C$7:$C$306,"&gt;="&amp;DATE($B$3,5,9),'Leave log'!$F$7:$F$306,"Pending")&gt;0,"P",""))))</f>
        <v/>
      </c>
      <c r="K158" s="23" t="str">
        <f>IF(A158="","",IF(IF(OR(DATE($B$3,5,10)&gt;EOMONTH(DATE($B$3,5,1),0),NETWORKDAYS.INTL(DATE($B$3,5,10),DATE($B$3,5,10),1,'Non-working days'!$A$6:$A$45)=0),"",IF(COUNTIFS('Leave log'!$A$7:$A$306,Employees!$A$21,'Leave log'!$B$7:$B$306,"&lt;="&amp;DATE($B$3,5,10),'Leave log'!$C$7:$C$306,"&gt;="&amp;DATE($B$3,5,10),'Leave log'!$F$7:$F$306,"Approved")&gt;0,"A",""))="A","A",IF(OR(DATE($B$3,5,10)&gt;EOMONTH(DATE($B$3,5,1),0),NETWORKDAYS.INTL(DATE($B$3,5,10),DATE($B$3,5,10),1,'Non-working days'!$A$6:$A$45)=0),"",IF(COUNTIFS('Leave log'!$A$7:$A$306,Employees!$A$21,'Leave log'!$B$7:$B$306,"&lt;="&amp;DATE($B$3,5,10),'Leave log'!$C$7:$C$306,"&gt;="&amp;DATE($B$3,5,10),'Leave log'!$F$7:$F$306,"Pending")&gt;0,"P",""))))</f>
        <v/>
      </c>
      <c r="L158" s="23" t="str">
        <f>IF(A158="","",IF(IF(OR(DATE($B$3,5,11)&gt;EOMONTH(DATE($B$3,5,1),0),NETWORKDAYS.INTL(DATE($B$3,5,11),DATE($B$3,5,11),1,'Non-working days'!$A$6:$A$45)=0),"",IF(COUNTIFS('Leave log'!$A$7:$A$306,Employees!$A$21,'Leave log'!$B$7:$B$306,"&lt;="&amp;DATE($B$3,5,11),'Leave log'!$C$7:$C$306,"&gt;="&amp;DATE($B$3,5,11),'Leave log'!$F$7:$F$306,"Approved")&gt;0,"A",""))="A","A",IF(OR(DATE($B$3,5,11)&gt;EOMONTH(DATE($B$3,5,1),0),NETWORKDAYS.INTL(DATE($B$3,5,11),DATE($B$3,5,11),1,'Non-working days'!$A$6:$A$45)=0),"",IF(COUNTIFS('Leave log'!$A$7:$A$306,Employees!$A$21,'Leave log'!$B$7:$B$306,"&lt;="&amp;DATE($B$3,5,11),'Leave log'!$C$7:$C$306,"&gt;="&amp;DATE($B$3,5,11),'Leave log'!$F$7:$F$306,"Pending")&gt;0,"P",""))))</f>
        <v/>
      </c>
      <c r="M158" s="23" t="str">
        <f>IF(A158="","",IF(IF(OR(DATE($B$3,5,12)&gt;EOMONTH(DATE($B$3,5,1),0),NETWORKDAYS.INTL(DATE($B$3,5,12),DATE($B$3,5,12),1,'Non-working days'!$A$6:$A$45)=0),"",IF(COUNTIFS('Leave log'!$A$7:$A$306,Employees!$A$21,'Leave log'!$B$7:$B$306,"&lt;="&amp;DATE($B$3,5,12),'Leave log'!$C$7:$C$306,"&gt;="&amp;DATE($B$3,5,12),'Leave log'!$F$7:$F$306,"Approved")&gt;0,"A",""))="A","A",IF(OR(DATE($B$3,5,12)&gt;EOMONTH(DATE($B$3,5,1),0),NETWORKDAYS.INTL(DATE($B$3,5,12),DATE($B$3,5,12),1,'Non-working days'!$A$6:$A$45)=0),"",IF(COUNTIFS('Leave log'!$A$7:$A$306,Employees!$A$21,'Leave log'!$B$7:$B$306,"&lt;="&amp;DATE($B$3,5,12),'Leave log'!$C$7:$C$306,"&gt;="&amp;DATE($B$3,5,12),'Leave log'!$F$7:$F$306,"Pending")&gt;0,"P",""))))</f>
        <v/>
      </c>
      <c r="N158" s="23" t="str">
        <f>IF(A158="","",IF(IF(OR(DATE($B$3,5,13)&gt;EOMONTH(DATE($B$3,5,1),0),NETWORKDAYS.INTL(DATE($B$3,5,13),DATE($B$3,5,13),1,'Non-working days'!$A$6:$A$45)=0),"",IF(COUNTIFS('Leave log'!$A$7:$A$306,Employees!$A$21,'Leave log'!$B$7:$B$306,"&lt;="&amp;DATE($B$3,5,13),'Leave log'!$C$7:$C$306,"&gt;="&amp;DATE($B$3,5,13),'Leave log'!$F$7:$F$306,"Approved")&gt;0,"A",""))="A","A",IF(OR(DATE($B$3,5,13)&gt;EOMONTH(DATE($B$3,5,1),0),NETWORKDAYS.INTL(DATE($B$3,5,13),DATE($B$3,5,13),1,'Non-working days'!$A$6:$A$45)=0),"",IF(COUNTIFS('Leave log'!$A$7:$A$306,Employees!$A$21,'Leave log'!$B$7:$B$306,"&lt;="&amp;DATE($B$3,5,13),'Leave log'!$C$7:$C$306,"&gt;="&amp;DATE($B$3,5,13),'Leave log'!$F$7:$F$306,"Pending")&gt;0,"P",""))))</f>
        <v/>
      </c>
      <c r="O158" s="23" t="str">
        <f>IF(A158="","",IF(IF(OR(DATE($B$3,5,14)&gt;EOMONTH(DATE($B$3,5,1),0),NETWORKDAYS.INTL(DATE($B$3,5,14),DATE($B$3,5,14),1,'Non-working days'!$A$6:$A$45)=0),"",IF(COUNTIFS('Leave log'!$A$7:$A$306,Employees!$A$21,'Leave log'!$B$7:$B$306,"&lt;="&amp;DATE($B$3,5,14),'Leave log'!$C$7:$C$306,"&gt;="&amp;DATE($B$3,5,14),'Leave log'!$F$7:$F$306,"Approved")&gt;0,"A",""))="A","A",IF(OR(DATE($B$3,5,14)&gt;EOMONTH(DATE($B$3,5,1),0),NETWORKDAYS.INTL(DATE($B$3,5,14),DATE($B$3,5,14),1,'Non-working days'!$A$6:$A$45)=0),"",IF(COUNTIFS('Leave log'!$A$7:$A$306,Employees!$A$21,'Leave log'!$B$7:$B$306,"&lt;="&amp;DATE($B$3,5,14),'Leave log'!$C$7:$C$306,"&gt;="&amp;DATE($B$3,5,14),'Leave log'!$F$7:$F$306,"Pending")&gt;0,"P",""))))</f>
        <v/>
      </c>
      <c r="P158" s="23" t="str">
        <f>IF(A158="","",IF(IF(OR(DATE($B$3,5,15)&gt;EOMONTH(DATE($B$3,5,1),0),NETWORKDAYS.INTL(DATE($B$3,5,15),DATE($B$3,5,15),1,'Non-working days'!$A$6:$A$45)=0),"",IF(COUNTIFS('Leave log'!$A$7:$A$306,Employees!$A$21,'Leave log'!$B$7:$B$306,"&lt;="&amp;DATE($B$3,5,15),'Leave log'!$C$7:$C$306,"&gt;="&amp;DATE($B$3,5,15),'Leave log'!$F$7:$F$306,"Approved")&gt;0,"A",""))="A","A",IF(OR(DATE($B$3,5,15)&gt;EOMONTH(DATE($B$3,5,1),0),NETWORKDAYS.INTL(DATE($B$3,5,15),DATE($B$3,5,15),1,'Non-working days'!$A$6:$A$45)=0),"",IF(COUNTIFS('Leave log'!$A$7:$A$306,Employees!$A$21,'Leave log'!$B$7:$B$306,"&lt;="&amp;DATE($B$3,5,15),'Leave log'!$C$7:$C$306,"&gt;="&amp;DATE($B$3,5,15),'Leave log'!$F$7:$F$306,"Pending")&gt;0,"P",""))))</f>
        <v/>
      </c>
      <c r="Q158" s="23" t="str">
        <f>IF(A158="","",IF(IF(OR(DATE($B$3,5,16)&gt;EOMONTH(DATE($B$3,5,1),0),NETWORKDAYS.INTL(DATE($B$3,5,16),DATE($B$3,5,16),1,'Non-working days'!$A$6:$A$45)=0),"",IF(COUNTIFS('Leave log'!$A$7:$A$306,Employees!$A$21,'Leave log'!$B$7:$B$306,"&lt;="&amp;DATE($B$3,5,16),'Leave log'!$C$7:$C$306,"&gt;="&amp;DATE($B$3,5,16),'Leave log'!$F$7:$F$306,"Approved")&gt;0,"A",""))="A","A",IF(OR(DATE($B$3,5,16)&gt;EOMONTH(DATE($B$3,5,1),0),NETWORKDAYS.INTL(DATE($B$3,5,16),DATE($B$3,5,16),1,'Non-working days'!$A$6:$A$45)=0),"",IF(COUNTIFS('Leave log'!$A$7:$A$306,Employees!$A$21,'Leave log'!$B$7:$B$306,"&lt;="&amp;DATE($B$3,5,16),'Leave log'!$C$7:$C$306,"&gt;="&amp;DATE($B$3,5,16),'Leave log'!$F$7:$F$306,"Pending")&gt;0,"P",""))))</f>
        <v/>
      </c>
      <c r="R158" s="23" t="str">
        <f>IF(A158="","",IF(IF(OR(DATE($B$3,5,17)&gt;EOMONTH(DATE($B$3,5,1),0),NETWORKDAYS.INTL(DATE($B$3,5,17),DATE($B$3,5,17),1,'Non-working days'!$A$6:$A$45)=0),"",IF(COUNTIFS('Leave log'!$A$7:$A$306,Employees!$A$21,'Leave log'!$B$7:$B$306,"&lt;="&amp;DATE($B$3,5,17),'Leave log'!$C$7:$C$306,"&gt;="&amp;DATE($B$3,5,17),'Leave log'!$F$7:$F$306,"Approved")&gt;0,"A",""))="A","A",IF(OR(DATE($B$3,5,17)&gt;EOMONTH(DATE($B$3,5,1),0),NETWORKDAYS.INTL(DATE($B$3,5,17),DATE($B$3,5,17),1,'Non-working days'!$A$6:$A$45)=0),"",IF(COUNTIFS('Leave log'!$A$7:$A$306,Employees!$A$21,'Leave log'!$B$7:$B$306,"&lt;="&amp;DATE($B$3,5,17),'Leave log'!$C$7:$C$306,"&gt;="&amp;DATE($B$3,5,17),'Leave log'!$F$7:$F$306,"Pending")&gt;0,"P",""))))</f>
        <v/>
      </c>
      <c r="S158" s="23" t="str">
        <f>IF(A158="","",IF(IF(OR(DATE($B$3,5,18)&gt;EOMONTH(DATE($B$3,5,1),0),NETWORKDAYS.INTL(DATE($B$3,5,18),DATE($B$3,5,18),1,'Non-working days'!$A$6:$A$45)=0),"",IF(COUNTIFS('Leave log'!$A$7:$A$306,Employees!$A$21,'Leave log'!$B$7:$B$306,"&lt;="&amp;DATE($B$3,5,18),'Leave log'!$C$7:$C$306,"&gt;="&amp;DATE($B$3,5,18),'Leave log'!$F$7:$F$306,"Approved")&gt;0,"A",""))="A","A",IF(OR(DATE($B$3,5,18)&gt;EOMONTH(DATE($B$3,5,1),0),NETWORKDAYS.INTL(DATE($B$3,5,18),DATE($B$3,5,18),1,'Non-working days'!$A$6:$A$45)=0),"",IF(COUNTIFS('Leave log'!$A$7:$A$306,Employees!$A$21,'Leave log'!$B$7:$B$306,"&lt;="&amp;DATE($B$3,5,18),'Leave log'!$C$7:$C$306,"&gt;="&amp;DATE($B$3,5,18),'Leave log'!$F$7:$F$306,"Pending")&gt;0,"P",""))))</f>
        <v/>
      </c>
      <c r="T158" s="23" t="str">
        <f>IF(A158="","",IF(IF(OR(DATE($B$3,5,19)&gt;EOMONTH(DATE($B$3,5,1),0),NETWORKDAYS.INTL(DATE($B$3,5,19),DATE($B$3,5,19),1,'Non-working days'!$A$6:$A$45)=0),"",IF(COUNTIFS('Leave log'!$A$7:$A$306,Employees!$A$21,'Leave log'!$B$7:$B$306,"&lt;="&amp;DATE($B$3,5,19),'Leave log'!$C$7:$C$306,"&gt;="&amp;DATE($B$3,5,19),'Leave log'!$F$7:$F$306,"Approved")&gt;0,"A",""))="A","A",IF(OR(DATE($B$3,5,19)&gt;EOMONTH(DATE($B$3,5,1),0),NETWORKDAYS.INTL(DATE($B$3,5,19),DATE($B$3,5,19),1,'Non-working days'!$A$6:$A$45)=0),"",IF(COUNTIFS('Leave log'!$A$7:$A$306,Employees!$A$21,'Leave log'!$B$7:$B$306,"&lt;="&amp;DATE($B$3,5,19),'Leave log'!$C$7:$C$306,"&gt;="&amp;DATE($B$3,5,19),'Leave log'!$F$7:$F$306,"Pending")&gt;0,"P",""))))</f>
        <v/>
      </c>
      <c r="U158" s="23" t="str">
        <f>IF(A158="","",IF(IF(OR(DATE($B$3,5,20)&gt;EOMONTH(DATE($B$3,5,1),0),NETWORKDAYS.INTL(DATE($B$3,5,20),DATE($B$3,5,20),1,'Non-working days'!$A$6:$A$45)=0),"",IF(COUNTIFS('Leave log'!$A$7:$A$306,Employees!$A$21,'Leave log'!$B$7:$B$306,"&lt;="&amp;DATE($B$3,5,20),'Leave log'!$C$7:$C$306,"&gt;="&amp;DATE($B$3,5,20),'Leave log'!$F$7:$F$306,"Approved")&gt;0,"A",""))="A","A",IF(OR(DATE($B$3,5,20)&gt;EOMONTH(DATE($B$3,5,1),0),NETWORKDAYS.INTL(DATE($B$3,5,20),DATE($B$3,5,20),1,'Non-working days'!$A$6:$A$45)=0),"",IF(COUNTIFS('Leave log'!$A$7:$A$306,Employees!$A$21,'Leave log'!$B$7:$B$306,"&lt;="&amp;DATE($B$3,5,20),'Leave log'!$C$7:$C$306,"&gt;="&amp;DATE($B$3,5,20),'Leave log'!$F$7:$F$306,"Pending")&gt;0,"P",""))))</f>
        <v/>
      </c>
      <c r="V158" s="23" t="str">
        <f>IF(A158="","",IF(IF(OR(DATE($B$3,5,21)&gt;EOMONTH(DATE($B$3,5,1),0),NETWORKDAYS.INTL(DATE($B$3,5,21),DATE($B$3,5,21),1,'Non-working days'!$A$6:$A$45)=0),"",IF(COUNTIFS('Leave log'!$A$7:$A$306,Employees!$A$21,'Leave log'!$B$7:$B$306,"&lt;="&amp;DATE($B$3,5,21),'Leave log'!$C$7:$C$306,"&gt;="&amp;DATE($B$3,5,21),'Leave log'!$F$7:$F$306,"Approved")&gt;0,"A",""))="A","A",IF(OR(DATE($B$3,5,21)&gt;EOMONTH(DATE($B$3,5,1),0),NETWORKDAYS.INTL(DATE($B$3,5,21),DATE($B$3,5,21),1,'Non-working days'!$A$6:$A$45)=0),"",IF(COUNTIFS('Leave log'!$A$7:$A$306,Employees!$A$21,'Leave log'!$B$7:$B$306,"&lt;="&amp;DATE($B$3,5,21),'Leave log'!$C$7:$C$306,"&gt;="&amp;DATE($B$3,5,21),'Leave log'!$F$7:$F$306,"Pending")&gt;0,"P",""))))</f>
        <v/>
      </c>
      <c r="W158" s="23" t="str">
        <f>IF(A158="","",IF(IF(OR(DATE($B$3,5,22)&gt;EOMONTH(DATE($B$3,5,1),0),NETWORKDAYS.INTL(DATE($B$3,5,22),DATE($B$3,5,22),1,'Non-working days'!$A$6:$A$45)=0),"",IF(COUNTIFS('Leave log'!$A$7:$A$306,Employees!$A$21,'Leave log'!$B$7:$B$306,"&lt;="&amp;DATE($B$3,5,22),'Leave log'!$C$7:$C$306,"&gt;="&amp;DATE($B$3,5,22),'Leave log'!$F$7:$F$306,"Approved")&gt;0,"A",""))="A","A",IF(OR(DATE($B$3,5,22)&gt;EOMONTH(DATE($B$3,5,1),0),NETWORKDAYS.INTL(DATE($B$3,5,22),DATE($B$3,5,22),1,'Non-working days'!$A$6:$A$45)=0),"",IF(COUNTIFS('Leave log'!$A$7:$A$306,Employees!$A$21,'Leave log'!$B$7:$B$306,"&lt;="&amp;DATE($B$3,5,22),'Leave log'!$C$7:$C$306,"&gt;="&amp;DATE($B$3,5,22),'Leave log'!$F$7:$F$306,"Pending")&gt;0,"P",""))))</f>
        <v/>
      </c>
      <c r="X158" s="23" t="str">
        <f>IF(A158="","",IF(IF(OR(DATE($B$3,5,23)&gt;EOMONTH(DATE($B$3,5,1),0),NETWORKDAYS.INTL(DATE($B$3,5,23),DATE($B$3,5,23),1,'Non-working days'!$A$6:$A$45)=0),"",IF(COUNTIFS('Leave log'!$A$7:$A$306,Employees!$A$21,'Leave log'!$B$7:$B$306,"&lt;="&amp;DATE($B$3,5,23),'Leave log'!$C$7:$C$306,"&gt;="&amp;DATE($B$3,5,23),'Leave log'!$F$7:$F$306,"Approved")&gt;0,"A",""))="A","A",IF(OR(DATE($B$3,5,23)&gt;EOMONTH(DATE($B$3,5,1),0),NETWORKDAYS.INTL(DATE($B$3,5,23),DATE($B$3,5,23),1,'Non-working days'!$A$6:$A$45)=0),"",IF(COUNTIFS('Leave log'!$A$7:$A$306,Employees!$A$21,'Leave log'!$B$7:$B$306,"&lt;="&amp;DATE($B$3,5,23),'Leave log'!$C$7:$C$306,"&gt;="&amp;DATE($B$3,5,23),'Leave log'!$F$7:$F$306,"Pending")&gt;0,"P",""))))</f>
        <v/>
      </c>
      <c r="Y158" s="23" t="str">
        <f>IF(A158="","",IF(IF(OR(DATE($B$3,5,24)&gt;EOMONTH(DATE($B$3,5,1),0),NETWORKDAYS.INTL(DATE($B$3,5,24),DATE($B$3,5,24),1,'Non-working days'!$A$6:$A$45)=0),"",IF(COUNTIFS('Leave log'!$A$7:$A$306,Employees!$A$21,'Leave log'!$B$7:$B$306,"&lt;="&amp;DATE($B$3,5,24),'Leave log'!$C$7:$C$306,"&gt;="&amp;DATE($B$3,5,24),'Leave log'!$F$7:$F$306,"Approved")&gt;0,"A",""))="A","A",IF(OR(DATE($B$3,5,24)&gt;EOMONTH(DATE($B$3,5,1),0),NETWORKDAYS.INTL(DATE($B$3,5,24),DATE($B$3,5,24),1,'Non-working days'!$A$6:$A$45)=0),"",IF(COUNTIFS('Leave log'!$A$7:$A$306,Employees!$A$21,'Leave log'!$B$7:$B$306,"&lt;="&amp;DATE($B$3,5,24),'Leave log'!$C$7:$C$306,"&gt;="&amp;DATE($B$3,5,24),'Leave log'!$F$7:$F$306,"Pending")&gt;0,"P",""))))</f>
        <v/>
      </c>
      <c r="Z158" s="23" t="str">
        <f>IF(A158="","",IF(IF(OR(DATE($B$3,5,25)&gt;EOMONTH(DATE($B$3,5,1),0),NETWORKDAYS.INTL(DATE($B$3,5,25),DATE($B$3,5,25),1,'Non-working days'!$A$6:$A$45)=0),"",IF(COUNTIFS('Leave log'!$A$7:$A$306,Employees!$A$21,'Leave log'!$B$7:$B$306,"&lt;="&amp;DATE($B$3,5,25),'Leave log'!$C$7:$C$306,"&gt;="&amp;DATE($B$3,5,25),'Leave log'!$F$7:$F$306,"Approved")&gt;0,"A",""))="A","A",IF(OR(DATE($B$3,5,25)&gt;EOMONTH(DATE($B$3,5,1),0),NETWORKDAYS.INTL(DATE($B$3,5,25),DATE($B$3,5,25),1,'Non-working days'!$A$6:$A$45)=0),"",IF(COUNTIFS('Leave log'!$A$7:$A$306,Employees!$A$21,'Leave log'!$B$7:$B$306,"&lt;="&amp;DATE($B$3,5,25),'Leave log'!$C$7:$C$306,"&gt;="&amp;DATE($B$3,5,25),'Leave log'!$F$7:$F$306,"Pending")&gt;0,"P",""))))</f>
        <v/>
      </c>
      <c r="AA158" s="23" t="str">
        <f>IF(A158="","",IF(IF(OR(DATE($B$3,5,26)&gt;EOMONTH(DATE($B$3,5,1),0),NETWORKDAYS.INTL(DATE($B$3,5,26),DATE($B$3,5,26),1,'Non-working days'!$A$6:$A$45)=0),"",IF(COUNTIFS('Leave log'!$A$7:$A$306,Employees!$A$21,'Leave log'!$B$7:$B$306,"&lt;="&amp;DATE($B$3,5,26),'Leave log'!$C$7:$C$306,"&gt;="&amp;DATE($B$3,5,26),'Leave log'!$F$7:$F$306,"Approved")&gt;0,"A",""))="A","A",IF(OR(DATE($B$3,5,26)&gt;EOMONTH(DATE($B$3,5,1),0),NETWORKDAYS.INTL(DATE($B$3,5,26),DATE($B$3,5,26),1,'Non-working days'!$A$6:$A$45)=0),"",IF(COUNTIFS('Leave log'!$A$7:$A$306,Employees!$A$21,'Leave log'!$B$7:$B$306,"&lt;="&amp;DATE($B$3,5,26),'Leave log'!$C$7:$C$306,"&gt;="&amp;DATE($B$3,5,26),'Leave log'!$F$7:$F$306,"Pending")&gt;0,"P",""))))</f>
        <v/>
      </c>
      <c r="AB158" s="23" t="str">
        <f>IF(A158="","",IF(IF(OR(DATE($B$3,5,27)&gt;EOMONTH(DATE($B$3,5,1),0),NETWORKDAYS.INTL(DATE($B$3,5,27),DATE($B$3,5,27),1,'Non-working days'!$A$6:$A$45)=0),"",IF(COUNTIFS('Leave log'!$A$7:$A$306,Employees!$A$21,'Leave log'!$B$7:$B$306,"&lt;="&amp;DATE($B$3,5,27),'Leave log'!$C$7:$C$306,"&gt;="&amp;DATE($B$3,5,27),'Leave log'!$F$7:$F$306,"Approved")&gt;0,"A",""))="A","A",IF(OR(DATE($B$3,5,27)&gt;EOMONTH(DATE($B$3,5,1),0),NETWORKDAYS.INTL(DATE($B$3,5,27),DATE($B$3,5,27),1,'Non-working days'!$A$6:$A$45)=0),"",IF(COUNTIFS('Leave log'!$A$7:$A$306,Employees!$A$21,'Leave log'!$B$7:$B$306,"&lt;="&amp;DATE($B$3,5,27),'Leave log'!$C$7:$C$306,"&gt;="&amp;DATE($B$3,5,27),'Leave log'!$F$7:$F$306,"Pending")&gt;0,"P",""))))</f>
        <v/>
      </c>
      <c r="AC158" s="23" t="str">
        <f>IF(A158="","",IF(IF(OR(DATE($B$3,5,28)&gt;EOMONTH(DATE($B$3,5,1),0),NETWORKDAYS.INTL(DATE($B$3,5,28),DATE($B$3,5,28),1,'Non-working days'!$A$6:$A$45)=0),"",IF(COUNTIFS('Leave log'!$A$7:$A$306,Employees!$A$21,'Leave log'!$B$7:$B$306,"&lt;="&amp;DATE($B$3,5,28),'Leave log'!$C$7:$C$306,"&gt;="&amp;DATE($B$3,5,28),'Leave log'!$F$7:$F$306,"Approved")&gt;0,"A",""))="A","A",IF(OR(DATE($B$3,5,28)&gt;EOMONTH(DATE($B$3,5,1),0),NETWORKDAYS.INTL(DATE($B$3,5,28),DATE($B$3,5,28),1,'Non-working days'!$A$6:$A$45)=0),"",IF(COUNTIFS('Leave log'!$A$7:$A$306,Employees!$A$21,'Leave log'!$B$7:$B$306,"&lt;="&amp;DATE($B$3,5,28),'Leave log'!$C$7:$C$306,"&gt;="&amp;DATE($B$3,5,28),'Leave log'!$F$7:$F$306,"Pending")&gt;0,"P",""))))</f>
        <v/>
      </c>
      <c r="AD158" s="23" t="str">
        <f>IF(A158="","",IF(IF(OR(DATE($B$3,5,29)&gt;EOMONTH(DATE($B$3,5,1),0),NETWORKDAYS.INTL(DATE($B$3,5,29),DATE($B$3,5,29),1,'Non-working days'!$A$6:$A$45)=0),"",IF(COUNTIFS('Leave log'!$A$7:$A$306,Employees!$A$21,'Leave log'!$B$7:$B$306,"&lt;="&amp;DATE($B$3,5,29),'Leave log'!$C$7:$C$306,"&gt;="&amp;DATE($B$3,5,29),'Leave log'!$F$7:$F$306,"Approved")&gt;0,"A",""))="A","A",IF(OR(DATE($B$3,5,29)&gt;EOMONTH(DATE($B$3,5,1),0),NETWORKDAYS.INTL(DATE($B$3,5,29),DATE($B$3,5,29),1,'Non-working days'!$A$6:$A$45)=0),"",IF(COUNTIFS('Leave log'!$A$7:$A$306,Employees!$A$21,'Leave log'!$B$7:$B$306,"&lt;="&amp;DATE($B$3,5,29),'Leave log'!$C$7:$C$306,"&gt;="&amp;DATE($B$3,5,29),'Leave log'!$F$7:$F$306,"Pending")&gt;0,"P",""))))</f>
        <v/>
      </c>
      <c r="AE158" s="23" t="str">
        <f>IF(A158="","",IF(IF(OR(DATE($B$3,5,30)&gt;EOMONTH(DATE($B$3,5,1),0),NETWORKDAYS.INTL(DATE($B$3,5,30),DATE($B$3,5,30),1,'Non-working days'!$A$6:$A$45)=0),"",IF(COUNTIFS('Leave log'!$A$7:$A$306,Employees!$A$21,'Leave log'!$B$7:$B$306,"&lt;="&amp;DATE($B$3,5,30),'Leave log'!$C$7:$C$306,"&gt;="&amp;DATE($B$3,5,30),'Leave log'!$F$7:$F$306,"Approved")&gt;0,"A",""))="A","A",IF(OR(DATE($B$3,5,30)&gt;EOMONTH(DATE($B$3,5,1),0),NETWORKDAYS.INTL(DATE($B$3,5,30),DATE($B$3,5,30),1,'Non-working days'!$A$6:$A$45)=0),"",IF(COUNTIFS('Leave log'!$A$7:$A$306,Employees!$A$21,'Leave log'!$B$7:$B$306,"&lt;="&amp;DATE($B$3,5,30),'Leave log'!$C$7:$C$306,"&gt;="&amp;DATE($B$3,5,30),'Leave log'!$F$7:$F$306,"Pending")&gt;0,"P",""))))</f>
        <v/>
      </c>
      <c r="AF158" s="23" t="str">
        <f>IF(A158="","",IF(IF(OR(DATE($B$3,5,31)&gt;EOMONTH(DATE($B$3,5,1),0),NETWORKDAYS.INTL(DATE($B$3,5,31),DATE($B$3,5,31),1,'Non-working days'!$A$6:$A$45)=0),"",IF(COUNTIFS('Leave log'!$A$7:$A$306,Employees!$A$21,'Leave log'!$B$7:$B$306,"&lt;="&amp;DATE($B$3,5,31),'Leave log'!$C$7:$C$306,"&gt;="&amp;DATE($B$3,5,31),'Leave log'!$F$7:$F$306,"Approved")&gt;0,"A",""))="A","A",IF(OR(DATE($B$3,5,31)&gt;EOMONTH(DATE($B$3,5,1),0),NETWORKDAYS.INTL(DATE($B$3,5,31),DATE($B$3,5,31),1,'Non-working days'!$A$6:$A$45)=0),"",IF(COUNTIFS('Leave log'!$A$7:$A$306,Employees!$A$21,'Leave log'!$B$7:$B$306,"&lt;="&amp;DATE($B$3,5,31),'Leave log'!$C$7:$C$306,"&gt;="&amp;DATE($B$3,5,31),'Leave log'!$F$7:$F$306,"Pending")&gt;0,"P",""))))</f>
        <v/>
      </c>
    </row>
    <row r="159" spans="1:32" ht="18" customHeight="1" x14ac:dyDescent="0.3">
      <c r="A159" s="22" t="str">
        <f>IF(Employees!F22="Yes",Employees!B22,"")</f>
        <v/>
      </c>
      <c r="B159" s="23" t="str">
        <f>IF(A159="","",IF(IF(OR(DATE($B$3,5,1)&gt;EOMONTH(DATE($B$3,5,1),0),NETWORKDAYS.INTL(DATE($B$3,5,1),DATE($B$3,5,1),1,'Non-working days'!$A$6:$A$45)=0),"",IF(COUNTIFS('Leave log'!$A$7:$A$306,Employees!$A$22,'Leave log'!$B$7:$B$306,"&lt;="&amp;DATE($B$3,5,1),'Leave log'!$C$7:$C$306,"&gt;="&amp;DATE($B$3,5,1),'Leave log'!$F$7:$F$306,"Approved")&gt;0,"A",""))="A","A",IF(OR(DATE($B$3,5,1)&gt;EOMONTH(DATE($B$3,5,1),0),NETWORKDAYS.INTL(DATE($B$3,5,1),DATE($B$3,5,1),1,'Non-working days'!$A$6:$A$45)=0),"",IF(COUNTIFS('Leave log'!$A$7:$A$306,Employees!$A$22,'Leave log'!$B$7:$B$306,"&lt;="&amp;DATE($B$3,5,1),'Leave log'!$C$7:$C$306,"&gt;="&amp;DATE($B$3,5,1),'Leave log'!$F$7:$F$306,"Pending")&gt;0,"P",""))))</f>
        <v/>
      </c>
      <c r="C159" s="23" t="str">
        <f>IF(A159="","",IF(IF(OR(DATE($B$3,5,2)&gt;EOMONTH(DATE($B$3,5,1),0),NETWORKDAYS.INTL(DATE($B$3,5,2),DATE($B$3,5,2),1,'Non-working days'!$A$6:$A$45)=0),"",IF(COUNTIFS('Leave log'!$A$7:$A$306,Employees!$A$22,'Leave log'!$B$7:$B$306,"&lt;="&amp;DATE($B$3,5,2),'Leave log'!$C$7:$C$306,"&gt;="&amp;DATE($B$3,5,2),'Leave log'!$F$7:$F$306,"Approved")&gt;0,"A",""))="A","A",IF(OR(DATE($B$3,5,2)&gt;EOMONTH(DATE($B$3,5,1),0),NETWORKDAYS.INTL(DATE($B$3,5,2),DATE($B$3,5,2),1,'Non-working days'!$A$6:$A$45)=0),"",IF(COUNTIFS('Leave log'!$A$7:$A$306,Employees!$A$22,'Leave log'!$B$7:$B$306,"&lt;="&amp;DATE($B$3,5,2),'Leave log'!$C$7:$C$306,"&gt;="&amp;DATE($B$3,5,2),'Leave log'!$F$7:$F$306,"Pending")&gt;0,"P",""))))</f>
        <v/>
      </c>
      <c r="D159" s="23" t="str">
        <f>IF(A159="","",IF(IF(OR(DATE($B$3,5,3)&gt;EOMONTH(DATE($B$3,5,1),0),NETWORKDAYS.INTL(DATE($B$3,5,3),DATE($B$3,5,3),1,'Non-working days'!$A$6:$A$45)=0),"",IF(COUNTIFS('Leave log'!$A$7:$A$306,Employees!$A$22,'Leave log'!$B$7:$B$306,"&lt;="&amp;DATE($B$3,5,3),'Leave log'!$C$7:$C$306,"&gt;="&amp;DATE($B$3,5,3),'Leave log'!$F$7:$F$306,"Approved")&gt;0,"A",""))="A","A",IF(OR(DATE($B$3,5,3)&gt;EOMONTH(DATE($B$3,5,1),0),NETWORKDAYS.INTL(DATE($B$3,5,3),DATE($B$3,5,3),1,'Non-working days'!$A$6:$A$45)=0),"",IF(COUNTIFS('Leave log'!$A$7:$A$306,Employees!$A$22,'Leave log'!$B$7:$B$306,"&lt;="&amp;DATE($B$3,5,3),'Leave log'!$C$7:$C$306,"&gt;="&amp;DATE($B$3,5,3),'Leave log'!$F$7:$F$306,"Pending")&gt;0,"P",""))))</f>
        <v/>
      </c>
      <c r="E159" s="23" t="str">
        <f>IF(A159="","",IF(IF(OR(DATE($B$3,5,4)&gt;EOMONTH(DATE($B$3,5,1),0),NETWORKDAYS.INTL(DATE($B$3,5,4),DATE($B$3,5,4),1,'Non-working days'!$A$6:$A$45)=0),"",IF(COUNTIFS('Leave log'!$A$7:$A$306,Employees!$A$22,'Leave log'!$B$7:$B$306,"&lt;="&amp;DATE($B$3,5,4),'Leave log'!$C$7:$C$306,"&gt;="&amp;DATE($B$3,5,4),'Leave log'!$F$7:$F$306,"Approved")&gt;0,"A",""))="A","A",IF(OR(DATE($B$3,5,4)&gt;EOMONTH(DATE($B$3,5,1),0),NETWORKDAYS.INTL(DATE($B$3,5,4),DATE($B$3,5,4),1,'Non-working days'!$A$6:$A$45)=0),"",IF(COUNTIFS('Leave log'!$A$7:$A$306,Employees!$A$22,'Leave log'!$B$7:$B$306,"&lt;="&amp;DATE($B$3,5,4),'Leave log'!$C$7:$C$306,"&gt;="&amp;DATE($B$3,5,4),'Leave log'!$F$7:$F$306,"Pending")&gt;0,"P",""))))</f>
        <v/>
      </c>
      <c r="F159" s="23" t="str">
        <f>IF(A159="","",IF(IF(OR(DATE($B$3,5,5)&gt;EOMONTH(DATE($B$3,5,1),0),NETWORKDAYS.INTL(DATE($B$3,5,5),DATE($B$3,5,5),1,'Non-working days'!$A$6:$A$45)=0),"",IF(COUNTIFS('Leave log'!$A$7:$A$306,Employees!$A$22,'Leave log'!$B$7:$B$306,"&lt;="&amp;DATE($B$3,5,5),'Leave log'!$C$7:$C$306,"&gt;="&amp;DATE($B$3,5,5),'Leave log'!$F$7:$F$306,"Approved")&gt;0,"A",""))="A","A",IF(OR(DATE($B$3,5,5)&gt;EOMONTH(DATE($B$3,5,1),0),NETWORKDAYS.INTL(DATE($B$3,5,5),DATE($B$3,5,5),1,'Non-working days'!$A$6:$A$45)=0),"",IF(COUNTIFS('Leave log'!$A$7:$A$306,Employees!$A$22,'Leave log'!$B$7:$B$306,"&lt;="&amp;DATE($B$3,5,5),'Leave log'!$C$7:$C$306,"&gt;="&amp;DATE($B$3,5,5),'Leave log'!$F$7:$F$306,"Pending")&gt;0,"P",""))))</f>
        <v/>
      </c>
      <c r="G159" s="23" t="str">
        <f>IF(A159="","",IF(IF(OR(DATE($B$3,5,6)&gt;EOMONTH(DATE($B$3,5,1),0),NETWORKDAYS.INTL(DATE($B$3,5,6),DATE($B$3,5,6),1,'Non-working days'!$A$6:$A$45)=0),"",IF(COUNTIFS('Leave log'!$A$7:$A$306,Employees!$A$22,'Leave log'!$B$7:$B$306,"&lt;="&amp;DATE($B$3,5,6),'Leave log'!$C$7:$C$306,"&gt;="&amp;DATE($B$3,5,6),'Leave log'!$F$7:$F$306,"Approved")&gt;0,"A",""))="A","A",IF(OR(DATE($B$3,5,6)&gt;EOMONTH(DATE($B$3,5,1),0),NETWORKDAYS.INTL(DATE($B$3,5,6),DATE($B$3,5,6),1,'Non-working days'!$A$6:$A$45)=0),"",IF(COUNTIFS('Leave log'!$A$7:$A$306,Employees!$A$22,'Leave log'!$B$7:$B$306,"&lt;="&amp;DATE($B$3,5,6),'Leave log'!$C$7:$C$306,"&gt;="&amp;DATE($B$3,5,6),'Leave log'!$F$7:$F$306,"Pending")&gt;0,"P",""))))</f>
        <v/>
      </c>
      <c r="H159" s="23" t="str">
        <f>IF(A159="","",IF(IF(OR(DATE($B$3,5,7)&gt;EOMONTH(DATE($B$3,5,1),0),NETWORKDAYS.INTL(DATE($B$3,5,7),DATE($B$3,5,7),1,'Non-working days'!$A$6:$A$45)=0),"",IF(COUNTIFS('Leave log'!$A$7:$A$306,Employees!$A$22,'Leave log'!$B$7:$B$306,"&lt;="&amp;DATE($B$3,5,7),'Leave log'!$C$7:$C$306,"&gt;="&amp;DATE($B$3,5,7),'Leave log'!$F$7:$F$306,"Approved")&gt;0,"A",""))="A","A",IF(OR(DATE($B$3,5,7)&gt;EOMONTH(DATE($B$3,5,1),0),NETWORKDAYS.INTL(DATE($B$3,5,7),DATE($B$3,5,7),1,'Non-working days'!$A$6:$A$45)=0),"",IF(COUNTIFS('Leave log'!$A$7:$A$306,Employees!$A$22,'Leave log'!$B$7:$B$306,"&lt;="&amp;DATE($B$3,5,7),'Leave log'!$C$7:$C$306,"&gt;="&amp;DATE($B$3,5,7),'Leave log'!$F$7:$F$306,"Pending")&gt;0,"P",""))))</f>
        <v/>
      </c>
      <c r="I159" s="23" t="str">
        <f>IF(A159="","",IF(IF(OR(DATE($B$3,5,8)&gt;EOMONTH(DATE($B$3,5,1),0),NETWORKDAYS.INTL(DATE($B$3,5,8),DATE($B$3,5,8),1,'Non-working days'!$A$6:$A$45)=0),"",IF(COUNTIFS('Leave log'!$A$7:$A$306,Employees!$A$22,'Leave log'!$B$7:$B$306,"&lt;="&amp;DATE($B$3,5,8),'Leave log'!$C$7:$C$306,"&gt;="&amp;DATE($B$3,5,8),'Leave log'!$F$7:$F$306,"Approved")&gt;0,"A",""))="A","A",IF(OR(DATE($B$3,5,8)&gt;EOMONTH(DATE($B$3,5,1),0),NETWORKDAYS.INTL(DATE($B$3,5,8),DATE($B$3,5,8),1,'Non-working days'!$A$6:$A$45)=0),"",IF(COUNTIFS('Leave log'!$A$7:$A$306,Employees!$A$22,'Leave log'!$B$7:$B$306,"&lt;="&amp;DATE($B$3,5,8),'Leave log'!$C$7:$C$306,"&gt;="&amp;DATE($B$3,5,8),'Leave log'!$F$7:$F$306,"Pending")&gt;0,"P",""))))</f>
        <v/>
      </c>
      <c r="J159" s="23" t="str">
        <f>IF(A159="","",IF(IF(OR(DATE($B$3,5,9)&gt;EOMONTH(DATE($B$3,5,1),0),NETWORKDAYS.INTL(DATE($B$3,5,9),DATE($B$3,5,9),1,'Non-working days'!$A$6:$A$45)=0),"",IF(COUNTIFS('Leave log'!$A$7:$A$306,Employees!$A$22,'Leave log'!$B$7:$B$306,"&lt;="&amp;DATE($B$3,5,9),'Leave log'!$C$7:$C$306,"&gt;="&amp;DATE($B$3,5,9),'Leave log'!$F$7:$F$306,"Approved")&gt;0,"A",""))="A","A",IF(OR(DATE($B$3,5,9)&gt;EOMONTH(DATE($B$3,5,1),0),NETWORKDAYS.INTL(DATE($B$3,5,9),DATE($B$3,5,9),1,'Non-working days'!$A$6:$A$45)=0),"",IF(COUNTIFS('Leave log'!$A$7:$A$306,Employees!$A$22,'Leave log'!$B$7:$B$306,"&lt;="&amp;DATE($B$3,5,9),'Leave log'!$C$7:$C$306,"&gt;="&amp;DATE($B$3,5,9),'Leave log'!$F$7:$F$306,"Pending")&gt;0,"P",""))))</f>
        <v/>
      </c>
      <c r="K159" s="23" t="str">
        <f>IF(A159="","",IF(IF(OR(DATE($B$3,5,10)&gt;EOMONTH(DATE($B$3,5,1),0),NETWORKDAYS.INTL(DATE($B$3,5,10),DATE($B$3,5,10),1,'Non-working days'!$A$6:$A$45)=0),"",IF(COUNTIFS('Leave log'!$A$7:$A$306,Employees!$A$22,'Leave log'!$B$7:$B$306,"&lt;="&amp;DATE($B$3,5,10),'Leave log'!$C$7:$C$306,"&gt;="&amp;DATE($B$3,5,10),'Leave log'!$F$7:$F$306,"Approved")&gt;0,"A",""))="A","A",IF(OR(DATE($B$3,5,10)&gt;EOMONTH(DATE($B$3,5,1),0),NETWORKDAYS.INTL(DATE($B$3,5,10),DATE($B$3,5,10),1,'Non-working days'!$A$6:$A$45)=0),"",IF(COUNTIFS('Leave log'!$A$7:$A$306,Employees!$A$22,'Leave log'!$B$7:$B$306,"&lt;="&amp;DATE($B$3,5,10),'Leave log'!$C$7:$C$306,"&gt;="&amp;DATE($B$3,5,10),'Leave log'!$F$7:$F$306,"Pending")&gt;0,"P",""))))</f>
        <v/>
      </c>
      <c r="L159" s="23" t="str">
        <f>IF(A159="","",IF(IF(OR(DATE($B$3,5,11)&gt;EOMONTH(DATE($B$3,5,1),0),NETWORKDAYS.INTL(DATE($B$3,5,11),DATE($B$3,5,11),1,'Non-working days'!$A$6:$A$45)=0),"",IF(COUNTIFS('Leave log'!$A$7:$A$306,Employees!$A$22,'Leave log'!$B$7:$B$306,"&lt;="&amp;DATE($B$3,5,11),'Leave log'!$C$7:$C$306,"&gt;="&amp;DATE($B$3,5,11),'Leave log'!$F$7:$F$306,"Approved")&gt;0,"A",""))="A","A",IF(OR(DATE($B$3,5,11)&gt;EOMONTH(DATE($B$3,5,1),0),NETWORKDAYS.INTL(DATE($B$3,5,11),DATE($B$3,5,11),1,'Non-working days'!$A$6:$A$45)=0),"",IF(COUNTIFS('Leave log'!$A$7:$A$306,Employees!$A$22,'Leave log'!$B$7:$B$306,"&lt;="&amp;DATE($B$3,5,11),'Leave log'!$C$7:$C$306,"&gt;="&amp;DATE($B$3,5,11),'Leave log'!$F$7:$F$306,"Pending")&gt;0,"P",""))))</f>
        <v/>
      </c>
      <c r="M159" s="23" t="str">
        <f>IF(A159="","",IF(IF(OR(DATE($B$3,5,12)&gt;EOMONTH(DATE($B$3,5,1),0),NETWORKDAYS.INTL(DATE($B$3,5,12),DATE($B$3,5,12),1,'Non-working days'!$A$6:$A$45)=0),"",IF(COUNTIFS('Leave log'!$A$7:$A$306,Employees!$A$22,'Leave log'!$B$7:$B$306,"&lt;="&amp;DATE($B$3,5,12),'Leave log'!$C$7:$C$306,"&gt;="&amp;DATE($B$3,5,12),'Leave log'!$F$7:$F$306,"Approved")&gt;0,"A",""))="A","A",IF(OR(DATE($B$3,5,12)&gt;EOMONTH(DATE($B$3,5,1),0),NETWORKDAYS.INTL(DATE($B$3,5,12),DATE($B$3,5,12),1,'Non-working days'!$A$6:$A$45)=0),"",IF(COUNTIFS('Leave log'!$A$7:$A$306,Employees!$A$22,'Leave log'!$B$7:$B$306,"&lt;="&amp;DATE($B$3,5,12),'Leave log'!$C$7:$C$306,"&gt;="&amp;DATE($B$3,5,12),'Leave log'!$F$7:$F$306,"Pending")&gt;0,"P",""))))</f>
        <v/>
      </c>
      <c r="N159" s="23" t="str">
        <f>IF(A159="","",IF(IF(OR(DATE($B$3,5,13)&gt;EOMONTH(DATE($B$3,5,1),0),NETWORKDAYS.INTL(DATE($B$3,5,13),DATE($B$3,5,13),1,'Non-working days'!$A$6:$A$45)=0),"",IF(COUNTIFS('Leave log'!$A$7:$A$306,Employees!$A$22,'Leave log'!$B$7:$B$306,"&lt;="&amp;DATE($B$3,5,13),'Leave log'!$C$7:$C$306,"&gt;="&amp;DATE($B$3,5,13),'Leave log'!$F$7:$F$306,"Approved")&gt;0,"A",""))="A","A",IF(OR(DATE($B$3,5,13)&gt;EOMONTH(DATE($B$3,5,1),0),NETWORKDAYS.INTL(DATE($B$3,5,13),DATE($B$3,5,13),1,'Non-working days'!$A$6:$A$45)=0),"",IF(COUNTIFS('Leave log'!$A$7:$A$306,Employees!$A$22,'Leave log'!$B$7:$B$306,"&lt;="&amp;DATE($B$3,5,13),'Leave log'!$C$7:$C$306,"&gt;="&amp;DATE($B$3,5,13),'Leave log'!$F$7:$F$306,"Pending")&gt;0,"P",""))))</f>
        <v/>
      </c>
      <c r="O159" s="23" t="str">
        <f>IF(A159="","",IF(IF(OR(DATE($B$3,5,14)&gt;EOMONTH(DATE($B$3,5,1),0),NETWORKDAYS.INTL(DATE($B$3,5,14),DATE($B$3,5,14),1,'Non-working days'!$A$6:$A$45)=0),"",IF(COUNTIFS('Leave log'!$A$7:$A$306,Employees!$A$22,'Leave log'!$B$7:$B$306,"&lt;="&amp;DATE($B$3,5,14),'Leave log'!$C$7:$C$306,"&gt;="&amp;DATE($B$3,5,14),'Leave log'!$F$7:$F$306,"Approved")&gt;0,"A",""))="A","A",IF(OR(DATE($B$3,5,14)&gt;EOMONTH(DATE($B$3,5,1),0),NETWORKDAYS.INTL(DATE($B$3,5,14),DATE($B$3,5,14),1,'Non-working days'!$A$6:$A$45)=0),"",IF(COUNTIFS('Leave log'!$A$7:$A$306,Employees!$A$22,'Leave log'!$B$7:$B$306,"&lt;="&amp;DATE($B$3,5,14),'Leave log'!$C$7:$C$306,"&gt;="&amp;DATE($B$3,5,14),'Leave log'!$F$7:$F$306,"Pending")&gt;0,"P",""))))</f>
        <v/>
      </c>
      <c r="P159" s="23" t="str">
        <f>IF(A159="","",IF(IF(OR(DATE($B$3,5,15)&gt;EOMONTH(DATE($B$3,5,1),0),NETWORKDAYS.INTL(DATE($B$3,5,15),DATE($B$3,5,15),1,'Non-working days'!$A$6:$A$45)=0),"",IF(COUNTIFS('Leave log'!$A$7:$A$306,Employees!$A$22,'Leave log'!$B$7:$B$306,"&lt;="&amp;DATE($B$3,5,15),'Leave log'!$C$7:$C$306,"&gt;="&amp;DATE($B$3,5,15),'Leave log'!$F$7:$F$306,"Approved")&gt;0,"A",""))="A","A",IF(OR(DATE($B$3,5,15)&gt;EOMONTH(DATE($B$3,5,1),0),NETWORKDAYS.INTL(DATE($B$3,5,15),DATE($B$3,5,15),1,'Non-working days'!$A$6:$A$45)=0),"",IF(COUNTIFS('Leave log'!$A$7:$A$306,Employees!$A$22,'Leave log'!$B$7:$B$306,"&lt;="&amp;DATE($B$3,5,15),'Leave log'!$C$7:$C$306,"&gt;="&amp;DATE($B$3,5,15),'Leave log'!$F$7:$F$306,"Pending")&gt;0,"P",""))))</f>
        <v/>
      </c>
      <c r="Q159" s="23" t="str">
        <f>IF(A159="","",IF(IF(OR(DATE($B$3,5,16)&gt;EOMONTH(DATE($B$3,5,1),0),NETWORKDAYS.INTL(DATE($B$3,5,16),DATE($B$3,5,16),1,'Non-working days'!$A$6:$A$45)=0),"",IF(COUNTIFS('Leave log'!$A$7:$A$306,Employees!$A$22,'Leave log'!$B$7:$B$306,"&lt;="&amp;DATE($B$3,5,16),'Leave log'!$C$7:$C$306,"&gt;="&amp;DATE($B$3,5,16),'Leave log'!$F$7:$F$306,"Approved")&gt;0,"A",""))="A","A",IF(OR(DATE($B$3,5,16)&gt;EOMONTH(DATE($B$3,5,1),0),NETWORKDAYS.INTL(DATE($B$3,5,16),DATE($B$3,5,16),1,'Non-working days'!$A$6:$A$45)=0),"",IF(COUNTIFS('Leave log'!$A$7:$A$306,Employees!$A$22,'Leave log'!$B$7:$B$306,"&lt;="&amp;DATE($B$3,5,16),'Leave log'!$C$7:$C$306,"&gt;="&amp;DATE($B$3,5,16),'Leave log'!$F$7:$F$306,"Pending")&gt;0,"P",""))))</f>
        <v/>
      </c>
      <c r="R159" s="23" t="str">
        <f>IF(A159="","",IF(IF(OR(DATE($B$3,5,17)&gt;EOMONTH(DATE($B$3,5,1),0),NETWORKDAYS.INTL(DATE($B$3,5,17),DATE($B$3,5,17),1,'Non-working days'!$A$6:$A$45)=0),"",IF(COUNTIFS('Leave log'!$A$7:$A$306,Employees!$A$22,'Leave log'!$B$7:$B$306,"&lt;="&amp;DATE($B$3,5,17),'Leave log'!$C$7:$C$306,"&gt;="&amp;DATE($B$3,5,17),'Leave log'!$F$7:$F$306,"Approved")&gt;0,"A",""))="A","A",IF(OR(DATE($B$3,5,17)&gt;EOMONTH(DATE($B$3,5,1),0),NETWORKDAYS.INTL(DATE($B$3,5,17),DATE($B$3,5,17),1,'Non-working days'!$A$6:$A$45)=0),"",IF(COUNTIFS('Leave log'!$A$7:$A$306,Employees!$A$22,'Leave log'!$B$7:$B$306,"&lt;="&amp;DATE($B$3,5,17),'Leave log'!$C$7:$C$306,"&gt;="&amp;DATE($B$3,5,17),'Leave log'!$F$7:$F$306,"Pending")&gt;0,"P",""))))</f>
        <v/>
      </c>
      <c r="S159" s="23" t="str">
        <f>IF(A159="","",IF(IF(OR(DATE($B$3,5,18)&gt;EOMONTH(DATE($B$3,5,1),0),NETWORKDAYS.INTL(DATE($B$3,5,18),DATE($B$3,5,18),1,'Non-working days'!$A$6:$A$45)=0),"",IF(COUNTIFS('Leave log'!$A$7:$A$306,Employees!$A$22,'Leave log'!$B$7:$B$306,"&lt;="&amp;DATE($B$3,5,18),'Leave log'!$C$7:$C$306,"&gt;="&amp;DATE($B$3,5,18),'Leave log'!$F$7:$F$306,"Approved")&gt;0,"A",""))="A","A",IF(OR(DATE($B$3,5,18)&gt;EOMONTH(DATE($B$3,5,1),0),NETWORKDAYS.INTL(DATE($B$3,5,18),DATE($B$3,5,18),1,'Non-working days'!$A$6:$A$45)=0),"",IF(COUNTIFS('Leave log'!$A$7:$A$306,Employees!$A$22,'Leave log'!$B$7:$B$306,"&lt;="&amp;DATE($B$3,5,18),'Leave log'!$C$7:$C$306,"&gt;="&amp;DATE($B$3,5,18),'Leave log'!$F$7:$F$306,"Pending")&gt;0,"P",""))))</f>
        <v/>
      </c>
      <c r="T159" s="23" t="str">
        <f>IF(A159="","",IF(IF(OR(DATE($B$3,5,19)&gt;EOMONTH(DATE($B$3,5,1),0),NETWORKDAYS.INTL(DATE($B$3,5,19),DATE($B$3,5,19),1,'Non-working days'!$A$6:$A$45)=0),"",IF(COUNTIFS('Leave log'!$A$7:$A$306,Employees!$A$22,'Leave log'!$B$7:$B$306,"&lt;="&amp;DATE($B$3,5,19),'Leave log'!$C$7:$C$306,"&gt;="&amp;DATE($B$3,5,19),'Leave log'!$F$7:$F$306,"Approved")&gt;0,"A",""))="A","A",IF(OR(DATE($B$3,5,19)&gt;EOMONTH(DATE($B$3,5,1),0),NETWORKDAYS.INTL(DATE($B$3,5,19),DATE($B$3,5,19),1,'Non-working days'!$A$6:$A$45)=0),"",IF(COUNTIFS('Leave log'!$A$7:$A$306,Employees!$A$22,'Leave log'!$B$7:$B$306,"&lt;="&amp;DATE($B$3,5,19),'Leave log'!$C$7:$C$306,"&gt;="&amp;DATE($B$3,5,19),'Leave log'!$F$7:$F$306,"Pending")&gt;0,"P",""))))</f>
        <v/>
      </c>
      <c r="U159" s="23" t="str">
        <f>IF(A159="","",IF(IF(OR(DATE($B$3,5,20)&gt;EOMONTH(DATE($B$3,5,1),0),NETWORKDAYS.INTL(DATE($B$3,5,20),DATE($B$3,5,20),1,'Non-working days'!$A$6:$A$45)=0),"",IF(COUNTIFS('Leave log'!$A$7:$A$306,Employees!$A$22,'Leave log'!$B$7:$B$306,"&lt;="&amp;DATE($B$3,5,20),'Leave log'!$C$7:$C$306,"&gt;="&amp;DATE($B$3,5,20),'Leave log'!$F$7:$F$306,"Approved")&gt;0,"A",""))="A","A",IF(OR(DATE($B$3,5,20)&gt;EOMONTH(DATE($B$3,5,1),0),NETWORKDAYS.INTL(DATE($B$3,5,20),DATE($B$3,5,20),1,'Non-working days'!$A$6:$A$45)=0),"",IF(COUNTIFS('Leave log'!$A$7:$A$306,Employees!$A$22,'Leave log'!$B$7:$B$306,"&lt;="&amp;DATE($B$3,5,20),'Leave log'!$C$7:$C$306,"&gt;="&amp;DATE($B$3,5,20),'Leave log'!$F$7:$F$306,"Pending")&gt;0,"P",""))))</f>
        <v/>
      </c>
      <c r="V159" s="23" t="str">
        <f>IF(A159="","",IF(IF(OR(DATE($B$3,5,21)&gt;EOMONTH(DATE($B$3,5,1),0),NETWORKDAYS.INTL(DATE($B$3,5,21),DATE($B$3,5,21),1,'Non-working days'!$A$6:$A$45)=0),"",IF(COUNTIFS('Leave log'!$A$7:$A$306,Employees!$A$22,'Leave log'!$B$7:$B$306,"&lt;="&amp;DATE($B$3,5,21),'Leave log'!$C$7:$C$306,"&gt;="&amp;DATE($B$3,5,21),'Leave log'!$F$7:$F$306,"Approved")&gt;0,"A",""))="A","A",IF(OR(DATE($B$3,5,21)&gt;EOMONTH(DATE($B$3,5,1),0),NETWORKDAYS.INTL(DATE($B$3,5,21),DATE($B$3,5,21),1,'Non-working days'!$A$6:$A$45)=0),"",IF(COUNTIFS('Leave log'!$A$7:$A$306,Employees!$A$22,'Leave log'!$B$7:$B$306,"&lt;="&amp;DATE($B$3,5,21),'Leave log'!$C$7:$C$306,"&gt;="&amp;DATE($B$3,5,21),'Leave log'!$F$7:$F$306,"Pending")&gt;0,"P",""))))</f>
        <v/>
      </c>
      <c r="W159" s="23" t="str">
        <f>IF(A159="","",IF(IF(OR(DATE($B$3,5,22)&gt;EOMONTH(DATE($B$3,5,1),0),NETWORKDAYS.INTL(DATE($B$3,5,22),DATE($B$3,5,22),1,'Non-working days'!$A$6:$A$45)=0),"",IF(COUNTIFS('Leave log'!$A$7:$A$306,Employees!$A$22,'Leave log'!$B$7:$B$306,"&lt;="&amp;DATE($B$3,5,22),'Leave log'!$C$7:$C$306,"&gt;="&amp;DATE($B$3,5,22),'Leave log'!$F$7:$F$306,"Approved")&gt;0,"A",""))="A","A",IF(OR(DATE($B$3,5,22)&gt;EOMONTH(DATE($B$3,5,1),0),NETWORKDAYS.INTL(DATE($B$3,5,22),DATE($B$3,5,22),1,'Non-working days'!$A$6:$A$45)=0),"",IF(COUNTIFS('Leave log'!$A$7:$A$306,Employees!$A$22,'Leave log'!$B$7:$B$306,"&lt;="&amp;DATE($B$3,5,22),'Leave log'!$C$7:$C$306,"&gt;="&amp;DATE($B$3,5,22),'Leave log'!$F$7:$F$306,"Pending")&gt;0,"P",""))))</f>
        <v/>
      </c>
      <c r="X159" s="23" t="str">
        <f>IF(A159="","",IF(IF(OR(DATE($B$3,5,23)&gt;EOMONTH(DATE($B$3,5,1),0),NETWORKDAYS.INTL(DATE($B$3,5,23),DATE($B$3,5,23),1,'Non-working days'!$A$6:$A$45)=0),"",IF(COUNTIFS('Leave log'!$A$7:$A$306,Employees!$A$22,'Leave log'!$B$7:$B$306,"&lt;="&amp;DATE($B$3,5,23),'Leave log'!$C$7:$C$306,"&gt;="&amp;DATE($B$3,5,23),'Leave log'!$F$7:$F$306,"Approved")&gt;0,"A",""))="A","A",IF(OR(DATE($B$3,5,23)&gt;EOMONTH(DATE($B$3,5,1),0),NETWORKDAYS.INTL(DATE($B$3,5,23),DATE($B$3,5,23),1,'Non-working days'!$A$6:$A$45)=0),"",IF(COUNTIFS('Leave log'!$A$7:$A$306,Employees!$A$22,'Leave log'!$B$7:$B$306,"&lt;="&amp;DATE($B$3,5,23),'Leave log'!$C$7:$C$306,"&gt;="&amp;DATE($B$3,5,23),'Leave log'!$F$7:$F$306,"Pending")&gt;0,"P",""))))</f>
        <v/>
      </c>
      <c r="Y159" s="23" t="str">
        <f>IF(A159="","",IF(IF(OR(DATE($B$3,5,24)&gt;EOMONTH(DATE($B$3,5,1),0),NETWORKDAYS.INTL(DATE($B$3,5,24),DATE($B$3,5,24),1,'Non-working days'!$A$6:$A$45)=0),"",IF(COUNTIFS('Leave log'!$A$7:$A$306,Employees!$A$22,'Leave log'!$B$7:$B$306,"&lt;="&amp;DATE($B$3,5,24),'Leave log'!$C$7:$C$306,"&gt;="&amp;DATE($B$3,5,24),'Leave log'!$F$7:$F$306,"Approved")&gt;0,"A",""))="A","A",IF(OR(DATE($B$3,5,24)&gt;EOMONTH(DATE($B$3,5,1),0),NETWORKDAYS.INTL(DATE($B$3,5,24),DATE($B$3,5,24),1,'Non-working days'!$A$6:$A$45)=0),"",IF(COUNTIFS('Leave log'!$A$7:$A$306,Employees!$A$22,'Leave log'!$B$7:$B$306,"&lt;="&amp;DATE($B$3,5,24),'Leave log'!$C$7:$C$306,"&gt;="&amp;DATE($B$3,5,24),'Leave log'!$F$7:$F$306,"Pending")&gt;0,"P",""))))</f>
        <v/>
      </c>
      <c r="Z159" s="23" t="str">
        <f>IF(A159="","",IF(IF(OR(DATE($B$3,5,25)&gt;EOMONTH(DATE($B$3,5,1),0),NETWORKDAYS.INTL(DATE($B$3,5,25),DATE($B$3,5,25),1,'Non-working days'!$A$6:$A$45)=0),"",IF(COUNTIFS('Leave log'!$A$7:$A$306,Employees!$A$22,'Leave log'!$B$7:$B$306,"&lt;="&amp;DATE($B$3,5,25),'Leave log'!$C$7:$C$306,"&gt;="&amp;DATE($B$3,5,25),'Leave log'!$F$7:$F$306,"Approved")&gt;0,"A",""))="A","A",IF(OR(DATE($B$3,5,25)&gt;EOMONTH(DATE($B$3,5,1),0),NETWORKDAYS.INTL(DATE($B$3,5,25),DATE($B$3,5,25),1,'Non-working days'!$A$6:$A$45)=0),"",IF(COUNTIFS('Leave log'!$A$7:$A$306,Employees!$A$22,'Leave log'!$B$7:$B$306,"&lt;="&amp;DATE($B$3,5,25),'Leave log'!$C$7:$C$306,"&gt;="&amp;DATE($B$3,5,25),'Leave log'!$F$7:$F$306,"Pending")&gt;0,"P",""))))</f>
        <v/>
      </c>
      <c r="AA159" s="23" t="str">
        <f>IF(A159="","",IF(IF(OR(DATE($B$3,5,26)&gt;EOMONTH(DATE($B$3,5,1),0),NETWORKDAYS.INTL(DATE($B$3,5,26),DATE($B$3,5,26),1,'Non-working days'!$A$6:$A$45)=0),"",IF(COUNTIFS('Leave log'!$A$7:$A$306,Employees!$A$22,'Leave log'!$B$7:$B$306,"&lt;="&amp;DATE($B$3,5,26),'Leave log'!$C$7:$C$306,"&gt;="&amp;DATE($B$3,5,26),'Leave log'!$F$7:$F$306,"Approved")&gt;0,"A",""))="A","A",IF(OR(DATE($B$3,5,26)&gt;EOMONTH(DATE($B$3,5,1),0),NETWORKDAYS.INTL(DATE($B$3,5,26),DATE($B$3,5,26),1,'Non-working days'!$A$6:$A$45)=0),"",IF(COUNTIFS('Leave log'!$A$7:$A$306,Employees!$A$22,'Leave log'!$B$7:$B$306,"&lt;="&amp;DATE($B$3,5,26),'Leave log'!$C$7:$C$306,"&gt;="&amp;DATE($B$3,5,26),'Leave log'!$F$7:$F$306,"Pending")&gt;0,"P",""))))</f>
        <v/>
      </c>
      <c r="AB159" s="23" t="str">
        <f>IF(A159="","",IF(IF(OR(DATE($B$3,5,27)&gt;EOMONTH(DATE($B$3,5,1),0),NETWORKDAYS.INTL(DATE($B$3,5,27),DATE($B$3,5,27),1,'Non-working days'!$A$6:$A$45)=0),"",IF(COUNTIFS('Leave log'!$A$7:$A$306,Employees!$A$22,'Leave log'!$B$7:$B$306,"&lt;="&amp;DATE($B$3,5,27),'Leave log'!$C$7:$C$306,"&gt;="&amp;DATE($B$3,5,27),'Leave log'!$F$7:$F$306,"Approved")&gt;0,"A",""))="A","A",IF(OR(DATE($B$3,5,27)&gt;EOMONTH(DATE($B$3,5,1),0),NETWORKDAYS.INTL(DATE($B$3,5,27),DATE($B$3,5,27),1,'Non-working days'!$A$6:$A$45)=0),"",IF(COUNTIFS('Leave log'!$A$7:$A$306,Employees!$A$22,'Leave log'!$B$7:$B$306,"&lt;="&amp;DATE($B$3,5,27),'Leave log'!$C$7:$C$306,"&gt;="&amp;DATE($B$3,5,27),'Leave log'!$F$7:$F$306,"Pending")&gt;0,"P",""))))</f>
        <v/>
      </c>
      <c r="AC159" s="23" t="str">
        <f>IF(A159="","",IF(IF(OR(DATE($B$3,5,28)&gt;EOMONTH(DATE($B$3,5,1),0),NETWORKDAYS.INTL(DATE($B$3,5,28),DATE($B$3,5,28),1,'Non-working days'!$A$6:$A$45)=0),"",IF(COUNTIFS('Leave log'!$A$7:$A$306,Employees!$A$22,'Leave log'!$B$7:$B$306,"&lt;="&amp;DATE($B$3,5,28),'Leave log'!$C$7:$C$306,"&gt;="&amp;DATE($B$3,5,28),'Leave log'!$F$7:$F$306,"Approved")&gt;0,"A",""))="A","A",IF(OR(DATE($B$3,5,28)&gt;EOMONTH(DATE($B$3,5,1),0),NETWORKDAYS.INTL(DATE($B$3,5,28),DATE($B$3,5,28),1,'Non-working days'!$A$6:$A$45)=0),"",IF(COUNTIFS('Leave log'!$A$7:$A$306,Employees!$A$22,'Leave log'!$B$7:$B$306,"&lt;="&amp;DATE($B$3,5,28),'Leave log'!$C$7:$C$306,"&gt;="&amp;DATE($B$3,5,28),'Leave log'!$F$7:$F$306,"Pending")&gt;0,"P",""))))</f>
        <v/>
      </c>
      <c r="AD159" s="23" t="str">
        <f>IF(A159="","",IF(IF(OR(DATE($B$3,5,29)&gt;EOMONTH(DATE($B$3,5,1),0),NETWORKDAYS.INTL(DATE($B$3,5,29),DATE($B$3,5,29),1,'Non-working days'!$A$6:$A$45)=0),"",IF(COUNTIFS('Leave log'!$A$7:$A$306,Employees!$A$22,'Leave log'!$B$7:$B$306,"&lt;="&amp;DATE($B$3,5,29),'Leave log'!$C$7:$C$306,"&gt;="&amp;DATE($B$3,5,29),'Leave log'!$F$7:$F$306,"Approved")&gt;0,"A",""))="A","A",IF(OR(DATE($B$3,5,29)&gt;EOMONTH(DATE($B$3,5,1),0),NETWORKDAYS.INTL(DATE($B$3,5,29),DATE($B$3,5,29),1,'Non-working days'!$A$6:$A$45)=0),"",IF(COUNTIFS('Leave log'!$A$7:$A$306,Employees!$A$22,'Leave log'!$B$7:$B$306,"&lt;="&amp;DATE($B$3,5,29),'Leave log'!$C$7:$C$306,"&gt;="&amp;DATE($B$3,5,29),'Leave log'!$F$7:$F$306,"Pending")&gt;0,"P",""))))</f>
        <v/>
      </c>
      <c r="AE159" s="23" t="str">
        <f>IF(A159="","",IF(IF(OR(DATE($B$3,5,30)&gt;EOMONTH(DATE($B$3,5,1),0),NETWORKDAYS.INTL(DATE($B$3,5,30),DATE($B$3,5,30),1,'Non-working days'!$A$6:$A$45)=0),"",IF(COUNTIFS('Leave log'!$A$7:$A$306,Employees!$A$22,'Leave log'!$B$7:$B$306,"&lt;="&amp;DATE($B$3,5,30),'Leave log'!$C$7:$C$306,"&gt;="&amp;DATE($B$3,5,30),'Leave log'!$F$7:$F$306,"Approved")&gt;0,"A",""))="A","A",IF(OR(DATE($B$3,5,30)&gt;EOMONTH(DATE($B$3,5,1),0),NETWORKDAYS.INTL(DATE($B$3,5,30),DATE($B$3,5,30),1,'Non-working days'!$A$6:$A$45)=0),"",IF(COUNTIFS('Leave log'!$A$7:$A$306,Employees!$A$22,'Leave log'!$B$7:$B$306,"&lt;="&amp;DATE($B$3,5,30),'Leave log'!$C$7:$C$306,"&gt;="&amp;DATE($B$3,5,30),'Leave log'!$F$7:$F$306,"Pending")&gt;0,"P",""))))</f>
        <v/>
      </c>
      <c r="AF159" s="23" t="str">
        <f>IF(A159="","",IF(IF(OR(DATE($B$3,5,31)&gt;EOMONTH(DATE($B$3,5,1),0),NETWORKDAYS.INTL(DATE($B$3,5,31),DATE($B$3,5,31),1,'Non-working days'!$A$6:$A$45)=0),"",IF(COUNTIFS('Leave log'!$A$7:$A$306,Employees!$A$22,'Leave log'!$B$7:$B$306,"&lt;="&amp;DATE($B$3,5,31),'Leave log'!$C$7:$C$306,"&gt;="&amp;DATE($B$3,5,31),'Leave log'!$F$7:$F$306,"Approved")&gt;0,"A",""))="A","A",IF(OR(DATE($B$3,5,31)&gt;EOMONTH(DATE($B$3,5,1),0),NETWORKDAYS.INTL(DATE($B$3,5,31),DATE($B$3,5,31),1,'Non-working days'!$A$6:$A$45)=0),"",IF(COUNTIFS('Leave log'!$A$7:$A$306,Employees!$A$22,'Leave log'!$B$7:$B$306,"&lt;="&amp;DATE($B$3,5,31),'Leave log'!$C$7:$C$306,"&gt;="&amp;DATE($B$3,5,31),'Leave log'!$F$7:$F$306,"Pending")&gt;0,"P",""))))</f>
        <v/>
      </c>
    </row>
    <row r="160" spans="1:32" ht="18" customHeight="1" x14ac:dyDescent="0.3">
      <c r="A160" s="22" t="str">
        <f>IF(Employees!F23="Yes",Employees!B23,"")</f>
        <v/>
      </c>
      <c r="B160" s="23" t="str">
        <f>IF(A160="","",IF(IF(OR(DATE($B$3,5,1)&gt;EOMONTH(DATE($B$3,5,1),0),NETWORKDAYS.INTL(DATE($B$3,5,1),DATE($B$3,5,1),1,'Non-working days'!$A$6:$A$45)=0),"",IF(COUNTIFS('Leave log'!$A$7:$A$306,Employees!$A$23,'Leave log'!$B$7:$B$306,"&lt;="&amp;DATE($B$3,5,1),'Leave log'!$C$7:$C$306,"&gt;="&amp;DATE($B$3,5,1),'Leave log'!$F$7:$F$306,"Approved")&gt;0,"A",""))="A","A",IF(OR(DATE($B$3,5,1)&gt;EOMONTH(DATE($B$3,5,1),0),NETWORKDAYS.INTL(DATE($B$3,5,1),DATE($B$3,5,1),1,'Non-working days'!$A$6:$A$45)=0),"",IF(COUNTIFS('Leave log'!$A$7:$A$306,Employees!$A$23,'Leave log'!$B$7:$B$306,"&lt;="&amp;DATE($B$3,5,1),'Leave log'!$C$7:$C$306,"&gt;="&amp;DATE($B$3,5,1),'Leave log'!$F$7:$F$306,"Pending")&gt;0,"P",""))))</f>
        <v/>
      </c>
      <c r="C160" s="23" t="str">
        <f>IF(A160="","",IF(IF(OR(DATE($B$3,5,2)&gt;EOMONTH(DATE($B$3,5,1),0),NETWORKDAYS.INTL(DATE($B$3,5,2),DATE($B$3,5,2),1,'Non-working days'!$A$6:$A$45)=0),"",IF(COUNTIFS('Leave log'!$A$7:$A$306,Employees!$A$23,'Leave log'!$B$7:$B$306,"&lt;="&amp;DATE($B$3,5,2),'Leave log'!$C$7:$C$306,"&gt;="&amp;DATE($B$3,5,2),'Leave log'!$F$7:$F$306,"Approved")&gt;0,"A",""))="A","A",IF(OR(DATE($B$3,5,2)&gt;EOMONTH(DATE($B$3,5,1),0),NETWORKDAYS.INTL(DATE($B$3,5,2),DATE($B$3,5,2),1,'Non-working days'!$A$6:$A$45)=0),"",IF(COUNTIFS('Leave log'!$A$7:$A$306,Employees!$A$23,'Leave log'!$B$7:$B$306,"&lt;="&amp;DATE($B$3,5,2),'Leave log'!$C$7:$C$306,"&gt;="&amp;DATE($B$3,5,2),'Leave log'!$F$7:$F$306,"Pending")&gt;0,"P",""))))</f>
        <v/>
      </c>
      <c r="D160" s="23" t="str">
        <f>IF(A160="","",IF(IF(OR(DATE($B$3,5,3)&gt;EOMONTH(DATE($B$3,5,1),0),NETWORKDAYS.INTL(DATE($B$3,5,3),DATE($B$3,5,3),1,'Non-working days'!$A$6:$A$45)=0),"",IF(COUNTIFS('Leave log'!$A$7:$A$306,Employees!$A$23,'Leave log'!$B$7:$B$306,"&lt;="&amp;DATE($B$3,5,3),'Leave log'!$C$7:$C$306,"&gt;="&amp;DATE($B$3,5,3),'Leave log'!$F$7:$F$306,"Approved")&gt;0,"A",""))="A","A",IF(OR(DATE($B$3,5,3)&gt;EOMONTH(DATE($B$3,5,1),0),NETWORKDAYS.INTL(DATE($B$3,5,3),DATE($B$3,5,3),1,'Non-working days'!$A$6:$A$45)=0),"",IF(COUNTIFS('Leave log'!$A$7:$A$306,Employees!$A$23,'Leave log'!$B$7:$B$306,"&lt;="&amp;DATE($B$3,5,3),'Leave log'!$C$7:$C$306,"&gt;="&amp;DATE($B$3,5,3),'Leave log'!$F$7:$F$306,"Pending")&gt;0,"P",""))))</f>
        <v/>
      </c>
      <c r="E160" s="23" t="str">
        <f>IF(A160="","",IF(IF(OR(DATE($B$3,5,4)&gt;EOMONTH(DATE($B$3,5,1),0),NETWORKDAYS.INTL(DATE($B$3,5,4),DATE($B$3,5,4),1,'Non-working days'!$A$6:$A$45)=0),"",IF(COUNTIFS('Leave log'!$A$7:$A$306,Employees!$A$23,'Leave log'!$B$7:$B$306,"&lt;="&amp;DATE($B$3,5,4),'Leave log'!$C$7:$C$306,"&gt;="&amp;DATE($B$3,5,4),'Leave log'!$F$7:$F$306,"Approved")&gt;0,"A",""))="A","A",IF(OR(DATE($B$3,5,4)&gt;EOMONTH(DATE($B$3,5,1),0),NETWORKDAYS.INTL(DATE($B$3,5,4),DATE($B$3,5,4),1,'Non-working days'!$A$6:$A$45)=0),"",IF(COUNTIFS('Leave log'!$A$7:$A$306,Employees!$A$23,'Leave log'!$B$7:$B$306,"&lt;="&amp;DATE($B$3,5,4),'Leave log'!$C$7:$C$306,"&gt;="&amp;DATE($B$3,5,4),'Leave log'!$F$7:$F$306,"Pending")&gt;0,"P",""))))</f>
        <v/>
      </c>
      <c r="F160" s="23" t="str">
        <f>IF(A160="","",IF(IF(OR(DATE($B$3,5,5)&gt;EOMONTH(DATE($B$3,5,1),0),NETWORKDAYS.INTL(DATE($B$3,5,5),DATE($B$3,5,5),1,'Non-working days'!$A$6:$A$45)=0),"",IF(COUNTIFS('Leave log'!$A$7:$A$306,Employees!$A$23,'Leave log'!$B$7:$B$306,"&lt;="&amp;DATE($B$3,5,5),'Leave log'!$C$7:$C$306,"&gt;="&amp;DATE($B$3,5,5),'Leave log'!$F$7:$F$306,"Approved")&gt;0,"A",""))="A","A",IF(OR(DATE($B$3,5,5)&gt;EOMONTH(DATE($B$3,5,1),0),NETWORKDAYS.INTL(DATE($B$3,5,5),DATE($B$3,5,5),1,'Non-working days'!$A$6:$A$45)=0),"",IF(COUNTIFS('Leave log'!$A$7:$A$306,Employees!$A$23,'Leave log'!$B$7:$B$306,"&lt;="&amp;DATE($B$3,5,5),'Leave log'!$C$7:$C$306,"&gt;="&amp;DATE($B$3,5,5),'Leave log'!$F$7:$F$306,"Pending")&gt;0,"P",""))))</f>
        <v/>
      </c>
      <c r="G160" s="23" t="str">
        <f>IF(A160="","",IF(IF(OR(DATE($B$3,5,6)&gt;EOMONTH(DATE($B$3,5,1),0),NETWORKDAYS.INTL(DATE($B$3,5,6),DATE($B$3,5,6),1,'Non-working days'!$A$6:$A$45)=0),"",IF(COUNTIFS('Leave log'!$A$7:$A$306,Employees!$A$23,'Leave log'!$B$7:$B$306,"&lt;="&amp;DATE($B$3,5,6),'Leave log'!$C$7:$C$306,"&gt;="&amp;DATE($B$3,5,6),'Leave log'!$F$7:$F$306,"Approved")&gt;0,"A",""))="A","A",IF(OR(DATE($B$3,5,6)&gt;EOMONTH(DATE($B$3,5,1),0),NETWORKDAYS.INTL(DATE($B$3,5,6),DATE($B$3,5,6),1,'Non-working days'!$A$6:$A$45)=0),"",IF(COUNTIFS('Leave log'!$A$7:$A$306,Employees!$A$23,'Leave log'!$B$7:$B$306,"&lt;="&amp;DATE($B$3,5,6),'Leave log'!$C$7:$C$306,"&gt;="&amp;DATE($B$3,5,6),'Leave log'!$F$7:$F$306,"Pending")&gt;0,"P",""))))</f>
        <v/>
      </c>
      <c r="H160" s="23" t="str">
        <f>IF(A160="","",IF(IF(OR(DATE($B$3,5,7)&gt;EOMONTH(DATE($B$3,5,1),0),NETWORKDAYS.INTL(DATE($B$3,5,7),DATE($B$3,5,7),1,'Non-working days'!$A$6:$A$45)=0),"",IF(COUNTIFS('Leave log'!$A$7:$A$306,Employees!$A$23,'Leave log'!$B$7:$B$306,"&lt;="&amp;DATE($B$3,5,7),'Leave log'!$C$7:$C$306,"&gt;="&amp;DATE($B$3,5,7),'Leave log'!$F$7:$F$306,"Approved")&gt;0,"A",""))="A","A",IF(OR(DATE($B$3,5,7)&gt;EOMONTH(DATE($B$3,5,1),0),NETWORKDAYS.INTL(DATE($B$3,5,7),DATE($B$3,5,7),1,'Non-working days'!$A$6:$A$45)=0),"",IF(COUNTIFS('Leave log'!$A$7:$A$306,Employees!$A$23,'Leave log'!$B$7:$B$306,"&lt;="&amp;DATE($B$3,5,7),'Leave log'!$C$7:$C$306,"&gt;="&amp;DATE($B$3,5,7),'Leave log'!$F$7:$F$306,"Pending")&gt;0,"P",""))))</f>
        <v/>
      </c>
      <c r="I160" s="23" t="str">
        <f>IF(A160="","",IF(IF(OR(DATE($B$3,5,8)&gt;EOMONTH(DATE($B$3,5,1),0),NETWORKDAYS.INTL(DATE($B$3,5,8),DATE($B$3,5,8),1,'Non-working days'!$A$6:$A$45)=0),"",IF(COUNTIFS('Leave log'!$A$7:$A$306,Employees!$A$23,'Leave log'!$B$7:$B$306,"&lt;="&amp;DATE($B$3,5,8),'Leave log'!$C$7:$C$306,"&gt;="&amp;DATE($B$3,5,8),'Leave log'!$F$7:$F$306,"Approved")&gt;0,"A",""))="A","A",IF(OR(DATE($B$3,5,8)&gt;EOMONTH(DATE($B$3,5,1),0),NETWORKDAYS.INTL(DATE($B$3,5,8),DATE($B$3,5,8),1,'Non-working days'!$A$6:$A$45)=0),"",IF(COUNTIFS('Leave log'!$A$7:$A$306,Employees!$A$23,'Leave log'!$B$7:$B$306,"&lt;="&amp;DATE($B$3,5,8),'Leave log'!$C$7:$C$306,"&gt;="&amp;DATE($B$3,5,8),'Leave log'!$F$7:$F$306,"Pending")&gt;0,"P",""))))</f>
        <v/>
      </c>
      <c r="J160" s="23" t="str">
        <f>IF(A160="","",IF(IF(OR(DATE($B$3,5,9)&gt;EOMONTH(DATE($B$3,5,1),0),NETWORKDAYS.INTL(DATE($B$3,5,9),DATE($B$3,5,9),1,'Non-working days'!$A$6:$A$45)=0),"",IF(COUNTIFS('Leave log'!$A$7:$A$306,Employees!$A$23,'Leave log'!$B$7:$B$306,"&lt;="&amp;DATE($B$3,5,9),'Leave log'!$C$7:$C$306,"&gt;="&amp;DATE($B$3,5,9),'Leave log'!$F$7:$F$306,"Approved")&gt;0,"A",""))="A","A",IF(OR(DATE($B$3,5,9)&gt;EOMONTH(DATE($B$3,5,1),0),NETWORKDAYS.INTL(DATE($B$3,5,9),DATE($B$3,5,9),1,'Non-working days'!$A$6:$A$45)=0),"",IF(COUNTIFS('Leave log'!$A$7:$A$306,Employees!$A$23,'Leave log'!$B$7:$B$306,"&lt;="&amp;DATE($B$3,5,9),'Leave log'!$C$7:$C$306,"&gt;="&amp;DATE($B$3,5,9),'Leave log'!$F$7:$F$306,"Pending")&gt;0,"P",""))))</f>
        <v/>
      </c>
      <c r="K160" s="23" t="str">
        <f>IF(A160="","",IF(IF(OR(DATE($B$3,5,10)&gt;EOMONTH(DATE($B$3,5,1),0),NETWORKDAYS.INTL(DATE($B$3,5,10),DATE($B$3,5,10),1,'Non-working days'!$A$6:$A$45)=0),"",IF(COUNTIFS('Leave log'!$A$7:$A$306,Employees!$A$23,'Leave log'!$B$7:$B$306,"&lt;="&amp;DATE($B$3,5,10),'Leave log'!$C$7:$C$306,"&gt;="&amp;DATE($B$3,5,10),'Leave log'!$F$7:$F$306,"Approved")&gt;0,"A",""))="A","A",IF(OR(DATE($B$3,5,10)&gt;EOMONTH(DATE($B$3,5,1),0),NETWORKDAYS.INTL(DATE($B$3,5,10),DATE($B$3,5,10),1,'Non-working days'!$A$6:$A$45)=0),"",IF(COUNTIFS('Leave log'!$A$7:$A$306,Employees!$A$23,'Leave log'!$B$7:$B$306,"&lt;="&amp;DATE($B$3,5,10),'Leave log'!$C$7:$C$306,"&gt;="&amp;DATE($B$3,5,10),'Leave log'!$F$7:$F$306,"Pending")&gt;0,"P",""))))</f>
        <v/>
      </c>
      <c r="L160" s="23" t="str">
        <f>IF(A160="","",IF(IF(OR(DATE($B$3,5,11)&gt;EOMONTH(DATE($B$3,5,1),0),NETWORKDAYS.INTL(DATE($B$3,5,11),DATE($B$3,5,11),1,'Non-working days'!$A$6:$A$45)=0),"",IF(COUNTIFS('Leave log'!$A$7:$A$306,Employees!$A$23,'Leave log'!$B$7:$B$306,"&lt;="&amp;DATE($B$3,5,11),'Leave log'!$C$7:$C$306,"&gt;="&amp;DATE($B$3,5,11),'Leave log'!$F$7:$F$306,"Approved")&gt;0,"A",""))="A","A",IF(OR(DATE($B$3,5,11)&gt;EOMONTH(DATE($B$3,5,1),0),NETWORKDAYS.INTL(DATE($B$3,5,11),DATE($B$3,5,11),1,'Non-working days'!$A$6:$A$45)=0),"",IF(COUNTIFS('Leave log'!$A$7:$A$306,Employees!$A$23,'Leave log'!$B$7:$B$306,"&lt;="&amp;DATE($B$3,5,11),'Leave log'!$C$7:$C$306,"&gt;="&amp;DATE($B$3,5,11),'Leave log'!$F$7:$F$306,"Pending")&gt;0,"P",""))))</f>
        <v/>
      </c>
      <c r="M160" s="23" t="str">
        <f>IF(A160="","",IF(IF(OR(DATE($B$3,5,12)&gt;EOMONTH(DATE($B$3,5,1),0),NETWORKDAYS.INTL(DATE($B$3,5,12),DATE($B$3,5,12),1,'Non-working days'!$A$6:$A$45)=0),"",IF(COUNTIFS('Leave log'!$A$7:$A$306,Employees!$A$23,'Leave log'!$B$7:$B$306,"&lt;="&amp;DATE($B$3,5,12),'Leave log'!$C$7:$C$306,"&gt;="&amp;DATE($B$3,5,12),'Leave log'!$F$7:$F$306,"Approved")&gt;0,"A",""))="A","A",IF(OR(DATE($B$3,5,12)&gt;EOMONTH(DATE($B$3,5,1),0),NETWORKDAYS.INTL(DATE($B$3,5,12),DATE($B$3,5,12),1,'Non-working days'!$A$6:$A$45)=0),"",IF(COUNTIFS('Leave log'!$A$7:$A$306,Employees!$A$23,'Leave log'!$B$7:$B$306,"&lt;="&amp;DATE($B$3,5,12),'Leave log'!$C$7:$C$306,"&gt;="&amp;DATE($B$3,5,12),'Leave log'!$F$7:$F$306,"Pending")&gt;0,"P",""))))</f>
        <v/>
      </c>
      <c r="N160" s="23" t="str">
        <f>IF(A160="","",IF(IF(OR(DATE($B$3,5,13)&gt;EOMONTH(DATE($B$3,5,1),0),NETWORKDAYS.INTL(DATE($B$3,5,13),DATE($B$3,5,13),1,'Non-working days'!$A$6:$A$45)=0),"",IF(COUNTIFS('Leave log'!$A$7:$A$306,Employees!$A$23,'Leave log'!$B$7:$B$306,"&lt;="&amp;DATE($B$3,5,13),'Leave log'!$C$7:$C$306,"&gt;="&amp;DATE($B$3,5,13),'Leave log'!$F$7:$F$306,"Approved")&gt;0,"A",""))="A","A",IF(OR(DATE($B$3,5,13)&gt;EOMONTH(DATE($B$3,5,1),0),NETWORKDAYS.INTL(DATE($B$3,5,13),DATE($B$3,5,13),1,'Non-working days'!$A$6:$A$45)=0),"",IF(COUNTIFS('Leave log'!$A$7:$A$306,Employees!$A$23,'Leave log'!$B$7:$B$306,"&lt;="&amp;DATE($B$3,5,13),'Leave log'!$C$7:$C$306,"&gt;="&amp;DATE($B$3,5,13),'Leave log'!$F$7:$F$306,"Pending")&gt;0,"P",""))))</f>
        <v/>
      </c>
      <c r="O160" s="23" t="str">
        <f>IF(A160="","",IF(IF(OR(DATE($B$3,5,14)&gt;EOMONTH(DATE($B$3,5,1),0),NETWORKDAYS.INTL(DATE($B$3,5,14),DATE($B$3,5,14),1,'Non-working days'!$A$6:$A$45)=0),"",IF(COUNTIFS('Leave log'!$A$7:$A$306,Employees!$A$23,'Leave log'!$B$7:$B$306,"&lt;="&amp;DATE($B$3,5,14),'Leave log'!$C$7:$C$306,"&gt;="&amp;DATE($B$3,5,14),'Leave log'!$F$7:$F$306,"Approved")&gt;0,"A",""))="A","A",IF(OR(DATE($B$3,5,14)&gt;EOMONTH(DATE($B$3,5,1),0),NETWORKDAYS.INTL(DATE($B$3,5,14),DATE($B$3,5,14),1,'Non-working days'!$A$6:$A$45)=0),"",IF(COUNTIFS('Leave log'!$A$7:$A$306,Employees!$A$23,'Leave log'!$B$7:$B$306,"&lt;="&amp;DATE($B$3,5,14),'Leave log'!$C$7:$C$306,"&gt;="&amp;DATE($B$3,5,14),'Leave log'!$F$7:$F$306,"Pending")&gt;0,"P",""))))</f>
        <v/>
      </c>
      <c r="P160" s="23" t="str">
        <f>IF(A160="","",IF(IF(OR(DATE($B$3,5,15)&gt;EOMONTH(DATE($B$3,5,1),0),NETWORKDAYS.INTL(DATE($B$3,5,15),DATE($B$3,5,15),1,'Non-working days'!$A$6:$A$45)=0),"",IF(COUNTIFS('Leave log'!$A$7:$A$306,Employees!$A$23,'Leave log'!$B$7:$B$306,"&lt;="&amp;DATE($B$3,5,15),'Leave log'!$C$7:$C$306,"&gt;="&amp;DATE($B$3,5,15),'Leave log'!$F$7:$F$306,"Approved")&gt;0,"A",""))="A","A",IF(OR(DATE($B$3,5,15)&gt;EOMONTH(DATE($B$3,5,1),0),NETWORKDAYS.INTL(DATE($B$3,5,15),DATE($B$3,5,15),1,'Non-working days'!$A$6:$A$45)=0),"",IF(COUNTIFS('Leave log'!$A$7:$A$306,Employees!$A$23,'Leave log'!$B$7:$B$306,"&lt;="&amp;DATE($B$3,5,15),'Leave log'!$C$7:$C$306,"&gt;="&amp;DATE($B$3,5,15),'Leave log'!$F$7:$F$306,"Pending")&gt;0,"P",""))))</f>
        <v/>
      </c>
      <c r="Q160" s="23" t="str">
        <f>IF(A160="","",IF(IF(OR(DATE($B$3,5,16)&gt;EOMONTH(DATE($B$3,5,1),0),NETWORKDAYS.INTL(DATE($B$3,5,16),DATE($B$3,5,16),1,'Non-working days'!$A$6:$A$45)=0),"",IF(COUNTIFS('Leave log'!$A$7:$A$306,Employees!$A$23,'Leave log'!$B$7:$B$306,"&lt;="&amp;DATE($B$3,5,16),'Leave log'!$C$7:$C$306,"&gt;="&amp;DATE($B$3,5,16),'Leave log'!$F$7:$F$306,"Approved")&gt;0,"A",""))="A","A",IF(OR(DATE($B$3,5,16)&gt;EOMONTH(DATE($B$3,5,1),0),NETWORKDAYS.INTL(DATE($B$3,5,16),DATE($B$3,5,16),1,'Non-working days'!$A$6:$A$45)=0),"",IF(COUNTIFS('Leave log'!$A$7:$A$306,Employees!$A$23,'Leave log'!$B$7:$B$306,"&lt;="&amp;DATE($B$3,5,16),'Leave log'!$C$7:$C$306,"&gt;="&amp;DATE($B$3,5,16),'Leave log'!$F$7:$F$306,"Pending")&gt;0,"P",""))))</f>
        <v/>
      </c>
      <c r="R160" s="23" t="str">
        <f>IF(A160="","",IF(IF(OR(DATE($B$3,5,17)&gt;EOMONTH(DATE($B$3,5,1),0),NETWORKDAYS.INTL(DATE($B$3,5,17),DATE($B$3,5,17),1,'Non-working days'!$A$6:$A$45)=0),"",IF(COUNTIFS('Leave log'!$A$7:$A$306,Employees!$A$23,'Leave log'!$B$7:$B$306,"&lt;="&amp;DATE($B$3,5,17),'Leave log'!$C$7:$C$306,"&gt;="&amp;DATE($B$3,5,17),'Leave log'!$F$7:$F$306,"Approved")&gt;0,"A",""))="A","A",IF(OR(DATE($B$3,5,17)&gt;EOMONTH(DATE($B$3,5,1),0),NETWORKDAYS.INTL(DATE($B$3,5,17),DATE($B$3,5,17),1,'Non-working days'!$A$6:$A$45)=0),"",IF(COUNTIFS('Leave log'!$A$7:$A$306,Employees!$A$23,'Leave log'!$B$7:$B$306,"&lt;="&amp;DATE($B$3,5,17),'Leave log'!$C$7:$C$306,"&gt;="&amp;DATE($B$3,5,17),'Leave log'!$F$7:$F$306,"Pending")&gt;0,"P",""))))</f>
        <v/>
      </c>
      <c r="S160" s="23" t="str">
        <f>IF(A160="","",IF(IF(OR(DATE($B$3,5,18)&gt;EOMONTH(DATE($B$3,5,1),0),NETWORKDAYS.INTL(DATE($B$3,5,18),DATE($B$3,5,18),1,'Non-working days'!$A$6:$A$45)=0),"",IF(COUNTIFS('Leave log'!$A$7:$A$306,Employees!$A$23,'Leave log'!$B$7:$B$306,"&lt;="&amp;DATE($B$3,5,18),'Leave log'!$C$7:$C$306,"&gt;="&amp;DATE($B$3,5,18),'Leave log'!$F$7:$F$306,"Approved")&gt;0,"A",""))="A","A",IF(OR(DATE($B$3,5,18)&gt;EOMONTH(DATE($B$3,5,1),0),NETWORKDAYS.INTL(DATE($B$3,5,18),DATE($B$3,5,18),1,'Non-working days'!$A$6:$A$45)=0),"",IF(COUNTIFS('Leave log'!$A$7:$A$306,Employees!$A$23,'Leave log'!$B$7:$B$306,"&lt;="&amp;DATE($B$3,5,18),'Leave log'!$C$7:$C$306,"&gt;="&amp;DATE($B$3,5,18),'Leave log'!$F$7:$F$306,"Pending")&gt;0,"P",""))))</f>
        <v/>
      </c>
      <c r="T160" s="23" t="str">
        <f>IF(A160="","",IF(IF(OR(DATE($B$3,5,19)&gt;EOMONTH(DATE($B$3,5,1),0),NETWORKDAYS.INTL(DATE($B$3,5,19),DATE($B$3,5,19),1,'Non-working days'!$A$6:$A$45)=0),"",IF(COUNTIFS('Leave log'!$A$7:$A$306,Employees!$A$23,'Leave log'!$B$7:$B$306,"&lt;="&amp;DATE($B$3,5,19),'Leave log'!$C$7:$C$306,"&gt;="&amp;DATE($B$3,5,19),'Leave log'!$F$7:$F$306,"Approved")&gt;0,"A",""))="A","A",IF(OR(DATE($B$3,5,19)&gt;EOMONTH(DATE($B$3,5,1),0),NETWORKDAYS.INTL(DATE($B$3,5,19),DATE($B$3,5,19),1,'Non-working days'!$A$6:$A$45)=0),"",IF(COUNTIFS('Leave log'!$A$7:$A$306,Employees!$A$23,'Leave log'!$B$7:$B$306,"&lt;="&amp;DATE($B$3,5,19),'Leave log'!$C$7:$C$306,"&gt;="&amp;DATE($B$3,5,19),'Leave log'!$F$7:$F$306,"Pending")&gt;0,"P",""))))</f>
        <v/>
      </c>
      <c r="U160" s="23" t="str">
        <f>IF(A160="","",IF(IF(OR(DATE($B$3,5,20)&gt;EOMONTH(DATE($B$3,5,1),0),NETWORKDAYS.INTL(DATE($B$3,5,20),DATE($B$3,5,20),1,'Non-working days'!$A$6:$A$45)=0),"",IF(COUNTIFS('Leave log'!$A$7:$A$306,Employees!$A$23,'Leave log'!$B$7:$B$306,"&lt;="&amp;DATE($B$3,5,20),'Leave log'!$C$7:$C$306,"&gt;="&amp;DATE($B$3,5,20),'Leave log'!$F$7:$F$306,"Approved")&gt;0,"A",""))="A","A",IF(OR(DATE($B$3,5,20)&gt;EOMONTH(DATE($B$3,5,1),0),NETWORKDAYS.INTL(DATE($B$3,5,20),DATE($B$3,5,20),1,'Non-working days'!$A$6:$A$45)=0),"",IF(COUNTIFS('Leave log'!$A$7:$A$306,Employees!$A$23,'Leave log'!$B$7:$B$306,"&lt;="&amp;DATE($B$3,5,20),'Leave log'!$C$7:$C$306,"&gt;="&amp;DATE($B$3,5,20),'Leave log'!$F$7:$F$306,"Pending")&gt;0,"P",""))))</f>
        <v/>
      </c>
      <c r="V160" s="23" t="str">
        <f>IF(A160="","",IF(IF(OR(DATE($B$3,5,21)&gt;EOMONTH(DATE($B$3,5,1),0),NETWORKDAYS.INTL(DATE($B$3,5,21),DATE($B$3,5,21),1,'Non-working days'!$A$6:$A$45)=0),"",IF(COUNTIFS('Leave log'!$A$7:$A$306,Employees!$A$23,'Leave log'!$B$7:$B$306,"&lt;="&amp;DATE($B$3,5,21),'Leave log'!$C$7:$C$306,"&gt;="&amp;DATE($B$3,5,21),'Leave log'!$F$7:$F$306,"Approved")&gt;0,"A",""))="A","A",IF(OR(DATE($B$3,5,21)&gt;EOMONTH(DATE($B$3,5,1),0),NETWORKDAYS.INTL(DATE($B$3,5,21),DATE($B$3,5,21),1,'Non-working days'!$A$6:$A$45)=0),"",IF(COUNTIFS('Leave log'!$A$7:$A$306,Employees!$A$23,'Leave log'!$B$7:$B$306,"&lt;="&amp;DATE($B$3,5,21),'Leave log'!$C$7:$C$306,"&gt;="&amp;DATE($B$3,5,21),'Leave log'!$F$7:$F$306,"Pending")&gt;0,"P",""))))</f>
        <v/>
      </c>
      <c r="W160" s="23" t="str">
        <f>IF(A160="","",IF(IF(OR(DATE($B$3,5,22)&gt;EOMONTH(DATE($B$3,5,1),0),NETWORKDAYS.INTL(DATE($B$3,5,22),DATE($B$3,5,22),1,'Non-working days'!$A$6:$A$45)=0),"",IF(COUNTIFS('Leave log'!$A$7:$A$306,Employees!$A$23,'Leave log'!$B$7:$B$306,"&lt;="&amp;DATE($B$3,5,22),'Leave log'!$C$7:$C$306,"&gt;="&amp;DATE($B$3,5,22),'Leave log'!$F$7:$F$306,"Approved")&gt;0,"A",""))="A","A",IF(OR(DATE($B$3,5,22)&gt;EOMONTH(DATE($B$3,5,1),0),NETWORKDAYS.INTL(DATE($B$3,5,22),DATE($B$3,5,22),1,'Non-working days'!$A$6:$A$45)=0),"",IF(COUNTIFS('Leave log'!$A$7:$A$306,Employees!$A$23,'Leave log'!$B$7:$B$306,"&lt;="&amp;DATE($B$3,5,22),'Leave log'!$C$7:$C$306,"&gt;="&amp;DATE($B$3,5,22),'Leave log'!$F$7:$F$306,"Pending")&gt;0,"P",""))))</f>
        <v/>
      </c>
      <c r="X160" s="23" t="str">
        <f>IF(A160="","",IF(IF(OR(DATE($B$3,5,23)&gt;EOMONTH(DATE($B$3,5,1),0),NETWORKDAYS.INTL(DATE($B$3,5,23),DATE($B$3,5,23),1,'Non-working days'!$A$6:$A$45)=0),"",IF(COUNTIFS('Leave log'!$A$7:$A$306,Employees!$A$23,'Leave log'!$B$7:$B$306,"&lt;="&amp;DATE($B$3,5,23),'Leave log'!$C$7:$C$306,"&gt;="&amp;DATE($B$3,5,23),'Leave log'!$F$7:$F$306,"Approved")&gt;0,"A",""))="A","A",IF(OR(DATE($B$3,5,23)&gt;EOMONTH(DATE($B$3,5,1),0),NETWORKDAYS.INTL(DATE($B$3,5,23),DATE($B$3,5,23),1,'Non-working days'!$A$6:$A$45)=0),"",IF(COUNTIFS('Leave log'!$A$7:$A$306,Employees!$A$23,'Leave log'!$B$7:$B$306,"&lt;="&amp;DATE($B$3,5,23),'Leave log'!$C$7:$C$306,"&gt;="&amp;DATE($B$3,5,23),'Leave log'!$F$7:$F$306,"Pending")&gt;0,"P",""))))</f>
        <v/>
      </c>
      <c r="Y160" s="23" t="str">
        <f>IF(A160="","",IF(IF(OR(DATE($B$3,5,24)&gt;EOMONTH(DATE($B$3,5,1),0),NETWORKDAYS.INTL(DATE($B$3,5,24),DATE($B$3,5,24),1,'Non-working days'!$A$6:$A$45)=0),"",IF(COUNTIFS('Leave log'!$A$7:$A$306,Employees!$A$23,'Leave log'!$B$7:$B$306,"&lt;="&amp;DATE($B$3,5,24),'Leave log'!$C$7:$C$306,"&gt;="&amp;DATE($B$3,5,24),'Leave log'!$F$7:$F$306,"Approved")&gt;0,"A",""))="A","A",IF(OR(DATE($B$3,5,24)&gt;EOMONTH(DATE($B$3,5,1),0),NETWORKDAYS.INTL(DATE($B$3,5,24),DATE($B$3,5,24),1,'Non-working days'!$A$6:$A$45)=0),"",IF(COUNTIFS('Leave log'!$A$7:$A$306,Employees!$A$23,'Leave log'!$B$7:$B$306,"&lt;="&amp;DATE($B$3,5,24),'Leave log'!$C$7:$C$306,"&gt;="&amp;DATE($B$3,5,24),'Leave log'!$F$7:$F$306,"Pending")&gt;0,"P",""))))</f>
        <v/>
      </c>
      <c r="Z160" s="23" t="str">
        <f>IF(A160="","",IF(IF(OR(DATE($B$3,5,25)&gt;EOMONTH(DATE($B$3,5,1),0),NETWORKDAYS.INTL(DATE($B$3,5,25),DATE($B$3,5,25),1,'Non-working days'!$A$6:$A$45)=0),"",IF(COUNTIFS('Leave log'!$A$7:$A$306,Employees!$A$23,'Leave log'!$B$7:$B$306,"&lt;="&amp;DATE($B$3,5,25),'Leave log'!$C$7:$C$306,"&gt;="&amp;DATE($B$3,5,25),'Leave log'!$F$7:$F$306,"Approved")&gt;0,"A",""))="A","A",IF(OR(DATE($B$3,5,25)&gt;EOMONTH(DATE($B$3,5,1),0),NETWORKDAYS.INTL(DATE($B$3,5,25),DATE($B$3,5,25),1,'Non-working days'!$A$6:$A$45)=0),"",IF(COUNTIFS('Leave log'!$A$7:$A$306,Employees!$A$23,'Leave log'!$B$7:$B$306,"&lt;="&amp;DATE($B$3,5,25),'Leave log'!$C$7:$C$306,"&gt;="&amp;DATE($B$3,5,25),'Leave log'!$F$7:$F$306,"Pending")&gt;0,"P",""))))</f>
        <v/>
      </c>
      <c r="AA160" s="23" t="str">
        <f>IF(A160="","",IF(IF(OR(DATE($B$3,5,26)&gt;EOMONTH(DATE($B$3,5,1),0),NETWORKDAYS.INTL(DATE($B$3,5,26),DATE($B$3,5,26),1,'Non-working days'!$A$6:$A$45)=0),"",IF(COUNTIFS('Leave log'!$A$7:$A$306,Employees!$A$23,'Leave log'!$B$7:$B$306,"&lt;="&amp;DATE($B$3,5,26),'Leave log'!$C$7:$C$306,"&gt;="&amp;DATE($B$3,5,26),'Leave log'!$F$7:$F$306,"Approved")&gt;0,"A",""))="A","A",IF(OR(DATE($B$3,5,26)&gt;EOMONTH(DATE($B$3,5,1),0),NETWORKDAYS.INTL(DATE($B$3,5,26),DATE($B$3,5,26),1,'Non-working days'!$A$6:$A$45)=0),"",IF(COUNTIFS('Leave log'!$A$7:$A$306,Employees!$A$23,'Leave log'!$B$7:$B$306,"&lt;="&amp;DATE($B$3,5,26),'Leave log'!$C$7:$C$306,"&gt;="&amp;DATE($B$3,5,26),'Leave log'!$F$7:$F$306,"Pending")&gt;0,"P",""))))</f>
        <v/>
      </c>
      <c r="AB160" s="23" t="str">
        <f>IF(A160="","",IF(IF(OR(DATE($B$3,5,27)&gt;EOMONTH(DATE($B$3,5,1),0),NETWORKDAYS.INTL(DATE($B$3,5,27),DATE($B$3,5,27),1,'Non-working days'!$A$6:$A$45)=0),"",IF(COUNTIFS('Leave log'!$A$7:$A$306,Employees!$A$23,'Leave log'!$B$7:$B$306,"&lt;="&amp;DATE($B$3,5,27),'Leave log'!$C$7:$C$306,"&gt;="&amp;DATE($B$3,5,27),'Leave log'!$F$7:$F$306,"Approved")&gt;0,"A",""))="A","A",IF(OR(DATE($B$3,5,27)&gt;EOMONTH(DATE($B$3,5,1),0),NETWORKDAYS.INTL(DATE($B$3,5,27),DATE($B$3,5,27),1,'Non-working days'!$A$6:$A$45)=0),"",IF(COUNTIFS('Leave log'!$A$7:$A$306,Employees!$A$23,'Leave log'!$B$7:$B$306,"&lt;="&amp;DATE($B$3,5,27),'Leave log'!$C$7:$C$306,"&gt;="&amp;DATE($B$3,5,27),'Leave log'!$F$7:$F$306,"Pending")&gt;0,"P",""))))</f>
        <v/>
      </c>
      <c r="AC160" s="23" t="str">
        <f>IF(A160="","",IF(IF(OR(DATE($B$3,5,28)&gt;EOMONTH(DATE($B$3,5,1),0),NETWORKDAYS.INTL(DATE($B$3,5,28),DATE($B$3,5,28),1,'Non-working days'!$A$6:$A$45)=0),"",IF(COUNTIFS('Leave log'!$A$7:$A$306,Employees!$A$23,'Leave log'!$B$7:$B$306,"&lt;="&amp;DATE($B$3,5,28),'Leave log'!$C$7:$C$306,"&gt;="&amp;DATE($B$3,5,28),'Leave log'!$F$7:$F$306,"Approved")&gt;0,"A",""))="A","A",IF(OR(DATE($B$3,5,28)&gt;EOMONTH(DATE($B$3,5,1),0),NETWORKDAYS.INTL(DATE($B$3,5,28),DATE($B$3,5,28),1,'Non-working days'!$A$6:$A$45)=0),"",IF(COUNTIFS('Leave log'!$A$7:$A$306,Employees!$A$23,'Leave log'!$B$7:$B$306,"&lt;="&amp;DATE($B$3,5,28),'Leave log'!$C$7:$C$306,"&gt;="&amp;DATE($B$3,5,28),'Leave log'!$F$7:$F$306,"Pending")&gt;0,"P",""))))</f>
        <v/>
      </c>
      <c r="AD160" s="23" t="str">
        <f>IF(A160="","",IF(IF(OR(DATE($B$3,5,29)&gt;EOMONTH(DATE($B$3,5,1),0),NETWORKDAYS.INTL(DATE($B$3,5,29),DATE($B$3,5,29),1,'Non-working days'!$A$6:$A$45)=0),"",IF(COUNTIFS('Leave log'!$A$7:$A$306,Employees!$A$23,'Leave log'!$B$7:$B$306,"&lt;="&amp;DATE($B$3,5,29),'Leave log'!$C$7:$C$306,"&gt;="&amp;DATE($B$3,5,29),'Leave log'!$F$7:$F$306,"Approved")&gt;0,"A",""))="A","A",IF(OR(DATE($B$3,5,29)&gt;EOMONTH(DATE($B$3,5,1),0),NETWORKDAYS.INTL(DATE($B$3,5,29),DATE($B$3,5,29),1,'Non-working days'!$A$6:$A$45)=0),"",IF(COUNTIFS('Leave log'!$A$7:$A$306,Employees!$A$23,'Leave log'!$B$7:$B$306,"&lt;="&amp;DATE($B$3,5,29),'Leave log'!$C$7:$C$306,"&gt;="&amp;DATE($B$3,5,29),'Leave log'!$F$7:$F$306,"Pending")&gt;0,"P",""))))</f>
        <v/>
      </c>
      <c r="AE160" s="23" t="str">
        <f>IF(A160="","",IF(IF(OR(DATE($B$3,5,30)&gt;EOMONTH(DATE($B$3,5,1),0),NETWORKDAYS.INTL(DATE($B$3,5,30),DATE($B$3,5,30),1,'Non-working days'!$A$6:$A$45)=0),"",IF(COUNTIFS('Leave log'!$A$7:$A$306,Employees!$A$23,'Leave log'!$B$7:$B$306,"&lt;="&amp;DATE($B$3,5,30),'Leave log'!$C$7:$C$306,"&gt;="&amp;DATE($B$3,5,30),'Leave log'!$F$7:$F$306,"Approved")&gt;0,"A",""))="A","A",IF(OR(DATE($B$3,5,30)&gt;EOMONTH(DATE($B$3,5,1),0),NETWORKDAYS.INTL(DATE($B$3,5,30),DATE($B$3,5,30),1,'Non-working days'!$A$6:$A$45)=0),"",IF(COUNTIFS('Leave log'!$A$7:$A$306,Employees!$A$23,'Leave log'!$B$7:$B$306,"&lt;="&amp;DATE($B$3,5,30),'Leave log'!$C$7:$C$306,"&gt;="&amp;DATE($B$3,5,30),'Leave log'!$F$7:$F$306,"Pending")&gt;0,"P",""))))</f>
        <v/>
      </c>
      <c r="AF160" s="23" t="str">
        <f>IF(A160="","",IF(IF(OR(DATE($B$3,5,31)&gt;EOMONTH(DATE($B$3,5,1),0),NETWORKDAYS.INTL(DATE($B$3,5,31),DATE($B$3,5,31),1,'Non-working days'!$A$6:$A$45)=0),"",IF(COUNTIFS('Leave log'!$A$7:$A$306,Employees!$A$23,'Leave log'!$B$7:$B$306,"&lt;="&amp;DATE($B$3,5,31),'Leave log'!$C$7:$C$306,"&gt;="&amp;DATE($B$3,5,31),'Leave log'!$F$7:$F$306,"Approved")&gt;0,"A",""))="A","A",IF(OR(DATE($B$3,5,31)&gt;EOMONTH(DATE($B$3,5,1),0),NETWORKDAYS.INTL(DATE($B$3,5,31),DATE($B$3,5,31),1,'Non-working days'!$A$6:$A$45)=0),"",IF(COUNTIFS('Leave log'!$A$7:$A$306,Employees!$A$23,'Leave log'!$B$7:$B$306,"&lt;="&amp;DATE($B$3,5,31),'Leave log'!$C$7:$C$306,"&gt;="&amp;DATE($B$3,5,31),'Leave log'!$F$7:$F$306,"Pending")&gt;0,"P",""))))</f>
        <v/>
      </c>
    </row>
    <row r="161" spans="1:32" ht="18" customHeight="1" x14ac:dyDescent="0.3">
      <c r="A161" s="22" t="str">
        <f>IF(Employees!F24="Yes",Employees!B24,"")</f>
        <v/>
      </c>
      <c r="B161" s="23" t="str">
        <f>IF(A161="","",IF(IF(OR(DATE($B$3,5,1)&gt;EOMONTH(DATE($B$3,5,1),0),NETWORKDAYS.INTL(DATE($B$3,5,1),DATE($B$3,5,1),1,'Non-working days'!$A$6:$A$45)=0),"",IF(COUNTIFS('Leave log'!$A$7:$A$306,Employees!$A$24,'Leave log'!$B$7:$B$306,"&lt;="&amp;DATE($B$3,5,1),'Leave log'!$C$7:$C$306,"&gt;="&amp;DATE($B$3,5,1),'Leave log'!$F$7:$F$306,"Approved")&gt;0,"A",""))="A","A",IF(OR(DATE($B$3,5,1)&gt;EOMONTH(DATE($B$3,5,1),0),NETWORKDAYS.INTL(DATE($B$3,5,1),DATE($B$3,5,1),1,'Non-working days'!$A$6:$A$45)=0),"",IF(COUNTIFS('Leave log'!$A$7:$A$306,Employees!$A$24,'Leave log'!$B$7:$B$306,"&lt;="&amp;DATE($B$3,5,1),'Leave log'!$C$7:$C$306,"&gt;="&amp;DATE($B$3,5,1),'Leave log'!$F$7:$F$306,"Pending")&gt;0,"P",""))))</f>
        <v/>
      </c>
      <c r="C161" s="23" t="str">
        <f>IF(A161="","",IF(IF(OR(DATE($B$3,5,2)&gt;EOMONTH(DATE($B$3,5,1),0),NETWORKDAYS.INTL(DATE($B$3,5,2),DATE($B$3,5,2),1,'Non-working days'!$A$6:$A$45)=0),"",IF(COUNTIFS('Leave log'!$A$7:$A$306,Employees!$A$24,'Leave log'!$B$7:$B$306,"&lt;="&amp;DATE($B$3,5,2),'Leave log'!$C$7:$C$306,"&gt;="&amp;DATE($B$3,5,2),'Leave log'!$F$7:$F$306,"Approved")&gt;0,"A",""))="A","A",IF(OR(DATE($B$3,5,2)&gt;EOMONTH(DATE($B$3,5,1),0),NETWORKDAYS.INTL(DATE($B$3,5,2),DATE($B$3,5,2),1,'Non-working days'!$A$6:$A$45)=0),"",IF(COUNTIFS('Leave log'!$A$7:$A$306,Employees!$A$24,'Leave log'!$B$7:$B$306,"&lt;="&amp;DATE($B$3,5,2),'Leave log'!$C$7:$C$306,"&gt;="&amp;DATE($B$3,5,2),'Leave log'!$F$7:$F$306,"Pending")&gt;0,"P",""))))</f>
        <v/>
      </c>
      <c r="D161" s="23" t="str">
        <f>IF(A161="","",IF(IF(OR(DATE($B$3,5,3)&gt;EOMONTH(DATE($B$3,5,1),0),NETWORKDAYS.INTL(DATE($B$3,5,3),DATE($B$3,5,3),1,'Non-working days'!$A$6:$A$45)=0),"",IF(COUNTIFS('Leave log'!$A$7:$A$306,Employees!$A$24,'Leave log'!$B$7:$B$306,"&lt;="&amp;DATE($B$3,5,3),'Leave log'!$C$7:$C$306,"&gt;="&amp;DATE($B$3,5,3),'Leave log'!$F$7:$F$306,"Approved")&gt;0,"A",""))="A","A",IF(OR(DATE($B$3,5,3)&gt;EOMONTH(DATE($B$3,5,1),0),NETWORKDAYS.INTL(DATE($B$3,5,3),DATE($B$3,5,3),1,'Non-working days'!$A$6:$A$45)=0),"",IF(COUNTIFS('Leave log'!$A$7:$A$306,Employees!$A$24,'Leave log'!$B$7:$B$306,"&lt;="&amp;DATE($B$3,5,3),'Leave log'!$C$7:$C$306,"&gt;="&amp;DATE($B$3,5,3),'Leave log'!$F$7:$F$306,"Pending")&gt;0,"P",""))))</f>
        <v/>
      </c>
      <c r="E161" s="23" t="str">
        <f>IF(A161="","",IF(IF(OR(DATE($B$3,5,4)&gt;EOMONTH(DATE($B$3,5,1),0),NETWORKDAYS.INTL(DATE($B$3,5,4),DATE($B$3,5,4),1,'Non-working days'!$A$6:$A$45)=0),"",IF(COUNTIFS('Leave log'!$A$7:$A$306,Employees!$A$24,'Leave log'!$B$7:$B$306,"&lt;="&amp;DATE($B$3,5,4),'Leave log'!$C$7:$C$306,"&gt;="&amp;DATE($B$3,5,4),'Leave log'!$F$7:$F$306,"Approved")&gt;0,"A",""))="A","A",IF(OR(DATE($B$3,5,4)&gt;EOMONTH(DATE($B$3,5,1),0),NETWORKDAYS.INTL(DATE($B$3,5,4),DATE($B$3,5,4),1,'Non-working days'!$A$6:$A$45)=0),"",IF(COUNTIFS('Leave log'!$A$7:$A$306,Employees!$A$24,'Leave log'!$B$7:$B$306,"&lt;="&amp;DATE($B$3,5,4),'Leave log'!$C$7:$C$306,"&gt;="&amp;DATE($B$3,5,4),'Leave log'!$F$7:$F$306,"Pending")&gt;0,"P",""))))</f>
        <v/>
      </c>
      <c r="F161" s="23" t="str">
        <f>IF(A161="","",IF(IF(OR(DATE($B$3,5,5)&gt;EOMONTH(DATE($B$3,5,1),0),NETWORKDAYS.INTL(DATE($B$3,5,5),DATE($B$3,5,5),1,'Non-working days'!$A$6:$A$45)=0),"",IF(COUNTIFS('Leave log'!$A$7:$A$306,Employees!$A$24,'Leave log'!$B$7:$B$306,"&lt;="&amp;DATE($B$3,5,5),'Leave log'!$C$7:$C$306,"&gt;="&amp;DATE($B$3,5,5),'Leave log'!$F$7:$F$306,"Approved")&gt;0,"A",""))="A","A",IF(OR(DATE($B$3,5,5)&gt;EOMONTH(DATE($B$3,5,1),0),NETWORKDAYS.INTL(DATE($B$3,5,5),DATE($B$3,5,5),1,'Non-working days'!$A$6:$A$45)=0),"",IF(COUNTIFS('Leave log'!$A$7:$A$306,Employees!$A$24,'Leave log'!$B$7:$B$306,"&lt;="&amp;DATE($B$3,5,5),'Leave log'!$C$7:$C$306,"&gt;="&amp;DATE($B$3,5,5),'Leave log'!$F$7:$F$306,"Pending")&gt;0,"P",""))))</f>
        <v/>
      </c>
      <c r="G161" s="23" t="str">
        <f>IF(A161="","",IF(IF(OR(DATE($B$3,5,6)&gt;EOMONTH(DATE($B$3,5,1),0),NETWORKDAYS.INTL(DATE($B$3,5,6),DATE($B$3,5,6),1,'Non-working days'!$A$6:$A$45)=0),"",IF(COUNTIFS('Leave log'!$A$7:$A$306,Employees!$A$24,'Leave log'!$B$7:$B$306,"&lt;="&amp;DATE($B$3,5,6),'Leave log'!$C$7:$C$306,"&gt;="&amp;DATE($B$3,5,6),'Leave log'!$F$7:$F$306,"Approved")&gt;0,"A",""))="A","A",IF(OR(DATE($B$3,5,6)&gt;EOMONTH(DATE($B$3,5,1),0),NETWORKDAYS.INTL(DATE($B$3,5,6),DATE($B$3,5,6),1,'Non-working days'!$A$6:$A$45)=0),"",IF(COUNTIFS('Leave log'!$A$7:$A$306,Employees!$A$24,'Leave log'!$B$7:$B$306,"&lt;="&amp;DATE($B$3,5,6),'Leave log'!$C$7:$C$306,"&gt;="&amp;DATE($B$3,5,6),'Leave log'!$F$7:$F$306,"Pending")&gt;0,"P",""))))</f>
        <v/>
      </c>
      <c r="H161" s="23" t="str">
        <f>IF(A161="","",IF(IF(OR(DATE($B$3,5,7)&gt;EOMONTH(DATE($B$3,5,1),0),NETWORKDAYS.INTL(DATE($B$3,5,7),DATE($B$3,5,7),1,'Non-working days'!$A$6:$A$45)=0),"",IF(COUNTIFS('Leave log'!$A$7:$A$306,Employees!$A$24,'Leave log'!$B$7:$B$306,"&lt;="&amp;DATE($B$3,5,7),'Leave log'!$C$7:$C$306,"&gt;="&amp;DATE($B$3,5,7),'Leave log'!$F$7:$F$306,"Approved")&gt;0,"A",""))="A","A",IF(OR(DATE($B$3,5,7)&gt;EOMONTH(DATE($B$3,5,1),0),NETWORKDAYS.INTL(DATE($B$3,5,7),DATE($B$3,5,7),1,'Non-working days'!$A$6:$A$45)=0),"",IF(COUNTIFS('Leave log'!$A$7:$A$306,Employees!$A$24,'Leave log'!$B$7:$B$306,"&lt;="&amp;DATE($B$3,5,7),'Leave log'!$C$7:$C$306,"&gt;="&amp;DATE($B$3,5,7),'Leave log'!$F$7:$F$306,"Pending")&gt;0,"P",""))))</f>
        <v/>
      </c>
      <c r="I161" s="23" t="str">
        <f>IF(A161="","",IF(IF(OR(DATE($B$3,5,8)&gt;EOMONTH(DATE($B$3,5,1),0),NETWORKDAYS.INTL(DATE($B$3,5,8),DATE($B$3,5,8),1,'Non-working days'!$A$6:$A$45)=0),"",IF(COUNTIFS('Leave log'!$A$7:$A$306,Employees!$A$24,'Leave log'!$B$7:$B$306,"&lt;="&amp;DATE($B$3,5,8),'Leave log'!$C$7:$C$306,"&gt;="&amp;DATE($B$3,5,8),'Leave log'!$F$7:$F$306,"Approved")&gt;0,"A",""))="A","A",IF(OR(DATE($B$3,5,8)&gt;EOMONTH(DATE($B$3,5,1),0),NETWORKDAYS.INTL(DATE($B$3,5,8),DATE($B$3,5,8),1,'Non-working days'!$A$6:$A$45)=0),"",IF(COUNTIFS('Leave log'!$A$7:$A$306,Employees!$A$24,'Leave log'!$B$7:$B$306,"&lt;="&amp;DATE($B$3,5,8),'Leave log'!$C$7:$C$306,"&gt;="&amp;DATE($B$3,5,8),'Leave log'!$F$7:$F$306,"Pending")&gt;0,"P",""))))</f>
        <v/>
      </c>
      <c r="J161" s="23" t="str">
        <f>IF(A161="","",IF(IF(OR(DATE($B$3,5,9)&gt;EOMONTH(DATE($B$3,5,1),0),NETWORKDAYS.INTL(DATE($B$3,5,9),DATE($B$3,5,9),1,'Non-working days'!$A$6:$A$45)=0),"",IF(COUNTIFS('Leave log'!$A$7:$A$306,Employees!$A$24,'Leave log'!$B$7:$B$306,"&lt;="&amp;DATE($B$3,5,9),'Leave log'!$C$7:$C$306,"&gt;="&amp;DATE($B$3,5,9),'Leave log'!$F$7:$F$306,"Approved")&gt;0,"A",""))="A","A",IF(OR(DATE($B$3,5,9)&gt;EOMONTH(DATE($B$3,5,1),0),NETWORKDAYS.INTL(DATE($B$3,5,9),DATE($B$3,5,9),1,'Non-working days'!$A$6:$A$45)=0),"",IF(COUNTIFS('Leave log'!$A$7:$A$306,Employees!$A$24,'Leave log'!$B$7:$B$306,"&lt;="&amp;DATE($B$3,5,9),'Leave log'!$C$7:$C$306,"&gt;="&amp;DATE($B$3,5,9),'Leave log'!$F$7:$F$306,"Pending")&gt;0,"P",""))))</f>
        <v/>
      </c>
      <c r="K161" s="23" t="str">
        <f>IF(A161="","",IF(IF(OR(DATE($B$3,5,10)&gt;EOMONTH(DATE($B$3,5,1),0),NETWORKDAYS.INTL(DATE($B$3,5,10),DATE($B$3,5,10),1,'Non-working days'!$A$6:$A$45)=0),"",IF(COUNTIFS('Leave log'!$A$7:$A$306,Employees!$A$24,'Leave log'!$B$7:$B$306,"&lt;="&amp;DATE($B$3,5,10),'Leave log'!$C$7:$C$306,"&gt;="&amp;DATE($B$3,5,10),'Leave log'!$F$7:$F$306,"Approved")&gt;0,"A",""))="A","A",IF(OR(DATE($B$3,5,10)&gt;EOMONTH(DATE($B$3,5,1),0),NETWORKDAYS.INTL(DATE($B$3,5,10),DATE($B$3,5,10),1,'Non-working days'!$A$6:$A$45)=0),"",IF(COUNTIFS('Leave log'!$A$7:$A$306,Employees!$A$24,'Leave log'!$B$7:$B$306,"&lt;="&amp;DATE($B$3,5,10),'Leave log'!$C$7:$C$306,"&gt;="&amp;DATE($B$3,5,10),'Leave log'!$F$7:$F$306,"Pending")&gt;0,"P",""))))</f>
        <v/>
      </c>
      <c r="L161" s="23" t="str">
        <f>IF(A161="","",IF(IF(OR(DATE($B$3,5,11)&gt;EOMONTH(DATE($B$3,5,1),0),NETWORKDAYS.INTL(DATE($B$3,5,11),DATE($B$3,5,11),1,'Non-working days'!$A$6:$A$45)=0),"",IF(COUNTIFS('Leave log'!$A$7:$A$306,Employees!$A$24,'Leave log'!$B$7:$B$306,"&lt;="&amp;DATE($B$3,5,11),'Leave log'!$C$7:$C$306,"&gt;="&amp;DATE($B$3,5,11),'Leave log'!$F$7:$F$306,"Approved")&gt;0,"A",""))="A","A",IF(OR(DATE($B$3,5,11)&gt;EOMONTH(DATE($B$3,5,1),0),NETWORKDAYS.INTL(DATE($B$3,5,11),DATE($B$3,5,11),1,'Non-working days'!$A$6:$A$45)=0),"",IF(COUNTIFS('Leave log'!$A$7:$A$306,Employees!$A$24,'Leave log'!$B$7:$B$306,"&lt;="&amp;DATE($B$3,5,11),'Leave log'!$C$7:$C$306,"&gt;="&amp;DATE($B$3,5,11),'Leave log'!$F$7:$F$306,"Pending")&gt;0,"P",""))))</f>
        <v/>
      </c>
      <c r="M161" s="23" t="str">
        <f>IF(A161="","",IF(IF(OR(DATE($B$3,5,12)&gt;EOMONTH(DATE($B$3,5,1),0),NETWORKDAYS.INTL(DATE($B$3,5,12),DATE($B$3,5,12),1,'Non-working days'!$A$6:$A$45)=0),"",IF(COUNTIFS('Leave log'!$A$7:$A$306,Employees!$A$24,'Leave log'!$B$7:$B$306,"&lt;="&amp;DATE($B$3,5,12),'Leave log'!$C$7:$C$306,"&gt;="&amp;DATE($B$3,5,12),'Leave log'!$F$7:$F$306,"Approved")&gt;0,"A",""))="A","A",IF(OR(DATE($B$3,5,12)&gt;EOMONTH(DATE($B$3,5,1),0),NETWORKDAYS.INTL(DATE($B$3,5,12),DATE($B$3,5,12),1,'Non-working days'!$A$6:$A$45)=0),"",IF(COUNTIFS('Leave log'!$A$7:$A$306,Employees!$A$24,'Leave log'!$B$7:$B$306,"&lt;="&amp;DATE($B$3,5,12),'Leave log'!$C$7:$C$306,"&gt;="&amp;DATE($B$3,5,12),'Leave log'!$F$7:$F$306,"Pending")&gt;0,"P",""))))</f>
        <v/>
      </c>
      <c r="N161" s="23" t="str">
        <f>IF(A161="","",IF(IF(OR(DATE($B$3,5,13)&gt;EOMONTH(DATE($B$3,5,1),0),NETWORKDAYS.INTL(DATE($B$3,5,13),DATE($B$3,5,13),1,'Non-working days'!$A$6:$A$45)=0),"",IF(COUNTIFS('Leave log'!$A$7:$A$306,Employees!$A$24,'Leave log'!$B$7:$B$306,"&lt;="&amp;DATE($B$3,5,13),'Leave log'!$C$7:$C$306,"&gt;="&amp;DATE($B$3,5,13),'Leave log'!$F$7:$F$306,"Approved")&gt;0,"A",""))="A","A",IF(OR(DATE($B$3,5,13)&gt;EOMONTH(DATE($B$3,5,1),0),NETWORKDAYS.INTL(DATE($B$3,5,13),DATE($B$3,5,13),1,'Non-working days'!$A$6:$A$45)=0),"",IF(COUNTIFS('Leave log'!$A$7:$A$306,Employees!$A$24,'Leave log'!$B$7:$B$306,"&lt;="&amp;DATE($B$3,5,13),'Leave log'!$C$7:$C$306,"&gt;="&amp;DATE($B$3,5,13),'Leave log'!$F$7:$F$306,"Pending")&gt;0,"P",""))))</f>
        <v/>
      </c>
      <c r="O161" s="23" t="str">
        <f>IF(A161="","",IF(IF(OR(DATE($B$3,5,14)&gt;EOMONTH(DATE($B$3,5,1),0),NETWORKDAYS.INTL(DATE($B$3,5,14),DATE($B$3,5,14),1,'Non-working days'!$A$6:$A$45)=0),"",IF(COUNTIFS('Leave log'!$A$7:$A$306,Employees!$A$24,'Leave log'!$B$7:$B$306,"&lt;="&amp;DATE($B$3,5,14),'Leave log'!$C$7:$C$306,"&gt;="&amp;DATE($B$3,5,14),'Leave log'!$F$7:$F$306,"Approved")&gt;0,"A",""))="A","A",IF(OR(DATE($B$3,5,14)&gt;EOMONTH(DATE($B$3,5,1),0),NETWORKDAYS.INTL(DATE($B$3,5,14),DATE($B$3,5,14),1,'Non-working days'!$A$6:$A$45)=0),"",IF(COUNTIFS('Leave log'!$A$7:$A$306,Employees!$A$24,'Leave log'!$B$7:$B$306,"&lt;="&amp;DATE($B$3,5,14),'Leave log'!$C$7:$C$306,"&gt;="&amp;DATE($B$3,5,14),'Leave log'!$F$7:$F$306,"Pending")&gt;0,"P",""))))</f>
        <v/>
      </c>
      <c r="P161" s="23" t="str">
        <f>IF(A161="","",IF(IF(OR(DATE($B$3,5,15)&gt;EOMONTH(DATE($B$3,5,1),0),NETWORKDAYS.INTL(DATE($B$3,5,15),DATE($B$3,5,15),1,'Non-working days'!$A$6:$A$45)=0),"",IF(COUNTIFS('Leave log'!$A$7:$A$306,Employees!$A$24,'Leave log'!$B$7:$B$306,"&lt;="&amp;DATE($B$3,5,15),'Leave log'!$C$7:$C$306,"&gt;="&amp;DATE($B$3,5,15),'Leave log'!$F$7:$F$306,"Approved")&gt;0,"A",""))="A","A",IF(OR(DATE($B$3,5,15)&gt;EOMONTH(DATE($B$3,5,1),0),NETWORKDAYS.INTL(DATE($B$3,5,15),DATE($B$3,5,15),1,'Non-working days'!$A$6:$A$45)=0),"",IF(COUNTIFS('Leave log'!$A$7:$A$306,Employees!$A$24,'Leave log'!$B$7:$B$306,"&lt;="&amp;DATE($B$3,5,15),'Leave log'!$C$7:$C$306,"&gt;="&amp;DATE($B$3,5,15),'Leave log'!$F$7:$F$306,"Pending")&gt;0,"P",""))))</f>
        <v/>
      </c>
      <c r="Q161" s="23" t="str">
        <f>IF(A161="","",IF(IF(OR(DATE($B$3,5,16)&gt;EOMONTH(DATE($B$3,5,1),0),NETWORKDAYS.INTL(DATE($B$3,5,16),DATE($B$3,5,16),1,'Non-working days'!$A$6:$A$45)=0),"",IF(COUNTIFS('Leave log'!$A$7:$A$306,Employees!$A$24,'Leave log'!$B$7:$B$306,"&lt;="&amp;DATE($B$3,5,16),'Leave log'!$C$7:$C$306,"&gt;="&amp;DATE($B$3,5,16),'Leave log'!$F$7:$F$306,"Approved")&gt;0,"A",""))="A","A",IF(OR(DATE($B$3,5,16)&gt;EOMONTH(DATE($B$3,5,1),0),NETWORKDAYS.INTL(DATE($B$3,5,16),DATE($B$3,5,16),1,'Non-working days'!$A$6:$A$45)=0),"",IF(COUNTIFS('Leave log'!$A$7:$A$306,Employees!$A$24,'Leave log'!$B$7:$B$306,"&lt;="&amp;DATE($B$3,5,16),'Leave log'!$C$7:$C$306,"&gt;="&amp;DATE($B$3,5,16),'Leave log'!$F$7:$F$306,"Pending")&gt;0,"P",""))))</f>
        <v/>
      </c>
      <c r="R161" s="23" t="str">
        <f>IF(A161="","",IF(IF(OR(DATE($B$3,5,17)&gt;EOMONTH(DATE($B$3,5,1),0),NETWORKDAYS.INTL(DATE($B$3,5,17),DATE($B$3,5,17),1,'Non-working days'!$A$6:$A$45)=0),"",IF(COUNTIFS('Leave log'!$A$7:$A$306,Employees!$A$24,'Leave log'!$B$7:$B$306,"&lt;="&amp;DATE($B$3,5,17),'Leave log'!$C$7:$C$306,"&gt;="&amp;DATE($B$3,5,17),'Leave log'!$F$7:$F$306,"Approved")&gt;0,"A",""))="A","A",IF(OR(DATE($B$3,5,17)&gt;EOMONTH(DATE($B$3,5,1),0),NETWORKDAYS.INTL(DATE($B$3,5,17),DATE($B$3,5,17),1,'Non-working days'!$A$6:$A$45)=0),"",IF(COUNTIFS('Leave log'!$A$7:$A$306,Employees!$A$24,'Leave log'!$B$7:$B$306,"&lt;="&amp;DATE($B$3,5,17),'Leave log'!$C$7:$C$306,"&gt;="&amp;DATE($B$3,5,17),'Leave log'!$F$7:$F$306,"Pending")&gt;0,"P",""))))</f>
        <v/>
      </c>
      <c r="S161" s="23" t="str">
        <f>IF(A161="","",IF(IF(OR(DATE($B$3,5,18)&gt;EOMONTH(DATE($B$3,5,1),0),NETWORKDAYS.INTL(DATE($B$3,5,18),DATE($B$3,5,18),1,'Non-working days'!$A$6:$A$45)=0),"",IF(COUNTIFS('Leave log'!$A$7:$A$306,Employees!$A$24,'Leave log'!$B$7:$B$306,"&lt;="&amp;DATE($B$3,5,18),'Leave log'!$C$7:$C$306,"&gt;="&amp;DATE($B$3,5,18),'Leave log'!$F$7:$F$306,"Approved")&gt;0,"A",""))="A","A",IF(OR(DATE($B$3,5,18)&gt;EOMONTH(DATE($B$3,5,1),0),NETWORKDAYS.INTL(DATE($B$3,5,18),DATE($B$3,5,18),1,'Non-working days'!$A$6:$A$45)=0),"",IF(COUNTIFS('Leave log'!$A$7:$A$306,Employees!$A$24,'Leave log'!$B$7:$B$306,"&lt;="&amp;DATE($B$3,5,18),'Leave log'!$C$7:$C$306,"&gt;="&amp;DATE($B$3,5,18),'Leave log'!$F$7:$F$306,"Pending")&gt;0,"P",""))))</f>
        <v/>
      </c>
      <c r="T161" s="23" t="str">
        <f>IF(A161="","",IF(IF(OR(DATE($B$3,5,19)&gt;EOMONTH(DATE($B$3,5,1),0),NETWORKDAYS.INTL(DATE($B$3,5,19),DATE($B$3,5,19),1,'Non-working days'!$A$6:$A$45)=0),"",IF(COUNTIFS('Leave log'!$A$7:$A$306,Employees!$A$24,'Leave log'!$B$7:$B$306,"&lt;="&amp;DATE($B$3,5,19),'Leave log'!$C$7:$C$306,"&gt;="&amp;DATE($B$3,5,19),'Leave log'!$F$7:$F$306,"Approved")&gt;0,"A",""))="A","A",IF(OR(DATE($B$3,5,19)&gt;EOMONTH(DATE($B$3,5,1),0),NETWORKDAYS.INTL(DATE($B$3,5,19),DATE($B$3,5,19),1,'Non-working days'!$A$6:$A$45)=0),"",IF(COUNTIFS('Leave log'!$A$7:$A$306,Employees!$A$24,'Leave log'!$B$7:$B$306,"&lt;="&amp;DATE($B$3,5,19),'Leave log'!$C$7:$C$306,"&gt;="&amp;DATE($B$3,5,19),'Leave log'!$F$7:$F$306,"Pending")&gt;0,"P",""))))</f>
        <v/>
      </c>
      <c r="U161" s="23" t="str">
        <f>IF(A161="","",IF(IF(OR(DATE($B$3,5,20)&gt;EOMONTH(DATE($B$3,5,1),0),NETWORKDAYS.INTL(DATE($B$3,5,20),DATE($B$3,5,20),1,'Non-working days'!$A$6:$A$45)=0),"",IF(COUNTIFS('Leave log'!$A$7:$A$306,Employees!$A$24,'Leave log'!$B$7:$B$306,"&lt;="&amp;DATE($B$3,5,20),'Leave log'!$C$7:$C$306,"&gt;="&amp;DATE($B$3,5,20),'Leave log'!$F$7:$F$306,"Approved")&gt;0,"A",""))="A","A",IF(OR(DATE($B$3,5,20)&gt;EOMONTH(DATE($B$3,5,1),0),NETWORKDAYS.INTL(DATE($B$3,5,20),DATE($B$3,5,20),1,'Non-working days'!$A$6:$A$45)=0),"",IF(COUNTIFS('Leave log'!$A$7:$A$306,Employees!$A$24,'Leave log'!$B$7:$B$306,"&lt;="&amp;DATE($B$3,5,20),'Leave log'!$C$7:$C$306,"&gt;="&amp;DATE($B$3,5,20),'Leave log'!$F$7:$F$306,"Pending")&gt;0,"P",""))))</f>
        <v/>
      </c>
      <c r="V161" s="23" t="str">
        <f>IF(A161="","",IF(IF(OR(DATE($B$3,5,21)&gt;EOMONTH(DATE($B$3,5,1),0),NETWORKDAYS.INTL(DATE($B$3,5,21),DATE($B$3,5,21),1,'Non-working days'!$A$6:$A$45)=0),"",IF(COUNTIFS('Leave log'!$A$7:$A$306,Employees!$A$24,'Leave log'!$B$7:$B$306,"&lt;="&amp;DATE($B$3,5,21),'Leave log'!$C$7:$C$306,"&gt;="&amp;DATE($B$3,5,21),'Leave log'!$F$7:$F$306,"Approved")&gt;0,"A",""))="A","A",IF(OR(DATE($B$3,5,21)&gt;EOMONTH(DATE($B$3,5,1),0),NETWORKDAYS.INTL(DATE($B$3,5,21),DATE($B$3,5,21),1,'Non-working days'!$A$6:$A$45)=0),"",IF(COUNTIFS('Leave log'!$A$7:$A$306,Employees!$A$24,'Leave log'!$B$7:$B$306,"&lt;="&amp;DATE($B$3,5,21),'Leave log'!$C$7:$C$306,"&gt;="&amp;DATE($B$3,5,21),'Leave log'!$F$7:$F$306,"Pending")&gt;0,"P",""))))</f>
        <v/>
      </c>
      <c r="W161" s="23" t="str">
        <f>IF(A161="","",IF(IF(OR(DATE($B$3,5,22)&gt;EOMONTH(DATE($B$3,5,1),0),NETWORKDAYS.INTL(DATE($B$3,5,22),DATE($B$3,5,22),1,'Non-working days'!$A$6:$A$45)=0),"",IF(COUNTIFS('Leave log'!$A$7:$A$306,Employees!$A$24,'Leave log'!$B$7:$B$306,"&lt;="&amp;DATE($B$3,5,22),'Leave log'!$C$7:$C$306,"&gt;="&amp;DATE($B$3,5,22),'Leave log'!$F$7:$F$306,"Approved")&gt;0,"A",""))="A","A",IF(OR(DATE($B$3,5,22)&gt;EOMONTH(DATE($B$3,5,1),0),NETWORKDAYS.INTL(DATE($B$3,5,22),DATE($B$3,5,22),1,'Non-working days'!$A$6:$A$45)=0),"",IF(COUNTIFS('Leave log'!$A$7:$A$306,Employees!$A$24,'Leave log'!$B$7:$B$306,"&lt;="&amp;DATE($B$3,5,22),'Leave log'!$C$7:$C$306,"&gt;="&amp;DATE($B$3,5,22),'Leave log'!$F$7:$F$306,"Pending")&gt;0,"P",""))))</f>
        <v/>
      </c>
      <c r="X161" s="23" t="str">
        <f>IF(A161="","",IF(IF(OR(DATE($B$3,5,23)&gt;EOMONTH(DATE($B$3,5,1),0),NETWORKDAYS.INTL(DATE($B$3,5,23),DATE($B$3,5,23),1,'Non-working days'!$A$6:$A$45)=0),"",IF(COUNTIFS('Leave log'!$A$7:$A$306,Employees!$A$24,'Leave log'!$B$7:$B$306,"&lt;="&amp;DATE($B$3,5,23),'Leave log'!$C$7:$C$306,"&gt;="&amp;DATE($B$3,5,23),'Leave log'!$F$7:$F$306,"Approved")&gt;0,"A",""))="A","A",IF(OR(DATE($B$3,5,23)&gt;EOMONTH(DATE($B$3,5,1),0),NETWORKDAYS.INTL(DATE($B$3,5,23),DATE($B$3,5,23),1,'Non-working days'!$A$6:$A$45)=0),"",IF(COUNTIFS('Leave log'!$A$7:$A$306,Employees!$A$24,'Leave log'!$B$7:$B$306,"&lt;="&amp;DATE($B$3,5,23),'Leave log'!$C$7:$C$306,"&gt;="&amp;DATE($B$3,5,23),'Leave log'!$F$7:$F$306,"Pending")&gt;0,"P",""))))</f>
        <v/>
      </c>
      <c r="Y161" s="23" t="str">
        <f>IF(A161="","",IF(IF(OR(DATE($B$3,5,24)&gt;EOMONTH(DATE($B$3,5,1),0),NETWORKDAYS.INTL(DATE($B$3,5,24),DATE($B$3,5,24),1,'Non-working days'!$A$6:$A$45)=0),"",IF(COUNTIFS('Leave log'!$A$7:$A$306,Employees!$A$24,'Leave log'!$B$7:$B$306,"&lt;="&amp;DATE($B$3,5,24),'Leave log'!$C$7:$C$306,"&gt;="&amp;DATE($B$3,5,24),'Leave log'!$F$7:$F$306,"Approved")&gt;0,"A",""))="A","A",IF(OR(DATE($B$3,5,24)&gt;EOMONTH(DATE($B$3,5,1),0),NETWORKDAYS.INTL(DATE($B$3,5,24),DATE($B$3,5,24),1,'Non-working days'!$A$6:$A$45)=0),"",IF(COUNTIFS('Leave log'!$A$7:$A$306,Employees!$A$24,'Leave log'!$B$7:$B$306,"&lt;="&amp;DATE($B$3,5,24),'Leave log'!$C$7:$C$306,"&gt;="&amp;DATE($B$3,5,24),'Leave log'!$F$7:$F$306,"Pending")&gt;0,"P",""))))</f>
        <v/>
      </c>
      <c r="Z161" s="23" t="str">
        <f>IF(A161="","",IF(IF(OR(DATE($B$3,5,25)&gt;EOMONTH(DATE($B$3,5,1),0),NETWORKDAYS.INTL(DATE($B$3,5,25),DATE($B$3,5,25),1,'Non-working days'!$A$6:$A$45)=0),"",IF(COUNTIFS('Leave log'!$A$7:$A$306,Employees!$A$24,'Leave log'!$B$7:$B$306,"&lt;="&amp;DATE($B$3,5,25),'Leave log'!$C$7:$C$306,"&gt;="&amp;DATE($B$3,5,25),'Leave log'!$F$7:$F$306,"Approved")&gt;0,"A",""))="A","A",IF(OR(DATE($B$3,5,25)&gt;EOMONTH(DATE($B$3,5,1),0),NETWORKDAYS.INTL(DATE($B$3,5,25),DATE($B$3,5,25),1,'Non-working days'!$A$6:$A$45)=0),"",IF(COUNTIFS('Leave log'!$A$7:$A$306,Employees!$A$24,'Leave log'!$B$7:$B$306,"&lt;="&amp;DATE($B$3,5,25),'Leave log'!$C$7:$C$306,"&gt;="&amp;DATE($B$3,5,25),'Leave log'!$F$7:$F$306,"Pending")&gt;0,"P",""))))</f>
        <v/>
      </c>
      <c r="AA161" s="23" t="str">
        <f>IF(A161="","",IF(IF(OR(DATE($B$3,5,26)&gt;EOMONTH(DATE($B$3,5,1),0),NETWORKDAYS.INTL(DATE($B$3,5,26),DATE($B$3,5,26),1,'Non-working days'!$A$6:$A$45)=0),"",IF(COUNTIFS('Leave log'!$A$7:$A$306,Employees!$A$24,'Leave log'!$B$7:$B$306,"&lt;="&amp;DATE($B$3,5,26),'Leave log'!$C$7:$C$306,"&gt;="&amp;DATE($B$3,5,26),'Leave log'!$F$7:$F$306,"Approved")&gt;0,"A",""))="A","A",IF(OR(DATE($B$3,5,26)&gt;EOMONTH(DATE($B$3,5,1),0),NETWORKDAYS.INTL(DATE($B$3,5,26),DATE($B$3,5,26),1,'Non-working days'!$A$6:$A$45)=0),"",IF(COUNTIFS('Leave log'!$A$7:$A$306,Employees!$A$24,'Leave log'!$B$7:$B$306,"&lt;="&amp;DATE($B$3,5,26),'Leave log'!$C$7:$C$306,"&gt;="&amp;DATE($B$3,5,26),'Leave log'!$F$7:$F$306,"Pending")&gt;0,"P",""))))</f>
        <v/>
      </c>
      <c r="AB161" s="23" t="str">
        <f>IF(A161="","",IF(IF(OR(DATE($B$3,5,27)&gt;EOMONTH(DATE($B$3,5,1),0),NETWORKDAYS.INTL(DATE($B$3,5,27),DATE($B$3,5,27),1,'Non-working days'!$A$6:$A$45)=0),"",IF(COUNTIFS('Leave log'!$A$7:$A$306,Employees!$A$24,'Leave log'!$B$7:$B$306,"&lt;="&amp;DATE($B$3,5,27),'Leave log'!$C$7:$C$306,"&gt;="&amp;DATE($B$3,5,27),'Leave log'!$F$7:$F$306,"Approved")&gt;0,"A",""))="A","A",IF(OR(DATE($B$3,5,27)&gt;EOMONTH(DATE($B$3,5,1),0),NETWORKDAYS.INTL(DATE($B$3,5,27),DATE($B$3,5,27),1,'Non-working days'!$A$6:$A$45)=0),"",IF(COUNTIFS('Leave log'!$A$7:$A$306,Employees!$A$24,'Leave log'!$B$7:$B$306,"&lt;="&amp;DATE($B$3,5,27),'Leave log'!$C$7:$C$306,"&gt;="&amp;DATE($B$3,5,27),'Leave log'!$F$7:$F$306,"Pending")&gt;0,"P",""))))</f>
        <v/>
      </c>
      <c r="AC161" s="23" t="str">
        <f>IF(A161="","",IF(IF(OR(DATE($B$3,5,28)&gt;EOMONTH(DATE($B$3,5,1),0),NETWORKDAYS.INTL(DATE($B$3,5,28),DATE($B$3,5,28),1,'Non-working days'!$A$6:$A$45)=0),"",IF(COUNTIFS('Leave log'!$A$7:$A$306,Employees!$A$24,'Leave log'!$B$7:$B$306,"&lt;="&amp;DATE($B$3,5,28),'Leave log'!$C$7:$C$306,"&gt;="&amp;DATE($B$3,5,28),'Leave log'!$F$7:$F$306,"Approved")&gt;0,"A",""))="A","A",IF(OR(DATE($B$3,5,28)&gt;EOMONTH(DATE($B$3,5,1),0),NETWORKDAYS.INTL(DATE($B$3,5,28),DATE($B$3,5,28),1,'Non-working days'!$A$6:$A$45)=0),"",IF(COUNTIFS('Leave log'!$A$7:$A$306,Employees!$A$24,'Leave log'!$B$7:$B$306,"&lt;="&amp;DATE($B$3,5,28),'Leave log'!$C$7:$C$306,"&gt;="&amp;DATE($B$3,5,28),'Leave log'!$F$7:$F$306,"Pending")&gt;0,"P",""))))</f>
        <v/>
      </c>
      <c r="AD161" s="23" t="str">
        <f>IF(A161="","",IF(IF(OR(DATE($B$3,5,29)&gt;EOMONTH(DATE($B$3,5,1),0),NETWORKDAYS.INTL(DATE($B$3,5,29),DATE($B$3,5,29),1,'Non-working days'!$A$6:$A$45)=0),"",IF(COUNTIFS('Leave log'!$A$7:$A$306,Employees!$A$24,'Leave log'!$B$7:$B$306,"&lt;="&amp;DATE($B$3,5,29),'Leave log'!$C$7:$C$306,"&gt;="&amp;DATE($B$3,5,29),'Leave log'!$F$7:$F$306,"Approved")&gt;0,"A",""))="A","A",IF(OR(DATE($B$3,5,29)&gt;EOMONTH(DATE($B$3,5,1),0),NETWORKDAYS.INTL(DATE($B$3,5,29),DATE($B$3,5,29),1,'Non-working days'!$A$6:$A$45)=0),"",IF(COUNTIFS('Leave log'!$A$7:$A$306,Employees!$A$24,'Leave log'!$B$7:$B$306,"&lt;="&amp;DATE($B$3,5,29),'Leave log'!$C$7:$C$306,"&gt;="&amp;DATE($B$3,5,29),'Leave log'!$F$7:$F$306,"Pending")&gt;0,"P",""))))</f>
        <v/>
      </c>
      <c r="AE161" s="23" t="str">
        <f>IF(A161="","",IF(IF(OR(DATE($B$3,5,30)&gt;EOMONTH(DATE($B$3,5,1),0),NETWORKDAYS.INTL(DATE($B$3,5,30),DATE($B$3,5,30),1,'Non-working days'!$A$6:$A$45)=0),"",IF(COUNTIFS('Leave log'!$A$7:$A$306,Employees!$A$24,'Leave log'!$B$7:$B$306,"&lt;="&amp;DATE($B$3,5,30),'Leave log'!$C$7:$C$306,"&gt;="&amp;DATE($B$3,5,30),'Leave log'!$F$7:$F$306,"Approved")&gt;0,"A",""))="A","A",IF(OR(DATE($B$3,5,30)&gt;EOMONTH(DATE($B$3,5,1),0),NETWORKDAYS.INTL(DATE($B$3,5,30),DATE($B$3,5,30),1,'Non-working days'!$A$6:$A$45)=0),"",IF(COUNTIFS('Leave log'!$A$7:$A$306,Employees!$A$24,'Leave log'!$B$7:$B$306,"&lt;="&amp;DATE($B$3,5,30),'Leave log'!$C$7:$C$306,"&gt;="&amp;DATE($B$3,5,30),'Leave log'!$F$7:$F$306,"Pending")&gt;0,"P",""))))</f>
        <v/>
      </c>
      <c r="AF161" s="23" t="str">
        <f>IF(A161="","",IF(IF(OR(DATE($B$3,5,31)&gt;EOMONTH(DATE($B$3,5,1),0),NETWORKDAYS.INTL(DATE($B$3,5,31),DATE($B$3,5,31),1,'Non-working days'!$A$6:$A$45)=0),"",IF(COUNTIFS('Leave log'!$A$7:$A$306,Employees!$A$24,'Leave log'!$B$7:$B$306,"&lt;="&amp;DATE($B$3,5,31),'Leave log'!$C$7:$C$306,"&gt;="&amp;DATE($B$3,5,31),'Leave log'!$F$7:$F$306,"Approved")&gt;0,"A",""))="A","A",IF(OR(DATE($B$3,5,31)&gt;EOMONTH(DATE($B$3,5,1),0),NETWORKDAYS.INTL(DATE($B$3,5,31),DATE($B$3,5,31),1,'Non-working days'!$A$6:$A$45)=0),"",IF(COUNTIFS('Leave log'!$A$7:$A$306,Employees!$A$24,'Leave log'!$B$7:$B$306,"&lt;="&amp;DATE($B$3,5,31),'Leave log'!$C$7:$C$306,"&gt;="&amp;DATE($B$3,5,31),'Leave log'!$F$7:$F$306,"Pending")&gt;0,"P",""))))</f>
        <v/>
      </c>
    </row>
    <row r="162" spans="1:32" ht="18" customHeight="1" x14ac:dyDescent="0.3">
      <c r="A162" s="22" t="str">
        <f>IF(Employees!F25="Yes",Employees!B25,"")</f>
        <v/>
      </c>
      <c r="B162" s="23" t="str">
        <f>IF(A162="","",IF(IF(OR(DATE($B$3,5,1)&gt;EOMONTH(DATE($B$3,5,1),0),NETWORKDAYS.INTL(DATE($B$3,5,1),DATE($B$3,5,1),1,'Non-working days'!$A$6:$A$45)=0),"",IF(COUNTIFS('Leave log'!$A$7:$A$306,Employees!$A$25,'Leave log'!$B$7:$B$306,"&lt;="&amp;DATE($B$3,5,1),'Leave log'!$C$7:$C$306,"&gt;="&amp;DATE($B$3,5,1),'Leave log'!$F$7:$F$306,"Approved")&gt;0,"A",""))="A","A",IF(OR(DATE($B$3,5,1)&gt;EOMONTH(DATE($B$3,5,1),0),NETWORKDAYS.INTL(DATE($B$3,5,1),DATE($B$3,5,1),1,'Non-working days'!$A$6:$A$45)=0),"",IF(COUNTIFS('Leave log'!$A$7:$A$306,Employees!$A$25,'Leave log'!$B$7:$B$306,"&lt;="&amp;DATE($B$3,5,1),'Leave log'!$C$7:$C$306,"&gt;="&amp;DATE($B$3,5,1),'Leave log'!$F$7:$F$306,"Pending")&gt;0,"P",""))))</f>
        <v/>
      </c>
      <c r="C162" s="23" t="str">
        <f>IF(A162="","",IF(IF(OR(DATE($B$3,5,2)&gt;EOMONTH(DATE($B$3,5,1),0),NETWORKDAYS.INTL(DATE($B$3,5,2),DATE($B$3,5,2),1,'Non-working days'!$A$6:$A$45)=0),"",IF(COUNTIFS('Leave log'!$A$7:$A$306,Employees!$A$25,'Leave log'!$B$7:$B$306,"&lt;="&amp;DATE($B$3,5,2),'Leave log'!$C$7:$C$306,"&gt;="&amp;DATE($B$3,5,2),'Leave log'!$F$7:$F$306,"Approved")&gt;0,"A",""))="A","A",IF(OR(DATE($B$3,5,2)&gt;EOMONTH(DATE($B$3,5,1),0),NETWORKDAYS.INTL(DATE($B$3,5,2),DATE($B$3,5,2),1,'Non-working days'!$A$6:$A$45)=0),"",IF(COUNTIFS('Leave log'!$A$7:$A$306,Employees!$A$25,'Leave log'!$B$7:$B$306,"&lt;="&amp;DATE($B$3,5,2),'Leave log'!$C$7:$C$306,"&gt;="&amp;DATE($B$3,5,2),'Leave log'!$F$7:$F$306,"Pending")&gt;0,"P",""))))</f>
        <v/>
      </c>
      <c r="D162" s="23" t="str">
        <f>IF(A162="","",IF(IF(OR(DATE($B$3,5,3)&gt;EOMONTH(DATE($B$3,5,1),0),NETWORKDAYS.INTL(DATE($B$3,5,3),DATE($B$3,5,3),1,'Non-working days'!$A$6:$A$45)=0),"",IF(COUNTIFS('Leave log'!$A$7:$A$306,Employees!$A$25,'Leave log'!$B$7:$B$306,"&lt;="&amp;DATE($B$3,5,3),'Leave log'!$C$7:$C$306,"&gt;="&amp;DATE($B$3,5,3),'Leave log'!$F$7:$F$306,"Approved")&gt;0,"A",""))="A","A",IF(OR(DATE($B$3,5,3)&gt;EOMONTH(DATE($B$3,5,1),0),NETWORKDAYS.INTL(DATE($B$3,5,3),DATE($B$3,5,3),1,'Non-working days'!$A$6:$A$45)=0),"",IF(COUNTIFS('Leave log'!$A$7:$A$306,Employees!$A$25,'Leave log'!$B$7:$B$306,"&lt;="&amp;DATE($B$3,5,3),'Leave log'!$C$7:$C$306,"&gt;="&amp;DATE($B$3,5,3),'Leave log'!$F$7:$F$306,"Pending")&gt;0,"P",""))))</f>
        <v/>
      </c>
      <c r="E162" s="23" t="str">
        <f>IF(A162="","",IF(IF(OR(DATE($B$3,5,4)&gt;EOMONTH(DATE($B$3,5,1),0),NETWORKDAYS.INTL(DATE($B$3,5,4),DATE($B$3,5,4),1,'Non-working days'!$A$6:$A$45)=0),"",IF(COUNTIFS('Leave log'!$A$7:$A$306,Employees!$A$25,'Leave log'!$B$7:$B$306,"&lt;="&amp;DATE($B$3,5,4),'Leave log'!$C$7:$C$306,"&gt;="&amp;DATE($B$3,5,4),'Leave log'!$F$7:$F$306,"Approved")&gt;0,"A",""))="A","A",IF(OR(DATE($B$3,5,4)&gt;EOMONTH(DATE($B$3,5,1),0),NETWORKDAYS.INTL(DATE($B$3,5,4),DATE($B$3,5,4),1,'Non-working days'!$A$6:$A$45)=0),"",IF(COUNTIFS('Leave log'!$A$7:$A$306,Employees!$A$25,'Leave log'!$B$7:$B$306,"&lt;="&amp;DATE($B$3,5,4),'Leave log'!$C$7:$C$306,"&gt;="&amp;DATE($B$3,5,4),'Leave log'!$F$7:$F$306,"Pending")&gt;0,"P",""))))</f>
        <v/>
      </c>
      <c r="F162" s="23" t="str">
        <f>IF(A162="","",IF(IF(OR(DATE($B$3,5,5)&gt;EOMONTH(DATE($B$3,5,1),0),NETWORKDAYS.INTL(DATE($B$3,5,5),DATE($B$3,5,5),1,'Non-working days'!$A$6:$A$45)=0),"",IF(COUNTIFS('Leave log'!$A$7:$A$306,Employees!$A$25,'Leave log'!$B$7:$B$306,"&lt;="&amp;DATE($B$3,5,5),'Leave log'!$C$7:$C$306,"&gt;="&amp;DATE($B$3,5,5),'Leave log'!$F$7:$F$306,"Approved")&gt;0,"A",""))="A","A",IF(OR(DATE($B$3,5,5)&gt;EOMONTH(DATE($B$3,5,1),0),NETWORKDAYS.INTL(DATE($B$3,5,5),DATE($B$3,5,5),1,'Non-working days'!$A$6:$A$45)=0),"",IF(COUNTIFS('Leave log'!$A$7:$A$306,Employees!$A$25,'Leave log'!$B$7:$B$306,"&lt;="&amp;DATE($B$3,5,5),'Leave log'!$C$7:$C$306,"&gt;="&amp;DATE($B$3,5,5),'Leave log'!$F$7:$F$306,"Pending")&gt;0,"P",""))))</f>
        <v/>
      </c>
      <c r="G162" s="23" t="str">
        <f>IF(A162="","",IF(IF(OR(DATE($B$3,5,6)&gt;EOMONTH(DATE($B$3,5,1),0),NETWORKDAYS.INTL(DATE($B$3,5,6),DATE($B$3,5,6),1,'Non-working days'!$A$6:$A$45)=0),"",IF(COUNTIFS('Leave log'!$A$7:$A$306,Employees!$A$25,'Leave log'!$B$7:$B$306,"&lt;="&amp;DATE($B$3,5,6),'Leave log'!$C$7:$C$306,"&gt;="&amp;DATE($B$3,5,6),'Leave log'!$F$7:$F$306,"Approved")&gt;0,"A",""))="A","A",IF(OR(DATE($B$3,5,6)&gt;EOMONTH(DATE($B$3,5,1),0),NETWORKDAYS.INTL(DATE($B$3,5,6),DATE($B$3,5,6),1,'Non-working days'!$A$6:$A$45)=0),"",IF(COUNTIFS('Leave log'!$A$7:$A$306,Employees!$A$25,'Leave log'!$B$7:$B$306,"&lt;="&amp;DATE($B$3,5,6),'Leave log'!$C$7:$C$306,"&gt;="&amp;DATE($B$3,5,6),'Leave log'!$F$7:$F$306,"Pending")&gt;0,"P",""))))</f>
        <v/>
      </c>
      <c r="H162" s="23" t="str">
        <f>IF(A162="","",IF(IF(OR(DATE($B$3,5,7)&gt;EOMONTH(DATE($B$3,5,1),0),NETWORKDAYS.INTL(DATE($B$3,5,7),DATE($B$3,5,7),1,'Non-working days'!$A$6:$A$45)=0),"",IF(COUNTIFS('Leave log'!$A$7:$A$306,Employees!$A$25,'Leave log'!$B$7:$B$306,"&lt;="&amp;DATE($B$3,5,7),'Leave log'!$C$7:$C$306,"&gt;="&amp;DATE($B$3,5,7),'Leave log'!$F$7:$F$306,"Approved")&gt;0,"A",""))="A","A",IF(OR(DATE($B$3,5,7)&gt;EOMONTH(DATE($B$3,5,1),0),NETWORKDAYS.INTL(DATE($B$3,5,7),DATE($B$3,5,7),1,'Non-working days'!$A$6:$A$45)=0),"",IF(COUNTIFS('Leave log'!$A$7:$A$306,Employees!$A$25,'Leave log'!$B$7:$B$306,"&lt;="&amp;DATE($B$3,5,7),'Leave log'!$C$7:$C$306,"&gt;="&amp;DATE($B$3,5,7),'Leave log'!$F$7:$F$306,"Pending")&gt;0,"P",""))))</f>
        <v/>
      </c>
      <c r="I162" s="23" t="str">
        <f>IF(A162="","",IF(IF(OR(DATE($B$3,5,8)&gt;EOMONTH(DATE($B$3,5,1),0),NETWORKDAYS.INTL(DATE($B$3,5,8),DATE($B$3,5,8),1,'Non-working days'!$A$6:$A$45)=0),"",IF(COUNTIFS('Leave log'!$A$7:$A$306,Employees!$A$25,'Leave log'!$B$7:$B$306,"&lt;="&amp;DATE($B$3,5,8),'Leave log'!$C$7:$C$306,"&gt;="&amp;DATE($B$3,5,8),'Leave log'!$F$7:$F$306,"Approved")&gt;0,"A",""))="A","A",IF(OR(DATE($B$3,5,8)&gt;EOMONTH(DATE($B$3,5,1),0),NETWORKDAYS.INTL(DATE($B$3,5,8),DATE($B$3,5,8),1,'Non-working days'!$A$6:$A$45)=0),"",IF(COUNTIFS('Leave log'!$A$7:$A$306,Employees!$A$25,'Leave log'!$B$7:$B$306,"&lt;="&amp;DATE($B$3,5,8),'Leave log'!$C$7:$C$306,"&gt;="&amp;DATE($B$3,5,8),'Leave log'!$F$7:$F$306,"Pending")&gt;0,"P",""))))</f>
        <v/>
      </c>
      <c r="J162" s="23" t="str">
        <f>IF(A162="","",IF(IF(OR(DATE($B$3,5,9)&gt;EOMONTH(DATE($B$3,5,1),0),NETWORKDAYS.INTL(DATE($B$3,5,9),DATE($B$3,5,9),1,'Non-working days'!$A$6:$A$45)=0),"",IF(COUNTIFS('Leave log'!$A$7:$A$306,Employees!$A$25,'Leave log'!$B$7:$B$306,"&lt;="&amp;DATE($B$3,5,9),'Leave log'!$C$7:$C$306,"&gt;="&amp;DATE($B$3,5,9),'Leave log'!$F$7:$F$306,"Approved")&gt;0,"A",""))="A","A",IF(OR(DATE($B$3,5,9)&gt;EOMONTH(DATE($B$3,5,1),0),NETWORKDAYS.INTL(DATE($B$3,5,9),DATE($B$3,5,9),1,'Non-working days'!$A$6:$A$45)=0),"",IF(COUNTIFS('Leave log'!$A$7:$A$306,Employees!$A$25,'Leave log'!$B$7:$B$306,"&lt;="&amp;DATE($B$3,5,9),'Leave log'!$C$7:$C$306,"&gt;="&amp;DATE($B$3,5,9),'Leave log'!$F$7:$F$306,"Pending")&gt;0,"P",""))))</f>
        <v/>
      </c>
      <c r="K162" s="23" t="str">
        <f>IF(A162="","",IF(IF(OR(DATE($B$3,5,10)&gt;EOMONTH(DATE($B$3,5,1),0),NETWORKDAYS.INTL(DATE($B$3,5,10),DATE($B$3,5,10),1,'Non-working days'!$A$6:$A$45)=0),"",IF(COUNTIFS('Leave log'!$A$7:$A$306,Employees!$A$25,'Leave log'!$B$7:$B$306,"&lt;="&amp;DATE($B$3,5,10),'Leave log'!$C$7:$C$306,"&gt;="&amp;DATE($B$3,5,10),'Leave log'!$F$7:$F$306,"Approved")&gt;0,"A",""))="A","A",IF(OR(DATE($B$3,5,10)&gt;EOMONTH(DATE($B$3,5,1),0),NETWORKDAYS.INTL(DATE($B$3,5,10),DATE($B$3,5,10),1,'Non-working days'!$A$6:$A$45)=0),"",IF(COUNTIFS('Leave log'!$A$7:$A$306,Employees!$A$25,'Leave log'!$B$7:$B$306,"&lt;="&amp;DATE($B$3,5,10),'Leave log'!$C$7:$C$306,"&gt;="&amp;DATE($B$3,5,10),'Leave log'!$F$7:$F$306,"Pending")&gt;0,"P",""))))</f>
        <v/>
      </c>
      <c r="L162" s="23" t="str">
        <f>IF(A162="","",IF(IF(OR(DATE($B$3,5,11)&gt;EOMONTH(DATE($B$3,5,1),0),NETWORKDAYS.INTL(DATE($B$3,5,11),DATE($B$3,5,11),1,'Non-working days'!$A$6:$A$45)=0),"",IF(COUNTIFS('Leave log'!$A$7:$A$306,Employees!$A$25,'Leave log'!$B$7:$B$306,"&lt;="&amp;DATE($B$3,5,11),'Leave log'!$C$7:$C$306,"&gt;="&amp;DATE($B$3,5,11),'Leave log'!$F$7:$F$306,"Approved")&gt;0,"A",""))="A","A",IF(OR(DATE($B$3,5,11)&gt;EOMONTH(DATE($B$3,5,1),0),NETWORKDAYS.INTL(DATE($B$3,5,11),DATE($B$3,5,11),1,'Non-working days'!$A$6:$A$45)=0),"",IF(COUNTIFS('Leave log'!$A$7:$A$306,Employees!$A$25,'Leave log'!$B$7:$B$306,"&lt;="&amp;DATE($B$3,5,11),'Leave log'!$C$7:$C$306,"&gt;="&amp;DATE($B$3,5,11),'Leave log'!$F$7:$F$306,"Pending")&gt;0,"P",""))))</f>
        <v/>
      </c>
      <c r="M162" s="23" t="str">
        <f>IF(A162="","",IF(IF(OR(DATE($B$3,5,12)&gt;EOMONTH(DATE($B$3,5,1),0),NETWORKDAYS.INTL(DATE($B$3,5,12),DATE($B$3,5,12),1,'Non-working days'!$A$6:$A$45)=0),"",IF(COUNTIFS('Leave log'!$A$7:$A$306,Employees!$A$25,'Leave log'!$B$7:$B$306,"&lt;="&amp;DATE($B$3,5,12),'Leave log'!$C$7:$C$306,"&gt;="&amp;DATE($B$3,5,12),'Leave log'!$F$7:$F$306,"Approved")&gt;0,"A",""))="A","A",IF(OR(DATE($B$3,5,12)&gt;EOMONTH(DATE($B$3,5,1),0),NETWORKDAYS.INTL(DATE($B$3,5,12),DATE($B$3,5,12),1,'Non-working days'!$A$6:$A$45)=0),"",IF(COUNTIFS('Leave log'!$A$7:$A$306,Employees!$A$25,'Leave log'!$B$7:$B$306,"&lt;="&amp;DATE($B$3,5,12),'Leave log'!$C$7:$C$306,"&gt;="&amp;DATE($B$3,5,12),'Leave log'!$F$7:$F$306,"Pending")&gt;0,"P",""))))</f>
        <v/>
      </c>
      <c r="N162" s="23" t="str">
        <f>IF(A162="","",IF(IF(OR(DATE($B$3,5,13)&gt;EOMONTH(DATE($B$3,5,1),0),NETWORKDAYS.INTL(DATE($B$3,5,13),DATE($B$3,5,13),1,'Non-working days'!$A$6:$A$45)=0),"",IF(COUNTIFS('Leave log'!$A$7:$A$306,Employees!$A$25,'Leave log'!$B$7:$B$306,"&lt;="&amp;DATE($B$3,5,13),'Leave log'!$C$7:$C$306,"&gt;="&amp;DATE($B$3,5,13),'Leave log'!$F$7:$F$306,"Approved")&gt;0,"A",""))="A","A",IF(OR(DATE($B$3,5,13)&gt;EOMONTH(DATE($B$3,5,1),0),NETWORKDAYS.INTL(DATE($B$3,5,13),DATE($B$3,5,13),1,'Non-working days'!$A$6:$A$45)=0),"",IF(COUNTIFS('Leave log'!$A$7:$A$306,Employees!$A$25,'Leave log'!$B$7:$B$306,"&lt;="&amp;DATE($B$3,5,13),'Leave log'!$C$7:$C$306,"&gt;="&amp;DATE($B$3,5,13),'Leave log'!$F$7:$F$306,"Pending")&gt;0,"P",""))))</f>
        <v/>
      </c>
      <c r="O162" s="23" t="str">
        <f>IF(A162="","",IF(IF(OR(DATE($B$3,5,14)&gt;EOMONTH(DATE($B$3,5,1),0),NETWORKDAYS.INTL(DATE($B$3,5,14),DATE($B$3,5,14),1,'Non-working days'!$A$6:$A$45)=0),"",IF(COUNTIFS('Leave log'!$A$7:$A$306,Employees!$A$25,'Leave log'!$B$7:$B$306,"&lt;="&amp;DATE($B$3,5,14),'Leave log'!$C$7:$C$306,"&gt;="&amp;DATE($B$3,5,14),'Leave log'!$F$7:$F$306,"Approved")&gt;0,"A",""))="A","A",IF(OR(DATE($B$3,5,14)&gt;EOMONTH(DATE($B$3,5,1),0),NETWORKDAYS.INTL(DATE($B$3,5,14),DATE($B$3,5,14),1,'Non-working days'!$A$6:$A$45)=0),"",IF(COUNTIFS('Leave log'!$A$7:$A$306,Employees!$A$25,'Leave log'!$B$7:$B$306,"&lt;="&amp;DATE($B$3,5,14),'Leave log'!$C$7:$C$306,"&gt;="&amp;DATE($B$3,5,14),'Leave log'!$F$7:$F$306,"Pending")&gt;0,"P",""))))</f>
        <v/>
      </c>
      <c r="P162" s="23" t="str">
        <f>IF(A162="","",IF(IF(OR(DATE($B$3,5,15)&gt;EOMONTH(DATE($B$3,5,1),0),NETWORKDAYS.INTL(DATE($B$3,5,15),DATE($B$3,5,15),1,'Non-working days'!$A$6:$A$45)=0),"",IF(COUNTIFS('Leave log'!$A$7:$A$306,Employees!$A$25,'Leave log'!$B$7:$B$306,"&lt;="&amp;DATE($B$3,5,15),'Leave log'!$C$7:$C$306,"&gt;="&amp;DATE($B$3,5,15),'Leave log'!$F$7:$F$306,"Approved")&gt;0,"A",""))="A","A",IF(OR(DATE($B$3,5,15)&gt;EOMONTH(DATE($B$3,5,1),0),NETWORKDAYS.INTL(DATE($B$3,5,15),DATE($B$3,5,15),1,'Non-working days'!$A$6:$A$45)=0),"",IF(COUNTIFS('Leave log'!$A$7:$A$306,Employees!$A$25,'Leave log'!$B$7:$B$306,"&lt;="&amp;DATE($B$3,5,15),'Leave log'!$C$7:$C$306,"&gt;="&amp;DATE($B$3,5,15),'Leave log'!$F$7:$F$306,"Pending")&gt;0,"P",""))))</f>
        <v/>
      </c>
      <c r="Q162" s="23" t="str">
        <f>IF(A162="","",IF(IF(OR(DATE($B$3,5,16)&gt;EOMONTH(DATE($B$3,5,1),0),NETWORKDAYS.INTL(DATE($B$3,5,16),DATE($B$3,5,16),1,'Non-working days'!$A$6:$A$45)=0),"",IF(COUNTIFS('Leave log'!$A$7:$A$306,Employees!$A$25,'Leave log'!$B$7:$B$306,"&lt;="&amp;DATE($B$3,5,16),'Leave log'!$C$7:$C$306,"&gt;="&amp;DATE($B$3,5,16),'Leave log'!$F$7:$F$306,"Approved")&gt;0,"A",""))="A","A",IF(OR(DATE($B$3,5,16)&gt;EOMONTH(DATE($B$3,5,1),0),NETWORKDAYS.INTL(DATE($B$3,5,16),DATE($B$3,5,16),1,'Non-working days'!$A$6:$A$45)=0),"",IF(COUNTIFS('Leave log'!$A$7:$A$306,Employees!$A$25,'Leave log'!$B$7:$B$306,"&lt;="&amp;DATE($B$3,5,16),'Leave log'!$C$7:$C$306,"&gt;="&amp;DATE($B$3,5,16),'Leave log'!$F$7:$F$306,"Pending")&gt;0,"P",""))))</f>
        <v/>
      </c>
      <c r="R162" s="23" t="str">
        <f>IF(A162="","",IF(IF(OR(DATE($B$3,5,17)&gt;EOMONTH(DATE($B$3,5,1),0),NETWORKDAYS.INTL(DATE($B$3,5,17),DATE($B$3,5,17),1,'Non-working days'!$A$6:$A$45)=0),"",IF(COUNTIFS('Leave log'!$A$7:$A$306,Employees!$A$25,'Leave log'!$B$7:$B$306,"&lt;="&amp;DATE($B$3,5,17),'Leave log'!$C$7:$C$306,"&gt;="&amp;DATE($B$3,5,17),'Leave log'!$F$7:$F$306,"Approved")&gt;0,"A",""))="A","A",IF(OR(DATE($B$3,5,17)&gt;EOMONTH(DATE($B$3,5,1),0),NETWORKDAYS.INTL(DATE($B$3,5,17),DATE($B$3,5,17),1,'Non-working days'!$A$6:$A$45)=0),"",IF(COUNTIFS('Leave log'!$A$7:$A$306,Employees!$A$25,'Leave log'!$B$7:$B$306,"&lt;="&amp;DATE($B$3,5,17),'Leave log'!$C$7:$C$306,"&gt;="&amp;DATE($B$3,5,17),'Leave log'!$F$7:$F$306,"Pending")&gt;0,"P",""))))</f>
        <v/>
      </c>
      <c r="S162" s="23" t="str">
        <f>IF(A162="","",IF(IF(OR(DATE($B$3,5,18)&gt;EOMONTH(DATE($B$3,5,1),0),NETWORKDAYS.INTL(DATE($B$3,5,18),DATE($B$3,5,18),1,'Non-working days'!$A$6:$A$45)=0),"",IF(COUNTIFS('Leave log'!$A$7:$A$306,Employees!$A$25,'Leave log'!$B$7:$B$306,"&lt;="&amp;DATE($B$3,5,18),'Leave log'!$C$7:$C$306,"&gt;="&amp;DATE($B$3,5,18),'Leave log'!$F$7:$F$306,"Approved")&gt;0,"A",""))="A","A",IF(OR(DATE($B$3,5,18)&gt;EOMONTH(DATE($B$3,5,1),0),NETWORKDAYS.INTL(DATE($B$3,5,18),DATE($B$3,5,18),1,'Non-working days'!$A$6:$A$45)=0),"",IF(COUNTIFS('Leave log'!$A$7:$A$306,Employees!$A$25,'Leave log'!$B$7:$B$306,"&lt;="&amp;DATE($B$3,5,18),'Leave log'!$C$7:$C$306,"&gt;="&amp;DATE($B$3,5,18),'Leave log'!$F$7:$F$306,"Pending")&gt;0,"P",""))))</f>
        <v/>
      </c>
      <c r="T162" s="23" t="str">
        <f>IF(A162="","",IF(IF(OR(DATE($B$3,5,19)&gt;EOMONTH(DATE($B$3,5,1),0),NETWORKDAYS.INTL(DATE($B$3,5,19),DATE($B$3,5,19),1,'Non-working days'!$A$6:$A$45)=0),"",IF(COUNTIFS('Leave log'!$A$7:$A$306,Employees!$A$25,'Leave log'!$B$7:$B$306,"&lt;="&amp;DATE($B$3,5,19),'Leave log'!$C$7:$C$306,"&gt;="&amp;DATE($B$3,5,19),'Leave log'!$F$7:$F$306,"Approved")&gt;0,"A",""))="A","A",IF(OR(DATE($B$3,5,19)&gt;EOMONTH(DATE($B$3,5,1),0),NETWORKDAYS.INTL(DATE($B$3,5,19),DATE($B$3,5,19),1,'Non-working days'!$A$6:$A$45)=0),"",IF(COUNTIFS('Leave log'!$A$7:$A$306,Employees!$A$25,'Leave log'!$B$7:$B$306,"&lt;="&amp;DATE($B$3,5,19),'Leave log'!$C$7:$C$306,"&gt;="&amp;DATE($B$3,5,19),'Leave log'!$F$7:$F$306,"Pending")&gt;0,"P",""))))</f>
        <v/>
      </c>
      <c r="U162" s="23" t="str">
        <f>IF(A162="","",IF(IF(OR(DATE($B$3,5,20)&gt;EOMONTH(DATE($B$3,5,1),0),NETWORKDAYS.INTL(DATE($B$3,5,20),DATE($B$3,5,20),1,'Non-working days'!$A$6:$A$45)=0),"",IF(COUNTIFS('Leave log'!$A$7:$A$306,Employees!$A$25,'Leave log'!$B$7:$B$306,"&lt;="&amp;DATE($B$3,5,20),'Leave log'!$C$7:$C$306,"&gt;="&amp;DATE($B$3,5,20),'Leave log'!$F$7:$F$306,"Approved")&gt;0,"A",""))="A","A",IF(OR(DATE($B$3,5,20)&gt;EOMONTH(DATE($B$3,5,1),0),NETWORKDAYS.INTL(DATE($B$3,5,20),DATE($B$3,5,20),1,'Non-working days'!$A$6:$A$45)=0),"",IF(COUNTIFS('Leave log'!$A$7:$A$306,Employees!$A$25,'Leave log'!$B$7:$B$306,"&lt;="&amp;DATE($B$3,5,20),'Leave log'!$C$7:$C$306,"&gt;="&amp;DATE($B$3,5,20),'Leave log'!$F$7:$F$306,"Pending")&gt;0,"P",""))))</f>
        <v/>
      </c>
      <c r="V162" s="23" t="str">
        <f>IF(A162="","",IF(IF(OR(DATE($B$3,5,21)&gt;EOMONTH(DATE($B$3,5,1),0),NETWORKDAYS.INTL(DATE($B$3,5,21),DATE($B$3,5,21),1,'Non-working days'!$A$6:$A$45)=0),"",IF(COUNTIFS('Leave log'!$A$7:$A$306,Employees!$A$25,'Leave log'!$B$7:$B$306,"&lt;="&amp;DATE($B$3,5,21),'Leave log'!$C$7:$C$306,"&gt;="&amp;DATE($B$3,5,21),'Leave log'!$F$7:$F$306,"Approved")&gt;0,"A",""))="A","A",IF(OR(DATE($B$3,5,21)&gt;EOMONTH(DATE($B$3,5,1),0),NETWORKDAYS.INTL(DATE($B$3,5,21),DATE($B$3,5,21),1,'Non-working days'!$A$6:$A$45)=0),"",IF(COUNTIFS('Leave log'!$A$7:$A$306,Employees!$A$25,'Leave log'!$B$7:$B$306,"&lt;="&amp;DATE($B$3,5,21),'Leave log'!$C$7:$C$306,"&gt;="&amp;DATE($B$3,5,21),'Leave log'!$F$7:$F$306,"Pending")&gt;0,"P",""))))</f>
        <v/>
      </c>
      <c r="W162" s="23" t="str">
        <f>IF(A162="","",IF(IF(OR(DATE($B$3,5,22)&gt;EOMONTH(DATE($B$3,5,1),0),NETWORKDAYS.INTL(DATE($B$3,5,22),DATE($B$3,5,22),1,'Non-working days'!$A$6:$A$45)=0),"",IF(COUNTIFS('Leave log'!$A$7:$A$306,Employees!$A$25,'Leave log'!$B$7:$B$306,"&lt;="&amp;DATE($B$3,5,22),'Leave log'!$C$7:$C$306,"&gt;="&amp;DATE($B$3,5,22),'Leave log'!$F$7:$F$306,"Approved")&gt;0,"A",""))="A","A",IF(OR(DATE($B$3,5,22)&gt;EOMONTH(DATE($B$3,5,1),0),NETWORKDAYS.INTL(DATE($B$3,5,22),DATE($B$3,5,22),1,'Non-working days'!$A$6:$A$45)=0),"",IF(COUNTIFS('Leave log'!$A$7:$A$306,Employees!$A$25,'Leave log'!$B$7:$B$306,"&lt;="&amp;DATE($B$3,5,22),'Leave log'!$C$7:$C$306,"&gt;="&amp;DATE($B$3,5,22),'Leave log'!$F$7:$F$306,"Pending")&gt;0,"P",""))))</f>
        <v/>
      </c>
      <c r="X162" s="23" t="str">
        <f>IF(A162="","",IF(IF(OR(DATE($B$3,5,23)&gt;EOMONTH(DATE($B$3,5,1),0),NETWORKDAYS.INTL(DATE($B$3,5,23),DATE($B$3,5,23),1,'Non-working days'!$A$6:$A$45)=0),"",IF(COUNTIFS('Leave log'!$A$7:$A$306,Employees!$A$25,'Leave log'!$B$7:$B$306,"&lt;="&amp;DATE($B$3,5,23),'Leave log'!$C$7:$C$306,"&gt;="&amp;DATE($B$3,5,23),'Leave log'!$F$7:$F$306,"Approved")&gt;0,"A",""))="A","A",IF(OR(DATE($B$3,5,23)&gt;EOMONTH(DATE($B$3,5,1),0),NETWORKDAYS.INTL(DATE($B$3,5,23),DATE($B$3,5,23),1,'Non-working days'!$A$6:$A$45)=0),"",IF(COUNTIFS('Leave log'!$A$7:$A$306,Employees!$A$25,'Leave log'!$B$7:$B$306,"&lt;="&amp;DATE($B$3,5,23),'Leave log'!$C$7:$C$306,"&gt;="&amp;DATE($B$3,5,23),'Leave log'!$F$7:$F$306,"Pending")&gt;0,"P",""))))</f>
        <v/>
      </c>
      <c r="Y162" s="23" t="str">
        <f>IF(A162="","",IF(IF(OR(DATE($B$3,5,24)&gt;EOMONTH(DATE($B$3,5,1),0),NETWORKDAYS.INTL(DATE($B$3,5,24),DATE($B$3,5,24),1,'Non-working days'!$A$6:$A$45)=0),"",IF(COUNTIFS('Leave log'!$A$7:$A$306,Employees!$A$25,'Leave log'!$B$7:$B$306,"&lt;="&amp;DATE($B$3,5,24),'Leave log'!$C$7:$C$306,"&gt;="&amp;DATE($B$3,5,24),'Leave log'!$F$7:$F$306,"Approved")&gt;0,"A",""))="A","A",IF(OR(DATE($B$3,5,24)&gt;EOMONTH(DATE($B$3,5,1),0),NETWORKDAYS.INTL(DATE($B$3,5,24),DATE($B$3,5,24),1,'Non-working days'!$A$6:$A$45)=0),"",IF(COUNTIFS('Leave log'!$A$7:$A$306,Employees!$A$25,'Leave log'!$B$7:$B$306,"&lt;="&amp;DATE($B$3,5,24),'Leave log'!$C$7:$C$306,"&gt;="&amp;DATE($B$3,5,24),'Leave log'!$F$7:$F$306,"Pending")&gt;0,"P",""))))</f>
        <v/>
      </c>
      <c r="Z162" s="23" t="str">
        <f>IF(A162="","",IF(IF(OR(DATE($B$3,5,25)&gt;EOMONTH(DATE($B$3,5,1),0),NETWORKDAYS.INTL(DATE($B$3,5,25),DATE($B$3,5,25),1,'Non-working days'!$A$6:$A$45)=0),"",IF(COUNTIFS('Leave log'!$A$7:$A$306,Employees!$A$25,'Leave log'!$B$7:$B$306,"&lt;="&amp;DATE($B$3,5,25),'Leave log'!$C$7:$C$306,"&gt;="&amp;DATE($B$3,5,25),'Leave log'!$F$7:$F$306,"Approved")&gt;0,"A",""))="A","A",IF(OR(DATE($B$3,5,25)&gt;EOMONTH(DATE($B$3,5,1),0),NETWORKDAYS.INTL(DATE($B$3,5,25),DATE($B$3,5,25),1,'Non-working days'!$A$6:$A$45)=0),"",IF(COUNTIFS('Leave log'!$A$7:$A$306,Employees!$A$25,'Leave log'!$B$7:$B$306,"&lt;="&amp;DATE($B$3,5,25),'Leave log'!$C$7:$C$306,"&gt;="&amp;DATE($B$3,5,25),'Leave log'!$F$7:$F$306,"Pending")&gt;0,"P",""))))</f>
        <v/>
      </c>
      <c r="AA162" s="23" t="str">
        <f>IF(A162="","",IF(IF(OR(DATE($B$3,5,26)&gt;EOMONTH(DATE($B$3,5,1),0),NETWORKDAYS.INTL(DATE($B$3,5,26),DATE($B$3,5,26),1,'Non-working days'!$A$6:$A$45)=0),"",IF(COUNTIFS('Leave log'!$A$7:$A$306,Employees!$A$25,'Leave log'!$B$7:$B$306,"&lt;="&amp;DATE($B$3,5,26),'Leave log'!$C$7:$C$306,"&gt;="&amp;DATE($B$3,5,26),'Leave log'!$F$7:$F$306,"Approved")&gt;0,"A",""))="A","A",IF(OR(DATE($B$3,5,26)&gt;EOMONTH(DATE($B$3,5,1),0),NETWORKDAYS.INTL(DATE($B$3,5,26),DATE($B$3,5,26),1,'Non-working days'!$A$6:$A$45)=0),"",IF(COUNTIFS('Leave log'!$A$7:$A$306,Employees!$A$25,'Leave log'!$B$7:$B$306,"&lt;="&amp;DATE($B$3,5,26),'Leave log'!$C$7:$C$306,"&gt;="&amp;DATE($B$3,5,26),'Leave log'!$F$7:$F$306,"Pending")&gt;0,"P",""))))</f>
        <v/>
      </c>
      <c r="AB162" s="23" t="str">
        <f>IF(A162="","",IF(IF(OR(DATE($B$3,5,27)&gt;EOMONTH(DATE($B$3,5,1),0),NETWORKDAYS.INTL(DATE($B$3,5,27),DATE($B$3,5,27),1,'Non-working days'!$A$6:$A$45)=0),"",IF(COUNTIFS('Leave log'!$A$7:$A$306,Employees!$A$25,'Leave log'!$B$7:$B$306,"&lt;="&amp;DATE($B$3,5,27),'Leave log'!$C$7:$C$306,"&gt;="&amp;DATE($B$3,5,27),'Leave log'!$F$7:$F$306,"Approved")&gt;0,"A",""))="A","A",IF(OR(DATE($B$3,5,27)&gt;EOMONTH(DATE($B$3,5,1),0),NETWORKDAYS.INTL(DATE($B$3,5,27),DATE($B$3,5,27),1,'Non-working days'!$A$6:$A$45)=0),"",IF(COUNTIFS('Leave log'!$A$7:$A$306,Employees!$A$25,'Leave log'!$B$7:$B$306,"&lt;="&amp;DATE($B$3,5,27),'Leave log'!$C$7:$C$306,"&gt;="&amp;DATE($B$3,5,27),'Leave log'!$F$7:$F$306,"Pending")&gt;0,"P",""))))</f>
        <v/>
      </c>
      <c r="AC162" s="23" t="str">
        <f>IF(A162="","",IF(IF(OR(DATE($B$3,5,28)&gt;EOMONTH(DATE($B$3,5,1),0),NETWORKDAYS.INTL(DATE($B$3,5,28),DATE($B$3,5,28),1,'Non-working days'!$A$6:$A$45)=0),"",IF(COUNTIFS('Leave log'!$A$7:$A$306,Employees!$A$25,'Leave log'!$B$7:$B$306,"&lt;="&amp;DATE($B$3,5,28),'Leave log'!$C$7:$C$306,"&gt;="&amp;DATE($B$3,5,28),'Leave log'!$F$7:$F$306,"Approved")&gt;0,"A",""))="A","A",IF(OR(DATE($B$3,5,28)&gt;EOMONTH(DATE($B$3,5,1),0),NETWORKDAYS.INTL(DATE($B$3,5,28),DATE($B$3,5,28),1,'Non-working days'!$A$6:$A$45)=0),"",IF(COUNTIFS('Leave log'!$A$7:$A$306,Employees!$A$25,'Leave log'!$B$7:$B$306,"&lt;="&amp;DATE($B$3,5,28),'Leave log'!$C$7:$C$306,"&gt;="&amp;DATE($B$3,5,28),'Leave log'!$F$7:$F$306,"Pending")&gt;0,"P",""))))</f>
        <v/>
      </c>
      <c r="AD162" s="23" t="str">
        <f>IF(A162="","",IF(IF(OR(DATE($B$3,5,29)&gt;EOMONTH(DATE($B$3,5,1),0),NETWORKDAYS.INTL(DATE($B$3,5,29),DATE($B$3,5,29),1,'Non-working days'!$A$6:$A$45)=0),"",IF(COUNTIFS('Leave log'!$A$7:$A$306,Employees!$A$25,'Leave log'!$B$7:$B$306,"&lt;="&amp;DATE($B$3,5,29),'Leave log'!$C$7:$C$306,"&gt;="&amp;DATE($B$3,5,29),'Leave log'!$F$7:$F$306,"Approved")&gt;0,"A",""))="A","A",IF(OR(DATE($B$3,5,29)&gt;EOMONTH(DATE($B$3,5,1),0),NETWORKDAYS.INTL(DATE($B$3,5,29),DATE($B$3,5,29),1,'Non-working days'!$A$6:$A$45)=0),"",IF(COUNTIFS('Leave log'!$A$7:$A$306,Employees!$A$25,'Leave log'!$B$7:$B$306,"&lt;="&amp;DATE($B$3,5,29),'Leave log'!$C$7:$C$306,"&gt;="&amp;DATE($B$3,5,29),'Leave log'!$F$7:$F$306,"Pending")&gt;0,"P",""))))</f>
        <v/>
      </c>
      <c r="AE162" s="23" t="str">
        <f>IF(A162="","",IF(IF(OR(DATE($B$3,5,30)&gt;EOMONTH(DATE($B$3,5,1),0),NETWORKDAYS.INTL(DATE($B$3,5,30),DATE($B$3,5,30),1,'Non-working days'!$A$6:$A$45)=0),"",IF(COUNTIFS('Leave log'!$A$7:$A$306,Employees!$A$25,'Leave log'!$B$7:$B$306,"&lt;="&amp;DATE($B$3,5,30),'Leave log'!$C$7:$C$306,"&gt;="&amp;DATE($B$3,5,30),'Leave log'!$F$7:$F$306,"Approved")&gt;0,"A",""))="A","A",IF(OR(DATE($B$3,5,30)&gt;EOMONTH(DATE($B$3,5,1),0),NETWORKDAYS.INTL(DATE($B$3,5,30),DATE($B$3,5,30),1,'Non-working days'!$A$6:$A$45)=0),"",IF(COUNTIFS('Leave log'!$A$7:$A$306,Employees!$A$25,'Leave log'!$B$7:$B$306,"&lt;="&amp;DATE($B$3,5,30),'Leave log'!$C$7:$C$306,"&gt;="&amp;DATE($B$3,5,30),'Leave log'!$F$7:$F$306,"Pending")&gt;0,"P",""))))</f>
        <v/>
      </c>
      <c r="AF162" s="23" t="str">
        <f>IF(A162="","",IF(IF(OR(DATE($B$3,5,31)&gt;EOMONTH(DATE($B$3,5,1),0),NETWORKDAYS.INTL(DATE($B$3,5,31),DATE($B$3,5,31),1,'Non-working days'!$A$6:$A$45)=0),"",IF(COUNTIFS('Leave log'!$A$7:$A$306,Employees!$A$25,'Leave log'!$B$7:$B$306,"&lt;="&amp;DATE($B$3,5,31),'Leave log'!$C$7:$C$306,"&gt;="&amp;DATE($B$3,5,31),'Leave log'!$F$7:$F$306,"Approved")&gt;0,"A",""))="A","A",IF(OR(DATE($B$3,5,31)&gt;EOMONTH(DATE($B$3,5,1),0),NETWORKDAYS.INTL(DATE($B$3,5,31),DATE($B$3,5,31),1,'Non-working days'!$A$6:$A$45)=0),"",IF(COUNTIFS('Leave log'!$A$7:$A$306,Employees!$A$25,'Leave log'!$B$7:$B$306,"&lt;="&amp;DATE($B$3,5,31),'Leave log'!$C$7:$C$306,"&gt;="&amp;DATE($B$3,5,31),'Leave log'!$F$7:$F$306,"Pending")&gt;0,"P",""))))</f>
        <v/>
      </c>
    </row>
    <row r="163" spans="1:32" ht="18" customHeight="1" x14ac:dyDescent="0.3">
      <c r="A163" s="22" t="str">
        <f>IF(Employees!F26="Yes",Employees!B26,"")</f>
        <v/>
      </c>
      <c r="B163" s="23" t="str">
        <f>IF(A163="","",IF(IF(OR(DATE($B$3,5,1)&gt;EOMONTH(DATE($B$3,5,1),0),NETWORKDAYS.INTL(DATE($B$3,5,1),DATE($B$3,5,1),1,'Non-working days'!$A$6:$A$45)=0),"",IF(COUNTIFS('Leave log'!$A$7:$A$306,Employees!$A$26,'Leave log'!$B$7:$B$306,"&lt;="&amp;DATE($B$3,5,1),'Leave log'!$C$7:$C$306,"&gt;="&amp;DATE($B$3,5,1),'Leave log'!$F$7:$F$306,"Approved")&gt;0,"A",""))="A","A",IF(OR(DATE($B$3,5,1)&gt;EOMONTH(DATE($B$3,5,1),0),NETWORKDAYS.INTL(DATE($B$3,5,1),DATE($B$3,5,1),1,'Non-working days'!$A$6:$A$45)=0),"",IF(COUNTIFS('Leave log'!$A$7:$A$306,Employees!$A$26,'Leave log'!$B$7:$B$306,"&lt;="&amp;DATE($B$3,5,1),'Leave log'!$C$7:$C$306,"&gt;="&amp;DATE($B$3,5,1),'Leave log'!$F$7:$F$306,"Pending")&gt;0,"P",""))))</f>
        <v/>
      </c>
      <c r="C163" s="23" t="str">
        <f>IF(A163="","",IF(IF(OR(DATE($B$3,5,2)&gt;EOMONTH(DATE($B$3,5,1),0),NETWORKDAYS.INTL(DATE($B$3,5,2),DATE($B$3,5,2),1,'Non-working days'!$A$6:$A$45)=0),"",IF(COUNTIFS('Leave log'!$A$7:$A$306,Employees!$A$26,'Leave log'!$B$7:$B$306,"&lt;="&amp;DATE($B$3,5,2),'Leave log'!$C$7:$C$306,"&gt;="&amp;DATE($B$3,5,2),'Leave log'!$F$7:$F$306,"Approved")&gt;0,"A",""))="A","A",IF(OR(DATE($B$3,5,2)&gt;EOMONTH(DATE($B$3,5,1),0),NETWORKDAYS.INTL(DATE($B$3,5,2),DATE($B$3,5,2),1,'Non-working days'!$A$6:$A$45)=0),"",IF(COUNTIFS('Leave log'!$A$7:$A$306,Employees!$A$26,'Leave log'!$B$7:$B$306,"&lt;="&amp;DATE($B$3,5,2),'Leave log'!$C$7:$C$306,"&gt;="&amp;DATE($B$3,5,2),'Leave log'!$F$7:$F$306,"Pending")&gt;0,"P",""))))</f>
        <v/>
      </c>
      <c r="D163" s="23" t="str">
        <f>IF(A163="","",IF(IF(OR(DATE($B$3,5,3)&gt;EOMONTH(DATE($B$3,5,1),0),NETWORKDAYS.INTL(DATE($B$3,5,3),DATE($B$3,5,3),1,'Non-working days'!$A$6:$A$45)=0),"",IF(COUNTIFS('Leave log'!$A$7:$A$306,Employees!$A$26,'Leave log'!$B$7:$B$306,"&lt;="&amp;DATE($B$3,5,3),'Leave log'!$C$7:$C$306,"&gt;="&amp;DATE($B$3,5,3),'Leave log'!$F$7:$F$306,"Approved")&gt;0,"A",""))="A","A",IF(OR(DATE($B$3,5,3)&gt;EOMONTH(DATE($B$3,5,1),0),NETWORKDAYS.INTL(DATE($B$3,5,3),DATE($B$3,5,3),1,'Non-working days'!$A$6:$A$45)=0),"",IF(COUNTIFS('Leave log'!$A$7:$A$306,Employees!$A$26,'Leave log'!$B$7:$B$306,"&lt;="&amp;DATE($B$3,5,3),'Leave log'!$C$7:$C$306,"&gt;="&amp;DATE($B$3,5,3),'Leave log'!$F$7:$F$306,"Pending")&gt;0,"P",""))))</f>
        <v/>
      </c>
      <c r="E163" s="23" t="str">
        <f>IF(A163="","",IF(IF(OR(DATE($B$3,5,4)&gt;EOMONTH(DATE($B$3,5,1),0),NETWORKDAYS.INTL(DATE($B$3,5,4),DATE($B$3,5,4),1,'Non-working days'!$A$6:$A$45)=0),"",IF(COUNTIFS('Leave log'!$A$7:$A$306,Employees!$A$26,'Leave log'!$B$7:$B$306,"&lt;="&amp;DATE($B$3,5,4),'Leave log'!$C$7:$C$306,"&gt;="&amp;DATE($B$3,5,4),'Leave log'!$F$7:$F$306,"Approved")&gt;0,"A",""))="A","A",IF(OR(DATE($B$3,5,4)&gt;EOMONTH(DATE($B$3,5,1),0),NETWORKDAYS.INTL(DATE($B$3,5,4),DATE($B$3,5,4),1,'Non-working days'!$A$6:$A$45)=0),"",IF(COUNTIFS('Leave log'!$A$7:$A$306,Employees!$A$26,'Leave log'!$B$7:$B$306,"&lt;="&amp;DATE($B$3,5,4),'Leave log'!$C$7:$C$306,"&gt;="&amp;DATE($B$3,5,4),'Leave log'!$F$7:$F$306,"Pending")&gt;0,"P",""))))</f>
        <v/>
      </c>
      <c r="F163" s="23" t="str">
        <f>IF(A163="","",IF(IF(OR(DATE($B$3,5,5)&gt;EOMONTH(DATE($B$3,5,1),0),NETWORKDAYS.INTL(DATE($B$3,5,5),DATE($B$3,5,5),1,'Non-working days'!$A$6:$A$45)=0),"",IF(COUNTIFS('Leave log'!$A$7:$A$306,Employees!$A$26,'Leave log'!$B$7:$B$306,"&lt;="&amp;DATE($B$3,5,5),'Leave log'!$C$7:$C$306,"&gt;="&amp;DATE($B$3,5,5),'Leave log'!$F$7:$F$306,"Approved")&gt;0,"A",""))="A","A",IF(OR(DATE($B$3,5,5)&gt;EOMONTH(DATE($B$3,5,1),0),NETWORKDAYS.INTL(DATE($B$3,5,5),DATE($B$3,5,5),1,'Non-working days'!$A$6:$A$45)=0),"",IF(COUNTIFS('Leave log'!$A$7:$A$306,Employees!$A$26,'Leave log'!$B$7:$B$306,"&lt;="&amp;DATE($B$3,5,5),'Leave log'!$C$7:$C$306,"&gt;="&amp;DATE($B$3,5,5),'Leave log'!$F$7:$F$306,"Pending")&gt;0,"P",""))))</f>
        <v/>
      </c>
      <c r="G163" s="23" t="str">
        <f>IF(A163="","",IF(IF(OR(DATE($B$3,5,6)&gt;EOMONTH(DATE($B$3,5,1),0),NETWORKDAYS.INTL(DATE($B$3,5,6),DATE($B$3,5,6),1,'Non-working days'!$A$6:$A$45)=0),"",IF(COUNTIFS('Leave log'!$A$7:$A$306,Employees!$A$26,'Leave log'!$B$7:$B$306,"&lt;="&amp;DATE($B$3,5,6),'Leave log'!$C$7:$C$306,"&gt;="&amp;DATE($B$3,5,6),'Leave log'!$F$7:$F$306,"Approved")&gt;0,"A",""))="A","A",IF(OR(DATE($B$3,5,6)&gt;EOMONTH(DATE($B$3,5,1),0),NETWORKDAYS.INTL(DATE($B$3,5,6),DATE($B$3,5,6),1,'Non-working days'!$A$6:$A$45)=0),"",IF(COUNTIFS('Leave log'!$A$7:$A$306,Employees!$A$26,'Leave log'!$B$7:$B$306,"&lt;="&amp;DATE($B$3,5,6),'Leave log'!$C$7:$C$306,"&gt;="&amp;DATE($B$3,5,6),'Leave log'!$F$7:$F$306,"Pending")&gt;0,"P",""))))</f>
        <v/>
      </c>
      <c r="H163" s="23" t="str">
        <f>IF(A163="","",IF(IF(OR(DATE($B$3,5,7)&gt;EOMONTH(DATE($B$3,5,1),0),NETWORKDAYS.INTL(DATE($B$3,5,7),DATE($B$3,5,7),1,'Non-working days'!$A$6:$A$45)=0),"",IF(COUNTIFS('Leave log'!$A$7:$A$306,Employees!$A$26,'Leave log'!$B$7:$B$306,"&lt;="&amp;DATE($B$3,5,7),'Leave log'!$C$7:$C$306,"&gt;="&amp;DATE($B$3,5,7),'Leave log'!$F$7:$F$306,"Approved")&gt;0,"A",""))="A","A",IF(OR(DATE($B$3,5,7)&gt;EOMONTH(DATE($B$3,5,1),0),NETWORKDAYS.INTL(DATE($B$3,5,7),DATE($B$3,5,7),1,'Non-working days'!$A$6:$A$45)=0),"",IF(COUNTIFS('Leave log'!$A$7:$A$306,Employees!$A$26,'Leave log'!$B$7:$B$306,"&lt;="&amp;DATE($B$3,5,7),'Leave log'!$C$7:$C$306,"&gt;="&amp;DATE($B$3,5,7),'Leave log'!$F$7:$F$306,"Pending")&gt;0,"P",""))))</f>
        <v/>
      </c>
      <c r="I163" s="23" t="str">
        <f>IF(A163="","",IF(IF(OR(DATE($B$3,5,8)&gt;EOMONTH(DATE($B$3,5,1),0),NETWORKDAYS.INTL(DATE($B$3,5,8),DATE($B$3,5,8),1,'Non-working days'!$A$6:$A$45)=0),"",IF(COUNTIFS('Leave log'!$A$7:$A$306,Employees!$A$26,'Leave log'!$B$7:$B$306,"&lt;="&amp;DATE($B$3,5,8),'Leave log'!$C$7:$C$306,"&gt;="&amp;DATE($B$3,5,8),'Leave log'!$F$7:$F$306,"Approved")&gt;0,"A",""))="A","A",IF(OR(DATE($B$3,5,8)&gt;EOMONTH(DATE($B$3,5,1),0),NETWORKDAYS.INTL(DATE($B$3,5,8),DATE($B$3,5,8),1,'Non-working days'!$A$6:$A$45)=0),"",IF(COUNTIFS('Leave log'!$A$7:$A$306,Employees!$A$26,'Leave log'!$B$7:$B$306,"&lt;="&amp;DATE($B$3,5,8),'Leave log'!$C$7:$C$306,"&gt;="&amp;DATE($B$3,5,8),'Leave log'!$F$7:$F$306,"Pending")&gt;0,"P",""))))</f>
        <v/>
      </c>
      <c r="J163" s="23" t="str">
        <f>IF(A163="","",IF(IF(OR(DATE($B$3,5,9)&gt;EOMONTH(DATE($B$3,5,1),0),NETWORKDAYS.INTL(DATE($B$3,5,9),DATE($B$3,5,9),1,'Non-working days'!$A$6:$A$45)=0),"",IF(COUNTIFS('Leave log'!$A$7:$A$306,Employees!$A$26,'Leave log'!$B$7:$B$306,"&lt;="&amp;DATE($B$3,5,9),'Leave log'!$C$7:$C$306,"&gt;="&amp;DATE($B$3,5,9),'Leave log'!$F$7:$F$306,"Approved")&gt;0,"A",""))="A","A",IF(OR(DATE($B$3,5,9)&gt;EOMONTH(DATE($B$3,5,1),0),NETWORKDAYS.INTL(DATE($B$3,5,9),DATE($B$3,5,9),1,'Non-working days'!$A$6:$A$45)=0),"",IF(COUNTIFS('Leave log'!$A$7:$A$306,Employees!$A$26,'Leave log'!$B$7:$B$306,"&lt;="&amp;DATE($B$3,5,9),'Leave log'!$C$7:$C$306,"&gt;="&amp;DATE($B$3,5,9),'Leave log'!$F$7:$F$306,"Pending")&gt;0,"P",""))))</f>
        <v/>
      </c>
      <c r="K163" s="23" t="str">
        <f>IF(A163="","",IF(IF(OR(DATE($B$3,5,10)&gt;EOMONTH(DATE($B$3,5,1),0),NETWORKDAYS.INTL(DATE($B$3,5,10),DATE($B$3,5,10),1,'Non-working days'!$A$6:$A$45)=0),"",IF(COUNTIFS('Leave log'!$A$7:$A$306,Employees!$A$26,'Leave log'!$B$7:$B$306,"&lt;="&amp;DATE($B$3,5,10),'Leave log'!$C$7:$C$306,"&gt;="&amp;DATE($B$3,5,10),'Leave log'!$F$7:$F$306,"Approved")&gt;0,"A",""))="A","A",IF(OR(DATE($B$3,5,10)&gt;EOMONTH(DATE($B$3,5,1),0),NETWORKDAYS.INTL(DATE($B$3,5,10),DATE($B$3,5,10),1,'Non-working days'!$A$6:$A$45)=0),"",IF(COUNTIFS('Leave log'!$A$7:$A$306,Employees!$A$26,'Leave log'!$B$7:$B$306,"&lt;="&amp;DATE($B$3,5,10),'Leave log'!$C$7:$C$306,"&gt;="&amp;DATE($B$3,5,10),'Leave log'!$F$7:$F$306,"Pending")&gt;0,"P",""))))</f>
        <v/>
      </c>
      <c r="L163" s="23" t="str">
        <f>IF(A163="","",IF(IF(OR(DATE($B$3,5,11)&gt;EOMONTH(DATE($B$3,5,1),0),NETWORKDAYS.INTL(DATE($B$3,5,11),DATE($B$3,5,11),1,'Non-working days'!$A$6:$A$45)=0),"",IF(COUNTIFS('Leave log'!$A$7:$A$306,Employees!$A$26,'Leave log'!$B$7:$B$306,"&lt;="&amp;DATE($B$3,5,11),'Leave log'!$C$7:$C$306,"&gt;="&amp;DATE($B$3,5,11),'Leave log'!$F$7:$F$306,"Approved")&gt;0,"A",""))="A","A",IF(OR(DATE($B$3,5,11)&gt;EOMONTH(DATE($B$3,5,1),0),NETWORKDAYS.INTL(DATE($B$3,5,11),DATE($B$3,5,11),1,'Non-working days'!$A$6:$A$45)=0),"",IF(COUNTIFS('Leave log'!$A$7:$A$306,Employees!$A$26,'Leave log'!$B$7:$B$306,"&lt;="&amp;DATE($B$3,5,11),'Leave log'!$C$7:$C$306,"&gt;="&amp;DATE($B$3,5,11),'Leave log'!$F$7:$F$306,"Pending")&gt;0,"P",""))))</f>
        <v/>
      </c>
      <c r="M163" s="23" t="str">
        <f>IF(A163="","",IF(IF(OR(DATE($B$3,5,12)&gt;EOMONTH(DATE($B$3,5,1),0),NETWORKDAYS.INTL(DATE($B$3,5,12),DATE($B$3,5,12),1,'Non-working days'!$A$6:$A$45)=0),"",IF(COUNTIFS('Leave log'!$A$7:$A$306,Employees!$A$26,'Leave log'!$B$7:$B$306,"&lt;="&amp;DATE($B$3,5,12),'Leave log'!$C$7:$C$306,"&gt;="&amp;DATE($B$3,5,12),'Leave log'!$F$7:$F$306,"Approved")&gt;0,"A",""))="A","A",IF(OR(DATE($B$3,5,12)&gt;EOMONTH(DATE($B$3,5,1),0),NETWORKDAYS.INTL(DATE($B$3,5,12),DATE($B$3,5,12),1,'Non-working days'!$A$6:$A$45)=0),"",IF(COUNTIFS('Leave log'!$A$7:$A$306,Employees!$A$26,'Leave log'!$B$7:$B$306,"&lt;="&amp;DATE($B$3,5,12),'Leave log'!$C$7:$C$306,"&gt;="&amp;DATE($B$3,5,12),'Leave log'!$F$7:$F$306,"Pending")&gt;0,"P",""))))</f>
        <v/>
      </c>
      <c r="N163" s="23" t="str">
        <f>IF(A163="","",IF(IF(OR(DATE($B$3,5,13)&gt;EOMONTH(DATE($B$3,5,1),0),NETWORKDAYS.INTL(DATE($B$3,5,13),DATE($B$3,5,13),1,'Non-working days'!$A$6:$A$45)=0),"",IF(COUNTIFS('Leave log'!$A$7:$A$306,Employees!$A$26,'Leave log'!$B$7:$B$306,"&lt;="&amp;DATE($B$3,5,13),'Leave log'!$C$7:$C$306,"&gt;="&amp;DATE($B$3,5,13),'Leave log'!$F$7:$F$306,"Approved")&gt;0,"A",""))="A","A",IF(OR(DATE($B$3,5,13)&gt;EOMONTH(DATE($B$3,5,1),0),NETWORKDAYS.INTL(DATE($B$3,5,13),DATE($B$3,5,13),1,'Non-working days'!$A$6:$A$45)=0),"",IF(COUNTIFS('Leave log'!$A$7:$A$306,Employees!$A$26,'Leave log'!$B$7:$B$306,"&lt;="&amp;DATE($B$3,5,13),'Leave log'!$C$7:$C$306,"&gt;="&amp;DATE($B$3,5,13),'Leave log'!$F$7:$F$306,"Pending")&gt;0,"P",""))))</f>
        <v/>
      </c>
      <c r="O163" s="23" t="str">
        <f>IF(A163="","",IF(IF(OR(DATE($B$3,5,14)&gt;EOMONTH(DATE($B$3,5,1),0),NETWORKDAYS.INTL(DATE($B$3,5,14),DATE($B$3,5,14),1,'Non-working days'!$A$6:$A$45)=0),"",IF(COUNTIFS('Leave log'!$A$7:$A$306,Employees!$A$26,'Leave log'!$B$7:$B$306,"&lt;="&amp;DATE($B$3,5,14),'Leave log'!$C$7:$C$306,"&gt;="&amp;DATE($B$3,5,14),'Leave log'!$F$7:$F$306,"Approved")&gt;0,"A",""))="A","A",IF(OR(DATE($B$3,5,14)&gt;EOMONTH(DATE($B$3,5,1),0),NETWORKDAYS.INTL(DATE($B$3,5,14),DATE($B$3,5,14),1,'Non-working days'!$A$6:$A$45)=0),"",IF(COUNTIFS('Leave log'!$A$7:$A$306,Employees!$A$26,'Leave log'!$B$7:$B$306,"&lt;="&amp;DATE($B$3,5,14),'Leave log'!$C$7:$C$306,"&gt;="&amp;DATE($B$3,5,14),'Leave log'!$F$7:$F$306,"Pending")&gt;0,"P",""))))</f>
        <v/>
      </c>
      <c r="P163" s="23" t="str">
        <f>IF(A163="","",IF(IF(OR(DATE($B$3,5,15)&gt;EOMONTH(DATE($B$3,5,1),0),NETWORKDAYS.INTL(DATE($B$3,5,15),DATE($B$3,5,15),1,'Non-working days'!$A$6:$A$45)=0),"",IF(COUNTIFS('Leave log'!$A$7:$A$306,Employees!$A$26,'Leave log'!$B$7:$B$306,"&lt;="&amp;DATE($B$3,5,15),'Leave log'!$C$7:$C$306,"&gt;="&amp;DATE($B$3,5,15),'Leave log'!$F$7:$F$306,"Approved")&gt;0,"A",""))="A","A",IF(OR(DATE($B$3,5,15)&gt;EOMONTH(DATE($B$3,5,1),0),NETWORKDAYS.INTL(DATE($B$3,5,15),DATE($B$3,5,15),1,'Non-working days'!$A$6:$A$45)=0),"",IF(COUNTIFS('Leave log'!$A$7:$A$306,Employees!$A$26,'Leave log'!$B$7:$B$306,"&lt;="&amp;DATE($B$3,5,15),'Leave log'!$C$7:$C$306,"&gt;="&amp;DATE($B$3,5,15),'Leave log'!$F$7:$F$306,"Pending")&gt;0,"P",""))))</f>
        <v/>
      </c>
      <c r="Q163" s="23" t="str">
        <f>IF(A163="","",IF(IF(OR(DATE($B$3,5,16)&gt;EOMONTH(DATE($B$3,5,1),0),NETWORKDAYS.INTL(DATE($B$3,5,16),DATE($B$3,5,16),1,'Non-working days'!$A$6:$A$45)=0),"",IF(COUNTIFS('Leave log'!$A$7:$A$306,Employees!$A$26,'Leave log'!$B$7:$B$306,"&lt;="&amp;DATE($B$3,5,16),'Leave log'!$C$7:$C$306,"&gt;="&amp;DATE($B$3,5,16),'Leave log'!$F$7:$F$306,"Approved")&gt;0,"A",""))="A","A",IF(OR(DATE($B$3,5,16)&gt;EOMONTH(DATE($B$3,5,1),0),NETWORKDAYS.INTL(DATE($B$3,5,16),DATE($B$3,5,16),1,'Non-working days'!$A$6:$A$45)=0),"",IF(COUNTIFS('Leave log'!$A$7:$A$306,Employees!$A$26,'Leave log'!$B$7:$B$306,"&lt;="&amp;DATE($B$3,5,16),'Leave log'!$C$7:$C$306,"&gt;="&amp;DATE($B$3,5,16),'Leave log'!$F$7:$F$306,"Pending")&gt;0,"P",""))))</f>
        <v/>
      </c>
      <c r="R163" s="23" t="str">
        <f>IF(A163="","",IF(IF(OR(DATE($B$3,5,17)&gt;EOMONTH(DATE($B$3,5,1),0),NETWORKDAYS.INTL(DATE($B$3,5,17),DATE($B$3,5,17),1,'Non-working days'!$A$6:$A$45)=0),"",IF(COUNTIFS('Leave log'!$A$7:$A$306,Employees!$A$26,'Leave log'!$B$7:$B$306,"&lt;="&amp;DATE($B$3,5,17),'Leave log'!$C$7:$C$306,"&gt;="&amp;DATE($B$3,5,17),'Leave log'!$F$7:$F$306,"Approved")&gt;0,"A",""))="A","A",IF(OR(DATE($B$3,5,17)&gt;EOMONTH(DATE($B$3,5,1),0),NETWORKDAYS.INTL(DATE($B$3,5,17),DATE($B$3,5,17),1,'Non-working days'!$A$6:$A$45)=0),"",IF(COUNTIFS('Leave log'!$A$7:$A$306,Employees!$A$26,'Leave log'!$B$7:$B$306,"&lt;="&amp;DATE($B$3,5,17),'Leave log'!$C$7:$C$306,"&gt;="&amp;DATE($B$3,5,17),'Leave log'!$F$7:$F$306,"Pending")&gt;0,"P",""))))</f>
        <v/>
      </c>
      <c r="S163" s="23" t="str">
        <f>IF(A163="","",IF(IF(OR(DATE($B$3,5,18)&gt;EOMONTH(DATE($B$3,5,1),0),NETWORKDAYS.INTL(DATE($B$3,5,18),DATE($B$3,5,18),1,'Non-working days'!$A$6:$A$45)=0),"",IF(COUNTIFS('Leave log'!$A$7:$A$306,Employees!$A$26,'Leave log'!$B$7:$B$306,"&lt;="&amp;DATE($B$3,5,18),'Leave log'!$C$7:$C$306,"&gt;="&amp;DATE($B$3,5,18),'Leave log'!$F$7:$F$306,"Approved")&gt;0,"A",""))="A","A",IF(OR(DATE($B$3,5,18)&gt;EOMONTH(DATE($B$3,5,1),0),NETWORKDAYS.INTL(DATE($B$3,5,18),DATE($B$3,5,18),1,'Non-working days'!$A$6:$A$45)=0),"",IF(COUNTIFS('Leave log'!$A$7:$A$306,Employees!$A$26,'Leave log'!$B$7:$B$306,"&lt;="&amp;DATE($B$3,5,18),'Leave log'!$C$7:$C$306,"&gt;="&amp;DATE($B$3,5,18),'Leave log'!$F$7:$F$306,"Pending")&gt;0,"P",""))))</f>
        <v/>
      </c>
      <c r="T163" s="23" t="str">
        <f>IF(A163="","",IF(IF(OR(DATE($B$3,5,19)&gt;EOMONTH(DATE($B$3,5,1),0),NETWORKDAYS.INTL(DATE($B$3,5,19),DATE($B$3,5,19),1,'Non-working days'!$A$6:$A$45)=0),"",IF(COUNTIFS('Leave log'!$A$7:$A$306,Employees!$A$26,'Leave log'!$B$7:$B$306,"&lt;="&amp;DATE($B$3,5,19),'Leave log'!$C$7:$C$306,"&gt;="&amp;DATE($B$3,5,19),'Leave log'!$F$7:$F$306,"Approved")&gt;0,"A",""))="A","A",IF(OR(DATE($B$3,5,19)&gt;EOMONTH(DATE($B$3,5,1),0),NETWORKDAYS.INTL(DATE($B$3,5,19),DATE($B$3,5,19),1,'Non-working days'!$A$6:$A$45)=0),"",IF(COUNTIFS('Leave log'!$A$7:$A$306,Employees!$A$26,'Leave log'!$B$7:$B$306,"&lt;="&amp;DATE($B$3,5,19),'Leave log'!$C$7:$C$306,"&gt;="&amp;DATE($B$3,5,19),'Leave log'!$F$7:$F$306,"Pending")&gt;0,"P",""))))</f>
        <v/>
      </c>
      <c r="U163" s="23" t="str">
        <f>IF(A163="","",IF(IF(OR(DATE($B$3,5,20)&gt;EOMONTH(DATE($B$3,5,1),0),NETWORKDAYS.INTL(DATE($B$3,5,20),DATE($B$3,5,20),1,'Non-working days'!$A$6:$A$45)=0),"",IF(COUNTIFS('Leave log'!$A$7:$A$306,Employees!$A$26,'Leave log'!$B$7:$B$306,"&lt;="&amp;DATE($B$3,5,20),'Leave log'!$C$7:$C$306,"&gt;="&amp;DATE($B$3,5,20),'Leave log'!$F$7:$F$306,"Approved")&gt;0,"A",""))="A","A",IF(OR(DATE($B$3,5,20)&gt;EOMONTH(DATE($B$3,5,1),0),NETWORKDAYS.INTL(DATE($B$3,5,20),DATE($B$3,5,20),1,'Non-working days'!$A$6:$A$45)=0),"",IF(COUNTIFS('Leave log'!$A$7:$A$306,Employees!$A$26,'Leave log'!$B$7:$B$306,"&lt;="&amp;DATE($B$3,5,20),'Leave log'!$C$7:$C$306,"&gt;="&amp;DATE($B$3,5,20),'Leave log'!$F$7:$F$306,"Pending")&gt;0,"P",""))))</f>
        <v/>
      </c>
      <c r="V163" s="23" t="str">
        <f>IF(A163="","",IF(IF(OR(DATE($B$3,5,21)&gt;EOMONTH(DATE($B$3,5,1),0),NETWORKDAYS.INTL(DATE($B$3,5,21),DATE($B$3,5,21),1,'Non-working days'!$A$6:$A$45)=0),"",IF(COUNTIFS('Leave log'!$A$7:$A$306,Employees!$A$26,'Leave log'!$B$7:$B$306,"&lt;="&amp;DATE($B$3,5,21),'Leave log'!$C$7:$C$306,"&gt;="&amp;DATE($B$3,5,21),'Leave log'!$F$7:$F$306,"Approved")&gt;0,"A",""))="A","A",IF(OR(DATE($B$3,5,21)&gt;EOMONTH(DATE($B$3,5,1),0),NETWORKDAYS.INTL(DATE($B$3,5,21),DATE($B$3,5,21),1,'Non-working days'!$A$6:$A$45)=0),"",IF(COUNTIFS('Leave log'!$A$7:$A$306,Employees!$A$26,'Leave log'!$B$7:$B$306,"&lt;="&amp;DATE($B$3,5,21),'Leave log'!$C$7:$C$306,"&gt;="&amp;DATE($B$3,5,21),'Leave log'!$F$7:$F$306,"Pending")&gt;0,"P",""))))</f>
        <v/>
      </c>
      <c r="W163" s="23" t="str">
        <f>IF(A163="","",IF(IF(OR(DATE($B$3,5,22)&gt;EOMONTH(DATE($B$3,5,1),0),NETWORKDAYS.INTL(DATE($B$3,5,22),DATE($B$3,5,22),1,'Non-working days'!$A$6:$A$45)=0),"",IF(COUNTIFS('Leave log'!$A$7:$A$306,Employees!$A$26,'Leave log'!$B$7:$B$306,"&lt;="&amp;DATE($B$3,5,22),'Leave log'!$C$7:$C$306,"&gt;="&amp;DATE($B$3,5,22),'Leave log'!$F$7:$F$306,"Approved")&gt;0,"A",""))="A","A",IF(OR(DATE($B$3,5,22)&gt;EOMONTH(DATE($B$3,5,1),0),NETWORKDAYS.INTL(DATE($B$3,5,22),DATE($B$3,5,22),1,'Non-working days'!$A$6:$A$45)=0),"",IF(COUNTIFS('Leave log'!$A$7:$A$306,Employees!$A$26,'Leave log'!$B$7:$B$306,"&lt;="&amp;DATE($B$3,5,22),'Leave log'!$C$7:$C$306,"&gt;="&amp;DATE($B$3,5,22),'Leave log'!$F$7:$F$306,"Pending")&gt;0,"P",""))))</f>
        <v/>
      </c>
      <c r="X163" s="23" t="str">
        <f>IF(A163="","",IF(IF(OR(DATE($B$3,5,23)&gt;EOMONTH(DATE($B$3,5,1),0),NETWORKDAYS.INTL(DATE($B$3,5,23),DATE($B$3,5,23),1,'Non-working days'!$A$6:$A$45)=0),"",IF(COUNTIFS('Leave log'!$A$7:$A$306,Employees!$A$26,'Leave log'!$B$7:$B$306,"&lt;="&amp;DATE($B$3,5,23),'Leave log'!$C$7:$C$306,"&gt;="&amp;DATE($B$3,5,23),'Leave log'!$F$7:$F$306,"Approved")&gt;0,"A",""))="A","A",IF(OR(DATE($B$3,5,23)&gt;EOMONTH(DATE($B$3,5,1),0),NETWORKDAYS.INTL(DATE($B$3,5,23),DATE($B$3,5,23),1,'Non-working days'!$A$6:$A$45)=0),"",IF(COUNTIFS('Leave log'!$A$7:$A$306,Employees!$A$26,'Leave log'!$B$7:$B$306,"&lt;="&amp;DATE($B$3,5,23),'Leave log'!$C$7:$C$306,"&gt;="&amp;DATE($B$3,5,23),'Leave log'!$F$7:$F$306,"Pending")&gt;0,"P",""))))</f>
        <v/>
      </c>
      <c r="Y163" s="23" t="str">
        <f>IF(A163="","",IF(IF(OR(DATE($B$3,5,24)&gt;EOMONTH(DATE($B$3,5,1),0),NETWORKDAYS.INTL(DATE($B$3,5,24),DATE($B$3,5,24),1,'Non-working days'!$A$6:$A$45)=0),"",IF(COUNTIFS('Leave log'!$A$7:$A$306,Employees!$A$26,'Leave log'!$B$7:$B$306,"&lt;="&amp;DATE($B$3,5,24),'Leave log'!$C$7:$C$306,"&gt;="&amp;DATE($B$3,5,24),'Leave log'!$F$7:$F$306,"Approved")&gt;0,"A",""))="A","A",IF(OR(DATE($B$3,5,24)&gt;EOMONTH(DATE($B$3,5,1),0),NETWORKDAYS.INTL(DATE($B$3,5,24),DATE($B$3,5,24),1,'Non-working days'!$A$6:$A$45)=0),"",IF(COUNTIFS('Leave log'!$A$7:$A$306,Employees!$A$26,'Leave log'!$B$7:$B$306,"&lt;="&amp;DATE($B$3,5,24),'Leave log'!$C$7:$C$306,"&gt;="&amp;DATE($B$3,5,24),'Leave log'!$F$7:$F$306,"Pending")&gt;0,"P",""))))</f>
        <v/>
      </c>
      <c r="Z163" s="23" t="str">
        <f>IF(A163="","",IF(IF(OR(DATE($B$3,5,25)&gt;EOMONTH(DATE($B$3,5,1),0),NETWORKDAYS.INTL(DATE($B$3,5,25),DATE($B$3,5,25),1,'Non-working days'!$A$6:$A$45)=0),"",IF(COUNTIFS('Leave log'!$A$7:$A$306,Employees!$A$26,'Leave log'!$B$7:$B$306,"&lt;="&amp;DATE($B$3,5,25),'Leave log'!$C$7:$C$306,"&gt;="&amp;DATE($B$3,5,25),'Leave log'!$F$7:$F$306,"Approved")&gt;0,"A",""))="A","A",IF(OR(DATE($B$3,5,25)&gt;EOMONTH(DATE($B$3,5,1),0),NETWORKDAYS.INTL(DATE($B$3,5,25),DATE($B$3,5,25),1,'Non-working days'!$A$6:$A$45)=0),"",IF(COUNTIFS('Leave log'!$A$7:$A$306,Employees!$A$26,'Leave log'!$B$7:$B$306,"&lt;="&amp;DATE($B$3,5,25),'Leave log'!$C$7:$C$306,"&gt;="&amp;DATE($B$3,5,25),'Leave log'!$F$7:$F$306,"Pending")&gt;0,"P",""))))</f>
        <v/>
      </c>
      <c r="AA163" s="23" t="str">
        <f>IF(A163="","",IF(IF(OR(DATE($B$3,5,26)&gt;EOMONTH(DATE($B$3,5,1),0),NETWORKDAYS.INTL(DATE($B$3,5,26),DATE($B$3,5,26),1,'Non-working days'!$A$6:$A$45)=0),"",IF(COUNTIFS('Leave log'!$A$7:$A$306,Employees!$A$26,'Leave log'!$B$7:$B$306,"&lt;="&amp;DATE($B$3,5,26),'Leave log'!$C$7:$C$306,"&gt;="&amp;DATE($B$3,5,26),'Leave log'!$F$7:$F$306,"Approved")&gt;0,"A",""))="A","A",IF(OR(DATE($B$3,5,26)&gt;EOMONTH(DATE($B$3,5,1),0),NETWORKDAYS.INTL(DATE($B$3,5,26),DATE($B$3,5,26),1,'Non-working days'!$A$6:$A$45)=0),"",IF(COUNTIFS('Leave log'!$A$7:$A$306,Employees!$A$26,'Leave log'!$B$7:$B$306,"&lt;="&amp;DATE($B$3,5,26),'Leave log'!$C$7:$C$306,"&gt;="&amp;DATE($B$3,5,26),'Leave log'!$F$7:$F$306,"Pending")&gt;0,"P",""))))</f>
        <v/>
      </c>
      <c r="AB163" s="23" t="str">
        <f>IF(A163="","",IF(IF(OR(DATE($B$3,5,27)&gt;EOMONTH(DATE($B$3,5,1),0),NETWORKDAYS.INTL(DATE($B$3,5,27),DATE($B$3,5,27),1,'Non-working days'!$A$6:$A$45)=0),"",IF(COUNTIFS('Leave log'!$A$7:$A$306,Employees!$A$26,'Leave log'!$B$7:$B$306,"&lt;="&amp;DATE($B$3,5,27),'Leave log'!$C$7:$C$306,"&gt;="&amp;DATE($B$3,5,27),'Leave log'!$F$7:$F$306,"Approved")&gt;0,"A",""))="A","A",IF(OR(DATE($B$3,5,27)&gt;EOMONTH(DATE($B$3,5,1),0),NETWORKDAYS.INTL(DATE($B$3,5,27),DATE($B$3,5,27),1,'Non-working days'!$A$6:$A$45)=0),"",IF(COUNTIFS('Leave log'!$A$7:$A$306,Employees!$A$26,'Leave log'!$B$7:$B$306,"&lt;="&amp;DATE($B$3,5,27),'Leave log'!$C$7:$C$306,"&gt;="&amp;DATE($B$3,5,27),'Leave log'!$F$7:$F$306,"Pending")&gt;0,"P",""))))</f>
        <v/>
      </c>
      <c r="AC163" s="23" t="str">
        <f>IF(A163="","",IF(IF(OR(DATE($B$3,5,28)&gt;EOMONTH(DATE($B$3,5,1),0),NETWORKDAYS.INTL(DATE($B$3,5,28),DATE($B$3,5,28),1,'Non-working days'!$A$6:$A$45)=0),"",IF(COUNTIFS('Leave log'!$A$7:$A$306,Employees!$A$26,'Leave log'!$B$7:$B$306,"&lt;="&amp;DATE($B$3,5,28),'Leave log'!$C$7:$C$306,"&gt;="&amp;DATE($B$3,5,28),'Leave log'!$F$7:$F$306,"Approved")&gt;0,"A",""))="A","A",IF(OR(DATE($B$3,5,28)&gt;EOMONTH(DATE($B$3,5,1),0),NETWORKDAYS.INTL(DATE($B$3,5,28),DATE($B$3,5,28),1,'Non-working days'!$A$6:$A$45)=0),"",IF(COUNTIFS('Leave log'!$A$7:$A$306,Employees!$A$26,'Leave log'!$B$7:$B$306,"&lt;="&amp;DATE($B$3,5,28),'Leave log'!$C$7:$C$306,"&gt;="&amp;DATE($B$3,5,28),'Leave log'!$F$7:$F$306,"Pending")&gt;0,"P",""))))</f>
        <v/>
      </c>
      <c r="AD163" s="23" t="str">
        <f>IF(A163="","",IF(IF(OR(DATE($B$3,5,29)&gt;EOMONTH(DATE($B$3,5,1),0),NETWORKDAYS.INTL(DATE($B$3,5,29),DATE($B$3,5,29),1,'Non-working days'!$A$6:$A$45)=0),"",IF(COUNTIFS('Leave log'!$A$7:$A$306,Employees!$A$26,'Leave log'!$B$7:$B$306,"&lt;="&amp;DATE($B$3,5,29),'Leave log'!$C$7:$C$306,"&gt;="&amp;DATE($B$3,5,29),'Leave log'!$F$7:$F$306,"Approved")&gt;0,"A",""))="A","A",IF(OR(DATE($B$3,5,29)&gt;EOMONTH(DATE($B$3,5,1),0),NETWORKDAYS.INTL(DATE($B$3,5,29),DATE($B$3,5,29),1,'Non-working days'!$A$6:$A$45)=0),"",IF(COUNTIFS('Leave log'!$A$7:$A$306,Employees!$A$26,'Leave log'!$B$7:$B$306,"&lt;="&amp;DATE($B$3,5,29),'Leave log'!$C$7:$C$306,"&gt;="&amp;DATE($B$3,5,29),'Leave log'!$F$7:$F$306,"Pending")&gt;0,"P",""))))</f>
        <v/>
      </c>
      <c r="AE163" s="23" t="str">
        <f>IF(A163="","",IF(IF(OR(DATE($B$3,5,30)&gt;EOMONTH(DATE($B$3,5,1),0),NETWORKDAYS.INTL(DATE($B$3,5,30),DATE($B$3,5,30),1,'Non-working days'!$A$6:$A$45)=0),"",IF(COUNTIFS('Leave log'!$A$7:$A$306,Employees!$A$26,'Leave log'!$B$7:$B$306,"&lt;="&amp;DATE($B$3,5,30),'Leave log'!$C$7:$C$306,"&gt;="&amp;DATE($B$3,5,30),'Leave log'!$F$7:$F$306,"Approved")&gt;0,"A",""))="A","A",IF(OR(DATE($B$3,5,30)&gt;EOMONTH(DATE($B$3,5,1),0),NETWORKDAYS.INTL(DATE($B$3,5,30),DATE($B$3,5,30),1,'Non-working days'!$A$6:$A$45)=0),"",IF(COUNTIFS('Leave log'!$A$7:$A$306,Employees!$A$26,'Leave log'!$B$7:$B$306,"&lt;="&amp;DATE($B$3,5,30),'Leave log'!$C$7:$C$306,"&gt;="&amp;DATE($B$3,5,30),'Leave log'!$F$7:$F$306,"Pending")&gt;0,"P",""))))</f>
        <v/>
      </c>
      <c r="AF163" s="23" t="str">
        <f>IF(A163="","",IF(IF(OR(DATE($B$3,5,31)&gt;EOMONTH(DATE($B$3,5,1),0),NETWORKDAYS.INTL(DATE($B$3,5,31),DATE($B$3,5,31),1,'Non-working days'!$A$6:$A$45)=0),"",IF(COUNTIFS('Leave log'!$A$7:$A$306,Employees!$A$26,'Leave log'!$B$7:$B$306,"&lt;="&amp;DATE($B$3,5,31),'Leave log'!$C$7:$C$306,"&gt;="&amp;DATE($B$3,5,31),'Leave log'!$F$7:$F$306,"Approved")&gt;0,"A",""))="A","A",IF(OR(DATE($B$3,5,31)&gt;EOMONTH(DATE($B$3,5,1),0),NETWORKDAYS.INTL(DATE($B$3,5,31),DATE($B$3,5,31),1,'Non-working days'!$A$6:$A$45)=0),"",IF(COUNTIFS('Leave log'!$A$7:$A$306,Employees!$A$26,'Leave log'!$B$7:$B$306,"&lt;="&amp;DATE($B$3,5,31),'Leave log'!$C$7:$C$306,"&gt;="&amp;DATE($B$3,5,31),'Leave log'!$F$7:$F$306,"Pending")&gt;0,"P",""))))</f>
        <v/>
      </c>
    </row>
    <row r="164" spans="1:32" ht="18" customHeight="1" x14ac:dyDescent="0.3">
      <c r="A164" s="22" t="str">
        <f>IF(Employees!F27="Yes",Employees!B27,"")</f>
        <v/>
      </c>
      <c r="B164" s="23" t="str">
        <f>IF(A164="","",IF(IF(OR(DATE($B$3,5,1)&gt;EOMONTH(DATE($B$3,5,1),0),NETWORKDAYS.INTL(DATE($B$3,5,1),DATE($B$3,5,1),1,'Non-working days'!$A$6:$A$45)=0),"",IF(COUNTIFS('Leave log'!$A$7:$A$306,Employees!$A$27,'Leave log'!$B$7:$B$306,"&lt;="&amp;DATE($B$3,5,1),'Leave log'!$C$7:$C$306,"&gt;="&amp;DATE($B$3,5,1),'Leave log'!$F$7:$F$306,"Approved")&gt;0,"A",""))="A","A",IF(OR(DATE($B$3,5,1)&gt;EOMONTH(DATE($B$3,5,1),0),NETWORKDAYS.INTL(DATE($B$3,5,1),DATE($B$3,5,1),1,'Non-working days'!$A$6:$A$45)=0),"",IF(COUNTIFS('Leave log'!$A$7:$A$306,Employees!$A$27,'Leave log'!$B$7:$B$306,"&lt;="&amp;DATE($B$3,5,1),'Leave log'!$C$7:$C$306,"&gt;="&amp;DATE($B$3,5,1),'Leave log'!$F$7:$F$306,"Pending")&gt;0,"P",""))))</f>
        <v/>
      </c>
      <c r="C164" s="23" t="str">
        <f>IF(A164="","",IF(IF(OR(DATE($B$3,5,2)&gt;EOMONTH(DATE($B$3,5,1),0),NETWORKDAYS.INTL(DATE($B$3,5,2),DATE($B$3,5,2),1,'Non-working days'!$A$6:$A$45)=0),"",IF(COUNTIFS('Leave log'!$A$7:$A$306,Employees!$A$27,'Leave log'!$B$7:$B$306,"&lt;="&amp;DATE($B$3,5,2),'Leave log'!$C$7:$C$306,"&gt;="&amp;DATE($B$3,5,2),'Leave log'!$F$7:$F$306,"Approved")&gt;0,"A",""))="A","A",IF(OR(DATE($B$3,5,2)&gt;EOMONTH(DATE($B$3,5,1),0),NETWORKDAYS.INTL(DATE($B$3,5,2),DATE($B$3,5,2),1,'Non-working days'!$A$6:$A$45)=0),"",IF(COUNTIFS('Leave log'!$A$7:$A$306,Employees!$A$27,'Leave log'!$B$7:$B$306,"&lt;="&amp;DATE($B$3,5,2),'Leave log'!$C$7:$C$306,"&gt;="&amp;DATE($B$3,5,2),'Leave log'!$F$7:$F$306,"Pending")&gt;0,"P",""))))</f>
        <v/>
      </c>
      <c r="D164" s="23" t="str">
        <f>IF(A164="","",IF(IF(OR(DATE($B$3,5,3)&gt;EOMONTH(DATE($B$3,5,1),0),NETWORKDAYS.INTL(DATE($B$3,5,3),DATE($B$3,5,3),1,'Non-working days'!$A$6:$A$45)=0),"",IF(COUNTIFS('Leave log'!$A$7:$A$306,Employees!$A$27,'Leave log'!$B$7:$B$306,"&lt;="&amp;DATE($B$3,5,3),'Leave log'!$C$7:$C$306,"&gt;="&amp;DATE($B$3,5,3),'Leave log'!$F$7:$F$306,"Approved")&gt;0,"A",""))="A","A",IF(OR(DATE($B$3,5,3)&gt;EOMONTH(DATE($B$3,5,1),0),NETWORKDAYS.INTL(DATE($B$3,5,3),DATE($B$3,5,3),1,'Non-working days'!$A$6:$A$45)=0),"",IF(COUNTIFS('Leave log'!$A$7:$A$306,Employees!$A$27,'Leave log'!$B$7:$B$306,"&lt;="&amp;DATE($B$3,5,3),'Leave log'!$C$7:$C$306,"&gt;="&amp;DATE($B$3,5,3),'Leave log'!$F$7:$F$306,"Pending")&gt;0,"P",""))))</f>
        <v/>
      </c>
      <c r="E164" s="23" t="str">
        <f>IF(A164="","",IF(IF(OR(DATE($B$3,5,4)&gt;EOMONTH(DATE($B$3,5,1),0),NETWORKDAYS.INTL(DATE($B$3,5,4),DATE($B$3,5,4),1,'Non-working days'!$A$6:$A$45)=0),"",IF(COUNTIFS('Leave log'!$A$7:$A$306,Employees!$A$27,'Leave log'!$B$7:$B$306,"&lt;="&amp;DATE($B$3,5,4),'Leave log'!$C$7:$C$306,"&gt;="&amp;DATE($B$3,5,4),'Leave log'!$F$7:$F$306,"Approved")&gt;0,"A",""))="A","A",IF(OR(DATE($B$3,5,4)&gt;EOMONTH(DATE($B$3,5,1),0),NETWORKDAYS.INTL(DATE($B$3,5,4),DATE($B$3,5,4),1,'Non-working days'!$A$6:$A$45)=0),"",IF(COUNTIFS('Leave log'!$A$7:$A$306,Employees!$A$27,'Leave log'!$B$7:$B$306,"&lt;="&amp;DATE($B$3,5,4),'Leave log'!$C$7:$C$306,"&gt;="&amp;DATE($B$3,5,4),'Leave log'!$F$7:$F$306,"Pending")&gt;0,"P",""))))</f>
        <v/>
      </c>
      <c r="F164" s="23" t="str">
        <f>IF(A164="","",IF(IF(OR(DATE($B$3,5,5)&gt;EOMONTH(DATE($B$3,5,1),0),NETWORKDAYS.INTL(DATE($B$3,5,5),DATE($B$3,5,5),1,'Non-working days'!$A$6:$A$45)=0),"",IF(COUNTIFS('Leave log'!$A$7:$A$306,Employees!$A$27,'Leave log'!$B$7:$B$306,"&lt;="&amp;DATE($B$3,5,5),'Leave log'!$C$7:$C$306,"&gt;="&amp;DATE($B$3,5,5),'Leave log'!$F$7:$F$306,"Approved")&gt;0,"A",""))="A","A",IF(OR(DATE($B$3,5,5)&gt;EOMONTH(DATE($B$3,5,1),0),NETWORKDAYS.INTL(DATE($B$3,5,5),DATE($B$3,5,5),1,'Non-working days'!$A$6:$A$45)=0),"",IF(COUNTIFS('Leave log'!$A$7:$A$306,Employees!$A$27,'Leave log'!$B$7:$B$306,"&lt;="&amp;DATE($B$3,5,5),'Leave log'!$C$7:$C$306,"&gt;="&amp;DATE($B$3,5,5),'Leave log'!$F$7:$F$306,"Pending")&gt;0,"P",""))))</f>
        <v/>
      </c>
      <c r="G164" s="23" t="str">
        <f>IF(A164="","",IF(IF(OR(DATE($B$3,5,6)&gt;EOMONTH(DATE($B$3,5,1),0),NETWORKDAYS.INTL(DATE($B$3,5,6),DATE($B$3,5,6),1,'Non-working days'!$A$6:$A$45)=0),"",IF(COUNTIFS('Leave log'!$A$7:$A$306,Employees!$A$27,'Leave log'!$B$7:$B$306,"&lt;="&amp;DATE($B$3,5,6),'Leave log'!$C$7:$C$306,"&gt;="&amp;DATE($B$3,5,6),'Leave log'!$F$7:$F$306,"Approved")&gt;0,"A",""))="A","A",IF(OR(DATE($B$3,5,6)&gt;EOMONTH(DATE($B$3,5,1),0),NETWORKDAYS.INTL(DATE($B$3,5,6),DATE($B$3,5,6),1,'Non-working days'!$A$6:$A$45)=0),"",IF(COUNTIFS('Leave log'!$A$7:$A$306,Employees!$A$27,'Leave log'!$B$7:$B$306,"&lt;="&amp;DATE($B$3,5,6),'Leave log'!$C$7:$C$306,"&gt;="&amp;DATE($B$3,5,6),'Leave log'!$F$7:$F$306,"Pending")&gt;0,"P",""))))</f>
        <v/>
      </c>
      <c r="H164" s="23" t="str">
        <f>IF(A164="","",IF(IF(OR(DATE($B$3,5,7)&gt;EOMONTH(DATE($B$3,5,1),0),NETWORKDAYS.INTL(DATE($B$3,5,7),DATE($B$3,5,7),1,'Non-working days'!$A$6:$A$45)=0),"",IF(COUNTIFS('Leave log'!$A$7:$A$306,Employees!$A$27,'Leave log'!$B$7:$B$306,"&lt;="&amp;DATE($B$3,5,7),'Leave log'!$C$7:$C$306,"&gt;="&amp;DATE($B$3,5,7),'Leave log'!$F$7:$F$306,"Approved")&gt;0,"A",""))="A","A",IF(OR(DATE($B$3,5,7)&gt;EOMONTH(DATE($B$3,5,1),0),NETWORKDAYS.INTL(DATE($B$3,5,7),DATE($B$3,5,7),1,'Non-working days'!$A$6:$A$45)=0),"",IF(COUNTIFS('Leave log'!$A$7:$A$306,Employees!$A$27,'Leave log'!$B$7:$B$306,"&lt;="&amp;DATE($B$3,5,7),'Leave log'!$C$7:$C$306,"&gt;="&amp;DATE($B$3,5,7),'Leave log'!$F$7:$F$306,"Pending")&gt;0,"P",""))))</f>
        <v/>
      </c>
      <c r="I164" s="23" t="str">
        <f>IF(A164="","",IF(IF(OR(DATE($B$3,5,8)&gt;EOMONTH(DATE($B$3,5,1),0),NETWORKDAYS.INTL(DATE($B$3,5,8),DATE($B$3,5,8),1,'Non-working days'!$A$6:$A$45)=0),"",IF(COUNTIFS('Leave log'!$A$7:$A$306,Employees!$A$27,'Leave log'!$B$7:$B$306,"&lt;="&amp;DATE($B$3,5,8),'Leave log'!$C$7:$C$306,"&gt;="&amp;DATE($B$3,5,8),'Leave log'!$F$7:$F$306,"Approved")&gt;0,"A",""))="A","A",IF(OR(DATE($B$3,5,8)&gt;EOMONTH(DATE($B$3,5,1),0),NETWORKDAYS.INTL(DATE($B$3,5,8),DATE($B$3,5,8),1,'Non-working days'!$A$6:$A$45)=0),"",IF(COUNTIFS('Leave log'!$A$7:$A$306,Employees!$A$27,'Leave log'!$B$7:$B$306,"&lt;="&amp;DATE($B$3,5,8),'Leave log'!$C$7:$C$306,"&gt;="&amp;DATE($B$3,5,8),'Leave log'!$F$7:$F$306,"Pending")&gt;0,"P",""))))</f>
        <v/>
      </c>
      <c r="J164" s="23" t="str">
        <f>IF(A164="","",IF(IF(OR(DATE($B$3,5,9)&gt;EOMONTH(DATE($B$3,5,1),0),NETWORKDAYS.INTL(DATE($B$3,5,9),DATE($B$3,5,9),1,'Non-working days'!$A$6:$A$45)=0),"",IF(COUNTIFS('Leave log'!$A$7:$A$306,Employees!$A$27,'Leave log'!$B$7:$B$306,"&lt;="&amp;DATE($B$3,5,9),'Leave log'!$C$7:$C$306,"&gt;="&amp;DATE($B$3,5,9),'Leave log'!$F$7:$F$306,"Approved")&gt;0,"A",""))="A","A",IF(OR(DATE($B$3,5,9)&gt;EOMONTH(DATE($B$3,5,1),0),NETWORKDAYS.INTL(DATE($B$3,5,9),DATE($B$3,5,9),1,'Non-working days'!$A$6:$A$45)=0),"",IF(COUNTIFS('Leave log'!$A$7:$A$306,Employees!$A$27,'Leave log'!$B$7:$B$306,"&lt;="&amp;DATE($B$3,5,9),'Leave log'!$C$7:$C$306,"&gt;="&amp;DATE($B$3,5,9),'Leave log'!$F$7:$F$306,"Pending")&gt;0,"P",""))))</f>
        <v/>
      </c>
      <c r="K164" s="23" t="str">
        <f>IF(A164="","",IF(IF(OR(DATE($B$3,5,10)&gt;EOMONTH(DATE($B$3,5,1),0),NETWORKDAYS.INTL(DATE($B$3,5,10),DATE($B$3,5,10),1,'Non-working days'!$A$6:$A$45)=0),"",IF(COUNTIFS('Leave log'!$A$7:$A$306,Employees!$A$27,'Leave log'!$B$7:$B$306,"&lt;="&amp;DATE($B$3,5,10),'Leave log'!$C$7:$C$306,"&gt;="&amp;DATE($B$3,5,10),'Leave log'!$F$7:$F$306,"Approved")&gt;0,"A",""))="A","A",IF(OR(DATE($B$3,5,10)&gt;EOMONTH(DATE($B$3,5,1),0),NETWORKDAYS.INTL(DATE($B$3,5,10),DATE($B$3,5,10),1,'Non-working days'!$A$6:$A$45)=0),"",IF(COUNTIFS('Leave log'!$A$7:$A$306,Employees!$A$27,'Leave log'!$B$7:$B$306,"&lt;="&amp;DATE($B$3,5,10),'Leave log'!$C$7:$C$306,"&gt;="&amp;DATE($B$3,5,10),'Leave log'!$F$7:$F$306,"Pending")&gt;0,"P",""))))</f>
        <v/>
      </c>
      <c r="L164" s="23" t="str">
        <f>IF(A164="","",IF(IF(OR(DATE($B$3,5,11)&gt;EOMONTH(DATE($B$3,5,1),0),NETWORKDAYS.INTL(DATE($B$3,5,11),DATE($B$3,5,11),1,'Non-working days'!$A$6:$A$45)=0),"",IF(COUNTIFS('Leave log'!$A$7:$A$306,Employees!$A$27,'Leave log'!$B$7:$B$306,"&lt;="&amp;DATE($B$3,5,11),'Leave log'!$C$7:$C$306,"&gt;="&amp;DATE($B$3,5,11),'Leave log'!$F$7:$F$306,"Approved")&gt;0,"A",""))="A","A",IF(OR(DATE($B$3,5,11)&gt;EOMONTH(DATE($B$3,5,1),0),NETWORKDAYS.INTL(DATE($B$3,5,11),DATE($B$3,5,11),1,'Non-working days'!$A$6:$A$45)=0),"",IF(COUNTIFS('Leave log'!$A$7:$A$306,Employees!$A$27,'Leave log'!$B$7:$B$306,"&lt;="&amp;DATE($B$3,5,11),'Leave log'!$C$7:$C$306,"&gt;="&amp;DATE($B$3,5,11),'Leave log'!$F$7:$F$306,"Pending")&gt;0,"P",""))))</f>
        <v/>
      </c>
      <c r="M164" s="23" t="str">
        <f>IF(A164="","",IF(IF(OR(DATE($B$3,5,12)&gt;EOMONTH(DATE($B$3,5,1),0),NETWORKDAYS.INTL(DATE($B$3,5,12),DATE($B$3,5,12),1,'Non-working days'!$A$6:$A$45)=0),"",IF(COUNTIFS('Leave log'!$A$7:$A$306,Employees!$A$27,'Leave log'!$B$7:$B$306,"&lt;="&amp;DATE($B$3,5,12),'Leave log'!$C$7:$C$306,"&gt;="&amp;DATE($B$3,5,12),'Leave log'!$F$7:$F$306,"Approved")&gt;0,"A",""))="A","A",IF(OR(DATE($B$3,5,12)&gt;EOMONTH(DATE($B$3,5,1),0),NETWORKDAYS.INTL(DATE($B$3,5,12),DATE($B$3,5,12),1,'Non-working days'!$A$6:$A$45)=0),"",IF(COUNTIFS('Leave log'!$A$7:$A$306,Employees!$A$27,'Leave log'!$B$7:$B$306,"&lt;="&amp;DATE($B$3,5,12),'Leave log'!$C$7:$C$306,"&gt;="&amp;DATE($B$3,5,12),'Leave log'!$F$7:$F$306,"Pending")&gt;0,"P",""))))</f>
        <v/>
      </c>
      <c r="N164" s="23" t="str">
        <f>IF(A164="","",IF(IF(OR(DATE($B$3,5,13)&gt;EOMONTH(DATE($B$3,5,1),0),NETWORKDAYS.INTL(DATE($B$3,5,13),DATE($B$3,5,13),1,'Non-working days'!$A$6:$A$45)=0),"",IF(COUNTIFS('Leave log'!$A$7:$A$306,Employees!$A$27,'Leave log'!$B$7:$B$306,"&lt;="&amp;DATE($B$3,5,13),'Leave log'!$C$7:$C$306,"&gt;="&amp;DATE($B$3,5,13),'Leave log'!$F$7:$F$306,"Approved")&gt;0,"A",""))="A","A",IF(OR(DATE($B$3,5,13)&gt;EOMONTH(DATE($B$3,5,1),0),NETWORKDAYS.INTL(DATE($B$3,5,13),DATE($B$3,5,13),1,'Non-working days'!$A$6:$A$45)=0),"",IF(COUNTIFS('Leave log'!$A$7:$A$306,Employees!$A$27,'Leave log'!$B$7:$B$306,"&lt;="&amp;DATE($B$3,5,13),'Leave log'!$C$7:$C$306,"&gt;="&amp;DATE($B$3,5,13),'Leave log'!$F$7:$F$306,"Pending")&gt;0,"P",""))))</f>
        <v/>
      </c>
      <c r="O164" s="23" t="str">
        <f>IF(A164="","",IF(IF(OR(DATE($B$3,5,14)&gt;EOMONTH(DATE($B$3,5,1),0),NETWORKDAYS.INTL(DATE($B$3,5,14),DATE($B$3,5,14),1,'Non-working days'!$A$6:$A$45)=0),"",IF(COUNTIFS('Leave log'!$A$7:$A$306,Employees!$A$27,'Leave log'!$B$7:$B$306,"&lt;="&amp;DATE($B$3,5,14),'Leave log'!$C$7:$C$306,"&gt;="&amp;DATE($B$3,5,14),'Leave log'!$F$7:$F$306,"Approved")&gt;0,"A",""))="A","A",IF(OR(DATE($B$3,5,14)&gt;EOMONTH(DATE($B$3,5,1),0),NETWORKDAYS.INTL(DATE($B$3,5,14),DATE($B$3,5,14),1,'Non-working days'!$A$6:$A$45)=0),"",IF(COUNTIFS('Leave log'!$A$7:$A$306,Employees!$A$27,'Leave log'!$B$7:$B$306,"&lt;="&amp;DATE($B$3,5,14),'Leave log'!$C$7:$C$306,"&gt;="&amp;DATE($B$3,5,14),'Leave log'!$F$7:$F$306,"Pending")&gt;0,"P",""))))</f>
        <v/>
      </c>
      <c r="P164" s="23" t="str">
        <f>IF(A164="","",IF(IF(OR(DATE($B$3,5,15)&gt;EOMONTH(DATE($B$3,5,1),0),NETWORKDAYS.INTL(DATE($B$3,5,15),DATE($B$3,5,15),1,'Non-working days'!$A$6:$A$45)=0),"",IF(COUNTIFS('Leave log'!$A$7:$A$306,Employees!$A$27,'Leave log'!$B$7:$B$306,"&lt;="&amp;DATE($B$3,5,15),'Leave log'!$C$7:$C$306,"&gt;="&amp;DATE($B$3,5,15),'Leave log'!$F$7:$F$306,"Approved")&gt;0,"A",""))="A","A",IF(OR(DATE($B$3,5,15)&gt;EOMONTH(DATE($B$3,5,1),0),NETWORKDAYS.INTL(DATE($B$3,5,15),DATE($B$3,5,15),1,'Non-working days'!$A$6:$A$45)=0),"",IF(COUNTIFS('Leave log'!$A$7:$A$306,Employees!$A$27,'Leave log'!$B$7:$B$306,"&lt;="&amp;DATE($B$3,5,15),'Leave log'!$C$7:$C$306,"&gt;="&amp;DATE($B$3,5,15),'Leave log'!$F$7:$F$306,"Pending")&gt;0,"P",""))))</f>
        <v/>
      </c>
      <c r="Q164" s="23" t="str">
        <f>IF(A164="","",IF(IF(OR(DATE($B$3,5,16)&gt;EOMONTH(DATE($B$3,5,1),0),NETWORKDAYS.INTL(DATE($B$3,5,16),DATE($B$3,5,16),1,'Non-working days'!$A$6:$A$45)=0),"",IF(COUNTIFS('Leave log'!$A$7:$A$306,Employees!$A$27,'Leave log'!$B$7:$B$306,"&lt;="&amp;DATE($B$3,5,16),'Leave log'!$C$7:$C$306,"&gt;="&amp;DATE($B$3,5,16),'Leave log'!$F$7:$F$306,"Approved")&gt;0,"A",""))="A","A",IF(OR(DATE($B$3,5,16)&gt;EOMONTH(DATE($B$3,5,1),0),NETWORKDAYS.INTL(DATE($B$3,5,16),DATE($B$3,5,16),1,'Non-working days'!$A$6:$A$45)=0),"",IF(COUNTIFS('Leave log'!$A$7:$A$306,Employees!$A$27,'Leave log'!$B$7:$B$306,"&lt;="&amp;DATE($B$3,5,16),'Leave log'!$C$7:$C$306,"&gt;="&amp;DATE($B$3,5,16),'Leave log'!$F$7:$F$306,"Pending")&gt;0,"P",""))))</f>
        <v/>
      </c>
      <c r="R164" s="23" t="str">
        <f>IF(A164="","",IF(IF(OR(DATE($B$3,5,17)&gt;EOMONTH(DATE($B$3,5,1),0),NETWORKDAYS.INTL(DATE($B$3,5,17),DATE($B$3,5,17),1,'Non-working days'!$A$6:$A$45)=0),"",IF(COUNTIFS('Leave log'!$A$7:$A$306,Employees!$A$27,'Leave log'!$B$7:$B$306,"&lt;="&amp;DATE($B$3,5,17),'Leave log'!$C$7:$C$306,"&gt;="&amp;DATE($B$3,5,17),'Leave log'!$F$7:$F$306,"Approved")&gt;0,"A",""))="A","A",IF(OR(DATE($B$3,5,17)&gt;EOMONTH(DATE($B$3,5,1),0),NETWORKDAYS.INTL(DATE($B$3,5,17),DATE($B$3,5,17),1,'Non-working days'!$A$6:$A$45)=0),"",IF(COUNTIFS('Leave log'!$A$7:$A$306,Employees!$A$27,'Leave log'!$B$7:$B$306,"&lt;="&amp;DATE($B$3,5,17),'Leave log'!$C$7:$C$306,"&gt;="&amp;DATE($B$3,5,17),'Leave log'!$F$7:$F$306,"Pending")&gt;0,"P",""))))</f>
        <v/>
      </c>
      <c r="S164" s="23" t="str">
        <f>IF(A164="","",IF(IF(OR(DATE($B$3,5,18)&gt;EOMONTH(DATE($B$3,5,1),0),NETWORKDAYS.INTL(DATE($B$3,5,18),DATE($B$3,5,18),1,'Non-working days'!$A$6:$A$45)=0),"",IF(COUNTIFS('Leave log'!$A$7:$A$306,Employees!$A$27,'Leave log'!$B$7:$B$306,"&lt;="&amp;DATE($B$3,5,18),'Leave log'!$C$7:$C$306,"&gt;="&amp;DATE($B$3,5,18),'Leave log'!$F$7:$F$306,"Approved")&gt;0,"A",""))="A","A",IF(OR(DATE($B$3,5,18)&gt;EOMONTH(DATE($B$3,5,1),0),NETWORKDAYS.INTL(DATE($B$3,5,18),DATE($B$3,5,18),1,'Non-working days'!$A$6:$A$45)=0),"",IF(COUNTIFS('Leave log'!$A$7:$A$306,Employees!$A$27,'Leave log'!$B$7:$B$306,"&lt;="&amp;DATE($B$3,5,18),'Leave log'!$C$7:$C$306,"&gt;="&amp;DATE($B$3,5,18),'Leave log'!$F$7:$F$306,"Pending")&gt;0,"P",""))))</f>
        <v/>
      </c>
      <c r="T164" s="23" t="str">
        <f>IF(A164="","",IF(IF(OR(DATE($B$3,5,19)&gt;EOMONTH(DATE($B$3,5,1),0),NETWORKDAYS.INTL(DATE($B$3,5,19),DATE($B$3,5,19),1,'Non-working days'!$A$6:$A$45)=0),"",IF(COUNTIFS('Leave log'!$A$7:$A$306,Employees!$A$27,'Leave log'!$B$7:$B$306,"&lt;="&amp;DATE($B$3,5,19),'Leave log'!$C$7:$C$306,"&gt;="&amp;DATE($B$3,5,19),'Leave log'!$F$7:$F$306,"Approved")&gt;0,"A",""))="A","A",IF(OR(DATE($B$3,5,19)&gt;EOMONTH(DATE($B$3,5,1),0),NETWORKDAYS.INTL(DATE($B$3,5,19),DATE($B$3,5,19),1,'Non-working days'!$A$6:$A$45)=0),"",IF(COUNTIFS('Leave log'!$A$7:$A$306,Employees!$A$27,'Leave log'!$B$7:$B$306,"&lt;="&amp;DATE($B$3,5,19),'Leave log'!$C$7:$C$306,"&gt;="&amp;DATE($B$3,5,19),'Leave log'!$F$7:$F$306,"Pending")&gt;0,"P",""))))</f>
        <v/>
      </c>
      <c r="U164" s="23" t="str">
        <f>IF(A164="","",IF(IF(OR(DATE($B$3,5,20)&gt;EOMONTH(DATE($B$3,5,1),0),NETWORKDAYS.INTL(DATE($B$3,5,20),DATE($B$3,5,20),1,'Non-working days'!$A$6:$A$45)=0),"",IF(COUNTIFS('Leave log'!$A$7:$A$306,Employees!$A$27,'Leave log'!$B$7:$B$306,"&lt;="&amp;DATE($B$3,5,20),'Leave log'!$C$7:$C$306,"&gt;="&amp;DATE($B$3,5,20),'Leave log'!$F$7:$F$306,"Approved")&gt;0,"A",""))="A","A",IF(OR(DATE($B$3,5,20)&gt;EOMONTH(DATE($B$3,5,1),0),NETWORKDAYS.INTL(DATE($B$3,5,20),DATE($B$3,5,20),1,'Non-working days'!$A$6:$A$45)=0),"",IF(COUNTIFS('Leave log'!$A$7:$A$306,Employees!$A$27,'Leave log'!$B$7:$B$306,"&lt;="&amp;DATE($B$3,5,20),'Leave log'!$C$7:$C$306,"&gt;="&amp;DATE($B$3,5,20),'Leave log'!$F$7:$F$306,"Pending")&gt;0,"P",""))))</f>
        <v/>
      </c>
      <c r="V164" s="23" t="str">
        <f>IF(A164="","",IF(IF(OR(DATE($B$3,5,21)&gt;EOMONTH(DATE($B$3,5,1),0),NETWORKDAYS.INTL(DATE($B$3,5,21),DATE($B$3,5,21),1,'Non-working days'!$A$6:$A$45)=0),"",IF(COUNTIFS('Leave log'!$A$7:$A$306,Employees!$A$27,'Leave log'!$B$7:$B$306,"&lt;="&amp;DATE($B$3,5,21),'Leave log'!$C$7:$C$306,"&gt;="&amp;DATE($B$3,5,21),'Leave log'!$F$7:$F$306,"Approved")&gt;0,"A",""))="A","A",IF(OR(DATE($B$3,5,21)&gt;EOMONTH(DATE($B$3,5,1),0),NETWORKDAYS.INTL(DATE($B$3,5,21),DATE($B$3,5,21),1,'Non-working days'!$A$6:$A$45)=0),"",IF(COUNTIFS('Leave log'!$A$7:$A$306,Employees!$A$27,'Leave log'!$B$7:$B$306,"&lt;="&amp;DATE($B$3,5,21),'Leave log'!$C$7:$C$306,"&gt;="&amp;DATE($B$3,5,21),'Leave log'!$F$7:$F$306,"Pending")&gt;0,"P",""))))</f>
        <v/>
      </c>
      <c r="W164" s="23" t="str">
        <f>IF(A164="","",IF(IF(OR(DATE($B$3,5,22)&gt;EOMONTH(DATE($B$3,5,1),0),NETWORKDAYS.INTL(DATE($B$3,5,22),DATE($B$3,5,22),1,'Non-working days'!$A$6:$A$45)=0),"",IF(COUNTIFS('Leave log'!$A$7:$A$306,Employees!$A$27,'Leave log'!$B$7:$B$306,"&lt;="&amp;DATE($B$3,5,22),'Leave log'!$C$7:$C$306,"&gt;="&amp;DATE($B$3,5,22),'Leave log'!$F$7:$F$306,"Approved")&gt;0,"A",""))="A","A",IF(OR(DATE($B$3,5,22)&gt;EOMONTH(DATE($B$3,5,1),0),NETWORKDAYS.INTL(DATE($B$3,5,22),DATE($B$3,5,22),1,'Non-working days'!$A$6:$A$45)=0),"",IF(COUNTIFS('Leave log'!$A$7:$A$306,Employees!$A$27,'Leave log'!$B$7:$B$306,"&lt;="&amp;DATE($B$3,5,22),'Leave log'!$C$7:$C$306,"&gt;="&amp;DATE($B$3,5,22),'Leave log'!$F$7:$F$306,"Pending")&gt;0,"P",""))))</f>
        <v/>
      </c>
      <c r="X164" s="23" t="str">
        <f>IF(A164="","",IF(IF(OR(DATE($B$3,5,23)&gt;EOMONTH(DATE($B$3,5,1),0),NETWORKDAYS.INTL(DATE($B$3,5,23),DATE($B$3,5,23),1,'Non-working days'!$A$6:$A$45)=0),"",IF(COUNTIFS('Leave log'!$A$7:$A$306,Employees!$A$27,'Leave log'!$B$7:$B$306,"&lt;="&amp;DATE($B$3,5,23),'Leave log'!$C$7:$C$306,"&gt;="&amp;DATE($B$3,5,23),'Leave log'!$F$7:$F$306,"Approved")&gt;0,"A",""))="A","A",IF(OR(DATE($B$3,5,23)&gt;EOMONTH(DATE($B$3,5,1),0),NETWORKDAYS.INTL(DATE($B$3,5,23),DATE($B$3,5,23),1,'Non-working days'!$A$6:$A$45)=0),"",IF(COUNTIFS('Leave log'!$A$7:$A$306,Employees!$A$27,'Leave log'!$B$7:$B$306,"&lt;="&amp;DATE($B$3,5,23),'Leave log'!$C$7:$C$306,"&gt;="&amp;DATE($B$3,5,23),'Leave log'!$F$7:$F$306,"Pending")&gt;0,"P",""))))</f>
        <v/>
      </c>
      <c r="Y164" s="23" t="str">
        <f>IF(A164="","",IF(IF(OR(DATE($B$3,5,24)&gt;EOMONTH(DATE($B$3,5,1),0),NETWORKDAYS.INTL(DATE($B$3,5,24),DATE($B$3,5,24),1,'Non-working days'!$A$6:$A$45)=0),"",IF(COUNTIFS('Leave log'!$A$7:$A$306,Employees!$A$27,'Leave log'!$B$7:$B$306,"&lt;="&amp;DATE($B$3,5,24),'Leave log'!$C$7:$C$306,"&gt;="&amp;DATE($B$3,5,24),'Leave log'!$F$7:$F$306,"Approved")&gt;0,"A",""))="A","A",IF(OR(DATE($B$3,5,24)&gt;EOMONTH(DATE($B$3,5,1),0),NETWORKDAYS.INTL(DATE($B$3,5,24),DATE($B$3,5,24),1,'Non-working days'!$A$6:$A$45)=0),"",IF(COUNTIFS('Leave log'!$A$7:$A$306,Employees!$A$27,'Leave log'!$B$7:$B$306,"&lt;="&amp;DATE($B$3,5,24),'Leave log'!$C$7:$C$306,"&gt;="&amp;DATE($B$3,5,24),'Leave log'!$F$7:$F$306,"Pending")&gt;0,"P",""))))</f>
        <v/>
      </c>
      <c r="Z164" s="23" t="str">
        <f>IF(A164="","",IF(IF(OR(DATE($B$3,5,25)&gt;EOMONTH(DATE($B$3,5,1),0),NETWORKDAYS.INTL(DATE($B$3,5,25),DATE($B$3,5,25),1,'Non-working days'!$A$6:$A$45)=0),"",IF(COUNTIFS('Leave log'!$A$7:$A$306,Employees!$A$27,'Leave log'!$B$7:$B$306,"&lt;="&amp;DATE($B$3,5,25),'Leave log'!$C$7:$C$306,"&gt;="&amp;DATE($B$3,5,25),'Leave log'!$F$7:$F$306,"Approved")&gt;0,"A",""))="A","A",IF(OR(DATE($B$3,5,25)&gt;EOMONTH(DATE($B$3,5,1),0),NETWORKDAYS.INTL(DATE($B$3,5,25),DATE($B$3,5,25),1,'Non-working days'!$A$6:$A$45)=0),"",IF(COUNTIFS('Leave log'!$A$7:$A$306,Employees!$A$27,'Leave log'!$B$7:$B$306,"&lt;="&amp;DATE($B$3,5,25),'Leave log'!$C$7:$C$306,"&gt;="&amp;DATE($B$3,5,25),'Leave log'!$F$7:$F$306,"Pending")&gt;0,"P",""))))</f>
        <v/>
      </c>
      <c r="AA164" s="23" t="str">
        <f>IF(A164="","",IF(IF(OR(DATE($B$3,5,26)&gt;EOMONTH(DATE($B$3,5,1),0),NETWORKDAYS.INTL(DATE($B$3,5,26),DATE($B$3,5,26),1,'Non-working days'!$A$6:$A$45)=0),"",IF(COUNTIFS('Leave log'!$A$7:$A$306,Employees!$A$27,'Leave log'!$B$7:$B$306,"&lt;="&amp;DATE($B$3,5,26),'Leave log'!$C$7:$C$306,"&gt;="&amp;DATE($B$3,5,26),'Leave log'!$F$7:$F$306,"Approved")&gt;0,"A",""))="A","A",IF(OR(DATE($B$3,5,26)&gt;EOMONTH(DATE($B$3,5,1),0),NETWORKDAYS.INTL(DATE($B$3,5,26),DATE($B$3,5,26),1,'Non-working days'!$A$6:$A$45)=0),"",IF(COUNTIFS('Leave log'!$A$7:$A$306,Employees!$A$27,'Leave log'!$B$7:$B$306,"&lt;="&amp;DATE($B$3,5,26),'Leave log'!$C$7:$C$306,"&gt;="&amp;DATE($B$3,5,26),'Leave log'!$F$7:$F$306,"Pending")&gt;0,"P",""))))</f>
        <v/>
      </c>
      <c r="AB164" s="23" t="str">
        <f>IF(A164="","",IF(IF(OR(DATE($B$3,5,27)&gt;EOMONTH(DATE($B$3,5,1),0),NETWORKDAYS.INTL(DATE($B$3,5,27),DATE($B$3,5,27),1,'Non-working days'!$A$6:$A$45)=0),"",IF(COUNTIFS('Leave log'!$A$7:$A$306,Employees!$A$27,'Leave log'!$B$7:$B$306,"&lt;="&amp;DATE($B$3,5,27),'Leave log'!$C$7:$C$306,"&gt;="&amp;DATE($B$3,5,27),'Leave log'!$F$7:$F$306,"Approved")&gt;0,"A",""))="A","A",IF(OR(DATE($B$3,5,27)&gt;EOMONTH(DATE($B$3,5,1),0),NETWORKDAYS.INTL(DATE($B$3,5,27),DATE($B$3,5,27),1,'Non-working days'!$A$6:$A$45)=0),"",IF(COUNTIFS('Leave log'!$A$7:$A$306,Employees!$A$27,'Leave log'!$B$7:$B$306,"&lt;="&amp;DATE($B$3,5,27),'Leave log'!$C$7:$C$306,"&gt;="&amp;DATE($B$3,5,27),'Leave log'!$F$7:$F$306,"Pending")&gt;0,"P",""))))</f>
        <v/>
      </c>
      <c r="AC164" s="23" t="str">
        <f>IF(A164="","",IF(IF(OR(DATE($B$3,5,28)&gt;EOMONTH(DATE($B$3,5,1),0),NETWORKDAYS.INTL(DATE($B$3,5,28),DATE($B$3,5,28),1,'Non-working days'!$A$6:$A$45)=0),"",IF(COUNTIFS('Leave log'!$A$7:$A$306,Employees!$A$27,'Leave log'!$B$7:$B$306,"&lt;="&amp;DATE($B$3,5,28),'Leave log'!$C$7:$C$306,"&gt;="&amp;DATE($B$3,5,28),'Leave log'!$F$7:$F$306,"Approved")&gt;0,"A",""))="A","A",IF(OR(DATE($B$3,5,28)&gt;EOMONTH(DATE($B$3,5,1),0),NETWORKDAYS.INTL(DATE($B$3,5,28),DATE($B$3,5,28),1,'Non-working days'!$A$6:$A$45)=0),"",IF(COUNTIFS('Leave log'!$A$7:$A$306,Employees!$A$27,'Leave log'!$B$7:$B$306,"&lt;="&amp;DATE($B$3,5,28),'Leave log'!$C$7:$C$306,"&gt;="&amp;DATE($B$3,5,28),'Leave log'!$F$7:$F$306,"Pending")&gt;0,"P",""))))</f>
        <v/>
      </c>
      <c r="AD164" s="23" t="str">
        <f>IF(A164="","",IF(IF(OR(DATE($B$3,5,29)&gt;EOMONTH(DATE($B$3,5,1),0),NETWORKDAYS.INTL(DATE($B$3,5,29),DATE($B$3,5,29),1,'Non-working days'!$A$6:$A$45)=0),"",IF(COUNTIFS('Leave log'!$A$7:$A$306,Employees!$A$27,'Leave log'!$B$7:$B$306,"&lt;="&amp;DATE($B$3,5,29),'Leave log'!$C$7:$C$306,"&gt;="&amp;DATE($B$3,5,29),'Leave log'!$F$7:$F$306,"Approved")&gt;0,"A",""))="A","A",IF(OR(DATE($B$3,5,29)&gt;EOMONTH(DATE($B$3,5,1),0),NETWORKDAYS.INTL(DATE($B$3,5,29),DATE($B$3,5,29),1,'Non-working days'!$A$6:$A$45)=0),"",IF(COUNTIFS('Leave log'!$A$7:$A$306,Employees!$A$27,'Leave log'!$B$7:$B$306,"&lt;="&amp;DATE($B$3,5,29),'Leave log'!$C$7:$C$306,"&gt;="&amp;DATE($B$3,5,29),'Leave log'!$F$7:$F$306,"Pending")&gt;0,"P",""))))</f>
        <v/>
      </c>
      <c r="AE164" s="23" t="str">
        <f>IF(A164="","",IF(IF(OR(DATE($B$3,5,30)&gt;EOMONTH(DATE($B$3,5,1),0),NETWORKDAYS.INTL(DATE($B$3,5,30),DATE($B$3,5,30),1,'Non-working days'!$A$6:$A$45)=0),"",IF(COUNTIFS('Leave log'!$A$7:$A$306,Employees!$A$27,'Leave log'!$B$7:$B$306,"&lt;="&amp;DATE($B$3,5,30),'Leave log'!$C$7:$C$306,"&gt;="&amp;DATE($B$3,5,30),'Leave log'!$F$7:$F$306,"Approved")&gt;0,"A",""))="A","A",IF(OR(DATE($B$3,5,30)&gt;EOMONTH(DATE($B$3,5,1),0),NETWORKDAYS.INTL(DATE($B$3,5,30),DATE($B$3,5,30),1,'Non-working days'!$A$6:$A$45)=0),"",IF(COUNTIFS('Leave log'!$A$7:$A$306,Employees!$A$27,'Leave log'!$B$7:$B$306,"&lt;="&amp;DATE($B$3,5,30),'Leave log'!$C$7:$C$306,"&gt;="&amp;DATE($B$3,5,30),'Leave log'!$F$7:$F$306,"Pending")&gt;0,"P",""))))</f>
        <v/>
      </c>
      <c r="AF164" s="23" t="str">
        <f>IF(A164="","",IF(IF(OR(DATE($B$3,5,31)&gt;EOMONTH(DATE($B$3,5,1),0),NETWORKDAYS.INTL(DATE($B$3,5,31),DATE($B$3,5,31),1,'Non-working days'!$A$6:$A$45)=0),"",IF(COUNTIFS('Leave log'!$A$7:$A$306,Employees!$A$27,'Leave log'!$B$7:$B$306,"&lt;="&amp;DATE($B$3,5,31),'Leave log'!$C$7:$C$306,"&gt;="&amp;DATE($B$3,5,31),'Leave log'!$F$7:$F$306,"Approved")&gt;0,"A",""))="A","A",IF(OR(DATE($B$3,5,31)&gt;EOMONTH(DATE($B$3,5,1),0),NETWORKDAYS.INTL(DATE($B$3,5,31),DATE($B$3,5,31),1,'Non-working days'!$A$6:$A$45)=0),"",IF(COUNTIFS('Leave log'!$A$7:$A$306,Employees!$A$27,'Leave log'!$B$7:$B$306,"&lt;="&amp;DATE($B$3,5,31),'Leave log'!$C$7:$C$306,"&gt;="&amp;DATE($B$3,5,31),'Leave log'!$F$7:$F$306,"Pending")&gt;0,"P",""))))</f>
        <v/>
      </c>
    </row>
    <row r="165" spans="1:32" ht="18" customHeight="1" x14ac:dyDescent="0.3">
      <c r="A165" s="22" t="str">
        <f>IF(Employees!F28="Yes",Employees!B28,"")</f>
        <v/>
      </c>
      <c r="B165" s="23" t="str">
        <f>IF(A165="","",IF(IF(OR(DATE($B$3,5,1)&gt;EOMONTH(DATE($B$3,5,1),0),NETWORKDAYS.INTL(DATE($B$3,5,1),DATE($B$3,5,1),1,'Non-working days'!$A$6:$A$45)=0),"",IF(COUNTIFS('Leave log'!$A$7:$A$306,Employees!$A$28,'Leave log'!$B$7:$B$306,"&lt;="&amp;DATE($B$3,5,1),'Leave log'!$C$7:$C$306,"&gt;="&amp;DATE($B$3,5,1),'Leave log'!$F$7:$F$306,"Approved")&gt;0,"A",""))="A","A",IF(OR(DATE($B$3,5,1)&gt;EOMONTH(DATE($B$3,5,1),0),NETWORKDAYS.INTL(DATE($B$3,5,1),DATE($B$3,5,1),1,'Non-working days'!$A$6:$A$45)=0),"",IF(COUNTIFS('Leave log'!$A$7:$A$306,Employees!$A$28,'Leave log'!$B$7:$B$306,"&lt;="&amp;DATE($B$3,5,1),'Leave log'!$C$7:$C$306,"&gt;="&amp;DATE($B$3,5,1),'Leave log'!$F$7:$F$306,"Pending")&gt;0,"P",""))))</f>
        <v/>
      </c>
      <c r="C165" s="23" t="str">
        <f>IF(A165="","",IF(IF(OR(DATE($B$3,5,2)&gt;EOMONTH(DATE($B$3,5,1),0),NETWORKDAYS.INTL(DATE($B$3,5,2),DATE($B$3,5,2),1,'Non-working days'!$A$6:$A$45)=0),"",IF(COUNTIFS('Leave log'!$A$7:$A$306,Employees!$A$28,'Leave log'!$B$7:$B$306,"&lt;="&amp;DATE($B$3,5,2),'Leave log'!$C$7:$C$306,"&gt;="&amp;DATE($B$3,5,2),'Leave log'!$F$7:$F$306,"Approved")&gt;0,"A",""))="A","A",IF(OR(DATE($B$3,5,2)&gt;EOMONTH(DATE($B$3,5,1),0),NETWORKDAYS.INTL(DATE($B$3,5,2),DATE($B$3,5,2),1,'Non-working days'!$A$6:$A$45)=0),"",IF(COUNTIFS('Leave log'!$A$7:$A$306,Employees!$A$28,'Leave log'!$B$7:$B$306,"&lt;="&amp;DATE($B$3,5,2),'Leave log'!$C$7:$C$306,"&gt;="&amp;DATE($B$3,5,2),'Leave log'!$F$7:$F$306,"Pending")&gt;0,"P",""))))</f>
        <v/>
      </c>
      <c r="D165" s="23" t="str">
        <f>IF(A165="","",IF(IF(OR(DATE($B$3,5,3)&gt;EOMONTH(DATE($B$3,5,1),0),NETWORKDAYS.INTL(DATE($B$3,5,3),DATE($B$3,5,3),1,'Non-working days'!$A$6:$A$45)=0),"",IF(COUNTIFS('Leave log'!$A$7:$A$306,Employees!$A$28,'Leave log'!$B$7:$B$306,"&lt;="&amp;DATE($B$3,5,3),'Leave log'!$C$7:$C$306,"&gt;="&amp;DATE($B$3,5,3),'Leave log'!$F$7:$F$306,"Approved")&gt;0,"A",""))="A","A",IF(OR(DATE($B$3,5,3)&gt;EOMONTH(DATE($B$3,5,1),0),NETWORKDAYS.INTL(DATE($B$3,5,3),DATE($B$3,5,3),1,'Non-working days'!$A$6:$A$45)=0),"",IF(COUNTIFS('Leave log'!$A$7:$A$306,Employees!$A$28,'Leave log'!$B$7:$B$306,"&lt;="&amp;DATE($B$3,5,3),'Leave log'!$C$7:$C$306,"&gt;="&amp;DATE($B$3,5,3),'Leave log'!$F$7:$F$306,"Pending")&gt;0,"P",""))))</f>
        <v/>
      </c>
      <c r="E165" s="23" t="str">
        <f>IF(A165="","",IF(IF(OR(DATE($B$3,5,4)&gt;EOMONTH(DATE($B$3,5,1),0),NETWORKDAYS.INTL(DATE($B$3,5,4),DATE($B$3,5,4),1,'Non-working days'!$A$6:$A$45)=0),"",IF(COUNTIFS('Leave log'!$A$7:$A$306,Employees!$A$28,'Leave log'!$B$7:$B$306,"&lt;="&amp;DATE($B$3,5,4),'Leave log'!$C$7:$C$306,"&gt;="&amp;DATE($B$3,5,4),'Leave log'!$F$7:$F$306,"Approved")&gt;0,"A",""))="A","A",IF(OR(DATE($B$3,5,4)&gt;EOMONTH(DATE($B$3,5,1),0),NETWORKDAYS.INTL(DATE($B$3,5,4),DATE($B$3,5,4),1,'Non-working days'!$A$6:$A$45)=0),"",IF(COUNTIFS('Leave log'!$A$7:$A$306,Employees!$A$28,'Leave log'!$B$7:$B$306,"&lt;="&amp;DATE($B$3,5,4),'Leave log'!$C$7:$C$306,"&gt;="&amp;DATE($B$3,5,4),'Leave log'!$F$7:$F$306,"Pending")&gt;0,"P",""))))</f>
        <v/>
      </c>
      <c r="F165" s="23" t="str">
        <f>IF(A165="","",IF(IF(OR(DATE($B$3,5,5)&gt;EOMONTH(DATE($B$3,5,1),0),NETWORKDAYS.INTL(DATE($B$3,5,5),DATE($B$3,5,5),1,'Non-working days'!$A$6:$A$45)=0),"",IF(COUNTIFS('Leave log'!$A$7:$A$306,Employees!$A$28,'Leave log'!$B$7:$B$306,"&lt;="&amp;DATE($B$3,5,5),'Leave log'!$C$7:$C$306,"&gt;="&amp;DATE($B$3,5,5),'Leave log'!$F$7:$F$306,"Approved")&gt;0,"A",""))="A","A",IF(OR(DATE($B$3,5,5)&gt;EOMONTH(DATE($B$3,5,1),0),NETWORKDAYS.INTL(DATE($B$3,5,5),DATE($B$3,5,5),1,'Non-working days'!$A$6:$A$45)=0),"",IF(COUNTIFS('Leave log'!$A$7:$A$306,Employees!$A$28,'Leave log'!$B$7:$B$306,"&lt;="&amp;DATE($B$3,5,5),'Leave log'!$C$7:$C$306,"&gt;="&amp;DATE($B$3,5,5),'Leave log'!$F$7:$F$306,"Pending")&gt;0,"P",""))))</f>
        <v/>
      </c>
      <c r="G165" s="23" t="str">
        <f>IF(A165="","",IF(IF(OR(DATE($B$3,5,6)&gt;EOMONTH(DATE($B$3,5,1),0),NETWORKDAYS.INTL(DATE($B$3,5,6),DATE($B$3,5,6),1,'Non-working days'!$A$6:$A$45)=0),"",IF(COUNTIFS('Leave log'!$A$7:$A$306,Employees!$A$28,'Leave log'!$B$7:$B$306,"&lt;="&amp;DATE($B$3,5,6),'Leave log'!$C$7:$C$306,"&gt;="&amp;DATE($B$3,5,6),'Leave log'!$F$7:$F$306,"Approved")&gt;0,"A",""))="A","A",IF(OR(DATE($B$3,5,6)&gt;EOMONTH(DATE($B$3,5,1),0),NETWORKDAYS.INTL(DATE($B$3,5,6),DATE($B$3,5,6),1,'Non-working days'!$A$6:$A$45)=0),"",IF(COUNTIFS('Leave log'!$A$7:$A$306,Employees!$A$28,'Leave log'!$B$7:$B$306,"&lt;="&amp;DATE($B$3,5,6),'Leave log'!$C$7:$C$306,"&gt;="&amp;DATE($B$3,5,6),'Leave log'!$F$7:$F$306,"Pending")&gt;0,"P",""))))</f>
        <v/>
      </c>
      <c r="H165" s="23" t="str">
        <f>IF(A165="","",IF(IF(OR(DATE($B$3,5,7)&gt;EOMONTH(DATE($B$3,5,1),0),NETWORKDAYS.INTL(DATE($B$3,5,7),DATE($B$3,5,7),1,'Non-working days'!$A$6:$A$45)=0),"",IF(COUNTIFS('Leave log'!$A$7:$A$306,Employees!$A$28,'Leave log'!$B$7:$B$306,"&lt;="&amp;DATE($B$3,5,7),'Leave log'!$C$7:$C$306,"&gt;="&amp;DATE($B$3,5,7),'Leave log'!$F$7:$F$306,"Approved")&gt;0,"A",""))="A","A",IF(OR(DATE($B$3,5,7)&gt;EOMONTH(DATE($B$3,5,1),0),NETWORKDAYS.INTL(DATE($B$3,5,7),DATE($B$3,5,7),1,'Non-working days'!$A$6:$A$45)=0),"",IF(COUNTIFS('Leave log'!$A$7:$A$306,Employees!$A$28,'Leave log'!$B$7:$B$306,"&lt;="&amp;DATE($B$3,5,7),'Leave log'!$C$7:$C$306,"&gt;="&amp;DATE($B$3,5,7),'Leave log'!$F$7:$F$306,"Pending")&gt;0,"P",""))))</f>
        <v/>
      </c>
      <c r="I165" s="23" t="str">
        <f>IF(A165="","",IF(IF(OR(DATE($B$3,5,8)&gt;EOMONTH(DATE($B$3,5,1),0),NETWORKDAYS.INTL(DATE($B$3,5,8),DATE($B$3,5,8),1,'Non-working days'!$A$6:$A$45)=0),"",IF(COUNTIFS('Leave log'!$A$7:$A$306,Employees!$A$28,'Leave log'!$B$7:$B$306,"&lt;="&amp;DATE($B$3,5,8),'Leave log'!$C$7:$C$306,"&gt;="&amp;DATE($B$3,5,8),'Leave log'!$F$7:$F$306,"Approved")&gt;0,"A",""))="A","A",IF(OR(DATE($B$3,5,8)&gt;EOMONTH(DATE($B$3,5,1),0),NETWORKDAYS.INTL(DATE($B$3,5,8),DATE($B$3,5,8),1,'Non-working days'!$A$6:$A$45)=0),"",IF(COUNTIFS('Leave log'!$A$7:$A$306,Employees!$A$28,'Leave log'!$B$7:$B$306,"&lt;="&amp;DATE($B$3,5,8),'Leave log'!$C$7:$C$306,"&gt;="&amp;DATE($B$3,5,8),'Leave log'!$F$7:$F$306,"Pending")&gt;0,"P",""))))</f>
        <v/>
      </c>
      <c r="J165" s="23" t="str">
        <f>IF(A165="","",IF(IF(OR(DATE($B$3,5,9)&gt;EOMONTH(DATE($B$3,5,1),0),NETWORKDAYS.INTL(DATE($B$3,5,9),DATE($B$3,5,9),1,'Non-working days'!$A$6:$A$45)=0),"",IF(COUNTIFS('Leave log'!$A$7:$A$306,Employees!$A$28,'Leave log'!$B$7:$B$306,"&lt;="&amp;DATE($B$3,5,9),'Leave log'!$C$7:$C$306,"&gt;="&amp;DATE($B$3,5,9),'Leave log'!$F$7:$F$306,"Approved")&gt;0,"A",""))="A","A",IF(OR(DATE($B$3,5,9)&gt;EOMONTH(DATE($B$3,5,1),0),NETWORKDAYS.INTL(DATE($B$3,5,9),DATE($B$3,5,9),1,'Non-working days'!$A$6:$A$45)=0),"",IF(COUNTIFS('Leave log'!$A$7:$A$306,Employees!$A$28,'Leave log'!$B$7:$B$306,"&lt;="&amp;DATE($B$3,5,9),'Leave log'!$C$7:$C$306,"&gt;="&amp;DATE($B$3,5,9),'Leave log'!$F$7:$F$306,"Pending")&gt;0,"P",""))))</f>
        <v/>
      </c>
      <c r="K165" s="23" t="str">
        <f>IF(A165="","",IF(IF(OR(DATE($B$3,5,10)&gt;EOMONTH(DATE($B$3,5,1),0),NETWORKDAYS.INTL(DATE($B$3,5,10),DATE($B$3,5,10),1,'Non-working days'!$A$6:$A$45)=0),"",IF(COUNTIFS('Leave log'!$A$7:$A$306,Employees!$A$28,'Leave log'!$B$7:$B$306,"&lt;="&amp;DATE($B$3,5,10),'Leave log'!$C$7:$C$306,"&gt;="&amp;DATE($B$3,5,10),'Leave log'!$F$7:$F$306,"Approved")&gt;0,"A",""))="A","A",IF(OR(DATE($B$3,5,10)&gt;EOMONTH(DATE($B$3,5,1),0),NETWORKDAYS.INTL(DATE($B$3,5,10),DATE($B$3,5,10),1,'Non-working days'!$A$6:$A$45)=0),"",IF(COUNTIFS('Leave log'!$A$7:$A$306,Employees!$A$28,'Leave log'!$B$7:$B$306,"&lt;="&amp;DATE($B$3,5,10),'Leave log'!$C$7:$C$306,"&gt;="&amp;DATE($B$3,5,10),'Leave log'!$F$7:$F$306,"Pending")&gt;0,"P",""))))</f>
        <v/>
      </c>
      <c r="L165" s="23" t="str">
        <f>IF(A165="","",IF(IF(OR(DATE($B$3,5,11)&gt;EOMONTH(DATE($B$3,5,1),0),NETWORKDAYS.INTL(DATE($B$3,5,11),DATE($B$3,5,11),1,'Non-working days'!$A$6:$A$45)=0),"",IF(COUNTIFS('Leave log'!$A$7:$A$306,Employees!$A$28,'Leave log'!$B$7:$B$306,"&lt;="&amp;DATE($B$3,5,11),'Leave log'!$C$7:$C$306,"&gt;="&amp;DATE($B$3,5,11),'Leave log'!$F$7:$F$306,"Approved")&gt;0,"A",""))="A","A",IF(OR(DATE($B$3,5,11)&gt;EOMONTH(DATE($B$3,5,1),0),NETWORKDAYS.INTL(DATE($B$3,5,11),DATE($B$3,5,11),1,'Non-working days'!$A$6:$A$45)=0),"",IF(COUNTIFS('Leave log'!$A$7:$A$306,Employees!$A$28,'Leave log'!$B$7:$B$306,"&lt;="&amp;DATE($B$3,5,11),'Leave log'!$C$7:$C$306,"&gt;="&amp;DATE($B$3,5,11),'Leave log'!$F$7:$F$306,"Pending")&gt;0,"P",""))))</f>
        <v/>
      </c>
      <c r="M165" s="23" t="str">
        <f>IF(A165="","",IF(IF(OR(DATE($B$3,5,12)&gt;EOMONTH(DATE($B$3,5,1),0),NETWORKDAYS.INTL(DATE($B$3,5,12),DATE($B$3,5,12),1,'Non-working days'!$A$6:$A$45)=0),"",IF(COUNTIFS('Leave log'!$A$7:$A$306,Employees!$A$28,'Leave log'!$B$7:$B$306,"&lt;="&amp;DATE($B$3,5,12),'Leave log'!$C$7:$C$306,"&gt;="&amp;DATE($B$3,5,12),'Leave log'!$F$7:$F$306,"Approved")&gt;0,"A",""))="A","A",IF(OR(DATE($B$3,5,12)&gt;EOMONTH(DATE($B$3,5,1),0),NETWORKDAYS.INTL(DATE($B$3,5,12),DATE($B$3,5,12),1,'Non-working days'!$A$6:$A$45)=0),"",IF(COUNTIFS('Leave log'!$A$7:$A$306,Employees!$A$28,'Leave log'!$B$7:$B$306,"&lt;="&amp;DATE($B$3,5,12),'Leave log'!$C$7:$C$306,"&gt;="&amp;DATE($B$3,5,12),'Leave log'!$F$7:$F$306,"Pending")&gt;0,"P",""))))</f>
        <v/>
      </c>
      <c r="N165" s="23" t="str">
        <f>IF(A165="","",IF(IF(OR(DATE($B$3,5,13)&gt;EOMONTH(DATE($B$3,5,1),0),NETWORKDAYS.INTL(DATE($B$3,5,13),DATE($B$3,5,13),1,'Non-working days'!$A$6:$A$45)=0),"",IF(COUNTIFS('Leave log'!$A$7:$A$306,Employees!$A$28,'Leave log'!$B$7:$B$306,"&lt;="&amp;DATE($B$3,5,13),'Leave log'!$C$7:$C$306,"&gt;="&amp;DATE($B$3,5,13),'Leave log'!$F$7:$F$306,"Approved")&gt;0,"A",""))="A","A",IF(OR(DATE($B$3,5,13)&gt;EOMONTH(DATE($B$3,5,1),0),NETWORKDAYS.INTL(DATE($B$3,5,13),DATE($B$3,5,13),1,'Non-working days'!$A$6:$A$45)=0),"",IF(COUNTIFS('Leave log'!$A$7:$A$306,Employees!$A$28,'Leave log'!$B$7:$B$306,"&lt;="&amp;DATE($B$3,5,13),'Leave log'!$C$7:$C$306,"&gt;="&amp;DATE($B$3,5,13),'Leave log'!$F$7:$F$306,"Pending")&gt;0,"P",""))))</f>
        <v/>
      </c>
      <c r="O165" s="23" t="str">
        <f>IF(A165="","",IF(IF(OR(DATE($B$3,5,14)&gt;EOMONTH(DATE($B$3,5,1),0),NETWORKDAYS.INTL(DATE($B$3,5,14),DATE($B$3,5,14),1,'Non-working days'!$A$6:$A$45)=0),"",IF(COUNTIFS('Leave log'!$A$7:$A$306,Employees!$A$28,'Leave log'!$B$7:$B$306,"&lt;="&amp;DATE($B$3,5,14),'Leave log'!$C$7:$C$306,"&gt;="&amp;DATE($B$3,5,14),'Leave log'!$F$7:$F$306,"Approved")&gt;0,"A",""))="A","A",IF(OR(DATE($B$3,5,14)&gt;EOMONTH(DATE($B$3,5,1),0),NETWORKDAYS.INTL(DATE($B$3,5,14),DATE($B$3,5,14),1,'Non-working days'!$A$6:$A$45)=0),"",IF(COUNTIFS('Leave log'!$A$7:$A$306,Employees!$A$28,'Leave log'!$B$7:$B$306,"&lt;="&amp;DATE($B$3,5,14),'Leave log'!$C$7:$C$306,"&gt;="&amp;DATE($B$3,5,14),'Leave log'!$F$7:$F$306,"Pending")&gt;0,"P",""))))</f>
        <v/>
      </c>
      <c r="P165" s="23" t="str">
        <f>IF(A165="","",IF(IF(OR(DATE($B$3,5,15)&gt;EOMONTH(DATE($B$3,5,1),0),NETWORKDAYS.INTL(DATE($B$3,5,15),DATE($B$3,5,15),1,'Non-working days'!$A$6:$A$45)=0),"",IF(COUNTIFS('Leave log'!$A$7:$A$306,Employees!$A$28,'Leave log'!$B$7:$B$306,"&lt;="&amp;DATE($B$3,5,15),'Leave log'!$C$7:$C$306,"&gt;="&amp;DATE($B$3,5,15),'Leave log'!$F$7:$F$306,"Approved")&gt;0,"A",""))="A","A",IF(OR(DATE($B$3,5,15)&gt;EOMONTH(DATE($B$3,5,1),0),NETWORKDAYS.INTL(DATE($B$3,5,15),DATE($B$3,5,15),1,'Non-working days'!$A$6:$A$45)=0),"",IF(COUNTIFS('Leave log'!$A$7:$A$306,Employees!$A$28,'Leave log'!$B$7:$B$306,"&lt;="&amp;DATE($B$3,5,15),'Leave log'!$C$7:$C$306,"&gt;="&amp;DATE($B$3,5,15),'Leave log'!$F$7:$F$306,"Pending")&gt;0,"P",""))))</f>
        <v/>
      </c>
      <c r="Q165" s="23" t="str">
        <f>IF(A165="","",IF(IF(OR(DATE($B$3,5,16)&gt;EOMONTH(DATE($B$3,5,1),0),NETWORKDAYS.INTL(DATE($B$3,5,16),DATE($B$3,5,16),1,'Non-working days'!$A$6:$A$45)=0),"",IF(COUNTIFS('Leave log'!$A$7:$A$306,Employees!$A$28,'Leave log'!$B$7:$B$306,"&lt;="&amp;DATE($B$3,5,16),'Leave log'!$C$7:$C$306,"&gt;="&amp;DATE($B$3,5,16),'Leave log'!$F$7:$F$306,"Approved")&gt;0,"A",""))="A","A",IF(OR(DATE($B$3,5,16)&gt;EOMONTH(DATE($B$3,5,1),0),NETWORKDAYS.INTL(DATE($B$3,5,16),DATE($B$3,5,16),1,'Non-working days'!$A$6:$A$45)=0),"",IF(COUNTIFS('Leave log'!$A$7:$A$306,Employees!$A$28,'Leave log'!$B$7:$B$306,"&lt;="&amp;DATE($B$3,5,16),'Leave log'!$C$7:$C$306,"&gt;="&amp;DATE($B$3,5,16),'Leave log'!$F$7:$F$306,"Pending")&gt;0,"P",""))))</f>
        <v/>
      </c>
      <c r="R165" s="23" t="str">
        <f>IF(A165="","",IF(IF(OR(DATE($B$3,5,17)&gt;EOMONTH(DATE($B$3,5,1),0),NETWORKDAYS.INTL(DATE($B$3,5,17),DATE($B$3,5,17),1,'Non-working days'!$A$6:$A$45)=0),"",IF(COUNTIFS('Leave log'!$A$7:$A$306,Employees!$A$28,'Leave log'!$B$7:$B$306,"&lt;="&amp;DATE($B$3,5,17),'Leave log'!$C$7:$C$306,"&gt;="&amp;DATE($B$3,5,17),'Leave log'!$F$7:$F$306,"Approved")&gt;0,"A",""))="A","A",IF(OR(DATE($B$3,5,17)&gt;EOMONTH(DATE($B$3,5,1),0),NETWORKDAYS.INTL(DATE($B$3,5,17),DATE($B$3,5,17),1,'Non-working days'!$A$6:$A$45)=0),"",IF(COUNTIFS('Leave log'!$A$7:$A$306,Employees!$A$28,'Leave log'!$B$7:$B$306,"&lt;="&amp;DATE($B$3,5,17),'Leave log'!$C$7:$C$306,"&gt;="&amp;DATE($B$3,5,17),'Leave log'!$F$7:$F$306,"Pending")&gt;0,"P",""))))</f>
        <v/>
      </c>
      <c r="S165" s="23" t="str">
        <f>IF(A165="","",IF(IF(OR(DATE($B$3,5,18)&gt;EOMONTH(DATE($B$3,5,1),0),NETWORKDAYS.INTL(DATE($B$3,5,18),DATE($B$3,5,18),1,'Non-working days'!$A$6:$A$45)=0),"",IF(COUNTIFS('Leave log'!$A$7:$A$306,Employees!$A$28,'Leave log'!$B$7:$B$306,"&lt;="&amp;DATE($B$3,5,18),'Leave log'!$C$7:$C$306,"&gt;="&amp;DATE($B$3,5,18),'Leave log'!$F$7:$F$306,"Approved")&gt;0,"A",""))="A","A",IF(OR(DATE($B$3,5,18)&gt;EOMONTH(DATE($B$3,5,1),0),NETWORKDAYS.INTL(DATE($B$3,5,18),DATE($B$3,5,18),1,'Non-working days'!$A$6:$A$45)=0),"",IF(COUNTIFS('Leave log'!$A$7:$A$306,Employees!$A$28,'Leave log'!$B$7:$B$306,"&lt;="&amp;DATE($B$3,5,18),'Leave log'!$C$7:$C$306,"&gt;="&amp;DATE($B$3,5,18),'Leave log'!$F$7:$F$306,"Pending")&gt;0,"P",""))))</f>
        <v/>
      </c>
      <c r="T165" s="23" t="str">
        <f>IF(A165="","",IF(IF(OR(DATE($B$3,5,19)&gt;EOMONTH(DATE($B$3,5,1),0),NETWORKDAYS.INTL(DATE($B$3,5,19),DATE($B$3,5,19),1,'Non-working days'!$A$6:$A$45)=0),"",IF(COUNTIFS('Leave log'!$A$7:$A$306,Employees!$A$28,'Leave log'!$B$7:$B$306,"&lt;="&amp;DATE($B$3,5,19),'Leave log'!$C$7:$C$306,"&gt;="&amp;DATE($B$3,5,19),'Leave log'!$F$7:$F$306,"Approved")&gt;0,"A",""))="A","A",IF(OR(DATE($B$3,5,19)&gt;EOMONTH(DATE($B$3,5,1),0),NETWORKDAYS.INTL(DATE($B$3,5,19),DATE($B$3,5,19),1,'Non-working days'!$A$6:$A$45)=0),"",IF(COUNTIFS('Leave log'!$A$7:$A$306,Employees!$A$28,'Leave log'!$B$7:$B$306,"&lt;="&amp;DATE($B$3,5,19),'Leave log'!$C$7:$C$306,"&gt;="&amp;DATE($B$3,5,19),'Leave log'!$F$7:$F$306,"Pending")&gt;0,"P",""))))</f>
        <v/>
      </c>
      <c r="U165" s="23" t="str">
        <f>IF(A165="","",IF(IF(OR(DATE($B$3,5,20)&gt;EOMONTH(DATE($B$3,5,1),0),NETWORKDAYS.INTL(DATE($B$3,5,20),DATE($B$3,5,20),1,'Non-working days'!$A$6:$A$45)=0),"",IF(COUNTIFS('Leave log'!$A$7:$A$306,Employees!$A$28,'Leave log'!$B$7:$B$306,"&lt;="&amp;DATE($B$3,5,20),'Leave log'!$C$7:$C$306,"&gt;="&amp;DATE($B$3,5,20),'Leave log'!$F$7:$F$306,"Approved")&gt;0,"A",""))="A","A",IF(OR(DATE($B$3,5,20)&gt;EOMONTH(DATE($B$3,5,1),0),NETWORKDAYS.INTL(DATE($B$3,5,20),DATE($B$3,5,20),1,'Non-working days'!$A$6:$A$45)=0),"",IF(COUNTIFS('Leave log'!$A$7:$A$306,Employees!$A$28,'Leave log'!$B$7:$B$306,"&lt;="&amp;DATE($B$3,5,20),'Leave log'!$C$7:$C$306,"&gt;="&amp;DATE($B$3,5,20),'Leave log'!$F$7:$F$306,"Pending")&gt;0,"P",""))))</f>
        <v/>
      </c>
      <c r="V165" s="23" t="str">
        <f>IF(A165="","",IF(IF(OR(DATE($B$3,5,21)&gt;EOMONTH(DATE($B$3,5,1),0),NETWORKDAYS.INTL(DATE($B$3,5,21),DATE($B$3,5,21),1,'Non-working days'!$A$6:$A$45)=0),"",IF(COUNTIFS('Leave log'!$A$7:$A$306,Employees!$A$28,'Leave log'!$B$7:$B$306,"&lt;="&amp;DATE($B$3,5,21),'Leave log'!$C$7:$C$306,"&gt;="&amp;DATE($B$3,5,21),'Leave log'!$F$7:$F$306,"Approved")&gt;0,"A",""))="A","A",IF(OR(DATE($B$3,5,21)&gt;EOMONTH(DATE($B$3,5,1),0),NETWORKDAYS.INTL(DATE($B$3,5,21),DATE($B$3,5,21),1,'Non-working days'!$A$6:$A$45)=0),"",IF(COUNTIFS('Leave log'!$A$7:$A$306,Employees!$A$28,'Leave log'!$B$7:$B$306,"&lt;="&amp;DATE($B$3,5,21),'Leave log'!$C$7:$C$306,"&gt;="&amp;DATE($B$3,5,21),'Leave log'!$F$7:$F$306,"Pending")&gt;0,"P",""))))</f>
        <v/>
      </c>
      <c r="W165" s="23" t="str">
        <f>IF(A165="","",IF(IF(OR(DATE($B$3,5,22)&gt;EOMONTH(DATE($B$3,5,1),0),NETWORKDAYS.INTL(DATE($B$3,5,22),DATE($B$3,5,22),1,'Non-working days'!$A$6:$A$45)=0),"",IF(COUNTIFS('Leave log'!$A$7:$A$306,Employees!$A$28,'Leave log'!$B$7:$B$306,"&lt;="&amp;DATE($B$3,5,22),'Leave log'!$C$7:$C$306,"&gt;="&amp;DATE($B$3,5,22),'Leave log'!$F$7:$F$306,"Approved")&gt;0,"A",""))="A","A",IF(OR(DATE($B$3,5,22)&gt;EOMONTH(DATE($B$3,5,1),0),NETWORKDAYS.INTL(DATE($B$3,5,22),DATE($B$3,5,22),1,'Non-working days'!$A$6:$A$45)=0),"",IF(COUNTIFS('Leave log'!$A$7:$A$306,Employees!$A$28,'Leave log'!$B$7:$B$306,"&lt;="&amp;DATE($B$3,5,22),'Leave log'!$C$7:$C$306,"&gt;="&amp;DATE($B$3,5,22),'Leave log'!$F$7:$F$306,"Pending")&gt;0,"P",""))))</f>
        <v/>
      </c>
      <c r="X165" s="23" t="str">
        <f>IF(A165="","",IF(IF(OR(DATE($B$3,5,23)&gt;EOMONTH(DATE($B$3,5,1),0),NETWORKDAYS.INTL(DATE($B$3,5,23),DATE($B$3,5,23),1,'Non-working days'!$A$6:$A$45)=0),"",IF(COUNTIFS('Leave log'!$A$7:$A$306,Employees!$A$28,'Leave log'!$B$7:$B$306,"&lt;="&amp;DATE($B$3,5,23),'Leave log'!$C$7:$C$306,"&gt;="&amp;DATE($B$3,5,23),'Leave log'!$F$7:$F$306,"Approved")&gt;0,"A",""))="A","A",IF(OR(DATE($B$3,5,23)&gt;EOMONTH(DATE($B$3,5,1),0),NETWORKDAYS.INTL(DATE($B$3,5,23),DATE($B$3,5,23),1,'Non-working days'!$A$6:$A$45)=0),"",IF(COUNTIFS('Leave log'!$A$7:$A$306,Employees!$A$28,'Leave log'!$B$7:$B$306,"&lt;="&amp;DATE($B$3,5,23),'Leave log'!$C$7:$C$306,"&gt;="&amp;DATE($B$3,5,23),'Leave log'!$F$7:$F$306,"Pending")&gt;0,"P",""))))</f>
        <v/>
      </c>
      <c r="Y165" s="23" t="str">
        <f>IF(A165="","",IF(IF(OR(DATE($B$3,5,24)&gt;EOMONTH(DATE($B$3,5,1),0),NETWORKDAYS.INTL(DATE($B$3,5,24),DATE($B$3,5,24),1,'Non-working days'!$A$6:$A$45)=0),"",IF(COUNTIFS('Leave log'!$A$7:$A$306,Employees!$A$28,'Leave log'!$B$7:$B$306,"&lt;="&amp;DATE($B$3,5,24),'Leave log'!$C$7:$C$306,"&gt;="&amp;DATE($B$3,5,24),'Leave log'!$F$7:$F$306,"Approved")&gt;0,"A",""))="A","A",IF(OR(DATE($B$3,5,24)&gt;EOMONTH(DATE($B$3,5,1),0),NETWORKDAYS.INTL(DATE($B$3,5,24),DATE($B$3,5,24),1,'Non-working days'!$A$6:$A$45)=0),"",IF(COUNTIFS('Leave log'!$A$7:$A$306,Employees!$A$28,'Leave log'!$B$7:$B$306,"&lt;="&amp;DATE($B$3,5,24),'Leave log'!$C$7:$C$306,"&gt;="&amp;DATE($B$3,5,24),'Leave log'!$F$7:$F$306,"Pending")&gt;0,"P",""))))</f>
        <v/>
      </c>
      <c r="Z165" s="23" t="str">
        <f>IF(A165="","",IF(IF(OR(DATE($B$3,5,25)&gt;EOMONTH(DATE($B$3,5,1),0),NETWORKDAYS.INTL(DATE($B$3,5,25),DATE($B$3,5,25),1,'Non-working days'!$A$6:$A$45)=0),"",IF(COUNTIFS('Leave log'!$A$7:$A$306,Employees!$A$28,'Leave log'!$B$7:$B$306,"&lt;="&amp;DATE($B$3,5,25),'Leave log'!$C$7:$C$306,"&gt;="&amp;DATE($B$3,5,25),'Leave log'!$F$7:$F$306,"Approved")&gt;0,"A",""))="A","A",IF(OR(DATE($B$3,5,25)&gt;EOMONTH(DATE($B$3,5,1),0),NETWORKDAYS.INTL(DATE($B$3,5,25),DATE($B$3,5,25),1,'Non-working days'!$A$6:$A$45)=0),"",IF(COUNTIFS('Leave log'!$A$7:$A$306,Employees!$A$28,'Leave log'!$B$7:$B$306,"&lt;="&amp;DATE($B$3,5,25),'Leave log'!$C$7:$C$306,"&gt;="&amp;DATE($B$3,5,25),'Leave log'!$F$7:$F$306,"Pending")&gt;0,"P",""))))</f>
        <v/>
      </c>
      <c r="AA165" s="23" t="str">
        <f>IF(A165="","",IF(IF(OR(DATE($B$3,5,26)&gt;EOMONTH(DATE($B$3,5,1),0),NETWORKDAYS.INTL(DATE($B$3,5,26),DATE($B$3,5,26),1,'Non-working days'!$A$6:$A$45)=0),"",IF(COUNTIFS('Leave log'!$A$7:$A$306,Employees!$A$28,'Leave log'!$B$7:$B$306,"&lt;="&amp;DATE($B$3,5,26),'Leave log'!$C$7:$C$306,"&gt;="&amp;DATE($B$3,5,26),'Leave log'!$F$7:$F$306,"Approved")&gt;0,"A",""))="A","A",IF(OR(DATE($B$3,5,26)&gt;EOMONTH(DATE($B$3,5,1),0),NETWORKDAYS.INTL(DATE($B$3,5,26),DATE($B$3,5,26),1,'Non-working days'!$A$6:$A$45)=0),"",IF(COUNTIFS('Leave log'!$A$7:$A$306,Employees!$A$28,'Leave log'!$B$7:$B$306,"&lt;="&amp;DATE($B$3,5,26),'Leave log'!$C$7:$C$306,"&gt;="&amp;DATE($B$3,5,26),'Leave log'!$F$7:$F$306,"Pending")&gt;0,"P",""))))</f>
        <v/>
      </c>
      <c r="AB165" s="23" t="str">
        <f>IF(A165="","",IF(IF(OR(DATE($B$3,5,27)&gt;EOMONTH(DATE($B$3,5,1),0),NETWORKDAYS.INTL(DATE($B$3,5,27),DATE($B$3,5,27),1,'Non-working days'!$A$6:$A$45)=0),"",IF(COUNTIFS('Leave log'!$A$7:$A$306,Employees!$A$28,'Leave log'!$B$7:$B$306,"&lt;="&amp;DATE($B$3,5,27),'Leave log'!$C$7:$C$306,"&gt;="&amp;DATE($B$3,5,27),'Leave log'!$F$7:$F$306,"Approved")&gt;0,"A",""))="A","A",IF(OR(DATE($B$3,5,27)&gt;EOMONTH(DATE($B$3,5,1),0),NETWORKDAYS.INTL(DATE($B$3,5,27),DATE($B$3,5,27),1,'Non-working days'!$A$6:$A$45)=0),"",IF(COUNTIFS('Leave log'!$A$7:$A$306,Employees!$A$28,'Leave log'!$B$7:$B$306,"&lt;="&amp;DATE($B$3,5,27),'Leave log'!$C$7:$C$306,"&gt;="&amp;DATE($B$3,5,27),'Leave log'!$F$7:$F$306,"Pending")&gt;0,"P",""))))</f>
        <v/>
      </c>
      <c r="AC165" s="23" t="str">
        <f>IF(A165="","",IF(IF(OR(DATE($B$3,5,28)&gt;EOMONTH(DATE($B$3,5,1),0),NETWORKDAYS.INTL(DATE($B$3,5,28),DATE($B$3,5,28),1,'Non-working days'!$A$6:$A$45)=0),"",IF(COUNTIFS('Leave log'!$A$7:$A$306,Employees!$A$28,'Leave log'!$B$7:$B$306,"&lt;="&amp;DATE($B$3,5,28),'Leave log'!$C$7:$C$306,"&gt;="&amp;DATE($B$3,5,28),'Leave log'!$F$7:$F$306,"Approved")&gt;0,"A",""))="A","A",IF(OR(DATE($B$3,5,28)&gt;EOMONTH(DATE($B$3,5,1),0),NETWORKDAYS.INTL(DATE($B$3,5,28),DATE($B$3,5,28),1,'Non-working days'!$A$6:$A$45)=0),"",IF(COUNTIFS('Leave log'!$A$7:$A$306,Employees!$A$28,'Leave log'!$B$7:$B$306,"&lt;="&amp;DATE($B$3,5,28),'Leave log'!$C$7:$C$306,"&gt;="&amp;DATE($B$3,5,28),'Leave log'!$F$7:$F$306,"Pending")&gt;0,"P",""))))</f>
        <v/>
      </c>
      <c r="AD165" s="23" t="str">
        <f>IF(A165="","",IF(IF(OR(DATE($B$3,5,29)&gt;EOMONTH(DATE($B$3,5,1),0),NETWORKDAYS.INTL(DATE($B$3,5,29),DATE($B$3,5,29),1,'Non-working days'!$A$6:$A$45)=0),"",IF(COUNTIFS('Leave log'!$A$7:$A$306,Employees!$A$28,'Leave log'!$B$7:$B$306,"&lt;="&amp;DATE($B$3,5,29),'Leave log'!$C$7:$C$306,"&gt;="&amp;DATE($B$3,5,29),'Leave log'!$F$7:$F$306,"Approved")&gt;0,"A",""))="A","A",IF(OR(DATE($B$3,5,29)&gt;EOMONTH(DATE($B$3,5,1),0),NETWORKDAYS.INTL(DATE($B$3,5,29),DATE($B$3,5,29),1,'Non-working days'!$A$6:$A$45)=0),"",IF(COUNTIFS('Leave log'!$A$7:$A$306,Employees!$A$28,'Leave log'!$B$7:$B$306,"&lt;="&amp;DATE($B$3,5,29),'Leave log'!$C$7:$C$306,"&gt;="&amp;DATE($B$3,5,29),'Leave log'!$F$7:$F$306,"Pending")&gt;0,"P",""))))</f>
        <v/>
      </c>
      <c r="AE165" s="23" t="str">
        <f>IF(A165="","",IF(IF(OR(DATE($B$3,5,30)&gt;EOMONTH(DATE($B$3,5,1),0),NETWORKDAYS.INTL(DATE($B$3,5,30),DATE($B$3,5,30),1,'Non-working days'!$A$6:$A$45)=0),"",IF(COUNTIFS('Leave log'!$A$7:$A$306,Employees!$A$28,'Leave log'!$B$7:$B$306,"&lt;="&amp;DATE($B$3,5,30),'Leave log'!$C$7:$C$306,"&gt;="&amp;DATE($B$3,5,30),'Leave log'!$F$7:$F$306,"Approved")&gt;0,"A",""))="A","A",IF(OR(DATE($B$3,5,30)&gt;EOMONTH(DATE($B$3,5,1),0),NETWORKDAYS.INTL(DATE($B$3,5,30),DATE($B$3,5,30),1,'Non-working days'!$A$6:$A$45)=0),"",IF(COUNTIFS('Leave log'!$A$7:$A$306,Employees!$A$28,'Leave log'!$B$7:$B$306,"&lt;="&amp;DATE($B$3,5,30),'Leave log'!$C$7:$C$306,"&gt;="&amp;DATE($B$3,5,30),'Leave log'!$F$7:$F$306,"Pending")&gt;0,"P",""))))</f>
        <v/>
      </c>
      <c r="AF165" s="23" t="str">
        <f>IF(A165="","",IF(IF(OR(DATE($B$3,5,31)&gt;EOMONTH(DATE($B$3,5,1),0),NETWORKDAYS.INTL(DATE($B$3,5,31),DATE($B$3,5,31),1,'Non-working days'!$A$6:$A$45)=0),"",IF(COUNTIFS('Leave log'!$A$7:$A$306,Employees!$A$28,'Leave log'!$B$7:$B$306,"&lt;="&amp;DATE($B$3,5,31),'Leave log'!$C$7:$C$306,"&gt;="&amp;DATE($B$3,5,31),'Leave log'!$F$7:$F$306,"Approved")&gt;0,"A",""))="A","A",IF(OR(DATE($B$3,5,31)&gt;EOMONTH(DATE($B$3,5,1),0),NETWORKDAYS.INTL(DATE($B$3,5,31),DATE($B$3,5,31),1,'Non-working days'!$A$6:$A$45)=0),"",IF(COUNTIFS('Leave log'!$A$7:$A$306,Employees!$A$28,'Leave log'!$B$7:$B$306,"&lt;="&amp;DATE($B$3,5,31),'Leave log'!$C$7:$C$306,"&gt;="&amp;DATE($B$3,5,31),'Leave log'!$F$7:$F$306,"Pending")&gt;0,"P",""))))</f>
        <v/>
      </c>
    </row>
    <row r="166" spans="1:32" ht="18" customHeight="1" x14ac:dyDescent="0.3">
      <c r="A166" s="22" t="str">
        <f>IF(Employees!F29="Yes",Employees!B29,"")</f>
        <v/>
      </c>
      <c r="B166" s="23" t="str">
        <f>IF(A166="","",IF(IF(OR(DATE($B$3,5,1)&gt;EOMONTH(DATE($B$3,5,1),0),NETWORKDAYS.INTL(DATE($B$3,5,1),DATE($B$3,5,1),1,'Non-working days'!$A$6:$A$45)=0),"",IF(COUNTIFS('Leave log'!$A$7:$A$306,Employees!$A$29,'Leave log'!$B$7:$B$306,"&lt;="&amp;DATE($B$3,5,1),'Leave log'!$C$7:$C$306,"&gt;="&amp;DATE($B$3,5,1),'Leave log'!$F$7:$F$306,"Approved")&gt;0,"A",""))="A","A",IF(OR(DATE($B$3,5,1)&gt;EOMONTH(DATE($B$3,5,1),0),NETWORKDAYS.INTL(DATE($B$3,5,1),DATE($B$3,5,1),1,'Non-working days'!$A$6:$A$45)=0),"",IF(COUNTIFS('Leave log'!$A$7:$A$306,Employees!$A$29,'Leave log'!$B$7:$B$306,"&lt;="&amp;DATE($B$3,5,1),'Leave log'!$C$7:$C$306,"&gt;="&amp;DATE($B$3,5,1),'Leave log'!$F$7:$F$306,"Pending")&gt;0,"P",""))))</f>
        <v/>
      </c>
      <c r="C166" s="23" t="str">
        <f>IF(A166="","",IF(IF(OR(DATE($B$3,5,2)&gt;EOMONTH(DATE($B$3,5,1),0),NETWORKDAYS.INTL(DATE($B$3,5,2),DATE($B$3,5,2),1,'Non-working days'!$A$6:$A$45)=0),"",IF(COUNTIFS('Leave log'!$A$7:$A$306,Employees!$A$29,'Leave log'!$B$7:$B$306,"&lt;="&amp;DATE($B$3,5,2),'Leave log'!$C$7:$C$306,"&gt;="&amp;DATE($B$3,5,2),'Leave log'!$F$7:$F$306,"Approved")&gt;0,"A",""))="A","A",IF(OR(DATE($B$3,5,2)&gt;EOMONTH(DATE($B$3,5,1),0),NETWORKDAYS.INTL(DATE($B$3,5,2),DATE($B$3,5,2),1,'Non-working days'!$A$6:$A$45)=0),"",IF(COUNTIFS('Leave log'!$A$7:$A$306,Employees!$A$29,'Leave log'!$B$7:$B$306,"&lt;="&amp;DATE($B$3,5,2),'Leave log'!$C$7:$C$306,"&gt;="&amp;DATE($B$3,5,2),'Leave log'!$F$7:$F$306,"Pending")&gt;0,"P",""))))</f>
        <v/>
      </c>
      <c r="D166" s="23" t="str">
        <f>IF(A166="","",IF(IF(OR(DATE($B$3,5,3)&gt;EOMONTH(DATE($B$3,5,1),0),NETWORKDAYS.INTL(DATE($B$3,5,3),DATE($B$3,5,3),1,'Non-working days'!$A$6:$A$45)=0),"",IF(COUNTIFS('Leave log'!$A$7:$A$306,Employees!$A$29,'Leave log'!$B$7:$B$306,"&lt;="&amp;DATE($B$3,5,3),'Leave log'!$C$7:$C$306,"&gt;="&amp;DATE($B$3,5,3),'Leave log'!$F$7:$F$306,"Approved")&gt;0,"A",""))="A","A",IF(OR(DATE($B$3,5,3)&gt;EOMONTH(DATE($B$3,5,1),0),NETWORKDAYS.INTL(DATE($B$3,5,3),DATE($B$3,5,3),1,'Non-working days'!$A$6:$A$45)=0),"",IF(COUNTIFS('Leave log'!$A$7:$A$306,Employees!$A$29,'Leave log'!$B$7:$B$306,"&lt;="&amp;DATE($B$3,5,3),'Leave log'!$C$7:$C$306,"&gt;="&amp;DATE($B$3,5,3),'Leave log'!$F$7:$F$306,"Pending")&gt;0,"P",""))))</f>
        <v/>
      </c>
      <c r="E166" s="23" t="str">
        <f>IF(A166="","",IF(IF(OR(DATE($B$3,5,4)&gt;EOMONTH(DATE($B$3,5,1),0),NETWORKDAYS.INTL(DATE($B$3,5,4),DATE($B$3,5,4),1,'Non-working days'!$A$6:$A$45)=0),"",IF(COUNTIFS('Leave log'!$A$7:$A$306,Employees!$A$29,'Leave log'!$B$7:$B$306,"&lt;="&amp;DATE($B$3,5,4),'Leave log'!$C$7:$C$306,"&gt;="&amp;DATE($B$3,5,4),'Leave log'!$F$7:$F$306,"Approved")&gt;0,"A",""))="A","A",IF(OR(DATE($B$3,5,4)&gt;EOMONTH(DATE($B$3,5,1),0),NETWORKDAYS.INTL(DATE($B$3,5,4),DATE($B$3,5,4),1,'Non-working days'!$A$6:$A$45)=0),"",IF(COUNTIFS('Leave log'!$A$7:$A$306,Employees!$A$29,'Leave log'!$B$7:$B$306,"&lt;="&amp;DATE($B$3,5,4),'Leave log'!$C$7:$C$306,"&gt;="&amp;DATE($B$3,5,4),'Leave log'!$F$7:$F$306,"Pending")&gt;0,"P",""))))</f>
        <v/>
      </c>
      <c r="F166" s="23" t="str">
        <f>IF(A166="","",IF(IF(OR(DATE($B$3,5,5)&gt;EOMONTH(DATE($B$3,5,1),0),NETWORKDAYS.INTL(DATE($B$3,5,5),DATE($B$3,5,5),1,'Non-working days'!$A$6:$A$45)=0),"",IF(COUNTIFS('Leave log'!$A$7:$A$306,Employees!$A$29,'Leave log'!$B$7:$B$306,"&lt;="&amp;DATE($B$3,5,5),'Leave log'!$C$7:$C$306,"&gt;="&amp;DATE($B$3,5,5),'Leave log'!$F$7:$F$306,"Approved")&gt;0,"A",""))="A","A",IF(OR(DATE($B$3,5,5)&gt;EOMONTH(DATE($B$3,5,1),0),NETWORKDAYS.INTL(DATE($B$3,5,5),DATE($B$3,5,5),1,'Non-working days'!$A$6:$A$45)=0),"",IF(COUNTIFS('Leave log'!$A$7:$A$306,Employees!$A$29,'Leave log'!$B$7:$B$306,"&lt;="&amp;DATE($B$3,5,5),'Leave log'!$C$7:$C$306,"&gt;="&amp;DATE($B$3,5,5),'Leave log'!$F$7:$F$306,"Pending")&gt;0,"P",""))))</f>
        <v/>
      </c>
      <c r="G166" s="23" t="str">
        <f>IF(A166="","",IF(IF(OR(DATE($B$3,5,6)&gt;EOMONTH(DATE($B$3,5,1),0),NETWORKDAYS.INTL(DATE($B$3,5,6),DATE($B$3,5,6),1,'Non-working days'!$A$6:$A$45)=0),"",IF(COUNTIFS('Leave log'!$A$7:$A$306,Employees!$A$29,'Leave log'!$B$7:$B$306,"&lt;="&amp;DATE($B$3,5,6),'Leave log'!$C$7:$C$306,"&gt;="&amp;DATE($B$3,5,6),'Leave log'!$F$7:$F$306,"Approved")&gt;0,"A",""))="A","A",IF(OR(DATE($B$3,5,6)&gt;EOMONTH(DATE($B$3,5,1),0),NETWORKDAYS.INTL(DATE($B$3,5,6),DATE($B$3,5,6),1,'Non-working days'!$A$6:$A$45)=0),"",IF(COUNTIFS('Leave log'!$A$7:$A$306,Employees!$A$29,'Leave log'!$B$7:$B$306,"&lt;="&amp;DATE($B$3,5,6),'Leave log'!$C$7:$C$306,"&gt;="&amp;DATE($B$3,5,6),'Leave log'!$F$7:$F$306,"Pending")&gt;0,"P",""))))</f>
        <v/>
      </c>
      <c r="H166" s="23" t="str">
        <f>IF(A166="","",IF(IF(OR(DATE($B$3,5,7)&gt;EOMONTH(DATE($B$3,5,1),0),NETWORKDAYS.INTL(DATE($B$3,5,7),DATE($B$3,5,7),1,'Non-working days'!$A$6:$A$45)=0),"",IF(COUNTIFS('Leave log'!$A$7:$A$306,Employees!$A$29,'Leave log'!$B$7:$B$306,"&lt;="&amp;DATE($B$3,5,7),'Leave log'!$C$7:$C$306,"&gt;="&amp;DATE($B$3,5,7),'Leave log'!$F$7:$F$306,"Approved")&gt;0,"A",""))="A","A",IF(OR(DATE($B$3,5,7)&gt;EOMONTH(DATE($B$3,5,1),0),NETWORKDAYS.INTL(DATE($B$3,5,7),DATE($B$3,5,7),1,'Non-working days'!$A$6:$A$45)=0),"",IF(COUNTIFS('Leave log'!$A$7:$A$306,Employees!$A$29,'Leave log'!$B$7:$B$306,"&lt;="&amp;DATE($B$3,5,7),'Leave log'!$C$7:$C$306,"&gt;="&amp;DATE($B$3,5,7),'Leave log'!$F$7:$F$306,"Pending")&gt;0,"P",""))))</f>
        <v/>
      </c>
      <c r="I166" s="23" t="str">
        <f>IF(A166="","",IF(IF(OR(DATE($B$3,5,8)&gt;EOMONTH(DATE($B$3,5,1),0),NETWORKDAYS.INTL(DATE($B$3,5,8),DATE($B$3,5,8),1,'Non-working days'!$A$6:$A$45)=0),"",IF(COUNTIFS('Leave log'!$A$7:$A$306,Employees!$A$29,'Leave log'!$B$7:$B$306,"&lt;="&amp;DATE($B$3,5,8),'Leave log'!$C$7:$C$306,"&gt;="&amp;DATE($B$3,5,8),'Leave log'!$F$7:$F$306,"Approved")&gt;0,"A",""))="A","A",IF(OR(DATE($B$3,5,8)&gt;EOMONTH(DATE($B$3,5,1),0),NETWORKDAYS.INTL(DATE($B$3,5,8),DATE($B$3,5,8),1,'Non-working days'!$A$6:$A$45)=0),"",IF(COUNTIFS('Leave log'!$A$7:$A$306,Employees!$A$29,'Leave log'!$B$7:$B$306,"&lt;="&amp;DATE($B$3,5,8),'Leave log'!$C$7:$C$306,"&gt;="&amp;DATE($B$3,5,8),'Leave log'!$F$7:$F$306,"Pending")&gt;0,"P",""))))</f>
        <v/>
      </c>
      <c r="J166" s="23" t="str">
        <f>IF(A166="","",IF(IF(OR(DATE($B$3,5,9)&gt;EOMONTH(DATE($B$3,5,1),0),NETWORKDAYS.INTL(DATE($B$3,5,9),DATE($B$3,5,9),1,'Non-working days'!$A$6:$A$45)=0),"",IF(COUNTIFS('Leave log'!$A$7:$A$306,Employees!$A$29,'Leave log'!$B$7:$B$306,"&lt;="&amp;DATE($B$3,5,9),'Leave log'!$C$7:$C$306,"&gt;="&amp;DATE($B$3,5,9),'Leave log'!$F$7:$F$306,"Approved")&gt;0,"A",""))="A","A",IF(OR(DATE($B$3,5,9)&gt;EOMONTH(DATE($B$3,5,1),0),NETWORKDAYS.INTL(DATE($B$3,5,9),DATE($B$3,5,9),1,'Non-working days'!$A$6:$A$45)=0),"",IF(COUNTIFS('Leave log'!$A$7:$A$306,Employees!$A$29,'Leave log'!$B$7:$B$306,"&lt;="&amp;DATE($B$3,5,9),'Leave log'!$C$7:$C$306,"&gt;="&amp;DATE($B$3,5,9),'Leave log'!$F$7:$F$306,"Pending")&gt;0,"P",""))))</f>
        <v/>
      </c>
      <c r="K166" s="23" t="str">
        <f>IF(A166="","",IF(IF(OR(DATE($B$3,5,10)&gt;EOMONTH(DATE($B$3,5,1),0),NETWORKDAYS.INTL(DATE($B$3,5,10),DATE($B$3,5,10),1,'Non-working days'!$A$6:$A$45)=0),"",IF(COUNTIFS('Leave log'!$A$7:$A$306,Employees!$A$29,'Leave log'!$B$7:$B$306,"&lt;="&amp;DATE($B$3,5,10),'Leave log'!$C$7:$C$306,"&gt;="&amp;DATE($B$3,5,10),'Leave log'!$F$7:$F$306,"Approved")&gt;0,"A",""))="A","A",IF(OR(DATE($B$3,5,10)&gt;EOMONTH(DATE($B$3,5,1),0),NETWORKDAYS.INTL(DATE($B$3,5,10),DATE($B$3,5,10),1,'Non-working days'!$A$6:$A$45)=0),"",IF(COUNTIFS('Leave log'!$A$7:$A$306,Employees!$A$29,'Leave log'!$B$7:$B$306,"&lt;="&amp;DATE($B$3,5,10),'Leave log'!$C$7:$C$306,"&gt;="&amp;DATE($B$3,5,10),'Leave log'!$F$7:$F$306,"Pending")&gt;0,"P",""))))</f>
        <v/>
      </c>
      <c r="L166" s="23" t="str">
        <f>IF(A166="","",IF(IF(OR(DATE($B$3,5,11)&gt;EOMONTH(DATE($B$3,5,1),0),NETWORKDAYS.INTL(DATE($B$3,5,11),DATE($B$3,5,11),1,'Non-working days'!$A$6:$A$45)=0),"",IF(COUNTIFS('Leave log'!$A$7:$A$306,Employees!$A$29,'Leave log'!$B$7:$B$306,"&lt;="&amp;DATE($B$3,5,11),'Leave log'!$C$7:$C$306,"&gt;="&amp;DATE($B$3,5,11),'Leave log'!$F$7:$F$306,"Approved")&gt;0,"A",""))="A","A",IF(OR(DATE($B$3,5,11)&gt;EOMONTH(DATE($B$3,5,1),0),NETWORKDAYS.INTL(DATE($B$3,5,11),DATE($B$3,5,11),1,'Non-working days'!$A$6:$A$45)=0),"",IF(COUNTIFS('Leave log'!$A$7:$A$306,Employees!$A$29,'Leave log'!$B$7:$B$306,"&lt;="&amp;DATE($B$3,5,11),'Leave log'!$C$7:$C$306,"&gt;="&amp;DATE($B$3,5,11),'Leave log'!$F$7:$F$306,"Pending")&gt;0,"P",""))))</f>
        <v/>
      </c>
      <c r="M166" s="23" t="str">
        <f>IF(A166="","",IF(IF(OR(DATE($B$3,5,12)&gt;EOMONTH(DATE($B$3,5,1),0),NETWORKDAYS.INTL(DATE($B$3,5,12),DATE($B$3,5,12),1,'Non-working days'!$A$6:$A$45)=0),"",IF(COUNTIFS('Leave log'!$A$7:$A$306,Employees!$A$29,'Leave log'!$B$7:$B$306,"&lt;="&amp;DATE($B$3,5,12),'Leave log'!$C$7:$C$306,"&gt;="&amp;DATE($B$3,5,12),'Leave log'!$F$7:$F$306,"Approved")&gt;0,"A",""))="A","A",IF(OR(DATE($B$3,5,12)&gt;EOMONTH(DATE($B$3,5,1),0),NETWORKDAYS.INTL(DATE($B$3,5,12),DATE($B$3,5,12),1,'Non-working days'!$A$6:$A$45)=0),"",IF(COUNTIFS('Leave log'!$A$7:$A$306,Employees!$A$29,'Leave log'!$B$7:$B$306,"&lt;="&amp;DATE($B$3,5,12),'Leave log'!$C$7:$C$306,"&gt;="&amp;DATE($B$3,5,12),'Leave log'!$F$7:$F$306,"Pending")&gt;0,"P",""))))</f>
        <v/>
      </c>
      <c r="N166" s="23" t="str">
        <f>IF(A166="","",IF(IF(OR(DATE($B$3,5,13)&gt;EOMONTH(DATE($B$3,5,1),0),NETWORKDAYS.INTL(DATE($B$3,5,13),DATE($B$3,5,13),1,'Non-working days'!$A$6:$A$45)=0),"",IF(COUNTIFS('Leave log'!$A$7:$A$306,Employees!$A$29,'Leave log'!$B$7:$B$306,"&lt;="&amp;DATE($B$3,5,13),'Leave log'!$C$7:$C$306,"&gt;="&amp;DATE($B$3,5,13),'Leave log'!$F$7:$F$306,"Approved")&gt;0,"A",""))="A","A",IF(OR(DATE($B$3,5,13)&gt;EOMONTH(DATE($B$3,5,1),0),NETWORKDAYS.INTL(DATE($B$3,5,13),DATE($B$3,5,13),1,'Non-working days'!$A$6:$A$45)=0),"",IF(COUNTIFS('Leave log'!$A$7:$A$306,Employees!$A$29,'Leave log'!$B$7:$B$306,"&lt;="&amp;DATE($B$3,5,13),'Leave log'!$C$7:$C$306,"&gt;="&amp;DATE($B$3,5,13),'Leave log'!$F$7:$F$306,"Pending")&gt;0,"P",""))))</f>
        <v/>
      </c>
      <c r="O166" s="23" t="str">
        <f>IF(A166="","",IF(IF(OR(DATE($B$3,5,14)&gt;EOMONTH(DATE($B$3,5,1),0),NETWORKDAYS.INTL(DATE($B$3,5,14),DATE($B$3,5,14),1,'Non-working days'!$A$6:$A$45)=0),"",IF(COUNTIFS('Leave log'!$A$7:$A$306,Employees!$A$29,'Leave log'!$B$7:$B$306,"&lt;="&amp;DATE($B$3,5,14),'Leave log'!$C$7:$C$306,"&gt;="&amp;DATE($B$3,5,14),'Leave log'!$F$7:$F$306,"Approved")&gt;0,"A",""))="A","A",IF(OR(DATE($B$3,5,14)&gt;EOMONTH(DATE($B$3,5,1),0),NETWORKDAYS.INTL(DATE($B$3,5,14),DATE($B$3,5,14),1,'Non-working days'!$A$6:$A$45)=0),"",IF(COUNTIFS('Leave log'!$A$7:$A$306,Employees!$A$29,'Leave log'!$B$7:$B$306,"&lt;="&amp;DATE($B$3,5,14),'Leave log'!$C$7:$C$306,"&gt;="&amp;DATE($B$3,5,14),'Leave log'!$F$7:$F$306,"Pending")&gt;0,"P",""))))</f>
        <v/>
      </c>
      <c r="P166" s="23" t="str">
        <f>IF(A166="","",IF(IF(OR(DATE($B$3,5,15)&gt;EOMONTH(DATE($B$3,5,1),0),NETWORKDAYS.INTL(DATE($B$3,5,15),DATE($B$3,5,15),1,'Non-working days'!$A$6:$A$45)=0),"",IF(COUNTIFS('Leave log'!$A$7:$A$306,Employees!$A$29,'Leave log'!$B$7:$B$306,"&lt;="&amp;DATE($B$3,5,15),'Leave log'!$C$7:$C$306,"&gt;="&amp;DATE($B$3,5,15),'Leave log'!$F$7:$F$306,"Approved")&gt;0,"A",""))="A","A",IF(OR(DATE($B$3,5,15)&gt;EOMONTH(DATE($B$3,5,1),0),NETWORKDAYS.INTL(DATE($B$3,5,15),DATE($B$3,5,15),1,'Non-working days'!$A$6:$A$45)=0),"",IF(COUNTIFS('Leave log'!$A$7:$A$306,Employees!$A$29,'Leave log'!$B$7:$B$306,"&lt;="&amp;DATE($B$3,5,15),'Leave log'!$C$7:$C$306,"&gt;="&amp;DATE($B$3,5,15),'Leave log'!$F$7:$F$306,"Pending")&gt;0,"P",""))))</f>
        <v/>
      </c>
      <c r="Q166" s="23" t="str">
        <f>IF(A166="","",IF(IF(OR(DATE($B$3,5,16)&gt;EOMONTH(DATE($B$3,5,1),0),NETWORKDAYS.INTL(DATE($B$3,5,16),DATE($B$3,5,16),1,'Non-working days'!$A$6:$A$45)=0),"",IF(COUNTIFS('Leave log'!$A$7:$A$306,Employees!$A$29,'Leave log'!$B$7:$B$306,"&lt;="&amp;DATE($B$3,5,16),'Leave log'!$C$7:$C$306,"&gt;="&amp;DATE($B$3,5,16),'Leave log'!$F$7:$F$306,"Approved")&gt;0,"A",""))="A","A",IF(OR(DATE($B$3,5,16)&gt;EOMONTH(DATE($B$3,5,1),0),NETWORKDAYS.INTL(DATE($B$3,5,16),DATE($B$3,5,16),1,'Non-working days'!$A$6:$A$45)=0),"",IF(COUNTIFS('Leave log'!$A$7:$A$306,Employees!$A$29,'Leave log'!$B$7:$B$306,"&lt;="&amp;DATE($B$3,5,16),'Leave log'!$C$7:$C$306,"&gt;="&amp;DATE($B$3,5,16),'Leave log'!$F$7:$F$306,"Pending")&gt;0,"P",""))))</f>
        <v/>
      </c>
      <c r="R166" s="23" t="str">
        <f>IF(A166="","",IF(IF(OR(DATE($B$3,5,17)&gt;EOMONTH(DATE($B$3,5,1),0),NETWORKDAYS.INTL(DATE($B$3,5,17),DATE($B$3,5,17),1,'Non-working days'!$A$6:$A$45)=0),"",IF(COUNTIFS('Leave log'!$A$7:$A$306,Employees!$A$29,'Leave log'!$B$7:$B$306,"&lt;="&amp;DATE($B$3,5,17),'Leave log'!$C$7:$C$306,"&gt;="&amp;DATE($B$3,5,17),'Leave log'!$F$7:$F$306,"Approved")&gt;0,"A",""))="A","A",IF(OR(DATE($B$3,5,17)&gt;EOMONTH(DATE($B$3,5,1),0),NETWORKDAYS.INTL(DATE($B$3,5,17),DATE($B$3,5,17),1,'Non-working days'!$A$6:$A$45)=0),"",IF(COUNTIFS('Leave log'!$A$7:$A$306,Employees!$A$29,'Leave log'!$B$7:$B$306,"&lt;="&amp;DATE($B$3,5,17),'Leave log'!$C$7:$C$306,"&gt;="&amp;DATE($B$3,5,17),'Leave log'!$F$7:$F$306,"Pending")&gt;0,"P",""))))</f>
        <v/>
      </c>
      <c r="S166" s="23" t="str">
        <f>IF(A166="","",IF(IF(OR(DATE($B$3,5,18)&gt;EOMONTH(DATE($B$3,5,1),0),NETWORKDAYS.INTL(DATE($B$3,5,18),DATE($B$3,5,18),1,'Non-working days'!$A$6:$A$45)=0),"",IF(COUNTIFS('Leave log'!$A$7:$A$306,Employees!$A$29,'Leave log'!$B$7:$B$306,"&lt;="&amp;DATE($B$3,5,18),'Leave log'!$C$7:$C$306,"&gt;="&amp;DATE($B$3,5,18),'Leave log'!$F$7:$F$306,"Approved")&gt;0,"A",""))="A","A",IF(OR(DATE($B$3,5,18)&gt;EOMONTH(DATE($B$3,5,1),0),NETWORKDAYS.INTL(DATE($B$3,5,18),DATE($B$3,5,18),1,'Non-working days'!$A$6:$A$45)=0),"",IF(COUNTIFS('Leave log'!$A$7:$A$306,Employees!$A$29,'Leave log'!$B$7:$B$306,"&lt;="&amp;DATE($B$3,5,18),'Leave log'!$C$7:$C$306,"&gt;="&amp;DATE($B$3,5,18),'Leave log'!$F$7:$F$306,"Pending")&gt;0,"P",""))))</f>
        <v/>
      </c>
      <c r="T166" s="23" t="str">
        <f>IF(A166="","",IF(IF(OR(DATE($B$3,5,19)&gt;EOMONTH(DATE($B$3,5,1),0),NETWORKDAYS.INTL(DATE($B$3,5,19),DATE($B$3,5,19),1,'Non-working days'!$A$6:$A$45)=0),"",IF(COUNTIFS('Leave log'!$A$7:$A$306,Employees!$A$29,'Leave log'!$B$7:$B$306,"&lt;="&amp;DATE($B$3,5,19),'Leave log'!$C$7:$C$306,"&gt;="&amp;DATE($B$3,5,19),'Leave log'!$F$7:$F$306,"Approved")&gt;0,"A",""))="A","A",IF(OR(DATE($B$3,5,19)&gt;EOMONTH(DATE($B$3,5,1),0),NETWORKDAYS.INTL(DATE($B$3,5,19),DATE($B$3,5,19),1,'Non-working days'!$A$6:$A$45)=0),"",IF(COUNTIFS('Leave log'!$A$7:$A$306,Employees!$A$29,'Leave log'!$B$7:$B$306,"&lt;="&amp;DATE($B$3,5,19),'Leave log'!$C$7:$C$306,"&gt;="&amp;DATE($B$3,5,19),'Leave log'!$F$7:$F$306,"Pending")&gt;0,"P",""))))</f>
        <v/>
      </c>
      <c r="U166" s="23" t="str">
        <f>IF(A166="","",IF(IF(OR(DATE($B$3,5,20)&gt;EOMONTH(DATE($B$3,5,1),0),NETWORKDAYS.INTL(DATE($B$3,5,20),DATE($B$3,5,20),1,'Non-working days'!$A$6:$A$45)=0),"",IF(COUNTIFS('Leave log'!$A$7:$A$306,Employees!$A$29,'Leave log'!$B$7:$B$306,"&lt;="&amp;DATE($B$3,5,20),'Leave log'!$C$7:$C$306,"&gt;="&amp;DATE($B$3,5,20),'Leave log'!$F$7:$F$306,"Approved")&gt;0,"A",""))="A","A",IF(OR(DATE($B$3,5,20)&gt;EOMONTH(DATE($B$3,5,1),0),NETWORKDAYS.INTL(DATE($B$3,5,20),DATE($B$3,5,20),1,'Non-working days'!$A$6:$A$45)=0),"",IF(COUNTIFS('Leave log'!$A$7:$A$306,Employees!$A$29,'Leave log'!$B$7:$B$306,"&lt;="&amp;DATE($B$3,5,20),'Leave log'!$C$7:$C$306,"&gt;="&amp;DATE($B$3,5,20),'Leave log'!$F$7:$F$306,"Pending")&gt;0,"P",""))))</f>
        <v/>
      </c>
      <c r="V166" s="23" t="str">
        <f>IF(A166="","",IF(IF(OR(DATE($B$3,5,21)&gt;EOMONTH(DATE($B$3,5,1),0),NETWORKDAYS.INTL(DATE($B$3,5,21),DATE($B$3,5,21),1,'Non-working days'!$A$6:$A$45)=0),"",IF(COUNTIFS('Leave log'!$A$7:$A$306,Employees!$A$29,'Leave log'!$B$7:$B$306,"&lt;="&amp;DATE($B$3,5,21),'Leave log'!$C$7:$C$306,"&gt;="&amp;DATE($B$3,5,21),'Leave log'!$F$7:$F$306,"Approved")&gt;0,"A",""))="A","A",IF(OR(DATE($B$3,5,21)&gt;EOMONTH(DATE($B$3,5,1),0),NETWORKDAYS.INTL(DATE($B$3,5,21),DATE($B$3,5,21),1,'Non-working days'!$A$6:$A$45)=0),"",IF(COUNTIFS('Leave log'!$A$7:$A$306,Employees!$A$29,'Leave log'!$B$7:$B$306,"&lt;="&amp;DATE($B$3,5,21),'Leave log'!$C$7:$C$306,"&gt;="&amp;DATE($B$3,5,21),'Leave log'!$F$7:$F$306,"Pending")&gt;0,"P",""))))</f>
        <v/>
      </c>
      <c r="W166" s="23" t="str">
        <f>IF(A166="","",IF(IF(OR(DATE($B$3,5,22)&gt;EOMONTH(DATE($B$3,5,1),0),NETWORKDAYS.INTL(DATE($B$3,5,22),DATE($B$3,5,22),1,'Non-working days'!$A$6:$A$45)=0),"",IF(COUNTIFS('Leave log'!$A$7:$A$306,Employees!$A$29,'Leave log'!$B$7:$B$306,"&lt;="&amp;DATE($B$3,5,22),'Leave log'!$C$7:$C$306,"&gt;="&amp;DATE($B$3,5,22),'Leave log'!$F$7:$F$306,"Approved")&gt;0,"A",""))="A","A",IF(OR(DATE($B$3,5,22)&gt;EOMONTH(DATE($B$3,5,1),0),NETWORKDAYS.INTL(DATE($B$3,5,22),DATE($B$3,5,22),1,'Non-working days'!$A$6:$A$45)=0),"",IF(COUNTIFS('Leave log'!$A$7:$A$306,Employees!$A$29,'Leave log'!$B$7:$B$306,"&lt;="&amp;DATE($B$3,5,22),'Leave log'!$C$7:$C$306,"&gt;="&amp;DATE($B$3,5,22),'Leave log'!$F$7:$F$306,"Pending")&gt;0,"P",""))))</f>
        <v/>
      </c>
      <c r="X166" s="23" t="str">
        <f>IF(A166="","",IF(IF(OR(DATE($B$3,5,23)&gt;EOMONTH(DATE($B$3,5,1),0),NETWORKDAYS.INTL(DATE($B$3,5,23),DATE($B$3,5,23),1,'Non-working days'!$A$6:$A$45)=0),"",IF(COUNTIFS('Leave log'!$A$7:$A$306,Employees!$A$29,'Leave log'!$B$7:$B$306,"&lt;="&amp;DATE($B$3,5,23),'Leave log'!$C$7:$C$306,"&gt;="&amp;DATE($B$3,5,23),'Leave log'!$F$7:$F$306,"Approved")&gt;0,"A",""))="A","A",IF(OR(DATE($B$3,5,23)&gt;EOMONTH(DATE($B$3,5,1),0),NETWORKDAYS.INTL(DATE($B$3,5,23),DATE($B$3,5,23),1,'Non-working days'!$A$6:$A$45)=0),"",IF(COUNTIFS('Leave log'!$A$7:$A$306,Employees!$A$29,'Leave log'!$B$7:$B$306,"&lt;="&amp;DATE($B$3,5,23),'Leave log'!$C$7:$C$306,"&gt;="&amp;DATE($B$3,5,23),'Leave log'!$F$7:$F$306,"Pending")&gt;0,"P",""))))</f>
        <v/>
      </c>
      <c r="Y166" s="23" t="str">
        <f>IF(A166="","",IF(IF(OR(DATE($B$3,5,24)&gt;EOMONTH(DATE($B$3,5,1),0),NETWORKDAYS.INTL(DATE($B$3,5,24),DATE($B$3,5,24),1,'Non-working days'!$A$6:$A$45)=0),"",IF(COUNTIFS('Leave log'!$A$7:$A$306,Employees!$A$29,'Leave log'!$B$7:$B$306,"&lt;="&amp;DATE($B$3,5,24),'Leave log'!$C$7:$C$306,"&gt;="&amp;DATE($B$3,5,24),'Leave log'!$F$7:$F$306,"Approved")&gt;0,"A",""))="A","A",IF(OR(DATE($B$3,5,24)&gt;EOMONTH(DATE($B$3,5,1),0),NETWORKDAYS.INTL(DATE($B$3,5,24),DATE($B$3,5,24),1,'Non-working days'!$A$6:$A$45)=0),"",IF(COUNTIFS('Leave log'!$A$7:$A$306,Employees!$A$29,'Leave log'!$B$7:$B$306,"&lt;="&amp;DATE($B$3,5,24),'Leave log'!$C$7:$C$306,"&gt;="&amp;DATE($B$3,5,24),'Leave log'!$F$7:$F$306,"Pending")&gt;0,"P",""))))</f>
        <v/>
      </c>
      <c r="Z166" s="23" t="str">
        <f>IF(A166="","",IF(IF(OR(DATE($B$3,5,25)&gt;EOMONTH(DATE($B$3,5,1),0),NETWORKDAYS.INTL(DATE($B$3,5,25),DATE($B$3,5,25),1,'Non-working days'!$A$6:$A$45)=0),"",IF(COUNTIFS('Leave log'!$A$7:$A$306,Employees!$A$29,'Leave log'!$B$7:$B$306,"&lt;="&amp;DATE($B$3,5,25),'Leave log'!$C$7:$C$306,"&gt;="&amp;DATE($B$3,5,25),'Leave log'!$F$7:$F$306,"Approved")&gt;0,"A",""))="A","A",IF(OR(DATE($B$3,5,25)&gt;EOMONTH(DATE($B$3,5,1),0),NETWORKDAYS.INTL(DATE($B$3,5,25),DATE($B$3,5,25),1,'Non-working days'!$A$6:$A$45)=0),"",IF(COUNTIFS('Leave log'!$A$7:$A$306,Employees!$A$29,'Leave log'!$B$7:$B$306,"&lt;="&amp;DATE($B$3,5,25),'Leave log'!$C$7:$C$306,"&gt;="&amp;DATE($B$3,5,25),'Leave log'!$F$7:$F$306,"Pending")&gt;0,"P",""))))</f>
        <v/>
      </c>
      <c r="AA166" s="23" t="str">
        <f>IF(A166="","",IF(IF(OR(DATE($B$3,5,26)&gt;EOMONTH(DATE($B$3,5,1),0),NETWORKDAYS.INTL(DATE($B$3,5,26),DATE($B$3,5,26),1,'Non-working days'!$A$6:$A$45)=0),"",IF(COUNTIFS('Leave log'!$A$7:$A$306,Employees!$A$29,'Leave log'!$B$7:$B$306,"&lt;="&amp;DATE($B$3,5,26),'Leave log'!$C$7:$C$306,"&gt;="&amp;DATE($B$3,5,26),'Leave log'!$F$7:$F$306,"Approved")&gt;0,"A",""))="A","A",IF(OR(DATE($B$3,5,26)&gt;EOMONTH(DATE($B$3,5,1),0),NETWORKDAYS.INTL(DATE($B$3,5,26),DATE($B$3,5,26),1,'Non-working days'!$A$6:$A$45)=0),"",IF(COUNTIFS('Leave log'!$A$7:$A$306,Employees!$A$29,'Leave log'!$B$7:$B$306,"&lt;="&amp;DATE($B$3,5,26),'Leave log'!$C$7:$C$306,"&gt;="&amp;DATE($B$3,5,26),'Leave log'!$F$7:$F$306,"Pending")&gt;0,"P",""))))</f>
        <v/>
      </c>
      <c r="AB166" s="23" t="str">
        <f>IF(A166="","",IF(IF(OR(DATE($B$3,5,27)&gt;EOMONTH(DATE($B$3,5,1),0),NETWORKDAYS.INTL(DATE($B$3,5,27),DATE($B$3,5,27),1,'Non-working days'!$A$6:$A$45)=0),"",IF(COUNTIFS('Leave log'!$A$7:$A$306,Employees!$A$29,'Leave log'!$B$7:$B$306,"&lt;="&amp;DATE($B$3,5,27),'Leave log'!$C$7:$C$306,"&gt;="&amp;DATE($B$3,5,27),'Leave log'!$F$7:$F$306,"Approved")&gt;0,"A",""))="A","A",IF(OR(DATE($B$3,5,27)&gt;EOMONTH(DATE($B$3,5,1),0),NETWORKDAYS.INTL(DATE($B$3,5,27),DATE($B$3,5,27),1,'Non-working days'!$A$6:$A$45)=0),"",IF(COUNTIFS('Leave log'!$A$7:$A$306,Employees!$A$29,'Leave log'!$B$7:$B$306,"&lt;="&amp;DATE($B$3,5,27),'Leave log'!$C$7:$C$306,"&gt;="&amp;DATE($B$3,5,27),'Leave log'!$F$7:$F$306,"Pending")&gt;0,"P",""))))</f>
        <v/>
      </c>
      <c r="AC166" s="23" t="str">
        <f>IF(A166="","",IF(IF(OR(DATE($B$3,5,28)&gt;EOMONTH(DATE($B$3,5,1),0),NETWORKDAYS.INTL(DATE($B$3,5,28),DATE($B$3,5,28),1,'Non-working days'!$A$6:$A$45)=0),"",IF(COUNTIFS('Leave log'!$A$7:$A$306,Employees!$A$29,'Leave log'!$B$7:$B$306,"&lt;="&amp;DATE($B$3,5,28),'Leave log'!$C$7:$C$306,"&gt;="&amp;DATE($B$3,5,28),'Leave log'!$F$7:$F$306,"Approved")&gt;0,"A",""))="A","A",IF(OR(DATE($B$3,5,28)&gt;EOMONTH(DATE($B$3,5,1),0),NETWORKDAYS.INTL(DATE($B$3,5,28),DATE($B$3,5,28),1,'Non-working days'!$A$6:$A$45)=0),"",IF(COUNTIFS('Leave log'!$A$7:$A$306,Employees!$A$29,'Leave log'!$B$7:$B$306,"&lt;="&amp;DATE($B$3,5,28),'Leave log'!$C$7:$C$306,"&gt;="&amp;DATE($B$3,5,28),'Leave log'!$F$7:$F$306,"Pending")&gt;0,"P",""))))</f>
        <v/>
      </c>
      <c r="AD166" s="23" t="str">
        <f>IF(A166="","",IF(IF(OR(DATE($B$3,5,29)&gt;EOMONTH(DATE($B$3,5,1),0),NETWORKDAYS.INTL(DATE($B$3,5,29),DATE($B$3,5,29),1,'Non-working days'!$A$6:$A$45)=0),"",IF(COUNTIFS('Leave log'!$A$7:$A$306,Employees!$A$29,'Leave log'!$B$7:$B$306,"&lt;="&amp;DATE($B$3,5,29),'Leave log'!$C$7:$C$306,"&gt;="&amp;DATE($B$3,5,29),'Leave log'!$F$7:$F$306,"Approved")&gt;0,"A",""))="A","A",IF(OR(DATE($B$3,5,29)&gt;EOMONTH(DATE($B$3,5,1),0),NETWORKDAYS.INTL(DATE($B$3,5,29),DATE($B$3,5,29),1,'Non-working days'!$A$6:$A$45)=0),"",IF(COUNTIFS('Leave log'!$A$7:$A$306,Employees!$A$29,'Leave log'!$B$7:$B$306,"&lt;="&amp;DATE($B$3,5,29),'Leave log'!$C$7:$C$306,"&gt;="&amp;DATE($B$3,5,29),'Leave log'!$F$7:$F$306,"Pending")&gt;0,"P",""))))</f>
        <v/>
      </c>
      <c r="AE166" s="23" t="str">
        <f>IF(A166="","",IF(IF(OR(DATE($B$3,5,30)&gt;EOMONTH(DATE($B$3,5,1),0),NETWORKDAYS.INTL(DATE($B$3,5,30),DATE($B$3,5,30),1,'Non-working days'!$A$6:$A$45)=0),"",IF(COUNTIFS('Leave log'!$A$7:$A$306,Employees!$A$29,'Leave log'!$B$7:$B$306,"&lt;="&amp;DATE($B$3,5,30),'Leave log'!$C$7:$C$306,"&gt;="&amp;DATE($B$3,5,30),'Leave log'!$F$7:$F$306,"Approved")&gt;0,"A",""))="A","A",IF(OR(DATE($B$3,5,30)&gt;EOMONTH(DATE($B$3,5,1),0),NETWORKDAYS.INTL(DATE($B$3,5,30),DATE($B$3,5,30),1,'Non-working days'!$A$6:$A$45)=0),"",IF(COUNTIFS('Leave log'!$A$7:$A$306,Employees!$A$29,'Leave log'!$B$7:$B$306,"&lt;="&amp;DATE($B$3,5,30),'Leave log'!$C$7:$C$306,"&gt;="&amp;DATE($B$3,5,30),'Leave log'!$F$7:$F$306,"Pending")&gt;0,"P",""))))</f>
        <v/>
      </c>
      <c r="AF166" s="23" t="str">
        <f>IF(A166="","",IF(IF(OR(DATE($B$3,5,31)&gt;EOMONTH(DATE($B$3,5,1),0),NETWORKDAYS.INTL(DATE($B$3,5,31),DATE($B$3,5,31),1,'Non-working days'!$A$6:$A$45)=0),"",IF(COUNTIFS('Leave log'!$A$7:$A$306,Employees!$A$29,'Leave log'!$B$7:$B$306,"&lt;="&amp;DATE($B$3,5,31),'Leave log'!$C$7:$C$306,"&gt;="&amp;DATE($B$3,5,31),'Leave log'!$F$7:$F$306,"Approved")&gt;0,"A",""))="A","A",IF(OR(DATE($B$3,5,31)&gt;EOMONTH(DATE($B$3,5,1),0),NETWORKDAYS.INTL(DATE($B$3,5,31),DATE($B$3,5,31),1,'Non-working days'!$A$6:$A$45)=0),"",IF(COUNTIFS('Leave log'!$A$7:$A$306,Employees!$A$29,'Leave log'!$B$7:$B$306,"&lt;="&amp;DATE($B$3,5,31),'Leave log'!$C$7:$C$306,"&gt;="&amp;DATE($B$3,5,31),'Leave log'!$F$7:$F$306,"Pending")&gt;0,"P",""))))</f>
        <v/>
      </c>
    </row>
    <row r="167" spans="1:32" ht="18" customHeight="1" x14ac:dyDescent="0.3">
      <c r="A167" s="22" t="str">
        <f>IF(Employees!F30="Yes",Employees!B30,"")</f>
        <v/>
      </c>
      <c r="B167" s="23" t="str">
        <f>IF(A167="","",IF(IF(OR(DATE($B$3,5,1)&gt;EOMONTH(DATE($B$3,5,1),0),NETWORKDAYS.INTL(DATE($B$3,5,1),DATE($B$3,5,1),1,'Non-working days'!$A$6:$A$45)=0),"",IF(COUNTIFS('Leave log'!$A$7:$A$306,Employees!$A$30,'Leave log'!$B$7:$B$306,"&lt;="&amp;DATE($B$3,5,1),'Leave log'!$C$7:$C$306,"&gt;="&amp;DATE($B$3,5,1),'Leave log'!$F$7:$F$306,"Approved")&gt;0,"A",""))="A","A",IF(OR(DATE($B$3,5,1)&gt;EOMONTH(DATE($B$3,5,1),0),NETWORKDAYS.INTL(DATE($B$3,5,1),DATE($B$3,5,1),1,'Non-working days'!$A$6:$A$45)=0),"",IF(COUNTIFS('Leave log'!$A$7:$A$306,Employees!$A$30,'Leave log'!$B$7:$B$306,"&lt;="&amp;DATE($B$3,5,1),'Leave log'!$C$7:$C$306,"&gt;="&amp;DATE($B$3,5,1),'Leave log'!$F$7:$F$306,"Pending")&gt;0,"P",""))))</f>
        <v/>
      </c>
      <c r="C167" s="23" t="str">
        <f>IF(A167="","",IF(IF(OR(DATE($B$3,5,2)&gt;EOMONTH(DATE($B$3,5,1),0),NETWORKDAYS.INTL(DATE($B$3,5,2),DATE($B$3,5,2),1,'Non-working days'!$A$6:$A$45)=0),"",IF(COUNTIFS('Leave log'!$A$7:$A$306,Employees!$A$30,'Leave log'!$B$7:$B$306,"&lt;="&amp;DATE($B$3,5,2),'Leave log'!$C$7:$C$306,"&gt;="&amp;DATE($B$3,5,2),'Leave log'!$F$7:$F$306,"Approved")&gt;0,"A",""))="A","A",IF(OR(DATE($B$3,5,2)&gt;EOMONTH(DATE($B$3,5,1),0),NETWORKDAYS.INTL(DATE($B$3,5,2),DATE($B$3,5,2),1,'Non-working days'!$A$6:$A$45)=0),"",IF(COUNTIFS('Leave log'!$A$7:$A$306,Employees!$A$30,'Leave log'!$B$7:$B$306,"&lt;="&amp;DATE($B$3,5,2),'Leave log'!$C$7:$C$306,"&gt;="&amp;DATE($B$3,5,2),'Leave log'!$F$7:$F$306,"Pending")&gt;0,"P",""))))</f>
        <v/>
      </c>
      <c r="D167" s="23" t="str">
        <f>IF(A167="","",IF(IF(OR(DATE($B$3,5,3)&gt;EOMONTH(DATE($B$3,5,1),0),NETWORKDAYS.INTL(DATE($B$3,5,3),DATE($B$3,5,3),1,'Non-working days'!$A$6:$A$45)=0),"",IF(COUNTIFS('Leave log'!$A$7:$A$306,Employees!$A$30,'Leave log'!$B$7:$B$306,"&lt;="&amp;DATE($B$3,5,3),'Leave log'!$C$7:$C$306,"&gt;="&amp;DATE($B$3,5,3),'Leave log'!$F$7:$F$306,"Approved")&gt;0,"A",""))="A","A",IF(OR(DATE($B$3,5,3)&gt;EOMONTH(DATE($B$3,5,1),0),NETWORKDAYS.INTL(DATE($B$3,5,3),DATE($B$3,5,3),1,'Non-working days'!$A$6:$A$45)=0),"",IF(COUNTIFS('Leave log'!$A$7:$A$306,Employees!$A$30,'Leave log'!$B$7:$B$306,"&lt;="&amp;DATE($B$3,5,3),'Leave log'!$C$7:$C$306,"&gt;="&amp;DATE($B$3,5,3),'Leave log'!$F$7:$F$306,"Pending")&gt;0,"P",""))))</f>
        <v/>
      </c>
      <c r="E167" s="23" t="str">
        <f>IF(A167="","",IF(IF(OR(DATE($B$3,5,4)&gt;EOMONTH(DATE($B$3,5,1),0),NETWORKDAYS.INTL(DATE($B$3,5,4),DATE($B$3,5,4),1,'Non-working days'!$A$6:$A$45)=0),"",IF(COUNTIFS('Leave log'!$A$7:$A$306,Employees!$A$30,'Leave log'!$B$7:$B$306,"&lt;="&amp;DATE($B$3,5,4),'Leave log'!$C$7:$C$306,"&gt;="&amp;DATE($B$3,5,4),'Leave log'!$F$7:$F$306,"Approved")&gt;0,"A",""))="A","A",IF(OR(DATE($B$3,5,4)&gt;EOMONTH(DATE($B$3,5,1),0),NETWORKDAYS.INTL(DATE($B$3,5,4),DATE($B$3,5,4),1,'Non-working days'!$A$6:$A$45)=0),"",IF(COUNTIFS('Leave log'!$A$7:$A$306,Employees!$A$30,'Leave log'!$B$7:$B$306,"&lt;="&amp;DATE($B$3,5,4),'Leave log'!$C$7:$C$306,"&gt;="&amp;DATE($B$3,5,4),'Leave log'!$F$7:$F$306,"Pending")&gt;0,"P",""))))</f>
        <v/>
      </c>
      <c r="F167" s="23" t="str">
        <f>IF(A167="","",IF(IF(OR(DATE($B$3,5,5)&gt;EOMONTH(DATE($B$3,5,1),0),NETWORKDAYS.INTL(DATE($B$3,5,5),DATE($B$3,5,5),1,'Non-working days'!$A$6:$A$45)=0),"",IF(COUNTIFS('Leave log'!$A$7:$A$306,Employees!$A$30,'Leave log'!$B$7:$B$306,"&lt;="&amp;DATE($B$3,5,5),'Leave log'!$C$7:$C$306,"&gt;="&amp;DATE($B$3,5,5),'Leave log'!$F$7:$F$306,"Approved")&gt;0,"A",""))="A","A",IF(OR(DATE($B$3,5,5)&gt;EOMONTH(DATE($B$3,5,1),0),NETWORKDAYS.INTL(DATE($B$3,5,5),DATE($B$3,5,5),1,'Non-working days'!$A$6:$A$45)=0),"",IF(COUNTIFS('Leave log'!$A$7:$A$306,Employees!$A$30,'Leave log'!$B$7:$B$306,"&lt;="&amp;DATE($B$3,5,5),'Leave log'!$C$7:$C$306,"&gt;="&amp;DATE($B$3,5,5),'Leave log'!$F$7:$F$306,"Pending")&gt;0,"P",""))))</f>
        <v/>
      </c>
      <c r="G167" s="23" t="str">
        <f>IF(A167="","",IF(IF(OR(DATE($B$3,5,6)&gt;EOMONTH(DATE($B$3,5,1),0),NETWORKDAYS.INTL(DATE($B$3,5,6),DATE($B$3,5,6),1,'Non-working days'!$A$6:$A$45)=0),"",IF(COUNTIFS('Leave log'!$A$7:$A$306,Employees!$A$30,'Leave log'!$B$7:$B$306,"&lt;="&amp;DATE($B$3,5,6),'Leave log'!$C$7:$C$306,"&gt;="&amp;DATE($B$3,5,6),'Leave log'!$F$7:$F$306,"Approved")&gt;0,"A",""))="A","A",IF(OR(DATE($B$3,5,6)&gt;EOMONTH(DATE($B$3,5,1),0),NETWORKDAYS.INTL(DATE($B$3,5,6),DATE($B$3,5,6),1,'Non-working days'!$A$6:$A$45)=0),"",IF(COUNTIFS('Leave log'!$A$7:$A$306,Employees!$A$30,'Leave log'!$B$7:$B$306,"&lt;="&amp;DATE($B$3,5,6),'Leave log'!$C$7:$C$306,"&gt;="&amp;DATE($B$3,5,6),'Leave log'!$F$7:$F$306,"Pending")&gt;0,"P",""))))</f>
        <v/>
      </c>
      <c r="H167" s="23" t="str">
        <f>IF(A167="","",IF(IF(OR(DATE($B$3,5,7)&gt;EOMONTH(DATE($B$3,5,1),0),NETWORKDAYS.INTL(DATE($B$3,5,7),DATE($B$3,5,7),1,'Non-working days'!$A$6:$A$45)=0),"",IF(COUNTIFS('Leave log'!$A$7:$A$306,Employees!$A$30,'Leave log'!$B$7:$B$306,"&lt;="&amp;DATE($B$3,5,7),'Leave log'!$C$7:$C$306,"&gt;="&amp;DATE($B$3,5,7),'Leave log'!$F$7:$F$306,"Approved")&gt;0,"A",""))="A","A",IF(OR(DATE($B$3,5,7)&gt;EOMONTH(DATE($B$3,5,1),0),NETWORKDAYS.INTL(DATE($B$3,5,7),DATE($B$3,5,7),1,'Non-working days'!$A$6:$A$45)=0),"",IF(COUNTIFS('Leave log'!$A$7:$A$306,Employees!$A$30,'Leave log'!$B$7:$B$306,"&lt;="&amp;DATE($B$3,5,7),'Leave log'!$C$7:$C$306,"&gt;="&amp;DATE($B$3,5,7),'Leave log'!$F$7:$F$306,"Pending")&gt;0,"P",""))))</f>
        <v/>
      </c>
      <c r="I167" s="23" t="str">
        <f>IF(A167="","",IF(IF(OR(DATE($B$3,5,8)&gt;EOMONTH(DATE($B$3,5,1),0),NETWORKDAYS.INTL(DATE($B$3,5,8),DATE($B$3,5,8),1,'Non-working days'!$A$6:$A$45)=0),"",IF(COUNTIFS('Leave log'!$A$7:$A$306,Employees!$A$30,'Leave log'!$B$7:$B$306,"&lt;="&amp;DATE($B$3,5,8),'Leave log'!$C$7:$C$306,"&gt;="&amp;DATE($B$3,5,8),'Leave log'!$F$7:$F$306,"Approved")&gt;0,"A",""))="A","A",IF(OR(DATE($B$3,5,8)&gt;EOMONTH(DATE($B$3,5,1),0),NETWORKDAYS.INTL(DATE($B$3,5,8),DATE($B$3,5,8),1,'Non-working days'!$A$6:$A$45)=0),"",IF(COUNTIFS('Leave log'!$A$7:$A$306,Employees!$A$30,'Leave log'!$B$7:$B$306,"&lt;="&amp;DATE($B$3,5,8),'Leave log'!$C$7:$C$306,"&gt;="&amp;DATE($B$3,5,8),'Leave log'!$F$7:$F$306,"Pending")&gt;0,"P",""))))</f>
        <v/>
      </c>
      <c r="J167" s="23" t="str">
        <f>IF(A167="","",IF(IF(OR(DATE($B$3,5,9)&gt;EOMONTH(DATE($B$3,5,1),0),NETWORKDAYS.INTL(DATE($B$3,5,9),DATE($B$3,5,9),1,'Non-working days'!$A$6:$A$45)=0),"",IF(COUNTIFS('Leave log'!$A$7:$A$306,Employees!$A$30,'Leave log'!$B$7:$B$306,"&lt;="&amp;DATE($B$3,5,9),'Leave log'!$C$7:$C$306,"&gt;="&amp;DATE($B$3,5,9),'Leave log'!$F$7:$F$306,"Approved")&gt;0,"A",""))="A","A",IF(OR(DATE($B$3,5,9)&gt;EOMONTH(DATE($B$3,5,1),0),NETWORKDAYS.INTL(DATE($B$3,5,9),DATE($B$3,5,9),1,'Non-working days'!$A$6:$A$45)=0),"",IF(COUNTIFS('Leave log'!$A$7:$A$306,Employees!$A$30,'Leave log'!$B$7:$B$306,"&lt;="&amp;DATE($B$3,5,9),'Leave log'!$C$7:$C$306,"&gt;="&amp;DATE($B$3,5,9),'Leave log'!$F$7:$F$306,"Pending")&gt;0,"P",""))))</f>
        <v/>
      </c>
      <c r="K167" s="23" t="str">
        <f>IF(A167="","",IF(IF(OR(DATE($B$3,5,10)&gt;EOMONTH(DATE($B$3,5,1),0),NETWORKDAYS.INTL(DATE($B$3,5,10),DATE($B$3,5,10),1,'Non-working days'!$A$6:$A$45)=0),"",IF(COUNTIFS('Leave log'!$A$7:$A$306,Employees!$A$30,'Leave log'!$B$7:$B$306,"&lt;="&amp;DATE($B$3,5,10),'Leave log'!$C$7:$C$306,"&gt;="&amp;DATE($B$3,5,10),'Leave log'!$F$7:$F$306,"Approved")&gt;0,"A",""))="A","A",IF(OR(DATE($B$3,5,10)&gt;EOMONTH(DATE($B$3,5,1),0),NETWORKDAYS.INTL(DATE($B$3,5,10),DATE($B$3,5,10),1,'Non-working days'!$A$6:$A$45)=0),"",IF(COUNTIFS('Leave log'!$A$7:$A$306,Employees!$A$30,'Leave log'!$B$7:$B$306,"&lt;="&amp;DATE($B$3,5,10),'Leave log'!$C$7:$C$306,"&gt;="&amp;DATE($B$3,5,10),'Leave log'!$F$7:$F$306,"Pending")&gt;0,"P",""))))</f>
        <v/>
      </c>
      <c r="L167" s="23" t="str">
        <f>IF(A167="","",IF(IF(OR(DATE($B$3,5,11)&gt;EOMONTH(DATE($B$3,5,1),0),NETWORKDAYS.INTL(DATE($B$3,5,11),DATE($B$3,5,11),1,'Non-working days'!$A$6:$A$45)=0),"",IF(COUNTIFS('Leave log'!$A$7:$A$306,Employees!$A$30,'Leave log'!$B$7:$B$306,"&lt;="&amp;DATE($B$3,5,11),'Leave log'!$C$7:$C$306,"&gt;="&amp;DATE($B$3,5,11),'Leave log'!$F$7:$F$306,"Approved")&gt;0,"A",""))="A","A",IF(OR(DATE($B$3,5,11)&gt;EOMONTH(DATE($B$3,5,1),0),NETWORKDAYS.INTL(DATE($B$3,5,11),DATE($B$3,5,11),1,'Non-working days'!$A$6:$A$45)=0),"",IF(COUNTIFS('Leave log'!$A$7:$A$306,Employees!$A$30,'Leave log'!$B$7:$B$306,"&lt;="&amp;DATE($B$3,5,11),'Leave log'!$C$7:$C$306,"&gt;="&amp;DATE($B$3,5,11),'Leave log'!$F$7:$F$306,"Pending")&gt;0,"P",""))))</f>
        <v/>
      </c>
      <c r="M167" s="23" t="str">
        <f>IF(A167="","",IF(IF(OR(DATE($B$3,5,12)&gt;EOMONTH(DATE($B$3,5,1),0),NETWORKDAYS.INTL(DATE($B$3,5,12),DATE($B$3,5,12),1,'Non-working days'!$A$6:$A$45)=0),"",IF(COUNTIFS('Leave log'!$A$7:$A$306,Employees!$A$30,'Leave log'!$B$7:$B$306,"&lt;="&amp;DATE($B$3,5,12),'Leave log'!$C$7:$C$306,"&gt;="&amp;DATE($B$3,5,12),'Leave log'!$F$7:$F$306,"Approved")&gt;0,"A",""))="A","A",IF(OR(DATE($B$3,5,12)&gt;EOMONTH(DATE($B$3,5,1),0),NETWORKDAYS.INTL(DATE($B$3,5,12),DATE($B$3,5,12),1,'Non-working days'!$A$6:$A$45)=0),"",IF(COUNTIFS('Leave log'!$A$7:$A$306,Employees!$A$30,'Leave log'!$B$7:$B$306,"&lt;="&amp;DATE($B$3,5,12),'Leave log'!$C$7:$C$306,"&gt;="&amp;DATE($B$3,5,12),'Leave log'!$F$7:$F$306,"Pending")&gt;0,"P",""))))</f>
        <v/>
      </c>
      <c r="N167" s="23" t="str">
        <f>IF(A167="","",IF(IF(OR(DATE($B$3,5,13)&gt;EOMONTH(DATE($B$3,5,1),0),NETWORKDAYS.INTL(DATE($B$3,5,13),DATE($B$3,5,13),1,'Non-working days'!$A$6:$A$45)=0),"",IF(COUNTIFS('Leave log'!$A$7:$A$306,Employees!$A$30,'Leave log'!$B$7:$B$306,"&lt;="&amp;DATE($B$3,5,13),'Leave log'!$C$7:$C$306,"&gt;="&amp;DATE($B$3,5,13),'Leave log'!$F$7:$F$306,"Approved")&gt;0,"A",""))="A","A",IF(OR(DATE($B$3,5,13)&gt;EOMONTH(DATE($B$3,5,1),0),NETWORKDAYS.INTL(DATE($B$3,5,13),DATE($B$3,5,13),1,'Non-working days'!$A$6:$A$45)=0),"",IF(COUNTIFS('Leave log'!$A$7:$A$306,Employees!$A$30,'Leave log'!$B$7:$B$306,"&lt;="&amp;DATE($B$3,5,13),'Leave log'!$C$7:$C$306,"&gt;="&amp;DATE($B$3,5,13),'Leave log'!$F$7:$F$306,"Pending")&gt;0,"P",""))))</f>
        <v/>
      </c>
      <c r="O167" s="23" t="str">
        <f>IF(A167="","",IF(IF(OR(DATE($B$3,5,14)&gt;EOMONTH(DATE($B$3,5,1),0),NETWORKDAYS.INTL(DATE($B$3,5,14),DATE($B$3,5,14),1,'Non-working days'!$A$6:$A$45)=0),"",IF(COUNTIFS('Leave log'!$A$7:$A$306,Employees!$A$30,'Leave log'!$B$7:$B$306,"&lt;="&amp;DATE($B$3,5,14),'Leave log'!$C$7:$C$306,"&gt;="&amp;DATE($B$3,5,14),'Leave log'!$F$7:$F$306,"Approved")&gt;0,"A",""))="A","A",IF(OR(DATE($B$3,5,14)&gt;EOMONTH(DATE($B$3,5,1),0),NETWORKDAYS.INTL(DATE($B$3,5,14),DATE($B$3,5,14),1,'Non-working days'!$A$6:$A$45)=0),"",IF(COUNTIFS('Leave log'!$A$7:$A$306,Employees!$A$30,'Leave log'!$B$7:$B$306,"&lt;="&amp;DATE($B$3,5,14),'Leave log'!$C$7:$C$306,"&gt;="&amp;DATE($B$3,5,14),'Leave log'!$F$7:$F$306,"Pending")&gt;0,"P",""))))</f>
        <v/>
      </c>
      <c r="P167" s="23" t="str">
        <f>IF(A167="","",IF(IF(OR(DATE($B$3,5,15)&gt;EOMONTH(DATE($B$3,5,1),0),NETWORKDAYS.INTL(DATE($B$3,5,15),DATE($B$3,5,15),1,'Non-working days'!$A$6:$A$45)=0),"",IF(COUNTIFS('Leave log'!$A$7:$A$306,Employees!$A$30,'Leave log'!$B$7:$B$306,"&lt;="&amp;DATE($B$3,5,15),'Leave log'!$C$7:$C$306,"&gt;="&amp;DATE($B$3,5,15),'Leave log'!$F$7:$F$306,"Approved")&gt;0,"A",""))="A","A",IF(OR(DATE($B$3,5,15)&gt;EOMONTH(DATE($B$3,5,1),0),NETWORKDAYS.INTL(DATE($B$3,5,15),DATE($B$3,5,15),1,'Non-working days'!$A$6:$A$45)=0),"",IF(COUNTIFS('Leave log'!$A$7:$A$306,Employees!$A$30,'Leave log'!$B$7:$B$306,"&lt;="&amp;DATE($B$3,5,15),'Leave log'!$C$7:$C$306,"&gt;="&amp;DATE($B$3,5,15),'Leave log'!$F$7:$F$306,"Pending")&gt;0,"P",""))))</f>
        <v/>
      </c>
      <c r="Q167" s="23" t="str">
        <f>IF(A167="","",IF(IF(OR(DATE($B$3,5,16)&gt;EOMONTH(DATE($B$3,5,1),0),NETWORKDAYS.INTL(DATE($B$3,5,16),DATE($B$3,5,16),1,'Non-working days'!$A$6:$A$45)=0),"",IF(COUNTIFS('Leave log'!$A$7:$A$306,Employees!$A$30,'Leave log'!$B$7:$B$306,"&lt;="&amp;DATE($B$3,5,16),'Leave log'!$C$7:$C$306,"&gt;="&amp;DATE($B$3,5,16),'Leave log'!$F$7:$F$306,"Approved")&gt;0,"A",""))="A","A",IF(OR(DATE($B$3,5,16)&gt;EOMONTH(DATE($B$3,5,1),0),NETWORKDAYS.INTL(DATE($B$3,5,16),DATE($B$3,5,16),1,'Non-working days'!$A$6:$A$45)=0),"",IF(COUNTIFS('Leave log'!$A$7:$A$306,Employees!$A$30,'Leave log'!$B$7:$B$306,"&lt;="&amp;DATE($B$3,5,16),'Leave log'!$C$7:$C$306,"&gt;="&amp;DATE($B$3,5,16),'Leave log'!$F$7:$F$306,"Pending")&gt;0,"P",""))))</f>
        <v/>
      </c>
      <c r="R167" s="23" t="str">
        <f>IF(A167="","",IF(IF(OR(DATE($B$3,5,17)&gt;EOMONTH(DATE($B$3,5,1),0),NETWORKDAYS.INTL(DATE($B$3,5,17),DATE($B$3,5,17),1,'Non-working days'!$A$6:$A$45)=0),"",IF(COUNTIFS('Leave log'!$A$7:$A$306,Employees!$A$30,'Leave log'!$B$7:$B$306,"&lt;="&amp;DATE($B$3,5,17),'Leave log'!$C$7:$C$306,"&gt;="&amp;DATE($B$3,5,17),'Leave log'!$F$7:$F$306,"Approved")&gt;0,"A",""))="A","A",IF(OR(DATE($B$3,5,17)&gt;EOMONTH(DATE($B$3,5,1),0),NETWORKDAYS.INTL(DATE($B$3,5,17),DATE($B$3,5,17),1,'Non-working days'!$A$6:$A$45)=0),"",IF(COUNTIFS('Leave log'!$A$7:$A$306,Employees!$A$30,'Leave log'!$B$7:$B$306,"&lt;="&amp;DATE($B$3,5,17),'Leave log'!$C$7:$C$306,"&gt;="&amp;DATE($B$3,5,17),'Leave log'!$F$7:$F$306,"Pending")&gt;0,"P",""))))</f>
        <v/>
      </c>
      <c r="S167" s="23" t="str">
        <f>IF(A167="","",IF(IF(OR(DATE($B$3,5,18)&gt;EOMONTH(DATE($B$3,5,1),0),NETWORKDAYS.INTL(DATE($B$3,5,18),DATE($B$3,5,18),1,'Non-working days'!$A$6:$A$45)=0),"",IF(COUNTIFS('Leave log'!$A$7:$A$306,Employees!$A$30,'Leave log'!$B$7:$B$306,"&lt;="&amp;DATE($B$3,5,18),'Leave log'!$C$7:$C$306,"&gt;="&amp;DATE($B$3,5,18),'Leave log'!$F$7:$F$306,"Approved")&gt;0,"A",""))="A","A",IF(OR(DATE($B$3,5,18)&gt;EOMONTH(DATE($B$3,5,1),0),NETWORKDAYS.INTL(DATE($B$3,5,18),DATE($B$3,5,18),1,'Non-working days'!$A$6:$A$45)=0),"",IF(COUNTIFS('Leave log'!$A$7:$A$306,Employees!$A$30,'Leave log'!$B$7:$B$306,"&lt;="&amp;DATE($B$3,5,18),'Leave log'!$C$7:$C$306,"&gt;="&amp;DATE($B$3,5,18),'Leave log'!$F$7:$F$306,"Pending")&gt;0,"P",""))))</f>
        <v/>
      </c>
      <c r="T167" s="23" t="str">
        <f>IF(A167="","",IF(IF(OR(DATE($B$3,5,19)&gt;EOMONTH(DATE($B$3,5,1),0),NETWORKDAYS.INTL(DATE($B$3,5,19),DATE($B$3,5,19),1,'Non-working days'!$A$6:$A$45)=0),"",IF(COUNTIFS('Leave log'!$A$7:$A$306,Employees!$A$30,'Leave log'!$B$7:$B$306,"&lt;="&amp;DATE($B$3,5,19),'Leave log'!$C$7:$C$306,"&gt;="&amp;DATE($B$3,5,19),'Leave log'!$F$7:$F$306,"Approved")&gt;0,"A",""))="A","A",IF(OR(DATE($B$3,5,19)&gt;EOMONTH(DATE($B$3,5,1),0),NETWORKDAYS.INTL(DATE($B$3,5,19),DATE($B$3,5,19),1,'Non-working days'!$A$6:$A$45)=0),"",IF(COUNTIFS('Leave log'!$A$7:$A$306,Employees!$A$30,'Leave log'!$B$7:$B$306,"&lt;="&amp;DATE($B$3,5,19),'Leave log'!$C$7:$C$306,"&gt;="&amp;DATE($B$3,5,19),'Leave log'!$F$7:$F$306,"Pending")&gt;0,"P",""))))</f>
        <v/>
      </c>
      <c r="U167" s="23" t="str">
        <f>IF(A167="","",IF(IF(OR(DATE($B$3,5,20)&gt;EOMONTH(DATE($B$3,5,1),0),NETWORKDAYS.INTL(DATE($B$3,5,20),DATE($B$3,5,20),1,'Non-working days'!$A$6:$A$45)=0),"",IF(COUNTIFS('Leave log'!$A$7:$A$306,Employees!$A$30,'Leave log'!$B$7:$B$306,"&lt;="&amp;DATE($B$3,5,20),'Leave log'!$C$7:$C$306,"&gt;="&amp;DATE($B$3,5,20),'Leave log'!$F$7:$F$306,"Approved")&gt;0,"A",""))="A","A",IF(OR(DATE($B$3,5,20)&gt;EOMONTH(DATE($B$3,5,1),0),NETWORKDAYS.INTL(DATE($B$3,5,20),DATE($B$3,5,20),1,'Non-working days'!$A$6:$A$45)=0),"",IF(COUNTIFS('Leave log'!$A$7:$A$306,Employees!$A$30,'Leave log'!$B$7:$B$306,"&lt;="&amp;DATE($B$3,5,20),'Leave log'!$C$7:$C$306,"&gt;="&amp;DATE($B$3,5,20),'Leave log'!$F$7:$F$306,"Pending")&gt;0,"P",""))))</f>
        <v/>
      </c>
      <c r="V167" s="23" t="str">
        <f>IF(A167="","",IF(IF(OR(DATE($B$3,5,21)&gt;EOMONTH(DATE($B$3,5,1),0),NETWORKDAYS.INTL(DATE($B$3,5,21),DATE($B$3,5,21),1,'Non-working days'!$A$6:$A$45)=0),"",IF(COUNTIFS('Leave log'!$A$7:$A$306,Employees!$A$30,'Leave log'!$B$7:$B$306,"&lt;="&amp;DATE($B$3,5,21),'Leave log'!$C$7:$C$306,"&gt;="&amp;DATE($B$3,5,21),'Leave log'!$F$7:$F$306,"Approved")&gt;0,"A",""))="A","A",IF(OR(DATE($B$3,5,21)&gt;EOMONTH(DATE($B$3,5,1),0),NETWORKDAYS.INTL(DATE($B$3,5,21),DATE($B$3,5,21),1,'Non-working days'!$A$6:$A$45)=0),"",IF(COUNTIFS('Leave log'!$A$7:$A$306,Employees!$A$30,'Leave log'!$B$7:$B$306,"&lt;="&amp;DATE($B$3,5,21),'Leave log'!$C$7:$C$306,"&gt;="&amp;DATE($B$3,5,21),'Leave log'!$F$7:$F$306,"Pending")&gt;0,"P",""))))</f>
        <v/>
      </c>
      <c r="W167" s="23" t="str">
        <f>IF(A167="","",IF(IF(OR(DATE($B$3,5,22)&gt;EOMONTH(DATE($B$3,5,1),0),NETWORKDAYS.INTL(DATE($B$3,5,22),DATE($B$3,5,22),1,'Non-working days'!$A$6:$A$45)=0),"",IF(COUNTIFS('Leave log'!$A$7:$A$306,Employees!$A$30,'Leave log'!$B$7:$B$306,"&lt;="&amp;DATE($B$3,5,22),'Leave log'!$C$7:$C$306,"&gt;="&amp;DATE($B$3,5,22),'Leave log'!$F$7:$F$306,"Approved")&gt;0,"A",""))="A","A",IF(OR(DATE($B$3,5,22)&gt;EOMONTH(DATE($B$3,5,1),0),NETWORKDAYS.INTL(DATE($B$3,5,22),DATE($B$3,5,22),1,'Non-working days'!$A$6:$A$45)=0),"",IF(COUNTIFS('Leave log'!$A$7:$A$306,Employees!$A$30,'Leave log'!$B$7:$B$306,"&lt;="&amp;DATE($B$3,5,22),'Leave log'!$C$7:$C$306,"&gt;="&amp;DATE($B$3,5,22),'Leave log'!$F$7:$F$306,"Pending")&gt;0,"P",""))))</f>
        <v/>
      </c>
      <c r="X167" s="23" t="str">
        <f>IF(A167="","",IF(IF(OR(DATE($B$3,5,23)&gt;EOMONTH(DATE($B$3,5,1),0),NETWORKDAYS.INTL(DATE($B$3,5,23),DATE($B$3,5,23),1,'Non-working days'!$A$6:$A$45)=0),"",IF(COUNTIFS('Leave log'!$A$7:$A$306,Employees!$A$30,'Leave log'!$B$7:$B$306,"&lt;="&amp;DATE($B$3,5,23),'Leave log'!$C$7:$C$306,"&gt;="&amp;DATE($B$3,5,23),'Leave log'!$F$7:$F$306,"Approved")&gt;0,"A",""))="A","A",IF(OR(DATE($B$3,5,23)&gt;EOMONTH(DATE($B$3,5,1),0),NETWORKDAYS.INTL(DATE($B$3,5,23),DATE($B$3,5,23),1,'Non-working days'!$A$6:$A$45)=0),"",IF(COUNTIFS('Leave log'!$A$7:$A$306,Employees!$A$30,'Leave log'!$B$7:$B$306,"&lt;="&amp;DATE($B$3,5,23),'Leave log'!$C$7:$C$306,"&gt;="&amp;DATE($B$3,5,23),'Leave log'!$F$7:$F$306,"Pending")&gt;0,"P",""))))</f>
        <v/>
      </c>
      <c r="Y167" s="23" t="str">
        <f>IF(A167="","",IF(IF(OR(DATE($B$3,5,24)&gt;EOMONTH(DATE($B$3,5,1),0),NETWORKDAYS.INTL(DATE($B$3,5,24),DATE($B$3,5,24),1,'Non-working days'!$A$6:$A$45)=0),"",IF(COUNTIFS('Leave log'!$A$7:$A$306,Employees!$A$30,'Leave log'!$B$7:$B$306,"&lt;="&amp;DATE($B$3,5,24),'Leave log'!$C$7:$C$306,"&gt;="&amp;DATE($B$3,5,24),'Leave log'!$F$7:$F$306,"Approved")&gt;0,"A",""))="A","A",IF(OR(DATE($B$3,5,24)&gt;EOMONTH(DATE($B$3,5,1),0),NETWORKDAYS.INTL(DATE($B$3,5,24),DATE($B$3,5,24),1,'Non-working days'!$A$6:$A$45)=0),"",IF(COUNTIFS('Leave log'!$A$7:$A$306,Employees!$A$30,'Leave log'!$B$7:$B$306,"&lt;="&amp;DATE($B$3,5,24),'Leave log'!$C$7:$C$306,"&gt;="&amp;DATE($B$3,5,24),'Leave log'!$F$7:$F$306,"Pending")&gt;0,"P",""))))</f>
        <v/>
      </c>
      <c r="Z167" s="23" t="str">
        <f>IF(A167="","",IF(IF(OR(DATE($B$3,5,25)&gt;EOMONTH(DATE($B$3,5,1),0),NETWORKDAYS.INTL(DATE($B$3,5,25),DATE($B$3,5,25),1,'Non-working days'!$A$6:$A$45)=0),"",IF(COUNTIFS('Leave log'!$A$7:$A$306,Employees!$A$30,'Leave log'!$B$7:$B$306,"&lt;="&amp;DATE($B$3,5,25),'Leave log'!$C$7:$C$306,"&gt;="&amp;DATE($B$3,5,25),'Leave log'!$F$7:$F$306,"Approved")&gt;0,"A",""))="A","A",IF(OR(DATE($B$3,5,25)&gt;EOMONTH(DATE($B$3,5,1),0),NETWORKDAYS.INTL(DATE($B$3,5,25),DATE($B$3,5,25),1,'Non-working days'!$A$6:$A$45)=0),"",IF(COUNTIFS('Leave log'!$A$7:$A$306,Employees!$A$30,'Leave log'!$B$7:$B$306,"&lt;="&amp;DATE($B$3,5,25),'Leave log'!$C$7:$C$306,"&gt;="&amp;DATE($B$3,5,25),'Leave log'!$F$7:$F$306,"Pending")&gt;0,"P",""))))</f>
        <v/>
      </c>
      <c r="AA167" s="23" t="str">
        <f>IF(A167="","",IF(IF(OR(DATE($B$3,5,26)&gt;EOMONTH(DATE($B$3,5,1),0),NETWORKDAYS.INTL(DATE($B$3,5,26),DATE($B$3,5,26),1,'Non-working days'!$A$6:$A$45)=0),"",IF(COUNTIFS('Leave log'!$A$7:$A$306,Employees!$A$30,'Leave log'!$B$7:$B$306,"&lt;="&amp;DATE($B$3,5,26),'Leave log'!$C$7:$C$306,"&gt;="&amp;DATE($B$3,5,26),'Leave log'!$F$7:$F$306,"Approved")&gt;0,"A",""))="A","A",IF(OR(DATE($B$3,5,26)&gt;EOMONTH(DATE($B$3,5,1),0),NETWORKDAYS.INTL(DATE($B$3,5,26),DATE($B$3,5,26),1,'Non-working days'!$A$6:$A$45)=0),"",IF(COUNTIFS('Leave log'!$A$7:$A$306,Employees!$A$30,'Leave log'!$B$7:$B$306,"&lt;="&amp;DATE($B$3,5,26),'Leave log'!$C$7:$C$306,"&gt;="&amp;DATE($B$3,5,26),'Leave log'!$F$7:$F$306,"Pending")&gt;0,"P",""))))</f>
        <v/>
      </c>
      <c r="AB167" s="23" t="str">
        <f>IF(A167="","",IF(IF(OR(DATE($B$3,5,27)&gt;EOMONTH(DATE($B$3,5,1),0),NETWORKDAYS.INTL(DATE($B$3,5,27),DATE($B$3,5,27),1,'Non-working days'!$A$6:$A$45)=0),"",IF(COUNTIFS('Leave log'!$A$7:$A$306,Employees!$A$30,'Leave log'!$B$7:$B$306,"&lt;="&amp;DATE($B$3,5,27),'Leave log'!$C$7:$C$306,"&gt;="&amp;DATE($B$3,5,27),'Leave log'!$F$7:$F$306,"Approved")&gt;0,"A",""))="A","A",IF(OR(DATE($B$3,5,27)&gt;EOMONTH(DATE($B$3,5,1),0),NETWORKDAYS.INTL(DATE($B$3,5,27),DATE($B$3,5,27),1,'Non-working days'!$A$6:$A$45)=0),"",IF(COUNTIFS('Leave log'!$A$7:$A$306,Employees!$A$30,'Leave log'!$B$7:$B$306,"&lt;="&amp;DATE($B$3,5,27),'Leave log'!$C$7:$C$306,"&gt;="&amp;DATE($B$3,5,27),'Leave log'!$F$7:$F$306,"Pending")&gt;0,"P",""))))</f>
        <v/>
      </c>
      <c r="AC167" s="23" t="str">
        <f>IF(A167="","",IF(IF(OR(DATE($B$3,5,28)&gt;EOMONTH(DATE($B$3,5,1),0),NETWORKDAYS.INTL(DATE($B$3,5,28),DATE($B$3,5,28),1,'Non-working days'!$A$6:$A$45)=0),"",IF(COUNTIFS('Leave log'!$A$7:$A$306,Employees!$A$30,'Leave log'!$B$7:$B$306,"&lt;="&amp;DATE($B$3,5,28),'Leave log'!$C$7:$C$306,"&gt;="&amp;DATE($B$3,5,28),'Leave log'!$F$7:$F$306,"Approved")&gt;0,"A",""))="A","A",IF(OR(DATE($B$3,5,28)&gt;EOMONTH(DATE($B$3,5,1),0),NETWORKDAYS.INTL(DATE($B$3,5,28),DATE($B$3,5,28),1,'Non-working days'!$A$6:$A$45)=0),"",IF(COUNTIFS('Leave log'!$A$7:$A$306,Employees!$A$30,'Leave log'!$B$7:$B$306,"&lt;="&amp;DATE($B$3,5,28),'Leave log'!$C$7:$C$306,"&gt;="&amp;DATE($B$3,5,28),'Leave log'!$F$7:$F$306,"Pending")&gt;0,"P",""))))</f>
        <v/>
      </c>
      <c r="AD167" s="23" t="str">
        <f>IF(A167="","",IF(IF(OR(DATE($B$3,5,29)&gt;EOMONTH(DATE($B$3,5,1),0),NETWORKDAYS.INTL(DATE($B$3,5,29),DATE($B$3,5,29),1,'Non-working days'!$A$6:$A$45)=0),"",IF(COUNTIFS('Leave log'!$A$7:$A$306,Employees!$A$30,'Leave log'!$B$7:$B$306,"&lt;="&amp;DATE($B$3,5,29),'Leave log'!$C$7:$C$306,"&gt;="&amp;DATE($B$3,5,29),'Leave log'!$F$7:$F$306,"Approved")&gt;0,"A",""))="A","A",IF(OR(DATE($B$3,5,29)&gt;EOMONTH(DATE($B$3,5,1),0),NETWORKDAYS.INTL(DATE($B$3,5,29),DATE($B$3,5,29),1,'Non-working days'!$A$6:$A$45)=0),"",IF(COUNTIFS('Leave log'!$A$7:$A$306,Employees!$A$30,'Leave log'!$B$7:$B$306,"&lt;="&amp;DATE($B$3,5,29),'Leave log'!$C$7:$C$306,"&gt;="&amp;DATE($B$3,5,29),'Leave log'!$F$7:$F$306,"Pending")&gt;0,"P",""))))</f>
        <v/>
      </c>
      <c r="AE167" s="23" t="str">
        <f>IF(A167="","",IF(IF(OR(DATE($B$3,5,30)&gt;EOMONTH(DATE($B$3,5,1),0),NETWORKDAYS.INTL(DATE($B$3,5,30),DATE($B$3,5,30),1,'Non-working days'!$A$6:$A$45)=0),"",IF(COUNTIFS('Leave log'!$A$7:$A$306,Employees!$A$30,'Leave log'!$B$7:$B$306,"&lt;="&amp;DATE($B$3,5,30),'Leave log'!$C$7:$C$306,"&gt;="&amp;DATE($B$3,5,30),'Leave log'!$F$7:$F$306,"Approved")&gt;0,"A",""))="A","A",IF(OR(DATE($B$3,5,30)&gt;EOMONTH(DATE($B$3,5,1),0),NETWORKDAYS.INTL(DATE($B$3,5,30),DATE($B$3,5,30),1,'Non-working days'!$A$6:$A$45)=0),"",IF(COUNTIFS('Leave log'!$A$7:$A$306,Employees!$A$30,'Leave log'!$B$7:$B$306,"&lt;="&amp;DATE($B$3,5,30),'Leave log'!$C$7:$C$306,"&gt;="&amp;DATE($B$3,5,30),'Leave log'!$F$7:$F$306,"Pending")&gt;0,"P",""))))</f>
        <v/>
      </c>
      <c r="AF167" s="23" t="str">
        <f>IF(A167="","",IF(IF(OR(DATE($B$3,5,31)&gt;EOMONTH(DATE($B$3,5,1),0),NETWORKDAYS.INTL(DATE($B$3,5,31),DATE($B$3,5,31),1,'Non-working days'!$A$6:$A$45)=0),"",IF(COUNTIFS('Leave log'!$A$7:$A$306,Employees!$A$30,'Leave log'!$B$7:$B$306,"&lt;="&amp;DATE($B$3,5,31),'Leave log'!$C$7:$C$306,"&gt;="&amp;DATE($B$3,5,31),'Leave log'!$F$7:$F$306,"Approved")&gt;0,"A",""))="A","A",IF(OR(DATE($B$3,5,31)&gt;EOMONTH(DATE($B$3,5,1),0),NETWORKDAYS.INTL(DATE($B$3,5,31),DATE($B$3,5,31),1,'Non-working days'!$A$6:$A$45)=0),"",IF(COUNTIFS('Leave log'!$A$7:$A$306,Employees!$A$30,'Leave log'!$B$7:$B$306,"&lt;="&amp;DATE($B$3,5,31),'Leave log'!$C$7:$C$306,"&gt;="&amp;DATE($B$3,5,31),'Leave log'!$F$7:$F$306,"Pending")&gt;0,"P",""))))</f>
        <v/>
      </c>
    </row>
    <row r="168" spans="1:32" ht="18" customHeight="1" x14ac:dyDescent="0.3">
      <c r="A168" s="22" t="str">
        <f>IF(Employees!F31="Yes",Employees!B31,"")</f>
        <v/>
      </c>
      <c r="B168" s="23" t="str">
        <f>IF(A168="","",IF(IF(OR(DATE($B$3,5,1)&gt;EOMONTH(DATE($B$3,5,1),0),NETWORKDAYS.INTL(DATE($B$3,5,1),DATE($B$3,5,1),1,'Non-working days'!$A$6:$A$45)=0),"",IF(COUNTIFS('Leave log'!$A$7:$A$306,Employees!$A$31,'Leave log'!$B$7:$B$306,"&lt;="&amp;DATE($B$3,5,1),'Leave log'!$C$7:$C$306,"&gt;="&amp;DATE($B$3,5,1),'Leave log'!$F$7:$F$306,"Approved")&gt;0,"A",""))="A","A",IF(OR(DATE($B$3,5,1)&gt;EOMONTH(DATE($B$3,5,1),0),NETWORKDAYS.INTL(DATE($B$3,5,1),DATE($B$3,5,1),1,'Non-working days'!$A$6:$A$45)=0),"",IF(COUNTIFS('Leave log'!$A$7:$A$306,Employees!$A$31,'Leave log'!$B$7:$B$306,"&lt;="&amp;DATE($B$3,5,1),'Leave log'!$C$7:$C$306,"&gt;="&amp;DATE($B$3,5,1),'Leave log'!$F$7:$F$306,"Pending")&gt;0,"P",""))))</f>
        <v/>
      </c>
      <c r="C168" s="23" t="str">
        <f>IF(A168="","",IF(IF(OR(DATE($B$3,5,2)&gt;EOMONTH(DATE($B$3,5,1),0),NETWORKDAYS.INTL(DATE($B$3,5,2),DATE($B$3,5,2),1,'Non-working days'!$A$6:$A$45)=0),"",IF(COUNTIFS('Leave log'!$A$7:$A$306,Employees!$A$31,'Leave log'!$B$7:$B$306,"&lt;="&amp;DATE($B$3,5,2),'Leave log'!$C$7:$C$306,"&gt;="&amp;DATE($B$3,5,2),'Leave log'!$F$7:$F$306,"Approved")&gt;0,"A",""))="A","A",IF(OR(DATE($B$3,5,2)&gt;EOMONTH(DATE($B$3,5,1),0),NETWORKDAYS.INTL(DATE($B$3,5,2),DATE($B$3,5,2),1,'Non-working days'!$A$6:$A$45)=0),"",IF(COUNTIFS('Leave log'!$A$7:$A$306,Employees!$A$31,'Leave log'!$B$7:$B$306,"&lt;="&amp;DATE($B$3,5,2),'Leave log'!$C$7:$C$306,"&gt;="&amp;DATE($B$3,5,2),'Leave log'!$F$7:$F$306,"Pending")&gt;0,"P",""))))</f>
        <v/>
      </c>
      <c r="D168" s="23" t="str">
        <f>IF(A168="","",IF(IF(OR(DATE($B$3,5,3)&gt;EOMONTH(DATE($B$3,5,1),0),NETWORKDAYS.INTL(DATE($B$3,5,3),DATE($B$3,5,3),1,'Non-working days'!$A$6:$A$45)=0),"",IF(COUNTIFS('Leave log'!$A$7:$A$306,Employees!$A$31,'Leave log'!$B$7:$B$306,"&lt;="&amp;DATE($B$3,5,3),'Leave log'!$C$7:$C$306,"&gt;="&amp;DATE($B$3,5,3),'Leave log'!$F$7:$F$306,"Approved")&gt;0,"A",""))="A","A",IF(OR(DATE($B$3,5,3)&gt;EOMONTH(DATE($B$3,5,1),0),NETWORKDAYS.INTL(DATE($B$3,5,3),DATE($B$3,5,3),1,'Non-working days'!$A$6:$A$45)=0),"",IF(COUNTIFS('Leave log'!$A$7:$A$306,Employees!$A$31,'Leave log'!$B$7:$B$306,"&lt;="&amp;DATE($B$3,5,3),'Leave log'!$C$7:$C$306,"&gt;="&amp;DATE($B$3,5,3),'Leave log'!$F$7:$F$306,"Pending")&gt;0,"P",""))))</f>
        <v/>
      </c>
      <c r="E168" s="23" t="str">
        <f>IF(A168="","",IF(IF(OR(DATE($B$3,5,4)&gt;EOMONTH(DATE($B$3,5,1),0),NETWORKDAYS.INTL(DATE($B$3,5,4),DATE($B$3,5,4),1,'Non-working days'!$A$6:$A$45)=0),"",IF(COUNTIFS('Leave log'!$A$7:$A$306,Employees!$A$31,'Leave log'!$B$7:$B$306,"&lt;="&amp;DATE($B$3,5,4),'Leave log'!$C$7:$C$306,"&gt;="&amp;DATE($B$3,5,4),'Leave log'!$F$7:$F$306,"Approved")&gt;0,"A",""))="A","A",IF(OR(DATE($B$3,5,4)&gt;EOMONTH(DATE($B$3,5,1),0),NETWORKDAYS.INTL(DATE($B$3,5,4),DATE($B$3,5,4),1,'Non-working days'!$A$6:$A$45)=0),"",IF(COUNTIFS('Leave log'!$A$7:$A$306,Employees!$A$31,'Leave log'!$B$7:$B$306,"&lt;="&amp;DATE($B$3,5,4),'Leave log'!$C$7:$C$306,"&gt;="&amp;DATE($B$3,5,4),'Leave log'!$F$7:$F$306,"Pending")&gt;0,"P",""))))</f>
        <v/>
      </c>
      <c r="F168" s="23" t="str">
        <f>IF(A168="","",IF(IF(OR(DATE($B$3,5,5)&gt;EOMONTH(DATE($B$3,5,1),0),NETWORKDAYS.INTL(DATE($B$3,5,5),DATE($B$3,5,5),1,'Non-working days'!$A$6:$A$45)=0),"",IF(COUNTIFS('Leave log'!$A$7:$A$306,Employees!$A$31,'Leave log'!$B$7:$B$306,"&lt;="&amp;DATE($B$3,5,5),'Leave log'!$C$7:$C$306,"&gt;="&amp;DATE($B$3,5,5),'Leave log'!$F$7:$F$306,"Approved")&gt;0,"A",""))="A","A",IF(OR(DATE($B$3,5,5)&gt;EOMONTH(DATE($B$3,5,1),0),NETWORKDAYS.INTL(DATE($B$3,5,5),DATE($B$3,5,5),1,'Non-working days'!$A$6:$A$45)=0),"",IF(COUNTIFS('Leave log'!$A$7:$A$306,Employees!$A$31,'Leave log'!$B$7:$B$306,"&lt;="&amp;DATE($B$3,5,5),'Leave log'!$C$7:$C$306,"&gt;="&amp;DATE($B$3,5,5),'Leave log'!$F$7:$F$306,"Pending")&gt;0,"P",""))))</f>
        <v/>
      </c>
      <c r="G168" s="23" t="str">
        <f>IF(A168="","",IF(IF(OR(DATE($B$3,5,6)&gt;EOMONTH(DATE($B$3,5,1),0),NETWORKDAYS.INTL(DATE($B$3,5,6),DATE($B$3,5,6),1,'Non-working days'!$A$6:$A$45)=0),"",IF(COUNTIFS('Leave log'!$A$7:$A$306,Employees!$A$31,'Leave log'!$B$7:$B$306,"&lt;="&amp;DATE($B$3,5,6),'Leave log'!$C$7:$C$306,"&gt;="&amp;DATE($B$3,5,6),'Leave log'!$F$7:$F$306,"Approved")&gt;0,"A",""))="A","A",IF(OR(DATE($B$3,5,6)&gt;EOMONTH(DATE($B$3,5,1),0),NETWORKDAYS.INTL(DATE($B$3,5,6),DATE($B$3,5,6),1,'Non-working days'!$A$6:$A$45)=0),"",IF(COUNTIFS('Leave log'!$A$7:$A$306,Employees!$A$31,'Leave log'!$B$7:$B$306,"&lt;="&amp;DATE($B$3,5,6),'Leave log'!$C$7:$C$306,"&gt;="&amp;DATE($B$3,5,6),'Leave log'!$F$7:$F$306,"Pending")&gt;0,"P",""))))</f>
        <v/>
      </c>
      <c r="H168" s="23" t="str">
        <f>IF(A168="","",IF(IF(OR(DATE($B$3,5,7)&gt;EOMONTH(DATE($B$3,5,1),0),NETWORKDAYS.INTL(DATE($B$3,5,7),DATE($B$3,5,7),1,'Non-working days'!$A$6:$A$45)=0),"",IF(COUNTIFS('Leave log'!$A$7:$A$306,Employees!$A$31,'Leave log'!$B$7:$B$306,"&lt;="&amp;DATE($B$3,5,7),'Leave log'!$C$7:$C$306,"&gt;="&amp;DATE($B$3,5,7),'Leave log'!$F$7:$F$306,"Approved")&gt;0,"A",""))="A","A",IF(OR(DATE($B$3,5,7)&gt;EOMONTH(DATE($B$3,5,1),0),NETWORKDAYS.INTL(DATE($B$3,5,7),DATE($B$3,5,7),1,'Non-working days'!$A$6:$A$45)=0),"",IF(COUNTIFS('Leave log'!$A$7:$A$306,Employees!$A$31,'Leave log'!$B$7:$B$306,"&lt;="&amp;DATE($B$3,5,7),'Leave log'!$C$7:$C$306,"&gt;="&amp;DATE($B$3,5,7),'Leave log'!$F$7:$F$306,"Pending")&gt;0,"P",""))))</f>
        <v/>
      </c>
      <c r="I168" s="23" t="str">
        <f>IF(A168="","",IF(IF(OR(DATE($B$3,5,8)&gt;EOMONTH(DATE($B$3,5,1),0),NETWORKDAYS.INTL(DATE($B$3,5,8),DATE($B$3,5,8),1,'Non-working days'!$A$6:$A$45)=0),"",IF(COUNTIFS('Leave log'!$A$7:$A$306,Employees!$A$31,'Leave log'!$B$7:$B$306,"&lt;="&amp;DATE($B$3,5,8),'Leave log'!$C$7:$C$306,"&gt;="&amp;DATE($B$3,5,8),'Leave log'!$F$7:$F$306,"Approved")&gt;0,"A",""))="A","A",IF(OR(DATE($B$3,5,8)&gt;EOMONTH(DATE($B$3,5,1),0),NETWORKDAYS.INTL(DATE($B$3,5,8),DATE($B$3,5,8),1,'Non-working days'!$A$6:$A$45)=0),"",IF(COUNTIFS('Leave log'!$A$7:$A$306,Employees!$A$31,'Leave log'!$B$7:$B$306,"&lt;="&amp;DATE($B$3,5,8),'Leave log'!$C$7:$C$306,"&gt;="&amp;DATE($B$3,5,8),'Leave log'!$F$7:$F$306,"Pending")&gt;0,"P",""))))</f>
        <v/>
      </c>
      <c r="J168" s="23" t="str">
        <f>IF(A168="","",IF(IF(OR(DATE($B$3,5,9)&gt;EOMONTH(DATE($B$3,5,1),0),NETWORKDAYS.INTL(DATE($B$3,5,9),DATE($B$3,5,9),1,'Non-working days'!$A$6:$A$45)=0),"",IF(COUNTIFS('Leave log'!$A$7:$A$306,Employees!$A$31,'Leave log'!$B$7:$B$306,"&lt;="&amp;DATE($B$3,5,9),'Leave log'!$C$7:$C$306,"&gt;="&amp;DATE($B$3,5,9),'Leave log'!$F$7:$F$306,"Approved")&gt;0,"A",""))="A","A",IF(OR(DATE($B$3,5,9)&gt;EOMONTH(DATE($B$3,5,1),0),NETWORKDAYS.INTL(DATE($B$3,5,9),DATE($B$3,5,9),1,'Non-working days'!$A$6:$A$45)=0),"",IF(COUNTIFS('Leave log'!$A$7:$A$306,Employees!$A$31,'Leave log'!$B$7:$B$306,"&lt;="&amp;DATE($B$3,5,9),'Leave log'!$C$7:$C$306,"&gt;="&amp;DATE($B$3,5,9),'Leave log'!$F$7:$F$306,"Pending")&gt;0,"P",""))))</f>
        <v/>
      </c>
      <c r="K168" s="23" t="str">
        <f>IF(A168="","",IF(IF(OR(DATE($B$3,5,10)&gt;EOMONTH(DATE($B$3,5,1),0),NETWORKDAYS.INTL(DATE($B$3,5,10),DATE($B$3,5,10),1,'Non-working days'!$A$6:$A$45)=0),"",IF(COUNTIFS('Leave log'!$A$7:$A$306,Employees!$A$31,'Leave log'!$B$7:$B$306,"&lt;="&amp;DATE($B$3,5,10),'Leave log'!$C$7:$C$306,"&gt;="&amp;DATE($B$3,5,10),'Leave log'!$F$7:$F$306,"Approved")&gt;0,"A",""))="A","A",IF(OR(DATE($B$3,5,10)&gt;EOMONTH(DATE($B$3,5,1),0),NETWORKDAYS.INTL(DATE($B$3,5,10),DATE($B$3,5,10),1,'Non-working days'!$A$6:$A$45)=0),"",IF(COUNTIFS('Leave log'!$A$7:$A$306,Employees!$A$31,'Leave log'!$B$7:$B$306,"&lt;="&amp;DATE($B$3,5,10),'Leave log'!$C$7:$C$306,"&gt;="&amp;DATE($B$3,5,10),'Leave log'!$F$7:$F$306,"Pending")&gt;0,"P",""))))</f>
        <v/>
      </c>
      <c r="L168" s="23" t="str">
        <f>IF(A168="","",IF(IF(OR(DATE($B$3,5,11)&gt;EOMONTH(DATE($B$3,5,1),0),NETWORKDAYS.INTL(DATE($B$3,5,11),DATE($B$3,5,11),1,'Non-working days'!$A$6:$A$45)=0),"",IF(COUNTIFS('Leave log'!$A$7:$A$306,Employees!$A$31,'Leave log'!$B$7:$B$306,"&lt;="&amp;DATE($B$3,5,11),'Leave log'!$C$7:$C$306,"&gt;="&amp;DATE($B$3,5,11),'Leave log'!$F$7:$F$306,"Approved")&gt;0,"A",""))="A","A",IF(OR(DATE($B$3,5,11)&gt;EOMONTH(DATE($B$3,5,1),0),NETWORKDAYS.INTL(DATE($B$3,5,11),DATE($B$3,5,11),1,'Non-working days'!$A$6:$A$45)=0),"",IF(COUNTIFS('Leave log'!$A$7:$A$306,Employees!$A$31,'Leave log'!$B$7:$B$306,"&lt;="&amp;DATE($B$3,5,11),'Leave log'!$C$7:$C$306,"&gt;="&amp;DATE($B$3,5,11),'Leave log'!$F$7:$F$306,"Pending")&gt;0,"P",""))))</f>
        <v/>
      </c>
      <c r="M168" s="23" t="str">
        <f>IF(A168="","",IF(IF(OR(DATE($B$3,5,12)&gt;EOMONTH(DATE($B$3,5,1),0),NETWORKDAYS.INTL(DATE($B$3,5,12),DATE($B$3,5,12),1,'Non-working days'!$A$6:$A$45)=0),"",IF(COUNTIFS('Leave log'!$A$7:$A$306,Employees!$A$31,'Leave log'!$B$7:$B$306,"&lt;="&amp;DATE($B$3,5,12),'Leave log'!$C$7:$C$306,"&gt;="&amp;DATE($B$3,5,12),'Leave log'!$F$7:$F$306,"Approved")&gt;0,"A",""))="A","A",IF(OR(DATE($B$3,5,12)&gt;EOMONTH(DATE($B$3,5,1),0),NETWORKDAYS.INTL(DATE($B$3,5,12),DATE($B$3,5,12),1,'Non-working days'!$A$6:$A$45)=0),"",IF(COUNTIFS('Leave log'!$A$7:$A$306,Employees!$A$31,'Leave log'!$B$7:$B$306,"&lt;="&amp;DATE($B$3,5,12),'Leave log'!$C$7:$C$306,"&gt;="&amp;DATE($B$3,5,12),'Leave log'!$F$7:$F$306,"Pending")&gt;0,"P",""))))</f>
        <v/>
      </c>
      <c r="N168" s="23" t="str">
        <f>IF(A168="","",IF(IF(OR(DATE($B$3,5,13)&gt;EOMONTH(DATE($B$3,5,1),0),NETWORKDAYS.INTL(DATE($B$3,5,13),DATE($B$3,5,13),1,'Non-working days'!$A$6:$A$45)=0),"",IF(COUNTIFS('Leave log'!$A$7:$A$306,Employees!$A$31,'Leave log'!$B$7:$B$306,"&lt;="&amp;DATE($B$3,5,13),'Leave log'!$C$7:$C$306,"&gt;="&amp;DATE($B$3,5,13),'Leave log'!$F$7:$F$306,"Approved")&gt;0,"A",""))="A","A",IF(OR(DATE($B$3,5,13)&gt;EOMONTH(DATE($B$3,5,1),0),NETWORKDAYS.INTL(DATE($B$3,5,13),DATE($B$3,5,13),1,'Non-working days'!$A$6:$A$45)=0),"",IF(COUNTIFS('Leave log'!$A$7:$A$306,Employees!$A$31,'Leave log'!$B$7:$B$306,"&lt;="&amp;DATE($B$3,5,13),'Leave log'!$C$7:$C$306,"&gt;="&amp;DATE($B$3,5,13),'Leave log'!$F$7:$F$306,"Pending")&gt;0,"P",""))))</f>
        <v/>
      </c>
      <c r="O168" s="23" t="str">
        <f>IF(A168="","",IF(IF(OR(DATE($B$3,5,14)&gt;EOMONTH(DATE($B$3,5,1),0),NETWORKDAYS.INTL(DATE($B$3,5,14),DATE($B$3,5,14),1,'Non-working days'!$A$6:$A$45)=0),"",IF(COUNTIFS('Leave log'!$A$7:$A$306,Employees!$A$31,'Leave log'!$B$7:$B$306,"&lt;="&amp;DATE($B$3,5,14),'Leave log'!$C$7:$C$306,"&gt;="&amp;DATE($B$3,5,14),'Leave log'!$F$7:$F$306,"Approved")&gt;0,"A",""))="A","A",IF(OR(DATE($B$3,5,14)&gt;EOMONTH(DATE($B$3,5,1),0),NETWORKDAYS.INTL(DATE($B$3,5,14),DATE($B$3,5,14),1,'Non-working days'!$A$6:$A$45)=0),"",IF(COUNTIFS('Leave log'!$A$7:$A$306,Employees!$A$31,'Leave log'!$B$7:$B$306,"&lt;="&amp;DATE($B$3,5,14),'Leave log'!$C$7:$C$306,"&gt;="&amp;DATE($B$3,5,14),'Leave log'!$F$7:$F$306,"Pending")&gt;0,"P",""))))</f>
        <v/>
      </c>
      <c r="P168" s="23" t="str">
        <f>IF(A168="","",IF(IF(OR(DATE($B$3,5,15)&gt;EOMONTH(DATE($B$3,5,1),0),NETWORKDAYS.INTL(DATE($B$3,5,15),DATE($B$3,5,15),1,'Non-working days'!$A$6:$A$45)=0),"",IF(COUNTIFS('Leave log'!$A$7:$A$306,Employees!$A$31,'Leave log'!$B$7:$B$306,"&lt;="&amp;DATE($B$3,5,15),'Leave log'!$C$7:$C$306,"&gt;="&amp;DATE($B$3,5,15),'Leave log'!$F$7:$F$306,"Approved")&gt;0,"A",""))="A","A",IF(OR(DATE($B$3,5,15)&gt;EOMONTH(DATE($B$3,5,1),0),NETWORKDAYS.INTL(DATE($B$3,5,15),DATE($B$3,5,15),1,'Non-working days'!$A$6:$A$45)=0),"",IF(COUNTIFS('Leave log'!$A$7:$A$306,Employees!$A$31,'Leave log'!$B$7:$B$306,"&lt;="&amp;DATE($B$3,5,15),'Leave log'!$C$7:$C$306,"&gt;="&amp;DATE($B$3,5,15),'Leave log'!$F$7:$F$306,"Pending")&gt;0,"P",""))))</f>
        <v/>
      </c>
      <c r="Q168" s="23" t="str">
        <f>IF(A168="","",IF(IF(OR(DATE($B$3,5,16)&gt;EOMONTH(DATE($B$3,5,1),0),NETWORKDAYS.INTL(DATE($B$3,5,16),DATE($B$3,5,16),1,'Non-working days'!$A$6:$A$45)=0),"",IF(COUNTIFS('Leave log'!$A$7:$A$306,Employees!$A$31,'Leave log'!$B$7:$B$306,"&lt;="&amp;DATE($B$3,5,16),'Leave log'!$C$7:$C$306,"&gt;="&amp;DATE($B$3,5,16),'Leave log'!$F$7:$F$306,"Approved")&gt;0,"A",""))="A","A",IF(OR(DATE($B$3,5,16)&gt;EOMONTH(DATE($B$3,5,1),0),NETWORKDAYS.INTL(DATE($B$3,5,16),DATE($B$3,5,16),1,'Non-working days'!$A$6:$A$45)=0),"",IF(COUNTIFS('Leave log'!$A$7:$A$306,Employees!$A$31,'Leave log'!$B$7:$B$306,"&lt;="&amp;DATE($B$3,5,16),'Leave log'!$C$7:$C$306,"&gt;="&amp;DATE($B$3,5,16),'Leave log'!$F$7:$F$306,"Pending")&gt;0,"P",""))))</f>
        <v/>
      </c>
      <c r="R168" s="23" t="str">
        <f>IF(A168="","",IF(IF(OR(DATE($B$3,5,17)&gt;EOMONTH(DATE($B$3,5,1),0),NETWORKDAYS.INTL(DATE($B$3,5,17),DATE($B$3,5,17),1,'Non-working days'!$A$6:$A$45)=0),"",IF(COUNTIFS('Leave log'!$A$7:$A$306,Employees!$A$31,'Leave log'!$B$7:$B$306,"&lt;="&amp;DATE($B$3,5,17),'Leave log'!$C$7:$C$306,"&gt;="&amp;DATE($B$3,5,17),'Leave log'!$F$7:$F$306,"Approved")&gt;0,"A",""))="A","A",IF(OR(DATE($B$3,5,17)&gt;EOMONTH(DATE($B$3,5,1),0),NETWORKDAYS.INTL(DATE($B$3,5,17),DATE($B$3,5,17),1,'Non-working days'!$A$6:$A$45)=0),"",IF(COUNTIFS('Leave log'!$A$7:$A$306,Employees!$A$31,'Leave log'!$B$7:$B$306,"&lt;="&amp;DATE($B$3,5,17),'Leave log'!$C$7:$C$306,"&gt;="&amp;DATE($B$3,5,17),'Leave log'!$F$7:$F$306,"Pending")&gt;0,"P",""))))</f>
        <v/>
      </c>
      <c r="S168" s="23" t="str">
        <f>IF(A168="","",IF(IF(OR(DATE($B$3,5,18)&gt;EOMONTH(DATE($B$3,5,1),0),NETWORKDAYS.INTL(DATE($B$3,5,18),DATE($B$3,5,18),1,'Non-working days'!$A$6:$A$45)=0),"",IF(COUNTIFS('Leave log'!$A$7:$A$306,Employees!$A$31,'Leave log'!$B$7:$B$306,"&lt;="&amp;DATE($B$3,5,18),'Leave log'!$C$7:$C$306,"&gt;="&amp;DATE($B$3,5,18),'Leave log'!$F$7:$F$306,"Approved")&gt;0,"A",""))="A","A",IF(OR(DATE($B$3,5,18)&gt;EOMONTH(DATE($B$3,5,1),0),NETWORKDAYS.INTL(DATE($B$3,5,18),DATE($B$3,5,18),1,'Non-working days'!$A$6:$A$45)=0),"",IF(COUNTIFS('Leave log'!$A$7:$A$306,Employees!$A$31,'Leave log'!$B$7:$B$306,"&lt;="&amp;DATE($B$3,5,18),'Leave log'!$C$7:$C$306,"&gt;="&amp;DATE($B$3,5,18),'Leave log'!$F$7:$F$306,"Pending")&gt;0,"P",""))))</f>
        <v/>
      </c>
      <c r="T168" s="23" t="str">
        <f>IF(A168="","",IF(IF(OR(DATE($B$3,5,19)&gt;EOMONTH(DATE($B$3,5,1),0),NETWORKDAYS.INTL(DATE($B$3,5,19),DATE($B$3,5,19),1,'Non-working days'!$A$6:$A$45)=0),"",IF(COUNTIFS('Leave log'!$A$7:$A$306,Employees!$A$31,'Leave log'!$B$7:$B$306,"&lt;="&amp;DATE($B$3,5,19),'Leave log'!$C$7:$C$306,"&gt;="&amp;DATE($B$3,5,19),'Leave log'!$F$7:$F$306,"Approved")&gt;0,"A",""))="A","A",IF(OR(DATE($B$3,5,19)&gt;EOMONTH(DATE($B$3,5,1),0),NETWORKDAYS.INTL(DATE($B$3,5,19),DATE($B$3,5,19),1,'Non-working days'!$A$6:$A$45)=0),"",IF(COUNTIFS('Leave log'!$A$7:$A$306,Employees!$A$31,'Leave log'!$B$7:$B$306,"&lt;="&amp;DATE($B$3,5,19),'Leave log'!$C$7:$C$306,"&gt;="&amp;DATE($B$3,5,19),'Leave log'!$F$7:$F$306,"Pending")&gt;0,"P",""))))</f>
        <v/>
      </c>
      <c r="U168" s="23" t="str">
        <f>IF(A168="","",IF(IF(OR(DATE($B$3,5,20)&gt;EOMONTH(DATE($B$3,5,1),0),NETWORKDAYS.INTL(DATE($B$3,5,20),DATE($B$3,5,20),1,'Non-working days'!$A$6:$A$45)=0),"",IF(COUNTIFS('Leave log'!$A$7:$A$306,Employees!$A$31,'Leave log'!$B$7:$B$306,"&lt;="&amp;DATE($B$3,5,20),'Leave log'!$C$7:$C$306,"&gt;="&amp;DATE($B$3,5,20),'Leave log'!$F$7:$F$306,"Approved")&gt;0,"A",""))="A","A",IF(OR(DATE($B$3,5,20)&gt;EOMONTH(DATE($B$3,5,1),0),NETWORKDAYS.INTL(DATE($B$3,5,20),DATE($B$3,5,20),1,'Non-working days'!$A$6:$A$45)=0),"",IF(COUNTIFS('Leave log'!$A$7:$A$306,Employees!$A$31,'Leave log'!$B$7:$B$306,"&lt;="&amp;DATE($B$3,5,20),'Leave log'!$C$7:$C$306,"&gt;="&amp;DATE($B$3,5,20),'Leave log'!$F$7:$F$306,"Pending")&gt;0,"P",""))))</f>
        <v/>
      </c>
      <c r="V168" s="23" t="str">
        <f>IF(A168="","",IF(IF(OR(DATE($B$3,5,21)&gt;EOMONTH(DATE($B$3,5,1),0),NETWORKDAYS.INTL(DATE($B$3,5,21),DATE($B$3,5,21),1,'Non-working days'!$A$6:$A$45)=0),"",IF(COUNTIFS('Leave log'!$A$7:$A$306,Employees!$A$31,'Leave log'!$B$7:$B$306,"&lt;="&amp;DATE($B$3,5,21),'Leave log'!$C$7:$C$306,"&gt;="&amp;DATE($B$3,5,21),'Leave log'!$F$7:$F$306,"Approved")&gt;0,"A",""))="A","A",IF(OR(DATE($B$3,5,21)&gt;EOMONTH(DATE($B$3,5,1),0),NETWORKDAYS.INTL(DATE($B$3,5,21),DATE($B$3,5,21),1,'Non-working days'!$A$6:$A$45)=0),"",IF(COUNTIFS('Leave log'!$A$7:$A$306,Employees!$A$31,'Leave log'!$B$7:$B$306,"&lt;="&amp;DATE($B$3,5,21),'Leave log'!$C$7:$C$306,"&gt;="&amp;DATE($B$3,5,21),'Leave log'!$F$7:$F$306,"Pending")&gt;0,"P",""))))</f>
        <v/>
      </c>
      <c r="W168" s="23" t="str">
        <f>IF(A168="","",IF(IF(OR(DATE($B$3,5,22)&gt;EOMONTH(DATE($B$3,5,1),0),NETWORKDAYS.INTL(DATE($B$3,5,22),DATE($B$3,5,22),1,'Non-working days'!$A$6:$A$45)=0),"",IF(COUNTIFS('Leave log'!$A$7:$A$306,Employees!$A$31,'Leave log'!$B$7:$B$306,"&lt;="&amp;DATE($B$3,5,22),'Leave log'!$C$7:$C$306,"&gt;="&amp;DATE($B$3,5,22),'Leave log'!$F$7:$F$306,"Approved")&gt;0,"A",""))="A","A",IF(OR(DATE($B$3,5,22)&gt;EOMONTH(DATE($B$3,5,1),0),NETWORKDAYS.INTL(DATE($B$3,5,22),DATE($B$3,5,22),1,'Non-working days'!$A$6:$A$45)=0),"",IF(COUNTIFS('Leave log'!$A$7:$A$306,Employees!$A$31,'Leave log'!$B$7:$B$306,"&lt;="&amp;DATE($B$3,5,22),'Leave log'!$C$7:$C$306,"&gt;="&amp;DATE($B$3,5,22),'Leave log'!$F$7:$F$306,"Pending")&gt;0,"P",""))))</f>
        <v/>
      </c>
      <c r="X168" s="23" t="str">
        <f>IF(A168="","",IF(IF(OR(DATE($B$3,5,23)&gt;EOMONTH(DATE($B$3,5,1),0),NETWORKDAYS.INTL(DATE($B$3,5,23),DATE($B$3,5,23),1,'Non-working days'!$A$6:$A$45)=0),"",IF(COUNTIFS('Leave log'!$A$7:$A$306,Employees!$A$31,'Leave log'!$B$7:$B$306,"&lt;="&amp;DATE($B$3,5,23),'Leave log'!$C$7:$C$306,"&gt;="&amp;DATE($B$3,5,23),'Leave log'!$F$7:$F$306,"Approved")&gt;0,"A",""))="A","A",IF(OR(DATE($B$3,5,23)&gt;EOMONTH(DATE($B$3,5,1),0),NETWORKDAYS.INTL(DATE($B$3,5,23),DATE($B$3,5,23),1,'Non-working days'!$A$6:$A$45)=0),"",IF(COUNTIFS('Leave log'!$A$7:$A$306,Employees!$A$31,'Leave log'!$B$7:$B$306,"&lt;="&amp;DATE($B$3,5,23),'Leave log'!$C$7:$C$306,"&gt;="&amp;DATE($B$3,5,23),'Leave log'!$F$7:$F$306,"Pending")&gt;0,"P",""))))</f>
        <v/>
      </c>
      <c r="Y168" s="23" t="str">
        <f>IF(A168="","",IF(IF(OR(DATE($B$3,5,24)&gt;EOMONTH(DATE($B$3,5,1),0),NETWORKDAYS.INTL(DATE($B$3,5,24),DATE($B$3,5,24),1,'Non-working days'!$A$6:$A$45)=0),"",IF(COUNTIFS('Leave log'!$A$7:$A$306,Employees!$A$31,'Leave log'!$B$7:$B$306,"&lt;="&amp;DATE($B$3,5,24),'Leave log'!$C$7:$C$306,"&gt;="&amp;DATE($B$3,5,24),'Leave log'!$F$7:$F$306,"Approved")&gt;0,"A",""))="A","A",IF(OR(DATE($B$3,5,24)&gt;EOMONTH(DATE($B$3,5,1),0),NETWORKDAYS.INTL(DATE($B$3,5,24),DATE($B$3,5,24),1,'Non-working days'!$A$6:$A$45)=0),"",IF(COUNTIFS('Leave log'!$A$7:$A$306,Employees!$A$31,'Leave log'!$B$7:$B$306,"&lt;="&amp;DATE($B$3,5,24),'Leave log'!$C$7:$C$306,"&gt;="&amp;DATE($B$3,5,24),'Leave log'!$F$7:$F$306,"Pending")&gt;0,"P",""))))</f>
        <v/>
      </c>
      <c r="Z168" s="23" t="str">
        <f>IF(A168="","",IF(IF(OR(DATE($B$3,5,25)&gt;EOMONTH(DATE($B$3,5,1),0),NETWORKDAYS.INTL(DATE($B$3,5,25),DATE($B$3,5,25),1,'Non-working days'!$A$6:$A$45)=0),"",IF(COUNTIFS('Leave log'!$A$7:$A$306,Employees!$A$31,'Leave log'!$B$7:$B$306,"&lt;="&amp;DATE($B$3,5,25),'Leave log'!$C$7:$C$306,"&gt;="&amp;DATE($B$3,5,25),'Leave log'!$F$7:$F$306,"Approved")&gt;0,"A",""))="A","A",IF(OR(DATE($B$3,5,25)&gt;EOMONTH(DATE($B$3,5,1),0),NETWORKDAYS.INTL(DATE($B$3,5,25),DATE($B$3,5,25),1,'Non-working days'!$A$6:$A$45)=0),"",IF(COUNTIFS('Leave log'!$A$7:$A$306,Employees!$A$31,'Leave log'!$B$7:$B$306,"&lt;="&amp;DATE($B$3,5,25),'Leave log'!$C$7:$C$306,"&gt;="&amp;DATE($B$3,5,25),'Leave log'!$F$7:$F$306,"Pending")&gt;0,"P",""))))</f>
        <v/>
      </c>
      <c r="AA168" s="23" t="str">
        <f>IF(A168="","",IF(IF(OR(DATE($B$3,5,26)&gt;EOMONTH(DATE($B$3,5,1),0),NETWORKDAYS.INTL(DATE($B$3,5,26),DATE($B$3,5,26),1,'Non-working days'!$A$6:$A$45)=0),"",IF(COUNTIFS('Leave log'!$A$7:$A$306,Employees!$A$31,'Leave log'!$B$7:$B$306,"&lt;="&amp;DATE($B$3,5,26),'Leave log'!$C$7:$C$306,"&gt;="&amp;DATE($B$3,5,26),'Leave log'!$F$7:$F$306,"Approved")&gt;0,"A",""))="A","A",IF(OR(DATE($B$3,5,26)&gt;EOMONTH(DATE($B$3,5,1),0),NETWORKDAYS.INTL(DATE($B$3,5,26),DATE($B$3,5,26),1,'Non-working days'!$A$6:$A$45)=0),"",IF(COUNTIFS('Leave log'!$A$7:$A$306,Employees!$A$31,'Leave log'!$B$7:$B$306,"&lt;="&amp;DATE($B$3,5,26),'Leave log'!$C$7:$C$306,"&gt;="&amp;DATE($B$3,5,26),'Leave log'!$F$7:$F$306,"Pending")&gt;0,"P",""))))</f>
        <v/>
      </c>
      <c r="AB168" s="23" t="str">
        <f>IF(A168="","",IF(IF(OR(DATE($B$3,5,27)&gt;EOMONTH(DATE($B$3,5,1),0),NETWORKDAYS.INTL(DATE($B$3,5,27),DATE($B$3,5,27),1,'Non-working days'!$A$6:$A$45)=0),"",IF(COUNTIFS('Leave log'!$A$7:$A$306,Employees!$A$31,'Leave log'!$B$7:$B$306,"&lt;="&amp;DATE($B$3,5,27),'Leave log'!$C$7:$C$306,"&gt;="&amp;DATE($B$3,5,27),'Leave log'!$F$7:$F$306,"Approved")&gt;0,"A",""))="A","A",IF(OR(DATE($B$3,5,27)&gt;EOMONTH(DATE($B$3,5,1),0),NETWORKDAYS.INTL(DATE($B$3,5,27),DATE($B$3,5,27),1,'Non-working days'!$A$6:$A$45)=0),"",IF(COUNTIFS('Leave log'!$A$7:$A$306,Employees!$A$31,'Leave log'!$B$7:$B$306,"&lt;="&amp;DATE($B$3,5,27),'Leave log'!$C$7:$C$306,"&gt;="&amp;DATE($B$3,5,27),'Leave log'!$F$7:$F$306,"Pending")&gt;0,"P",""))))</f>
        <v/>
      </c>
      <c r="AC168" s="23" t="str">
        <f>IF(A168="","",IF(IF(OR(DATE($B$3,5,28)&gt;EOMONTH(DATE($B$3,5,1),0),NETWORKDAYS.INTL(DATE($B$3,5,28),DATE($B$3,5,28),1,'Non-working days'!$A$6:$A$45)=0),"",IF(COUNTIFS('Leave log'!$A$7:$A$306,Employees!$A$31,'Leave log'!$B$7:$B$306,"&lt;="&amp;DATE($B$3,5,28),'Leave log'!$C$7:$C$306,"&gt;="&amp;DATE($B$3,5,28),'Leave log'!$F$7:$F$306,"Approved")&gt;0,"A",""))="A","A",IF(OR(DATE($B$3,5,28)&gt;EOMONTH(DATE($B$3,5,1),0),NETWORKDAYS.INTL(DATE($B$3,5,28),DATE($B$3,5,28),1,'Non-working days'!$A$6:$A$45)=0),"",IF(COUNTIFS('Leave log'!$A$7:$A$306,Employees!$A$31,'Leave log'!$B$7:$B$306,"&lt;="&amp;DATE($B$3,5,28),'Leave log'!$C$7:$C$306,"&gt;="&amp;DATE($B$3,5,28),'Leave log'!$F$7:$F$306,"Pending")&gt;0,"P",""))))</f>
        <v/>
      </c>
      <c r="AD168" s="23" t="str">
        <f>IF(A168="","",IF(IF(OR(DATE($B$3,5,29)&gt;EOMONTH(DATE($B$3,5,1),0),NETWORKDAYS.INTL(DATE($B$3,5,29),DATE($B$3,5,29),1,'Non-working days'!$A$6:$A$45)=0),"",IF(COUNTIFS('Leave log'!$A$7:$A$306,Employees!$A$31,'Leave log'!$B$7:$B$306,"&lt;="&amp;DATE($B$3,5,29),'Leave log'!$C$7:$C$306,"&gt;="&amp;DATE($B$3,5,29),'Leave log'!$F$7:$F$306,"Approved")&gt;0,"A",""))="A","A",IF(OR(DATE($B$3,5,29)&gt;EOMONTH(DATE($B$3,5,1),0),NETWORKDAYS.INTL(DATE($B$3,5,29),DATE($B$3,5,29),1,'Non-working days'!$A$6:$A$45)=0),"",IF(COUNTIFS('Leave log'!$A$7:$A$306,Employees!$A$31,'Leave log'!$B$7:$B$306,"&lt;="&amp;DATE($B$3,5,29),'Leave log'!$C$7:$C$306,"&gt;="&amp;DATE($B$3,5,29),'Leave log'!$F$7:$F$306,"Pending")&gt;0,"P",""))))</f>
        <v/>
      </c>
      <c r="AE168" s="23" t="str">
        <f>IF(A168="","",IF(IF(OR(DATE($B$3,5,30)&gt;EOMONTH(DATE($B$3,5,1),0),NETWORKDAYS.INTL(DATE($B$3,5,30),DATE($B$3,5,30),1,'Non-working days'!$A$6:$A$45)=0),"",IF(COUNTIFS('Leave log'!$A$7:$A$306,Employees!$A$31,'Leave log'!$B$7:$B$306,"&lt;="&amp;DATE($B$3,5,30),'Leave log'!$C$7:$C$306,"&gt;="&amp;DATE($B$3,5,30),'Leave log'!$F$7:$F$306,"Approved")&gt;0,"A",""))="A","A",IF(OR(DATE($B$3,5,30)&gt;EOMONTH(DATE($B$3,5,1),0),NETWORKDAYS.INTL(DATE($B$3,5,30),DATE($B$3,5,30),1,'Non-working days'!$A$6:$A$45)=0),"",IF(COUNTIFS('Leave log'!$A$7:$A$306,Employees!$A$31,'Leave log'!$B$7:$B$306,"&lt;="&amp;DATE($B$3,5,30),'Leave log'!$C$7:$C$306,"&gt;="&amp;DATE($B$3,5,30),'Leave log'!$F$7:$F$306,"Pending")&gt;0,"P",""))))</f>
        <v/>
      </c>
      <c r="AF168" s="23" t="str">
        <f>IF(A168="","",IF(IF(OR(DATE($B$3,5,31)&gt;EOMONTH(DATE($B$3,5,1),0),NETWORKDAYS.INTL(DATE($B$3,5,31),DATE($B$3,5,31),1,'Non-working days'!$A$6:$A$45)=0),"",IF(COUNTIFS('Leave log'!$A$7:$A$306,Employees!$A$31,'Leave log'!$B$7:$B$306,"&lt;="&amp;DATE($B$3,5,31),'Leave log'!$C$7:$C$306,"&gt;="&amp;DATE($B$3,5,31),'Leave log'!$F$7:$F$306,"Approved")&gt;0,"A",""))="A","A",IF(OR(DATE($B$3,5,31)&gt;EOMONTH(DATE($B$3,5,1),0),NETWORKDAYS.INTL(DATE($B$3,5,31),DATE($B$3,5,31),1,'Non-working days'!$A$6:$A$45)=0),"",IF(COUNTIFS('Leave log'!$A$7:$A$306,Employees!$A$31,'Leave log'!$B$7:$B$306,"&lt;="&amp;DATE($B$3,5,31),'Leave log'!$C$7:$C$306,"&gt;="&amp;DATE($B$3,5,31),'Leave log'!$F$7:$F$306,"Pending")&gt;0,"P",""))))</f>
        <v/>
      </c>
    </row>
    <row r="169" spans="1:32" ht="18" customHeight="1" x14ac:dyDescent="0.3">
      <c r="A169" s="22" t="str">
        <f>IF(Employees!F32="Yes",Employees!B32,"")</f>
        <v/>
      </c>
      <c r="B169" s="23" t="str">
        <f>IF(A169="","",IF(IF(OR(DATE($B$3,5,1)&gt;EOMONTH(DATE($B$3,5,1),0),NETWORKDAYS.INTL(DATE($B$3,5,1),DATE($B$3,5,1),1,'Non-working days'!$A$6:$A$45)=0),"",IF(COUNTIFS('Leave log'!$A$7:$A$306,Employees!$A$32,'Leave log'!$B$7:$B$306,"&lt;="&amp;DATE($B$3,5,1),'Leave log'!$C$7:$C$306,"&gt;="&amp;DATE($B$3,5,1),'Leave log'!$F$7:$F$306,"Approved")&gt;0,"A",""))="A","A",IF(OR(DATE($B$3,5,1)&gt;EOMONTH(DATE($B$3,5,1),0),NETWORKDAYS.INTL(DATE($B$3,5,1),DATE($B$3,5,1),1,'Non-working days'!$A$6:$A$45)=0),"",IF(COUNTIFS('Leave log'!$A$7:$A$306,Employees!$A$32,'Leave log'!$B$7:$B$306,"&lt;="&amp;DATE($B$3,5,1),'Leave log'!$C$7:$C$306,"&gt;="&amp;DATE($B$3,5,1),'Leave log'!$F$7:$F$306,"Pending")&gt;0,"P",""))))</f>
        <v/>
      </c>
      <c r="C169" s="23" t="str">
        <f>IF(A169="","",IF(IF(OR(DATE($B$3,5,2)&gt;EOMONTH(DATE($B$3,5,1),0),NETWORKDAYS.INTL(DATE($B$3,5,2),DATE($B$3,5,2),1,'Non-working days'!$A$6:$A$45)=0),"",IF(COUNTIFS('Leave log'!$A$7:$A$306,Employees!$A$32,'Leave log'!$B$7:$B$306,"&lt;="&amp;DATE($B$3,5,2),'Leave log'!$C$7:$C$306,"&gt;="&amp;DATE($B$3,5,2),'Leave log'!$F$7:$F$306,"Approved")&gt;0,"A",""))="A","A",IF(OR(DATE($B$3,5,2)&gt;EOMONTH(DATE($B$3,5,1),0),NETWORKDAYS.INTL(DATE($B$3,5,2),DATE($B$3,5,2),1,'Non-working days'!$A$6:$A$45)=0),"",IF(COUNTIFS('Leave log'!$A$7:$A$306,Employees!$A$32,'Leave log'!$B$7:$B$306,"&lt;="&amp;DATE($B$3,5,2),'Leave log'!$C$7:$C$306,"&gt;="&amp;DATE($B$3,5,2),'Leave log'!$F$7:$F$306,"Pending")&gt;0,"P",""))))</f>
        <v/>
      </c>
      <c r="D169" s="23" t="str">
        <f>IF(A169="","",IF(IF(OR(DATE($B$3,5,3)&gt;EOMONTH(DATE($B$3,5,1),0),NETWORKDAYS.INTL(DATE($B$3,5,3),DATE($B$3,5,3),1,'Non-working days'!$A$6:$A$45)=0),"",IF(COUNTIFS('Leave log'!$A$7:$A$306,Employees!$A$32,'Leave log'!$B$7:$B$306,"&lt;="&amp;DATE($B$3,5,3),'Leave log'!$C$7:$C$306,"&gt;="&amp;DATE($B$3,5,3),'Leave log'!$F$7:$F$306,"Approved")&gt;0,"A",""))="A","A",IF(OR(DATE($B$3,5,3)&gt;EOMONTH(DATE($B$3,5,1),0),NETWORKDAYS.INTL(DATE($B$3,5,3),DATE($B$3,5,3),1,'Non-working days'!$A$6:$A$45)=0),"",IF(COUNTIFS('Leave log'!$A$7:$A$306,Employees!$A$32,'Leave log'!$B$7:$B$306,"&lt;="&amp;DATE($B$3,5,3),'Leave log'!$C$7:$C$306,"&gt;="&amp;DATE($B$3,5,3),'Leave log'!$F$7:$F$306,"Pending")&gt;0,"P",""))))</f>
        <v/>
      </c>
      <c r="E169" s="23" t="str">
        <f>IF(A169="","",IF(IF(OR(DATE($B$3,5,4)&gt;EOMONTH(DATE($B$3,5,1),0),NETWORKDAYS.INTL(DATE($B$3,5,4),DATE($B$3,5,4),1,'Non-working days'!$A$6:$A$45)=0),"",IF(COUNTIFS('Leave log'!$A$7:$A$306,Employees!$A$32,'Leave log'!$B$7:$B$306,"&lt;="&amp;DATE($B$3,5,4),'Leave log'!$C$7:$C$306,"&gt;="&amp;DATE($B$3,5,4),'Leave log'!$F$7:$F$306,"Approved")&gt;0,"A",""))="A","A",IF(OR(DATE($B$3,5,4)&gt;EOMONTH(DATE($B$3,5,1),0),NETWORKDAYS.INTL(DATE($B$3,5,4),DATE($B$3,5,4),1,'Non-working days'!$A$6:$A$45)=0),"",IF(COUNTIFS('Leave log'!$A$7:$A$306,Employees!$A$32,'Leave log'!$B$7:$B$306,"&lt;="&amp;DATE($B$3,5,4),'Leave log'!$C$7:$C$306,"&gt;="&amp;DATE($B$3,5,4),'Leave log'!$F$7:$F$306,"Pending")&gt;0,"P",""))))</f>
        <v/>
      </c>
      <c r="F169" s="23" t="str">
        <f>IF(A169="","",IF(IF(OR(DATE($B$3,5,5)&gt;EOMONTH(DATE($B$3,5,1),0),NETWORKDAYS.INTL(DATE($B$3,5,5),DATE($B$3,5,5),1,'Non-working days'!$A$6:$A$45)=0),"",IF(COUNTIFS('Leave log'!$A$7:$A$306,Employees!$A$32,'Leave log'!$B$7:$B$306,"&lt;="&amp;DATE($B$3,5,5),'Leave log'!$C$7:$C$306,"&gt;="&amp;DATE($B$3,5,5),'Leave log'!$F$7:$F$306,"Approved")&gt;0,"A",""))="A","A",IF(OR(DATE($B$3,5,5)&gt;EOMONTH(DATE($B$3,5,1),0),NETWORKDAYS.INTL(DATE($B$3,5,5),DATE($B$3,5,5),1,'Non-working days'!$A$6:$A$45)=0),"",IF(COUNTIFS('Leave log'!$A$7:$A$306,Employees!$A$32,'Leave log'!$B$7:$B$306,"&lt;="&amp;DATE($B$3,5,5),'Leave log'!$C$7:$C$306,"&gt;="&amp;DATE($B$3,5,5),'Leave log'!$F$7:$F$306,"Pending")&gt;0,"P",""))))</f>
        <v/>
      </c>
      <c r="G169" s="23" t="str">
        <f>IF(A169="","",IF(IF(OR(DATE($B$3,5,6)&gt;EOMONTH(DATE($B$3,5,1),0),NETWORKDAYS.INTL(DATE($B$3,5,6),DATE($B$3,5,6),1,'Non-working days'!$A$6:$A$45)=0),"",IF(COUNTIFS('Leave log'!$A$7:$A$306,Employees!$A$32,'Leave log'!$B$7:$B$306,"&lt;="&amp;DATE($B$3,5,6),'Leave log'!$C$7:$C$306,"&gt;="&amp;DATE($B$3,5,6),'Leave log'!$F$7:$F$306,"Approved")&gt;0,"A",""))="A","A",IF(OR(DATE($B$3,5,6)&gt;EOMONTH(DATE($B$3,5,1),0),NETWORKDAYS.INTL(DATE($B$3,5,6),DATE($B$3,5,6),1,'Non-working days'!$A$6:$A$45)=0),"",IF(COUNTIFS('Leave log'!$A$7:$A$306,Employees!$A$32,'Leave log'!$B$7:$B$306,"&lt;="&amp;DATE($B$3,5,6),'Leave log'!$C$7:$C$306,"&gt;="&amp;DATE($B$3,5,6),'Leave log'!$F$7:$F$306,"Pending")&gt;0,"P",""))))</f>
        <v/>
      </c>
      <c r="H169" s="23" t="str">
        <f>IF(A169="","",IF(IF(OR(DATE($B$3,5,7)&gt;EOMONTH(DATE($B$3,5,1),0),NETWORKDAYS.INTL(DATE($B$3,5,7),DATE($B$3,5,7),1,'Non-working days'!$A$6:$A$45)=0),"",IF(COUNTIFS('Leave log'!$A$7:$A$306,Employees!$A$32,'Leave log'!$B$7:$B$306,"&lt;="&amp;DATE($B$3,5,7),'Leave log'!$C$7:$C$306,"&gt;="&amp;DATE($B$3,5,7),'Leave log'!$F$7:$F$306,"Approved")&gt;0,"A",""))="A","A",IF(OR(DATE($B$3,5,7)&gt;EOMONTH(DATE($B$3,5,1),0),NETWORKDAYS.INTL(DATE($B$3,5,7),DATE($B$3,5,7),1,'Non-working days'!$A$6:$A$45)=0),"",IF(COUNTIFS('Leave log'!$A$7:$A$306,Employees!$A$32,'Leave log'!$B$7:$B$306,"&lt;="&amp;DATE($B$3,5,7),'Leave log'!$C$7:$C$306,"&gt;="&amp;DATE($B$3,5,7),'Leave log'!$F$7:$F$306,"Pending")&gt;0,"P",""))))</f>
        <v/>
      </c>
      <c r="I169" s="23" t="str">
        <f>IF(A169="","",IF(IF(OR(DATE($B$3,5,8)&gt;EOMONTH(DATE($B$3,5,1),0),NETWORKDAYS.INTL(DATE($B$3,5,8),DATE($B$3,5,8),1,'Non-working days'!$A$6:$A$45)=0),"",IF(COUNTIFS('Leave log'!$A$7:$A$306,Employees!$A$32,'Leave log'!$B$7:$B$306,"&lt;="&amp;DATE($B$3,5,8),'Leave log'!$C$7:$C$306,"&gt;="&amp;DATE($B$3,5,8),'Leave log'!$F$7:$F$306,"Approved")&gt;0,"A",""))="A","A",IF(OR(DATE($B$3,5,8)&gt;EOMONTH(DATE($B$3,5,1),0),NETWORKDAYS.INTL(DATE($B$3,5,8),DATE($B$3,5,8),1,'Non-working days'!$A$6:$A$45)=0),"",IF(COUNTIFS('Leave log'!$A$7:$A$306,Employees!$A$32,'Leave log'!$B$7:$B$306,"&lt;="&amp;DATE($B$3,5,8),'Leave log'!$C$7:$C$306,"&gt;="&amp;DATE($B$3,5,8),'Leave log'!$F$7:$F$306,"Pending")&gt;0,"P",""))))</f>
        <v/>
      </c>
      <c r="J169" s="23" t="str">
        <f>IF(A169="","",IF(IF(OR(DATE($B$3,5,9)&gt;EOMONTH(DATE($B$3,5,1),0),NETWORKDAYS.INTL(DATE($B$3,5,9),DATE($B$3,5,9),1,'Non-working days'!$A$6:$A$45)=0),"",IF(COUNTIFS('Leave log'!$A$7:$A$306,Employees!$A$32,'Leave log'!$B$7:$B$306,"&lt;="&amp;DATE($B$3,5,9),'Leave log'!$C$7:$C$306,"&gt;="&amp;DATE($B$3,5,9),'Leave log'!$F$7:$F$306,"Approved")&gt;0,"A",""))="A","A",IF(OR(DATE($B$3,5,9)&gt;EOMONTH(DATE($B$3,5,1),0),NETWORKDAYS.INTL(DATE($B$3,5,9),DATE($B$3,5,9),1,'Non-working days'!$A$6:$A$45)=0),"",IF(COUNTIFS('Leave log'!$A$7:$A$306,Employees!$A$32,'Leave log'!$B$7:$B$306,"&lt;="&amp;DATE($B$3,5,9),'Leave log'!$C$7:$C$306,"&gt;="&amp;DATE($B$3,5,9),'Leave log'!$F$7:$F$306,"Pending")&gt;0,"P",""))))</f>
        <v/>
      </c>
      <c r="K169" s="23" t="str">
        <f>IF(A169="","",IF(IF(OR(DATE($B$3,5,10)&gt;EOMONTH(DATE($B$3,5,1),0),NETWORKDAYS.INTL(DATE($B$3,5,10),DATE($B$3,5,10),1,'Non-working days'!$A$6:$A$45)=0),"",IF(COUNTIFS('Leave log'!$A$7:$A$306,Employees!$A$32,'Leave log'!$B$7:$B$306,"&lt;="&amp;DATE($B$3,5,10),'Leave log'!$C$7:$C$306,"&gt;="&amp;DATE($B$3,5,10),'Leave log'!$F$7:$F$306,"Approved")&gt;0,"A",""))="A","A",IF(OR(DATE($B$3,5,10)&gt;EOMONTH(DATE($B$3,5,1),0),NETWORKDAYS.INTL(DATE($B$3,5,10),DATE($B$3,5,10),1,'Non-working days'!$A$6:$A$45)=0),"",IF(COUNTIFS('Leave log'!$A$7:$A$306,Employees!$A$32,'Leave log'!$B$7:$B$306,"&lt;="&amp;DATE($B$3,5,10),'Leave log'!$C$7:$C$306,"&gt;="&amp;DATE($B$3,5,10),'Leave log'!$F$7:$F$306,"Pending")&gt;0,"P",""))))</f>
        <v/>
      </c>
      <c r="L169" s="23" t="str">
        <f>IF(A169="","",IF(IF(OR(DATE($B$3,5,11)&gt;EOMONTH(DATE($B$3,5,1),0),NETWORKDAYS.INTL(DATE($B$3,5,11),DATE($B$3,5,11),1,'Non-working days'!$A$6:$A$45)=0),"",IF(COUNTIFS('Leave log'!$A$7:$A$306,Employees!$A$32,'Leave log'!$B$7:$B$306,"&lt;="&amp;DATE($B$3,5,11),'Leave log'!$C$7:$C$306,"&gt;="&amp;DATE($B$3,5,11),'Leave log'!$F$7:$F$306,"Approved")&gt;0,"A",""))="A","A",IF(OR(DATE($B$3,5,11)&gt;EOMONTH(DATE($B$3,5,1),0),NETWORKDAYS.INTL(DATE($B$3,5,11),DATE($B$3,5,11),1,'Non-working days'!$A$6:$A$45)=0),"",IF(COUNTIFS('Leave log'!$A$7:$A$306,Employees!$A$32,'Leave log'!$B$7:$B$306,"&lt;="&amp;DATE($B$3,5,11),'Leave log'!$C$7:$C$306,"&gt;="&amp;DATE($B$3,5,11),'Leave log'!$F$7:$F$306,"Pending")&gt;0,"P",""))))</f>
        <v/>
      </c>
      <c r="M169" s="23" t="str">
        <f>IF(A169="","",IF(IF(OR(DATE($B$3,5,12)&gt;EOMONTH(DATE($B$3,5,1),0),NETWORKDAYS.INTL(DATE($B$3,5,12),DATE($B$3,5,12),1,'Non-working days'!$A$6:$A$45)=0),"",IF(COUNTIFS('Leave log'!$A$7:$A$306,Employees!$A$32,'Leave log'!$B$7:$B$306,"&lt;="&amp;DATE($B$3,5,12),'Leave log'!$C$7:$C$306,"&gt;="&amp;DATE($B$3,5,12),'Leave log'!$F$7:$F$306,"Approved")&gt;0,"A",""))="A","A",IF(OR(DATE($B$3,5,12)&gt;EOMONTH(DATE($B$3,5,1),0),NETWORKDAYS.INTL(DATE($B$3,5,12),DATE($B$3,5,12),1,'Non-working days'!$A$6:$A$45)=0),"",IF(COUNTIFS('Leave log'!$A$7:$A$306,Employees!$A$32,'Leave log'!$B$7:$B$306,"&lt;="&amp;DATE($B$3,5,12),'Leave log'!$C$7:$C$306,"&gt;="&amp;DATE($B$3,5,12),'Leave log'!$F$7:$F$306,"Pending")&gt;0,"P",""))))</f>
        <v/>
      </c>
      <c r="N169" s="23" t="str">
        <f>IF(A169="","",IF(IF(OR(DATE($B$3,5,13)&gt;EOMONTH(DATE($B$3,5,1),0),NETWORKDAYS.INTL(DATE($B$3,5,13),DATE($B$3,5,13),1,'Non-working days'!$A$6:$A$45)=0),"",IF(COUNTIFS('Leave log'!$A$7:$A$306,Employees!$A$32,'Leave log'!$B$7:$B$306,"&lt;="&amp;DATE($B$3,5,13),'Leave log'!$C$7:$C$306,"&gt;="&amp;DATE($B$3,5,13),'Leave log'!$F$7:$F$306,"Approved")&gt;0,"A",""))="A","A",IF(OR(DATE($B$3,5,13)&gt;EOMONTH(DATE($B$3,5,1),0),NETWORKDAYS.INTL(DATE($B$3,5,13),DATE($B$3,5,13),1,'Non-working days'!$A$6:$A$45)=0),"",IF(COUNTIFS('Leave log'!$A$7:$A$306,Employees!$A$32,'Leave log'!$B$7:$B$306,"&lt;="&amp;DATE($B$3,5,13),'Leave log'!$C$7:$C$306,"&gt;="&amp;DATE($B$3,5,13),'Leave log'!$F$7:$F$306,"Pending")&gt;0,"P",""))))</f>
        <v/>
      </c>
      <c r="O169" s="23" t="str">
        <f>IF(A169="","",IF(IF(OR(DATE($B$3,5,14)&gt;EOMONTH(DATE($B$3,5,1),0),NETWORKDAYS.INTL(DATE($B$3,5,14),DATE($B$3,5,14),1,'Non-working days'!$A$6:$A$45)=0),"",IF(COUNTIFS('Leave log'!$A$7:$A$306,Employees!$A$32,'Leave log'!$B$7:$B$306,"&lt;="&amp;DATE($B$3,5,14),'Leave log'!$C$7:$C$306,"&gt;="&amp;DATE($B$3,5,14),'Leave log'!$F$7:$F$306,"Approved")&gt;0,"A",""))="A","A",IF(OR(DATE($B$3,5,14)&gt;EOMONTH(DATE($B$3,5,1),0),NETWORKDAYS.INTL(DATE($B$3,5,14),DATE($B$3,5,14),1,'Non-working days'!$A$6:$A$45)=0),"",IF(COUNTIFS('Leave log'!$A$7:$A$306,Employees!$A$32,'Leave log'!$B$7:$B$306,"&lt;="&amp;DATE($B$3,5,14),'Leave log'!$C$7:$C$306,"&gt;="&amp;DATE($B$3,5,14),'Leave log'!$F$7:$F$306,"Pending")&gt;0,"P",""))))</f>
        <v/>
      </c>
      <c r="P169" s="23" t="str">
        <f>IF(A169="","",IF(IF(OR(DATE($B$3,5,15)&gt;EOMONTH(DATE($B$3,5,1),0),NETWORKDAYS.INTL(DATE($B$3,5,15),DATE($B$3,5,15),1,'Non-working days'!$A$6:$A$45)=0),"",IF(COUNTIFS('Leave log'!$A$7:$A$306,Employees!$A$32,'Leave log'!$B$7:$B$306,"&lt;="&amp;DATE($B$3,5,15),'Leave log'!$C$7:$C$306,"&gt;="&amp;DATE($B$3,5,15),'Leave log'!$F$7:$F$306,"Approved")&gt;0,"A",""))="A","A",IF(OR(DATE($B$3,5,15)&gt;EOMONTH(DATE($B$3,5,1),0),NETWORKDAYS.INTL(DATE($B$3,5,15),DATE($B$3,5,15),1,'Non-working days'!$A$6:$A$45)=0),"",IF(COUNTIFS('Leave log'!$A$7:$A$306,Employees!$A$32,'Leave log'!$B$7:$B$306,"&lt;="&amp;DATE($B$3,5,15),'Leave log'!$C$7:$C$306,"&gt;="&amp;DATE($B$3,5,15),'Leave log'!$F$7:$F$306,"Pending")&gt;0,"P",""))))</f>
        <v/>
      </c>
      <c r="Q169" s="23" t="str">
        <f>IF(A169="","",IF(IF(OR(DATE($B$3,5,16)&gt;EOMONTH(DATE($B$3,5,1),0),NETWORKDAYS.INTL(DATE($B$3,5,16),DATE($B$3,5,16),1,'Non-working days'!$A$6:$A$45)=0),"",IF(COUNTIFS('Leave log'!$A$7:$A$306,Employees!$A$32,'Leave log'!$B$7:$B$306,"&lt;="&amp;DATE($B$3,5,16),'Leave log'!$C$7:$C$306,"&gt;="&amp;DATE($B$3,5,16),'Leave log'!$F$7:$F$306,"Approved")&gt;0,"A",""))="A","A",IF(OR(DATE($B$3,5,16)&gt;EOMONTH(DATE($B$3,5,1),0),NETWORKDAYS.INTL(DATE($B$3,5,16),DATE($B$3,5,16),1,'Non-working days'!$A$6:$A$45)=0),"",IF(COUNTIFS('Leave log'!$A$7:$A$306,Employees!$A$32,'Leave log'!$B$7:$B$306,"&lt;="&amp;DATE($B$3,5,16),'Leave log'!$C$7:$C$306,"&gt;="&amp;DATE($B$3,5,16),'Leave log'!$F$7:$F$306,"Pending")&gt;0,"P",""))))</f>
        <v/>
      </c>
      <c r="R169" s="23" t="str">
        <f>IF(A169="","",IF(IF(OR(DATE($B$3,5,17)&gt;EOMONTH(DATE($B$3,5,1),0),NETWORKDAYS.INTL(DATE($B$3,5,17),DATE($B$3,5,17),1,'Non-working days'!$A$6:$A$45)=0),"",IF(COUNTIFS('Leave log'!$A$7:$A$306,Employees!$A$32,'Leave log'!$B$7:$B$306,"&lt;="&amp;DATE($B$3,5,17),'Leave log'!$C$7:$C$306,"&gt;="&amp;DATE($B$3,5,17),'Leave log'!$F$7:$F$306,"Approved")&gt;0,"A",""))="A","A",IF(OR(DATE($B$3,5,17)&gt;EOMONTH(DATE($B$3,5,1),0),NETWORKDAYS.INTL(DATE($B$3,5,17),DATE($B$3,5,17),1,'Non-working days'!$A$6:$A$45)=0),"",IF(COUNTIFS('Leave log'!$A$7:$A$306,Employees!$A$32,'Leave log'!$B$7:$B$306,"&lt;="&amp;DATE($B$3,5,17),'Leave log'!$C$7:$C$306,"&gt;="&amp;DATE($B$3,5,17),'Leave log'!$F$7:$F$306,"Pending")&gt;0,"P",""))))</f>
        <v/>
      </c>
      <c r="S169" s="23" t="str">
        <f>IF(A169="","",IF(IF(OR(DATE($B$3,5,18)&gt;EOMONTH(DATE($B$3,5,1),0),NETWORKDAYS.INTL(DATE($B$3,5,18),DATE($B$3,5,18),1,'Non-working days'!$A$6:$A$45)=0),"",IF(COUNTIFS('Leave log'!$A$7:$A$306,Employees!$A$32,'Leave log'!$B$7:$B$306,"&lt;="&amp;DATE($B$3,5,18),'Leave log'!$C$7:$C$306,"&gt;="&amp;DATE($B$3,5,18),'Leave log'!$F$7:$F$306,"Approved")&gt;0,"A",""))="A","A",IF(OR(DATE($B$3,5,18)&gt;EOMONTH(DATE($B$3,5,1),0),NETWORKDAYS.INTL(DATE($B$3,5,18),DATE($B$3,5,18),1,'Non-working days'!$A$6:$A$45)=0),"",IF(COUNTIFS('Leave log'!$A$7:$A$306,Employees!$A$32,'Leave log'!$B$7:$B$306,"&lt;="&amp;DATE($B$3,5,18),'Leave log'!$C$7:$C$306,"&gt;="&amp;DATE($B$3,5,18),'Leave log'!$F$7:$F$306,"Pending")&gt;0,"P",""))))</f>
        <v/>
      </c>
      <c r="T169" s="23" t="str">
        <f>IF(A169="","",IF(IF(OR(DATE($B$3,5,19)&gt;EOMONTH(DATE($B$3,5,1),0),NETWORKDAYS.INTL(DATE($B$3,5,19),DATE($B$3,5,19),1,'Non-working days'!$A$6:$A$45)=0),"",IF(COUNTIFS('Leave log'!$A$7:$A$306,Employees!$A$32,'Leave log'!$B$7:$B$306,"&lt;="&amp;DATE($B$3,5,19),'Leave log'!$C$7:$C$306,"&gt;="&amp;DATE($B$3,5,19),'Leave log'!$F$7:$F$306,"Approved")&gt;0,"A",""))="A","A",IF(OR(DATE($B$3,5,19)&gt;EOMONTH(DATE($B$3,5,1),0),NETWORKDAYS.INTL(DATE($B$3,5,19),DATE($B$3,5,19),1,'Non-working days'!$A$6:$A$45)=0),"",IF(COUNTIFS('Leave log'!$A$7:$A$306,Employees!$A$32,'Leave log'!$B$7:$B$306,"&lt;="&amp;DATE($B$3,5,19),'Leave log'!$C$7:$C$306,"&gt;="&amp;DATE($B$3,5,19),'Leave log'!$F$7:$F$306,"Pending")&gt;0,"P",""))))</f>
        <v/>
      </c>
      <c r="U169" s="23" t="str">
        <f>IF(A169="","",IF(IF(OR(DATE($B$3,5,20)&gt;EOMONTH(DATE($B$3,5,1),0),NETWORKDAYS.INTL(DATE($B$3,5,20),DATE($B$3,5,20),1,'Non-working days'!$A$6:$A$45)=0),"",IF(COUNTIFS('Leave log'!$A$7:$A$306,Employees!$A$32,'Leave log'!$B$7:$B$306,"&lt;="&amp;DATE($B$3,5,20),'Leave log'!$C$7:$C$306,"&gt;="&amp;DATE($B$3,5,20),'Leave log'!$F$7:$F$306,"Approved")&gt;0,"A",""))="A","A",IF(OR(DATE($B$3,5,20)&gt;EOMONTH(DATE($B$3,5,1),0),NETWORKDAYS.INTL(DATE($B$3,5,20),DATE($B$3,5,20),1,'Non-working days'!$A$6:$A$45)=0),"",IF(COUNTIFS('Leave log'!$A$7:$A$306,Employees!$A$32,'Leave log'!$B$7:$B$306,"&lt;="&amp;DATE($B$3,5,20),'Leave log'!$C$7:$C$306,"&gt;="&amp;DATE($B$3,5,20),'Leave log'!$F$7:$F$306,"Pending")&gt;0,"P",""))))</f>
        <v/>
      </c>
      <c r="V169" s="23" t="str">
        <f>IF(A169="","",IF(IF(OR(DATE($B$3,5,21)&gt;EOMONTH(DATE($B$3,5,1),0),NETWORKDAYS.INTL(DATE($B$3,5,21),DATE($B$3,5,21),1,'Non-working days'!$A$6:$A$45)=0),"",IF(COUNTIFS('Leave log'!$A$7:$A$306,Employees!$A$32,'Leave log'!$B$7:$B$306,"&lt;="&amp;DATE($B$3,5,21),'Leave log'!$C$7:$C$306,"&gt;="&amp;DATE($B$3,5,21),'Leave log'!$F$7:$F$306,"Approved")&gt;0,"A",""))="A","A",IF(OR(DATE($B$3,5,21)&gt;EOMONTH(DATE($B$3,5,1),0),NETWORKDAYS.INTL(DATE($B$3,5,21),DATE($B$3,5,21),1,'Non-working days'!$A$6:$A$45)=0),"",IF(COUNTIFS('Leave log'!$A$7:$A$306,Employees!$A$32,'Leave log'!$B$7:$B$306,"&lt;="&amp;DATE($B$3,5,21),'Leave log'!$C$7:$C$306,"&gt;="&amp;DATE($B$3,5,21),'Leave log'!$F$7:$F$306,"Pending")&gt;0,"P",""))))</f>
        <v/>
      </c>
      <c r="W169" s="23" t="str">
        <f>IF(A169="","",IF(IF(OR(DATE($B$3,5,22)&gt;EOMONTH(DATE($B$3,5,1),0),NETWORKDAYS.INTL(DATE($B$3,5,22),DATE($B$3,5,22),1,'Non-working days'!$A$6:$A$45)=0),"",IF(COUNTIFS('Leave log'!$A$7:$A$306,Employees!$A$32,'Leave log'!$B$7:$B$306,"&lt;="&amp;DATE($B$3,5,22),'Leave log'!$C$7:$C$306,"&gt;="&amp;DATE($B$3,5,22),'Leave log'!$F$7:$F$306,"Approved")&gt;0,"A",""))="A","A",IF(OR(DATE($B$3,5,22)&gt;EOMONTH(DATE($B$3,5,1),0),NETWORKDAYS.INTL(DATE($B$3,5,22),DATE($B$3,5,22),1,'Non-working days'!$A$6:$A$45)=0),"",IF(COUNTIFS('Leave log'!$A$7:$A$306,Employees!$A$32,'Leave log'!$B$7:$B$306,"&lt;="&amp;DATE($B$3,5,22),'Leave log'!$C$7:$C$306,"&gt;="&amp;DATE($B$3,5,22),'Leave log'!$F$7:$F$306,"Pending")&gt;0,"P",""))))</f>
        <v/>
      </c>
      <c r="X169" s="23" t="str">
        <f>IF(A169="","",IF(IF(OR(DATE($B$3,5,23)&gt;EOMONTH(DATE($B$3,5,1),0),NETWORKDAYS.INTL(DATE($B$3,5,23),DATE($B$3,5,23),1,'Non-working days'!$A$6:$A$45)=0),"",IF(COUNTIFS('Leave log'!$A$7:$A$306,Employees!$A$32,'Leave log'!$B$7:$B$306,"&lt;="&amp;DATE($B$3,5,23),'Leave log'!$C$7:$C$306,"&gt;="&amp;DATE($B$3,5,23),'Leave log'!$F$7:$F$306,"Approved")&gt;0,"A",""))="A","A",IF(OR(DATE($B$3,5,23)&gt;EOMONTH(DATE($B$3,5,1),0),NETWORKDAYS.INTL(DATE($B$3,5,23),DATE($B$3,5,23),1,'Non-working days'!$A$6:$A$45)=0),"",IF(COUNTIFS('Leave log'!$A$7:$A$306,Employees!$A$32,'Leave log'!$B$7:$B$306,"&lt;="&amp;DATE($B$3,5,23),'Leave log'!$C$7:$C$306,"&gt;="&amp;DATE($B$3,5,23),'Leave log'!$F$7:$F$306,"Pending")&gt;0,"P",""))))</f>
        <v/>
      </c>
      <c r="Y169" s="23" t="str">
        <f>IF(A169="","",IF(IF(OR(DATE($B$3,5,24)&gt;EOMONTH(DATE($B$3,5,1),0),NETWORKDAYS.INTL(DATE($B$3,5,24),DATE($B$3,5,24),1,'Non-working days'!$A$6:$A$45)=0),"",IF(COUNTIFS('Leave log'!$A$7:$A$306,Employees!$A$32,'Leave log'!$B$7:$B$306,"&lt;="&amp;DATE($B$3,5,24),'Leave log'!$C$7:$C$306,"&gt;="&amp;DATE($B$3,5,24),'Leave log'!$F$7:$F$306,"Approved")&gt;0,"A",""))="A","A",IF(OR(DATE($B$3,5,24)&gt;EOMONTH(DATE($B$3,5,1),0),NETWORKDAYS.INTL(DATE($B$3,5,24),DATE($B$3,5,24),1,'Non-working days'!$A$6:$A$45)=0),"",IF(COUNTIFS('Leave log'!$A$7:$A$306,Employees!$A$32,'Leave log'!$B$7:$B$306,"&lt;="&amp;DATE($B$3,5,24),'Leave log'!$C$7:$C$306,"&gt;="&amp;DATE($B$3,5,24),'Leave log'!$F$7:$F$306,"Pending")&gt;0,"P",""))))</f>
        <v/>
      </c>
      <c r="Z169" s="23" t="str">
        <f>IF(A169="","",IF(IF(OR(DATE($B$3,5,25)&gt;EOMONTH(DATE($B$3,5,1),0),NETWORKDAYS.INTL(DATE($B$3,5,25),DATE($B$3,5,25),1,'Non-working days'!$A$6:$A$45)=0),"",IF(COUNTIFS('Leave log'!$A$7:$A$306,Employees!$A$32,'Leave log'!$B$7:$B$306,"&lt;="&amp;DATE($B$3,5,25),'Leave log'!$C$7:$C$306,"&gt;="&amp;DATE($B$3,5,25),'Leave log'!$F$7:$F$306,"Approved")&gt;0,"A",""))="A","A",IF(OR(DATE($B$3,5,25)&gt;EOMONTH(DATE($B$3,5,1),0),NETWORKDAYS.INTL(DATE($B$3,5,25),DATE($B$3,5,25),1,'Non-working days'!$A$6:$A$45)=0),"",IF(COUNTIFS('Leave log'!$A$7:$A$306,Employees!$A$32,'Leave log'!$B$7:$B$306,"&lt;="&amp;DATE($B$3,5,25),'Leave log'!$C$7:$C$306,"&gt;="&amp;DATE($B$3,5,25),'Leave log'!$F$7:$F$306,"Pending")&gt;0,"P",""))))</f>
        <v/>
      </c>
      <c r="AA169" s="23" t="str">
        <f>IF(A169="","",IF(IF(OR(DATE($B$3,5,26)&gt;EOMONTH(DATE($B$3,5,1),0),NETWORKDAYS.INTL(DATE($B$3,5,26),DATE($B$3,5,26),1,'Non-working days'!$A$6:$A$45)=0),"",IF(COUNTIFS('Leave log'!$A$7:$A$306,Employees!$A$32,'Leave log'!$B$7:$B$306,"&lt;="&amp;DATE($B$3,5,26),'Leave log'!$C$7:$C$306,"&gt;="&amp;DATE($B$3,5,26),'Leave log'!$F$7:$F$306,"Approved")&gt;0,"A",""))="A","A",IF(OR(DATE($B$3,5,26)&gt;EOMONTH(DATE($B$3,5,1),0),NETWORKDAYS.INTL(DATE($B$3,5,26),DATE($B$3,5,26),1,'Non-working days'!$A$6:$A$45)=0),"",IF(COUNTIFS('Leave log'!$A$7:$A$306,Employees!$A$32,'Leave log'!$B$7:$B$306,"&lt;="&amp;DATE($B$3,5,26),'Leave log'!$C$7:$C$306,"&gt;="&amp;DATE($B$3,5,26),'Leave log'!$F$7:$F$306,"Pending")&gt;0,"P",""))))</f>
        <v/>
      </c>
      <c r="AB169" s="23" t="str">
        <f>IF(A169="","",IF(IF(OR(DATE($B$3,5,27)&gt;EOMONTH(DATE($B$3,5,1),0),NETWORKDAYS.INTL(DATE($B$3,5,27),DATE($B$3,5,27),1,'Non-working days'!$A$6:$A$45)=0),"",IF(COUNTIFS('Leave log'!$A$7:$A$306,Employees!$A$32,'Leave log'!$B$7:$B$306,"&lt;="&amp;DATE($B$3,5,27),'Leave log'!$C$7:$C$306,"&gt;="&amp;DATE($B$3,5,27),'Leave log'!$F$7:$F$306,"Approved")&gt;0,"A",""))="A","A",IF(OR(DATE($B$3,5,27)&gt;EOMONTH(DATE($B$3,5,1),0),NETWORKDAYS.INTL(DATE($B$3,5,27),DATE($B$3,5,27),1,'Non-working days'!$A$6:$A$45)=0),"",IF(COUNTIFS('Leave log'!$A$7:$A$306,Employees!$A$32,'Leave log'!$B$7:$B$306,"&lt;="&amp;DATE($B$3,5,27),'Leave log'!$C$7:$C$306,"&gt;="&amp;DATE($B$3,5,27),'Leave log'!$F$7:$F$306,"Pending")&gt;0,"P",""))))</f>
        <v/>
      </c>
      <c r="AC169" s="23" t="str">
        <f>IF(A169="","",IF(IF(OR(DATE($B$3,5,28)&gt;EOMONTH(DATE($B$3,5,1),0),NETWORKDAYS.INTL(DATE($B$3,5,28),DATE($B$3,5,28),1,'Non-working days'!$A$6:$A$45)=0),"",IF(COUNTIFS('Leave log'!$A$7:$A$306,Employees!$A$32,'Leave log'!$B$7:$B$306,"&lt;="&amp;DATE($B$3,5,28),'Leave log'!$C$7:$C$306,"&gt;="&amp;DATE($B$3,5,28),'Leave log'!$F$7:$F$306,"Approved")&gt;0,"A",""))="A","A",IF(OR(DATE($B$3,5,28)&gt;EOMONTH(DATE($B$3,5,1),0),NETWORKDAYS.INTL(DATE($B$3,5,28),DATE($B$3,5,28),1,'Non-working days'!$A$6:$A$45)=0),"",IF(COUNTIFS('Leave log'!$A$7:$A$306,Employees!$A$32,'Leave log'!$B$7:$B$306,"&lt;="&amp;DATE($B$3,5,28),'Leave log'!$C$7:$C$306,"&gt;="&amp;DATE($B$3,5,28),'Leave log'!$F$7:$F$306,"Pending")&gt;0,"P",""))))</f>
        <v/>
      </c>
      <c r="AD169" s="23" t="str">
        <f>IF(A169="","",IF(IF(OR(DATE($B$3,5,29)&gt;EOMONTH(DATE($B$3,5,1),0),NETWORKDAYS.INTL(DATE($B$3,5,29),DATE($B$3,5,29),1,'Non-working days'!$A$6:$A$45)=0),"",IF(COUNTIFS('Leave log'!$A$7:$A$306,Employees!$A$32,'Leave log'!$B$7:$B$306,"&lt;="&amp;DATE($B$3,5,29),'Leave log'!$C$7:$C$306,"&gt;="&amp;DATE($B$3,5,29),'Leave log'!$F$7:$F$306,"Approved")&gt;0,"A",""))="A","A",IF(OR(DATE($B$3,5,29)&gt;EOMONTH(DATE($B$3,5,1),0),NETWORKDAYS.INTL(DATE($B$3,5,29),DATE($B$3,5,29),1,'Non-working days'!$A$6:$A$45)=0),"",IF(COUNTIFS('Leave log'!$A$7:$A$306,Employees!$A$32,'Leave log'!$B$7:$B$306,"&lt;="&amp;DATE($B$3,5,29),'Leave log'!$C$7:$C$306,"&gt;="&amp;DATE($B$3,5,29),'Leave log'!$F$7:$F$306,"Pending")&gt;0,"P",""))))</f>
        <v/>
      </c>
      <c r="AE169" s="23" t="str">
        <f>IF(A169="","",IF(IF(OR(DATE($B$3,5,30)&gt;EOMONTH(DATE($B$3,5,1),0),NETWORKDAYS.INTL(DATE($B$3,5,30),DATE($B$3,5,30),1,'Non-working days'!$A$6:$A$45)=0),"",IF(COUNTIFS('Leave log'!$A$7:$A$306,Employees!$A$32,'Leave log'!$B$7:$B$306,"&lt;="&amp;DATE($B$3,5,30),'Leave log'!$C$7:$C$306,"&gt;="&amp;DATE($B$3,5,30),'Leave log'!$F$7:$F$306,"Approved")&gt;0,"A",""))="A","A",IF(OR(DATE($B$3,5,30)&gt;EOMONTH(DATE($B$3,5,1),0),NETWORKDAYS.INTL(DATE($B$3,5,30),DATE($B$3,5,30),1,'Non-working days'!$A$6:$A$45)=0),"",IF(COUNTIFS('Leave log'!$A$7:$A$306,Employees!$A$32,'Leave log'!$B$7:$B$306,"&lt;="&amp;DATE($B$3,5,30),'Leave log'!$C$7:$C$306,"&gt;="&amp;DATE($B$3,5,30),'Leave log'!$F$7:$F$306,"Pending")&gt;0,"P",""))))</f>
        <v/>
      </c>
      <c r="AF169" s="23" t="str">
        <f>IF(A169="","",IF(IF(OR(DATE($B$3,5,31)&gt;EOMONTH(DATE($B$3,5,1),0),NETWORKDAYS.INTL(DATE($B$3,5,31),DATE($B$3,5,31),1,'Non-working days'!$A$6:$A$45)=0),"",IF(COUNTIFS('Leave log'!$A$7:$A$306,Employees!$A$32,'Leave log'!$B$7:$B$306,"&lt;="&amp;DATE($B$3,5,31),'Leave log'!$C$7:$C$306,"&gt;="&amp;DATE($B$3,5,31),'Leave log'!$F$7:$F$306,"Approved")&gt;0,"A",""))="A","A",IF(OR(DATE($B$3,5,31)&gt;EOMONTH(DATE($B$3,5,1),0),NETWORKDAYS.INTL(DATE($B$3,5,31),DATE($B$3,5,31),1,'Non-working days'!$A$6:$A$45)=0),"",IF(COUNTIFS('Leave log'!$A$7:$A$306,Employees!$A$32,'Leave log'!$B$7:$B$306,"&lt;="&amp;DATE($B$3,5,31),'Leave log'!$C$7:$C$306,"&gt;="&amp;DATE($B$3,5,31),'Leave log'!$F$7:$F$306,"Pending")&gt;0,"P",""))))</f>
        <v/>
      </c>
    </row>
    <row r="170" spans="1:32" ht="18" customHeight="1" x14ac:dyDescent="0.3">
      <c r="A170" s="22" t="str">
        <f>IF(Employees!F33="Yes",Employees!B33,"")</f>
        <v/>
      </c>
      <c r="B170" s="23" t="str">
        <f>IF(A170="","",IF(IF(OR(DATE($B$3,5,1)&gt;EOMONTH(DATE($B$3,5,1),0),NETWORKDAYS.INTL(DATE($B$3,5,1),DATE($B$3,5,1),1,'Non-working days'!$A$6:$A$45)=0),"",IF(COUNTIFS('Leave log'!$A$7:$A$306,Employees!$A$33,'Leave log'!$B$7:$B$306,"&lt;="&amp;DATE($B$3,5,1),'Leave log'!$C$7:$C$306,"&gt;="&amp;DATE($B$3,5,1),'Leave log'!$F$7:$F$306,"Approved")&gt;0,"A",""))="A","A",IF(OR(DATE($B$3,5,1)&gt;EOMONTH(DATE($B$3,5,1),0),NETWORKDAYS.INTL(DATE($B$3,5,1),DATE($B$3,5,1),1,'Non-working days'!$A$6:$A$45)=0),"",IF(COUNTIFS('Leave log'!$A$7:$A$306,Employees!$A$33,'Leave log'!$B$7:$B$306,"&lt;="&amp;DATE($B$3,5,1),'Leave log'!$C$7:$C$306,"&gt;="&amp;DATE($B$3,5,1),'Leave log'!$F$7:$F$306,"Pending")&gt;0,"P",""))))</f>
        <v/>
      </c>
      <c r="C170" s="23" t="str">
        <f>IF(A170="","",IF(IF(OR(DATE($B$3,5,2)&gt;EOMONTH(DATE($B$3,5,1),0),NETWORKDAYS.INTL(DATE($B$3,5,2),DATE($B$3,5,2),1,'Non-working days'!$A$6:$A$45)=0),"",IF(COUNTIFS('Leave log'!$A$7:$A$306,Employees!$A$33,'Leave log'!$B$7:$B$306,"&lt;="&amp;DATE($B$3,5,2),'Leave log'!$C$7:$C$306,"&gt;="&amp;DATE($B$3,5,2),'Leave log'!$F$7:$F$306,"Approved")&gt;0,"A",""))="A","A",IF(OR(DATE($B$3,5,2)&gt;EOMONTH(DATE($B$3,5,1),0),NETWORKDAYS.INTL(DATE($B$3,5,2),DATE($B$3,5,2),1,'Non-working days'!$A$6:$A$45)=0),"",IF(COUNTIFS('Leave log'!$A$7:$A$306,Employees!$A$33,'Leave log'!$B$7:$B$306,"&lt;="&amp;DATE($B$3,5,2),'Leave log'!$C$7:$C$306,"&gt;="&amp;DATE($B$3,5,2),'Leave log'!$F$7:$F$306,"Pending")&gt;0,"P",""))))</f>
        <v/>
      </c>
      <c r="D170" s="23" t="str">
        <f>IF(A170="","",IF(IF(OR(DATE($B$3,5,3)&gt;EOMONTH(DATE($B$3,5,1),0),NETWORKDAYS.INTL(DATE($B$3,5,3),DATE($B$3,5,3),1,'Non-working days'!$A$6:$A$45)=0),"",IF(COUNTIFS('Leave log'!$A$7:$A$306,Employees!$A$33,'Leave log'!$B$7:$B$306,"&lt;="&amp;DATE($B$3,5,3),'Leave log'!$C$7:$C$306,"&gt;="&amp;DATE($B$3,5,3),'Leave log'!$F$7:$F$306,"Approved")&gt;0,"A",""))="A","A",IF(OR(DATE($B$3,5,3)&gt;EOMONTH(DATE($B$3,5,1),0),NETWORKDAYS.INTL(DATE($B$3,5,3),DATE($B$3,5,3),1,'Non-working days'!$A$6:$A$45)=0),"",IF(COUNTIFS('Leave log'!$A$7:$A$306,Employees!$A$33,'Leave log'!$B$7:$B$306,"&lt;="&amp;DATE($B$3,5,3),'Leave log'!$C$7:$C$306,"&gt;="&amp;DATE($B$3,5,3),'Leave log'!$F$7:$F$306,"Pending")&gt;0,"P",""))))</f>
        <v/>
      </c>
      <c r="E170" s="23" t="str">
        <f>IF(A170="","",IF(IF(OR(DATE($B$3,5,4)&gt;EOMONTH(DATE($B$3,5,1),0),NETWORKDAYS.INTL(DATE($B$3,5,4),DATE($B$3,5,4),1,'Non-working days'!$A$6:$A$45)=0),"",IF(COUNTIFS('Leave log'!$A$7:$A$306,Employees!$A$33,'Leave log'!$B$7:$B$306,"&lt;="&amp;DATE($B$3,5,4),'Leave log'!$C$7:$C$306,"&gt;="&amp;DATE($B$3,5,4),'Leave log'!$F$7:$F$306,"Approved")&gt;0,"A",""))="A","A",IF(OR(DATE($B$3,5,4)&gt;EOMONTH(DATE($B$3,5,1),0),NETWORKDAYS.INTL(DATE($B$3,5,4),DATE($B$3,5,4),1,'Non-working days'!$A$6:$A$45)=0),"",IF(COUNTIFS('Leave log'!$A$7:$A$306,Employees!$A$33,'Leave log'!$B$7:$B$306,"&lt;="&amp;DATE($B$3,5,4),'Leave log'!$C$7:$C$306,"&gt;="&amp;DATE($B$3,5,4),'Leave log'!$F$7:$F$306,"Pending")&gt;0,"P",""))))</f>
        <v/>
      </c>
      <c r="F170" s="23" t="str">
        <f>IF(A170="","",IF(IF(OR(DATE($B$3,5,5)&gt;EOMONTH(DATE($B$3,5,1),0),NETWORKDAYS.INTL(DATE($B$3,5,5),DATE($B$3,5,5),1,'Non-working days'!$A$6:$A$45)=0),"",IF(COUNTIFS('Leave log'!$A$7:$A$306,Employees!$A$33,'Leave log'!$B$7:$B$306,"&lt;="&amp;DATE($B$3,5,5),'Leave log'!$C$7:$C$306,"&gt;="&amp;DATE($B$3,5,5),'Leave log'!$F$7:$F$306,"Approved")&gt;0,"A",""))="A","A",IF(OR(DATE($B$3,5,5)&gt;EOMONTH(DATE($B$3,5,1),0),NETWORKDAYS.INTL(DATE($B$3,5,5),DATE($B$3,5,5),1,'Non-working days'!$A$6:$A$45)=0),"",IF(COUNTIFS('Leave log'!$A$7:$A$306,Employees!$A$33,'Leave log'!$B$7:$B$306,"&lt;="&amp;DATE($B$3,5,5),'Leave log'!$C$7:$C$306,"&gt;="&amp;DATE($B$3,5,5),'Leave log'!$F$7:$F$306,"Pending")&gt;0,"P",""))))</f>
        <v/>
      </c>
      <c r="G170" s="23" t="str">
        <f>IF(A170="","",IF(IF(OR(DATE($B$3,5,6)&gt;EOMONTH(DATE($B$3,5,1),0),NETWORKDAYS.INTL(DATE($B$3,5,6),DATE($B$3,5,6),1,'Non-working days'!$A$6:$A$45)=0),"",IF(COUNTIFS('Leave log'!$A$7:$A$306,Employees!$A$33,'Leave log'!$B$7:$B$306,"&lt;="&amp;DATE($B$3,5,6),'Leave log'!$C$7:$C$306,"&gt;="&amp;DATE($B$3,5,6),'Leave log'!$F$7:$F$306,"Approved")&gt;0,"A",""))="A","A",IF(OR(DATE($B$3,5,6)&gt;EOMONTH(DATE($B$3,5,1),0),NETWORKDAYS.INTL(DATE($B$3,5,6),DATE($B$3,5,6),1,'Non-working days'!$A$6:$A$45)=0),"",IF(COUNTIFS('Leave log'!$A$7:$A$306,Employees!$A$33,'Leave log'!$B$7:$B$306,"&lt;="&amp;DATE($B$3,5,6),'Leave log'!$C$7:$C$306,"&gt;="&amp;DATE($B$3,5,6),'Leave log'!$F$7:$F$306,"Pending")&gt;0,"P",""))))</f>
        <v/>
      </c>
      <c r="H170" s="23" t="str">
        <f>IF(A170="","",IF(IF(OR(DATE($B$3,5,7)&gt;EOMONTH(DATE($B$3,5,1),0),NETWORKDAYS.INTL(DATE($B$3,5,7),DATE($B$3,5,7),1,'Non-working days'!$A$6:$A$45)=0),"",IF(COUNTIFS('Leave log'!$A$7:$A$306,Employees!$A$33,'Leave log'!$B$7:$B$306,"&lt;="&amp;DATE($B$3,5,7),'Leave log'!$C$7:$C$306,"&gt;="&amp;DATE($B$3,5,7),'Leave log'!$F$7:$F$306,"Approved")&gt;0,"A",""))="A","A",IF(OR(DATE($B$3,5,7)&gt;EOMONTH(DATE($B$3,5,1),0),NETWORKDAYS.INTL(DATE($B$3,5,7),DATE($B$3,5,7),1,'Non-working days'!$A$6:$A$45)=0),"",IF(COUNTIFS('Leave log'!$A$7:$A$306,Employees!$A$33,'Leave log'!$B$7:$B$306,"&lt;="&amp;DATE($B$3,5,7),'Leave log'!$C$7:$C$306,"&gt;="&amp;DATE($B$3,5,7),'Leave log'!$F$7:$F$306,"Pending")&gt;0,"P",""))))</f>
        <v/>
      </c>
      <c r="I170" s="23" t="str">
        <f>IF(A170="","",IF(IF(OR(DATE($B$3,5,8)&gt;EOMONTH(DATE($B$3,5,1),0),NETWORKDAYS.INTL(DATE($B$3,5,8),DATE($B$3,5,8),1,'Non-working days'!$A$6:$A$45)=0),"",IF(COUNTIFS('Leave log'!$A$7:$A$306,Employees!$A$33,'Leave log'!$B$7:$B$306,"&lt;="&amp;DATE($B$3,5,8),'Leave log'!$C$7:$C$306,"&gt;="&amp;DATE($B$3,5,8),'Leave log'!$F$7:$F$306,"Approved")&gt;0,"A",""))="A","A",IF(OR(DATE($B$3,5,8)&gt;EOMONTH(DATE($B$3,5,1),0),NETWORKDAYS.INTL(DATE($B$3,5,8),DATE($B$3,5,8),1,'Non-working days'!$A$6:$A$45)=0),"",IF(COUNTIFS('Leave log'!$A$7:$A$306,Employees!$A$33,'Leave log'!$B$7:$B$306,"&lt;="&amp;DATE($B$3,5,8),'Leave log'!$C$7:$C$306,"&gt;="&amp;DATE($B$3,5,8),'Leave log'!$F$7:$F$306,"Pending")&gt;0,"P",""))))</f>
        <v/>
      </c>
      <c r="J170" s="23" t="str">
        <f>IF(A170="","",IF(IF(OR(DATE($B$3,5,9)&gt;EOMONTH(DATE($B$3,5,1),0),NETWORKDAYS.INTL(DATE($B$3,5,9),DATE($B$3,5,9),1,'Non-working days'!$A$6:$A$45)=0),"",IF(COUNTIFS('Leave log'!$A$7:$A$306,Employees!$A$33,'Leave log'!$B$7:$B$306,"&lt;="&amp;DATE($B$3,5,9),'Leave log'!$C$7:$C$306,"&gt;="&amp;DATE($B$3,5,9),'Leave log'!$F$7:$F$306,"Approved")&gt;0,"A",""))="A","A",IF(OR(DATE($B$3,5,9)&gt;EOMONTH(DATE($B$3,5,1),0),NETWORKDAYS.INTL(DATE($B$3,5,9),DATE($B$3,5,9),1,'Non-working days'!$A$6:$A$45)=0),"",IF(COUNTIFS('Leave log'!$A$7:$A$306,Employees!$A$33,'Leave log'!$B$7:$B$306,"&lt;="&amp;DATE($B$3,5,9),'Leave log'!$C$7:$C$306,"&gt;="&amp;DATE($B$3,5,9),'Leave log'!$F$7:$F$306,"Pending")&gt;0,"P",""))))</f>
        <v/>
      </c>
      <c r="K170" s="23" t="str">
        <f>IF(A170="","",IF(IF(OR(DATE($B$3,5,10)&gt;EOMONTH(DATE($B$3,5,1),0),NETWORKDAYS.INTL(DATE($B$3,5,10),DATE($B$3,5,10),1,'Non-working days'!$A$6:$A$45)=0),"",IF(COUNTIFS('Leave log'!$A$7:$A$306,Employees!$A$33,'Leave log'!$B$7:$B$306,"&lt;="&amp;DATE($B$3,5,10),'Leave log'!$C$7:$C$306,"&gt;="&amp;DATE($B$3,5,10),'Leave log'!$F$7:$F$306,"Approved")&gt;0,"A",""))="A","A",IF(OR(DATE($B$3,5,10)&gt;EOMONTH(DATE($B$3,5,1),0),NETWORKDAYS.INTL(DATE($B$3,5,10),DATE($B$3,5,10),1,'Non-working days'!$A$6:$A$45)=0),"",IF(COUNTIFS('Leave log'!$A$7:$A$306,Employees!$A$33,'Leave log'!$B$7:$B$306,"&lt;="&amp;DATE($B$3,5,10),'Leave log'!$C$7:$C$306,"&gt;="&amp;DATE($B$3,5,10),'Leave log'!$F$7:$F$306,"Pending")&gt;0,"P",""))))</f>
        <v/>
      </c>
      <c r="L170" s="23" t="str">
        <f>IF(A170="","",IF(IF(OR(DATE($B$3,5,11)&gt;EOMONTH(DATE($B$3,5,1),0),NETWORKDAYS.INTL(DATE($B$3,5,11),DATE($B$3,5,11),1,'Non-working days'!$A$6:$A$45)=0),"",IF(COUNTIFS('Leave log'!$A$7:$A$306,Employees!$A$33,'Leave log'!$B$7:$B$306,"&lt;="&amp;DATE($B$3,5,11),'Leave log'!$C$7:$C$306,"&gt;="&amp;DATE($B$3,5,11),'Leave log'!$F$7:$F$306,"Approved")&gt;0,"A",""))="A","A",IF(OR(DATE($B$3,5,11)&gt;EOMONTH(DATE($B$3,5,1),0),NETWORKDAYS.INTL(DATE($B$3,5,11),DATE($B$3,5,11),1,'Non-working days'!$A$6:$A$45)=0),"",IF(COUNTIFS('Leave log'!$A$7:$A$306,Employees!$A$33,'Leave log'!$B$7:$B$306,"&lt;="&amp;DATE($B$3,5,11),'Leave log'!$C$7:$C$306,"&gt;="&amp;DATE($B$3,5,11),'Leave log'!$F$7:$F$306,"Pending")&gt;0,"P",""))))</f>
        <v/>
      </c>
      <c r="M170" s="23" t="str">
        <f>IF(A170="","",IF(IF(OR(DATE($B$3,5,12)&gt;EOMONTH(DATE($B$3,5,1),0),NETWORKDAYS.INTL(DATE($B$3,5,12),DATE($B$3,5,12),1,'Non-working days'!$A$6:$A$45)=0),"",IF(COUNTIFS('Leave log'!$A$7:$A$306,Employees!$A$33,'Leave log'!$B$7:$B$306,"&lt;="&amp;DATE($B$3,5,12),'Leave log'!$C$7:$C$306,"&gt;="&amp;DATE($B$3,5,12),'Leave log'!$F$7:$F$306,"Approved")&gt;0,"A",""))="A","A",IF(OR(DATE($B$3,5,12)&gt;EOMONTH(DATE($B$3,5,1),0),NETWORKDAYS.INTL(DATE($B$3,5,12),DATE($B$3,5,12),1,'Non-working days'!$A$6:$A$45)=0),"",IF(COUNTIFS('Leave log'!$A$7:$A$306,Employees!$A$33,'Leave log'!$B$7:$B$306,"&lt;="&amp;DATE($B$3,5,12),'Leave log'!$C$7:$C$306,"&gt;="&amp;DATE($B$3,5,12),'Leave log'!$F$7:$F$306,"Pending")&gt;0,"P",""))))</f>
        <v/>
      </c>
      <c r="N170" s="23" t="str">
        <f>IF(A170="","",IF(IF(OR(DATE($B$3,5,13)&gt;EOMONTH(DATE($B$3,5,1),0),NETWORKDAYS.INTL(DATE($B$3,5,13),DATE($B$3,5,13),1,'Non-working days'!$A$6:$A$45)=0),"",IF(COUNTIFS('Leave log'!$A$7:$A$306,Employees!$A$33,'Leave log'!$B$7:$B$306,"&lt;="&amp;DATE($B$3,5,13),'Leave log'!$C$7:$C$306,"&gt;="&amp;DATE($B$3,5,13),'Leave log'!$F$7:$F$306,"Approved")&gt;0,"A",""))="A","A",IF(OR(DATE($B$3,5,13)&gt;EOMONTH(DATE($B$3,5,1),0),NETWORKDAYS.INTL(DATE($B$3,5,13),DATE($B$3,5,13),1,'Non-working days'!$A$6:$A$45)=0),"",IF(COUNTIFS('Leave log'!$A$7:$A$306,Employees!$A$33,'Leave log'!$B$7:$B$306,"&lt;="&amp;DATE($B$3,5,13),'Leave log'!$C$7:$C$306,"&gt;="&amp;DATE($B$3,5,13),'Leave log'!$F$7:$F$306,"Pending")&gt;0,"P",""))))</f>
        <v/>
      </c>
      <c r="O170" s="23" t="str">
        <f>IF(A170="","",IF(IF(OR(DATE($B$3,5,14)&gt;EOMONTH(DATE($B$3,5,1),0),NETWORKDAYS.INTL(DATE($B$3,5,14),DATE($B$3,5,14),1,'Non-working days'!$A$6:$A$45)=0),"",IF(COUNTIFS('Leave log'!$A$7:$A$306,Employees!$A$33,'Leave log'!$B$7:$B$306,"&lt;="&amp;DATE($B$3,5,14),'Leave log'!$C$7:$C$306,"&gt;="&amp;DATE($B$3,5,14),'Leave log'!$F$7:$F$306,"Approved")&gt;0,"A",""))="A","A",IF(OR(DATE($B$3,5,14)&gt;EOMONTH(DATE($B$3,5,1),0),NETWORKDAYS.INTL(DATE($B$3,5,14),DATE($B$3,5,14),1,'Non-working days'!$A$6:$A$45)=0),"",IF(COUNTIFS('Leave log'!$A$7:$A$306,Employees!$A$33,'Leave log'!$B$7:$B$306,"&lt;="&amp;DATE($B$3,5,14),'Leave log'!$C$7:$C$306,"&gt;="&amp;DATE($B$3,5,14),'Leave log'!$F$7:$F$306,"Pending")&gt;0,"P",""))))</f>
        <v/>
      </c>
      <c r="P170" s="23" t="str">
        <f>IF(A170="","",IF(IF(OR(DATE($B$3,5,15)&gt;EOMONTH(DATE($B$3,5,1),0),NETWORKDAYS.INTL(DATE($B$3,5,15),DATE($B$3,5,15),1,'Non-working days'!$A$6:$A$45)=0),"",IF(COUNTIFS('Leave log'!$A$7:$A$306,Employees!$A$33,'Leave log'!$B$7:$B$306,"&lt;="&amp;DATE($B$3,5,15),'Leave log'!$C$7:$C$306,"&gt;="&amp;DATE($B$3,5,15),'Leave log'!$F$7:$F$306,"Approved")&gt;0,"A",""))="A","A",IF(OR(DATE($B$3,5,15)&gt;EOMONTH(DATE($B$3,5,1),0),NETWORKDAYS.INTL(DATE($B$3,5,15),DATE($B$3,5,15),1,'Non-working days'!$A$6:$A$45)=0),"",IF(COUNTIFS('Leave log'!$A$7:$A$306,Employees!$A$33,'Leave log'!$B$7:$B$306,"&lt;="&amp;DATE($B$3,5,15),'Leave log'!$C$7:$C$306,"&gt;="&amp;DATE($B$3,5,15),'Leave log'!$F$7:$F$306,"Pending")&gt;0,"P",""))))</f>
        <v/>
      </c>
      <c r="Q170" s="23" t="str">
        <f>IF(A170="","",IF(IF(OR(DATE($B$3,5,16)&gt;EOMONTH(DATE($B$3,5,1),0),NETWORKDAYS.INTL(DATE($B$3,5,16),DATE($B$3,5,16),1,'Non-working days'!$A$6:$A$45)=0),"",IF(COUNTIFS('Leave log'!$A$7:$A$306,Employees!$A$33,'Leave log'!$B$7:$B$306,"&lt;="&amp;DATE($B$3,5,16),'Leave log'!$C$7:$C$306,"&gt;="&amp;DATE($B$3,5,16),'Leave log'!$F$7:$F$306,"Approved")&gt;0,"A",""))="A","A",IF(OR(DATE($B$3,5,16)&gt;EOMONTH(DATE($B$3,5,1),0),NETWORKDAYS.INTL(DATE($B$3,5,16),DATE($B$3,5,16),1,'Non-working days'!$A$6:$A$45)=0),"",IF(COUNTIFS('Leave log'!$A$7:$A$306,Employees!$A$33,'Leave log'!$B$7:$B$306,"&lt;="&amp;DATE($B$3,5,16),'Leave log'!$C$7:$C$306,"&gt;="&amp;DATE($B$3,5,16),'Leave log'!$F$7:$F$306,"Pending")&gt;0,"P",""))))</f>
        <v/>
      </c>
      <c r="R170" s="23" t="str">
        <f>IF(A170="","",IF(IF(OR(DATE($B$3,5,17)&gt;EOMONTH(DATE($B$3,5,1),0),NETWORKDAYS.INTL(DATE($B$3,5,17),DATE($B$3,5,17),1,'Non-working days'!$A$6:$A$45)=0),"",IF(COUNTIFS('Leave log'!$A$7:$A$306,Employees!$A$33,'Leave log'!$B$7:$B$306,"&lt;="&amp;DATE($B$3,5,17),'Leave log'!$C$7:$C$306,"&gt;="&amp;DATE($B$3,5,17),'Leave log'!$F$7:$F$306,"Approved")&gt;0,"A",""))="A","A",IF(OR(DATE($B$3,5,17)&gt;EOMONTH(DATE($B$3,5,1),0),NETWORKDAYS.INTL(DATE($B$3,5,17),DATE($B$3,5,17),1,'Non-working days'!$A$6:$A$45)=0),"",IF(COUNTIFS('Leave log'!$A$7:$A$306,Employees!$A$33,'Leave log'!$B$7:$B$306,"&lt;="&amp;DATE($B$3,5,17),'Leave log'!$C$7:$C$306,"&gt;="&amp;DATE($B$3,5,17),'Leave log'!$F$7:$F$306,"Pending")&gt;0,"P",""))))</f>
        <v/>
      </c>
      <c r="S170" s="23" t="str">
        <f>IF(A170="","",IF(IF(OR(DATE($B$3,5,18)&gt;EOMONTH(DATE($B$3,5,1),0),NETWORKDAYS.INTL(DATE($B$3,5,18),DATE($B$3,5,18),1,'Non-working days'!$A$6:$A$45)=0),"",IF(COUNTIFS('Leave log'!$A$7:$A$306,Employees!$A$33,'Leave log'!$B$7:$B$306,"&lt;="&amp;DATE($B$3,5,18),'Leave log'!$C$7:$C$306,"&gt;="&amp;DATE($B$3,5,18),'Leave log'!$F$7:$F$306,"Approved")&gt;0,"A",""))="A","A",IF(OR(DATE($B$3,5,18)&gt;EOMONTH(DATE($B$3,5,1),0),NETWORKDAYS.INTL(DATE($B$3,5,18),DATE($B$3,5,18),1,'Non-working days'!$A$6:$A$45)=0),"",IF(COUNTIFS('Leave log'!$A$7:$A$306,Employees!$A$33,'Leave log'!$B$7:$B$306,"&lt;="&amp;DATE($B$3,5,18),'Leave log'!$C$7:$C$306,"&gt;="&amp;DATE($B$3,5,18),'Leave log'!$F$7:$F$306,"Pending")&gt;0,"P",""))))</f>
        <v/>
      </c>
      <c r="T170" s="23" t="str">
        <f>IF(A170="","",IF(IF(OR(DATE($B$3,5,19)&gt;EOMONTH(DATE($B$3,5,1),0),NETWORKDAYS.INTL(DATE($B$3,5,19),DATE($B$3,5,19),1,'Non-working days'!$A$6:$A$45)=0),"",IF(COUNTIFS('Leave log'!$A$7:$A$306,Employees!$A$33,'Leave log'!$B$7:$B$306,"&lt;="&amp;DATE($B$3,5,19),'Leave log'!$C$7:$C$306,"&gt;="&amp;DATE($B$3,5,19),'Leave log'!$F$7:$F$306,"Approved")&gt;0,"A",""))="A","A",IF(OR(DATE($B$3,5,19)&gt;EOMONTH(DATE($B$3,5,1),0),NETWORKDAYS.INTL(DATE($B$3,5,19),DATE($B$3,5,19),1,'Non-working days'!$A$6:$A$45)=0),"",IF(COUNTIFS('Leave log'!$A$7:$A$306,Employees!$A$33,'Leave log'!$B$7:$B$306,"&lt;="&amp;DATE($B$3,5,19),'Leave log'!$C$7:$C$306,"&gt;="&amp;DATE($B$3,5,19),'Leave log'!$F$7:$F$306,"Pending")&gt;0,"P",""))))</f>
        <v/>
      </c>
      <c r="U170" s="23" t="str">
        <f>IF(A170="","",IF(IF(OR(DATE($B$3,5,20)&gt;EOMONTH(DATE($B$3,5,1),0),NETWORKDAYS.INTL(DATE($B$3,5,20),DATE($B$3,5,20),1,'Non-working days'!$A$6:$A$45)=0),"",IF(COUNTIFS('Leave log'!$A$7:$A$306,Employees!$A$33,'Leave log'!$B$7:$B$306,"&lt;="&amp;DATE($B$3,5,20),'Leave log'!$C$7:$C$306,"&gt;="&amp;DATE($B$3,5,20),'Leave log'!$F$7:$F$306,"Approved")&gt;0,"A",""))="A","A",IF(OR(DATE($B$3,5,20)&gt;EOMONTH(DATE($B$3,5,1),0),NETWORKDAYS.INTL(DATE($B$3,5,20),DATE($B$3,5,20),1,'Non-working days'!$A$6:$A$45)=0),"",IF(COUNTIFS('Leave log'!$A$7:$A$306,Employees!$A$33,'Leave log'!$B$7:$B$306,"&lt;="&amp;DATE($B$3,5,20),'Leave log'!$C$7:$C$306,"&gt;="&amp;DATE($B$3,5,20),'Leave log'!$F$7:$F$306,"Pending")&gt;0,"P",""))))</f>
        <v/>
      </c>
      <c r="V170" s="23" t="str">
        <f>IF(A170="","",IF(IF(OR(DATE($B$3,5,21)&gt;EOMONTH(DATE($B$3,5,1),0),NETWORKDAYS.INTL(DATE($B$3,5,21),DATE($B$3,5,21),1,'Non-working days'!$A$6:$A$45)=0),"",IF(COUNTIFS('Leave log'!$A$7:$A$306,Employees!$A$33,'Leave log'!$B$7:$B$306,"&lt;="&amp;DATE($B$3,5,21),'Leave log'!$C$7:$C$306,"&gt;="&amp;DATE($B$3,5,21),'Leave log'!$F$7:$F$306,"Approved")&gt;0,"A",""))="A","A",IF(OR(DATE($B$3,5,21)&gt;EOMONTH(DATE($B$3,5,1),0),NETWORKDAYS.INTL(DATE($B$3,5,21),DATE($B$3,5,21),1,'Non-working days'!$A$6:$A$45)=0),"",IF(COUNTIFS('Leave log'!$A$7:$A$306,Employees!$A$33,'Leave log'!$B$7:$B$306,"&lt;="&amp;DATE($B$3,5,21),'Leave log'!$C$7:$C$306,"&gt;="&amp;DATE($B$3,5,21),'Leave log'!$F$7:$F$306,"Pending")&gt;0,"P",""))))</f>
        <v/>
      </c>
      <c r="W170" s="23" t="str">
        <f>IF(A170="","",IF(IF(OR(DATE($B$3,5,22)&gt;EOMONTH(DATE($B$3,5,1),0),NETWORKDAYS.INTL(DATE($B$3,5,22),DATE($B$3,5,22),1,'Non-working days'!$A$6:$A$45)=0),"",IF(COUNTIFS('Leave log'!$A$7:$A$306,Employees!$A$33,'Leave log'!$B$7:$B$306,"&lt;="&amp;DATE($B$3,5,22),'Leave log'!$C$7:$C$306,"&gt;="&amp;DATE($B$3,5,22),'Leave log'!$F$7:$F$306,"Approved")&gt;0,"A",""))="A","A",IF(OR(DATE($B$3,5,22)&gt;EOMONTH(DATE($B$3,5,1),0),NETWORKDAYS.INTL(DATE($B$3,5,22),DATE($B$3,5,22),1,'Non-working days'!$A$6:$A$45)=0),"",IF(COUNTIFS('Leave log'!$A$7:$A$306,Employees!$A$33,'Leave log'!$B$7:$B$306,"&lt;="&amp;DATE($B$3,5,22),'Leave log'!$C$7:$C$306,"&gt;="&amp;DATE($B$3,5,22),'Leave log'!$F$7:$F$306,"Pending")&gt;0,"P",""))))</f>
        <v/>
      </c>
      <c r="X170" s="23" t="str">
        <f>IF(A170="","",IF(IF(OR(DATE($B$3,5,23)&gt;EOMONTH(DATE($B$3,5,1),0),NETWORKDAYS.INTL(DATE($B$3,5,23),DATE($B$3,5,23),1,'Non-working days'!$A$6:$A$45)=0),"",IF(COUNTIFS('Leave log'!$A$7:$A$306,Employees!$A$33,'Leave log'!$B$7:$B$306,"&lt;="&amp;DATE($B$3,5,23),'Leave log'!$C$7:$C$306,"&gt;="&amp;DATE($B$3,5,23),'Leave log'!$F$7:$F$306,"Approved")&gt;0,"A",""))="A","A",IF(OR(DATE($B$3,5,23)&gt;EOMONTH(DATE($B$3,5,1),0),NETWORKDAYS.INTL(DATE($B$3,5,23),DATE($B$3,5,23),1,'Non-working days'!$A$6:$A$45)=0),"",IF(COUNTIFS('Leave log'!$A$7:$A$306,Employees!$A$33,'Leave log'!$B$7:$B$306,"&lt;="&amp;DATE($B$3,5,23),'Leave log'!$C$7:$C$306,"&gt;="&amp;DATE($B$3,5,23),'Leave log'!$F$7:$F$306,"Pending")&gt;0,"P",""))))</f>
        <v/>
      </c>
      <c r="Y170" s="23" t="str">
        <f>IF(A170="","",IF(IF(OR(DATE($B$3,5,24)&gt;EOMONTH(DATE($B$3,5,1),0),NETWORKDAYS.INTL(DATE($B$3,5,24),DATE($B$3,5,24),1,'Non-working days'!$A$6:$A$45)=0),"",IF(COUNTIFS('Leave log'!$A$7:$A$306,Employees!$A$33,'Leave log'!$B$7:$B$306,"&lt;="&amp;DATE($B$3,5,24),'Leave log'!$C$7:$C$306,"&gt;="&amp;DATE($B$3,5,24),'Leave log'!$F$7:$F$306,"Approved")&gt;0,"A",""))="A","A",IF(OR(DATE($B$3,5,24)&gt;EOMONTH(DATE($B$3,5,1),0),NETWORKDAYS.INTL(DATE($B$3,5,24),DATE($B$3,5,24),1,'Non-working days'!$A$6:$A$45)=0),"",IF(COUNTIFS('Leave log'!$A$7:$A$306,Employees!$A$33,'Leave log'!$B$7:$B$306,"&lt;="&amp;DATE($B$3,5,24),'Leave log'!$C$7:$C$306,"&gt;="&amp;DATE($B$3,5,24),'Leave log'!$F$7:$F$306,"Pending")&gt;0,"P",""))))</f>
        <v/>
      </c>
      <c r="Z170" s="23" t="str">
        <f>IF(A170="","",IF(IF(OR(DATE($B$3,5,25)&gt;EOMONTH(DATE($B$3,5,1),0),NETWORKDAYS.INTL(DATE($B$3,5,25),DATE($B$3,5,25),1,'Non-working days'!$A$6:$A$45)=0),"",IF(COUNTIFS('Leave log'!$A$7:$A$306,Employees!$A$33,'Leave log'!$B$7:$B$306,"&lt;="&amp;DATE($B$3,5,25),'Leave log'!$C$7:$C$306,"&gt;="&amp;DATE($B$3,5,25),'Leave log'!$F$7:$F$306,"Approved")&gt;0,"A",""))="A","A",IF(OR(DATE($B$3,5,25)&gt;EOMONTH(DATE($B$3,5,1),0),NETWORKDAYS.INTL(DATE($B$3,5,25),DATE($B$3,5,25),1,'Non-working days'!$A$6:$A$45)=0),"",IF(COUNTIFS('Leave log'!$A$7:$A$306,Employees!$A$33,'Leave log'!$B$7:$B$306,"&lt;="&amp;DATE($B$3,5,25),'Leave log'!$C$7:$C$306,"&gt;="&amp;DATE($B$3,5,25),'Leave log'!$F$7:$F$306,"Pending")&gt;0,"P",""))))</f>
        <v/>
      </c>
      <c r="AA170" s="23" t="str">
        <f>IF(A170="","",IF(IF(OR(DATE($B$3,5,26)&gt;EOMONTH(DATE($B$3,5,1),0),NETWORKDAYS.INTL(DATE($B$3,5,26),DATE($B$3,5,26),1,'Non-working days'!$A$6:$A$45)=0),"",IF(COUNTIFS('Leave log'!$A$7:$A$306,Employees!$A$33,'Leave log'!$B$7:$B$306,"&lt;="&amp;DATE($B$3,5,26),'Leave log'!$C$7:$C$306,"&gt;="&amp;DATE($B$3,5,26),'Leave log'!$F$7:$F$306,"Approved")&gt;0,"A",""))="A","A",IF(OR(DATE($B$3,5,26)&gt;EOMONTH(DATE($B$3,5,1),0),NETWORKDAYS.INTL(DATE($B$3,5,26),DATE($B$3,5,26),1,'Non-working days'!$A$6:$A$45)=0),"",IF(COUNTIFS('Leave log'!$A$7:$A$306,Employees!$A$33,'Leave log'!$B$7:$B$306,"&lt;="&amp;DATE($B$3,5,26),'Leave log'!$C$7:$C$306,"&gt;="&amp;DATE($B$3,5,26),'Leave log'!$F$7:$F$306,"Pending")&gt;0,"P",""))))</f>
        <v/>
      </c>
      <c r="AB170" s="23" t="str">
        <f>IF(A170="","",IF(IF(OR(DATE($B$3,5,27)&gt;EOMONTH(DATE($B$3,5,1),0),NETWORKDAYS.INTL(DATE($B$3,5,27),DATE($B$3,5,27),1,'Non-working days'!$A$6:$A$45)=0),"",IF(COUNTIFS('Leave log'!$A$7:$A$306,Employees!$A$33,'Leave log'!$B$7:$B$306,"&lt;="&amp;DATE($B$3,5,27),'Leave log'!$C$7:$C$306,"&gt;="&amp;DATE($B$3,5,27),'Leave log'!$F$7:$F$306,"Approved")&gt;0,"A",""))="A","A",IF(OR(DATE($B$3,5,27)&gt;EOMONTH(DATE($B$3,5,1),0),NETWORKDAYS.INTL(DATE($B$3,5,27),DATE($B$3,5,27),1,'Non-working days'!$A$6:$A$45)=0),"",IF(COUNTIFS('Leave log'!$A$7:$A$306,Employees!$A$33,'Leave log'!$B$7:$B$306,"&lt;="&amp;DATE($B$3,5,27),'Leave log'!$C$7:$C$306,"&gt;="&amp;DATE($B$3,5,27),'Leave log'!$F$7:$F$306,"Pending")&gt;0,"P",""))))</f>
        <v/>
      </c>
      <c r="AC170" s="23" t="str">
        <f>IF(A170="","",IF(IF(OR(DATE($B$3,5,28)&gt;EOMONTH(DATE($B$3,5,1),0),NETWORKDAYS.INTL(DATE($B$3,5,28),DATE($B$3,5,28),1,'Non-working days'!$A$6:$A$45)=0),"",IF(COUNTIFS('Leave log'!$A$7:$A$306,Employees!$A$33,'Leave log'!$B$7:$B$306,"&lt;="&amp;DATE($B$3,5,28),'Leave log'!$C$7:$C$306,"&gt;="&amp;DATE($B$3,5,28),'Leave log'!$F$7:$F$306,"Approved")&gt;0,"A",""))="A","A",IF(OR(DATE($B$3,5,28)&gt;EOMONTH(DATE($B$3,5,1),0),NETWORKDAYS.INTL(DATE($B$3,5,28),DATE($B$3,5,28),1,'Non-working days'!$A$6:$A$45)=0),"",IF(COUNTIFS('Leave log'!$A$7:$A$306,Employees!$A$33,'Leave log'!$B$7:$B$306,"&lt;="&amp;DATE($B$3,5,28),'Leave log'!$C$7:$C$306,"&gt;="&amp;DATE($B$3,5,28),'Leave log'!$F$7:$F$306,"Pending")&gt;0,"P",""))))</f>
        <v/>
      </c>
      <c r="AD170" s="23" t="str">
        <f>IF(A170="","",IF(IF(OR(DATE($B$3,5,29)&gt;EOMONTH(DATE($B$3,5,1),0),NETWORKDAYS.INTL(DATE($B$3,5,29),DATE($B$3,5,29),1,'Non-working days'!$A$6:$A$45)=0),"",IF(COUNTIFS('Leave log'!$A$7:$A$306,Employees!$A$33,'Leave log'!$B$7:$B$306,"&lt;="&amp;DATE($B$3,5,29),'Leave log'!$C$7:$C$306,"&gt;="&amp;DATE($B$3,5,29),'Leave log'!$F$7:$F$306,"Approved")&gt;0,"A",""))="A","A",IF(OR(DATE($B$3,5,29)&gt;EOMONTH(DATE($B$3,5,1),0),NETWORKDAYS.INTL(DATE($B$3,5,29),DATE($B$3,5,29),1,'Non-working days'!$A$6:$A$45)=0),"",IF(COUNTIFS('Leave log'!$A$7:$A$306,Employees!$A$33,'Leave log'!$B$7:$B$306,"&lt;="&amp;DATE($B$3,5,29),'Leave log'!$C$7:$C$306,"&gt;="&amp;DATE($B$3,5,29),'Leave log'!$F$7:$F$306,"Pending")&gt;0,"P",""))))</f>
        <v/>
      </c>
      <c r="AE170" s="23" t="str">
        <f>IF(A170="","",IF(IF(OR(DATE($B$3,5,30)&gt;EOMONTH(DATE($B$3,5,1),0),NETWORKDAYS.INTL(DATE($B$3,5,30),DATE($B$3,5,30),1,'Non-working days'!$A$6:$A$45)=0),"",IF(COUNTIFS('Leave log'!$A$7:$A$306,Employees!$A$33,'Leave log'!$B$7:$B$306,"&lt;="&amp;DATE($B$3,5,30),'Leave log'!$C$7:$C$306,"&gt;="&amp;DATE($B$3,5,30),'Leave log'!$F$7:$F$306,"Approved")&gt;0,"A",""))="A","A",IF(OR(DATE($B$3,5,30)&gt;EOMONTH(DATE($B$3,5,1),0),NETWORKDAYS.INTL(DATE($B$3,5,30),DATE($B$3,5,30),1,'Non-working days'!$A$6:$A$45)=0),"",IF(COUNTIFS('Leave log'!$A$7:$A$306,Employees!$A$33,'Leave log'!$B$7:$B$306,"&lt;="&amp;DATE($B$3,5,30),'Leave log'!$C$7:$C$306,"&gt;="&amp;DATE($B$3,5,30),'Leave log'!$F$7:$F$306,"Pending")&gt;0,"P",""))))</f>
        <v/>
      </c>
      <c r="AF170" s="23" t="str">
        <f>IF(A170="","",IF(IF(OR(DATE($B$3,5,31)&gt;EOMONTH(DATE($B$3,5,1),0),NETWORKDAYS.INTL(DATE($B$3,5,31),DATE($B$3,5,31),1,'Non-working days'!$A$6:$A$45)=0),"",IF(COUNTIFS('Leave log'!$A$7:$A$306,Employees!$A$33,'Leave log'!$B$7:$B$306,"&lt;="&amp;DATE($B$3,5,31),'Leave log'!$C$7:$C$306,"&gt;="&amp;DATE($B$3,5,31),'Leave log'!$F$7:$F$306,"Approved")&gt;0,"A",""))="A","A",IF(OR(DATE($B$3,5,31)&gt;EOMONTH(DATE($B$3,5,1),0),NETWORKDAYS.INTL(DATE($B$3,5,31),DATE($B$3,5,31),1,'Non-working days'!$A$6:$A$45)=0),"",IF(COUNTIFS('Leave log'!$A$7:$A$306,Employees!$A$33,'Leave log'!$B$7:$B$306,"&lt;="&amp;DATE($B$3,5,31),'Leave log'!$C$7:$C$306,"&gt;="&amp;DATE($B$3,5,31),'Leave log'!$F$7:$F$306,"Pending")&gt;0,"P",""))))</f>
        <v/>
      </c>
    </row>
    <row r="171" spans="1:32" ht="18" customHeight="1" x14ac:dyDescent="0.3">
      <c r="A171" s="22" t="str">
        <f>IF(Employees!F34="Yes",Employees!B34,"")</f>
        <v/>
      </c>
      <c r="B171" s="23" t="str">
        <f>IF(A171="","",IF(IF(OR(DATE($B$3,5,1)&gt;EOMONTH(DATE($B$3,5,1),0),NETWORKDAYS.INTL(DATE($B$3,5,1),DATE($B$3,5,1),1,'Non-working days'!$A$6:$A$45)=0),"",IF(COUNTIFS('Leave log'!$A$7:$A$306,Employees!$A$34,'Leave log'!$B$7:$B$306,"&lt;="&amp;DATE($B$3,5,1),'Leave log'!$C$7:$C$306,"&gt;="&amp;DATE($B$3,5,1),'Leave log'!$F$7:$F$306,"Approved")&gt;0,"A",""))="A","A",IF(OR(DATE($B$3,5,1)&gt;EOMONTH(DATE($B$3,5,1),0),NETWORKDAYS.INTL(DATE($B$3,5,1),DATE($B$3,5,1),1,'Non-working days'!$A$6:$A$45)=0),"",IF(COUNTIFS('Leave log'!$A$7:$A$306,Employees!$A$34,'Leave log'!$B$7:$B$306,"&lt;="&amp;DATE($B$3,5,1),'Leave log'!$C$7:$C$306,"&gt;="&amp;DATE($B$3,5,1),'Leave log'!$F$7:$F$306,"Pending")&gt;0,"P",""))))</f>
        <v/>
      </c>
      <c r="C171" s="23" t="str">
        <f>IF(A171="","",IF(IF(OR(DATE($B$3,5,2)&gt;EOMONTH(DATE($B$3,5,1),0),NETWORKDAYS.INTL(DATE($B$3,5,2),DATE($B$3,5,2),1,'Non-working days'!$A$6:$A$45)=0),"",IF(COUNTIFS('Leave log'!$A$7:$A$306,Employees!$A$34,'Leave log'!$B$7:$B$306,"&lt;="&amp;DATE($B$3,5,2),'Leave log'!$C$7:$C$306,"&gt;="&amp;DATE($B$3,5,2),'Leave log'!$F$7:$F$306,"Approved")&gt;0,"A",""))="A","A",IF(OR(DATE($B$3,5,2)&gt;EOMONTH(DATE($B$3,5,1),0),NETWORKDAYS.INTL(DATE($B$3,5,2),DATE($B$3,5,2),1,'Non-working days'!$A$6:$A$45)=0),"",IF(COUNTIFS('Leave log'!$A$7:$A$306,Employees!$A$34,'Leave log'!$B$7:$B$306,"&lt;="&amp;DATE($B$3,5,2),'Leave log'!$C$7:$C$306,"&gt;="&amp;DATE($B$3,5,2),'Leave log'!$F$7:$F$306,"Pending")&gt;0,"P",""))))</f>
        <v/>
      </c>
      <c r="D171" s="23" t="str">
        <f>IF(A171="","",IF(IF(OR(DATE($B$3,5,3)&gt;EOMONTH(DATE($B$3,5,1),0),NETWORKDAYS.INTL(DATE($B$3,5,3),DATE($B$3,5,3),1,'Non-working days'!$A$6:$A$45)=0),"",IF(COUNTIFS('Leave log'!$A$7:$A$306,Employees!$A$34,'Leave log'!$B$7:$B$306,"&lt;="&amp;DATE($B$3,5,3),'Leave log'!$C$7:$C$306,"&gt;="&amp;DATE($B$3,5,3),'Leave log'!$F$7:$F$306,"Approved")&gt;0,"A",""))="A","A",IF(OR(DATE($B$3,5,3)&gt;EOMONTH(DATE($B$3,5,1),0),NETWORKDAYS.INTL(DATE($B$3,5,3),DATE($B$3,5,3),1,'Non-working days'!$A$6:$A$45)=0),"",IF(COUNTIFS('Leave log'!$A$7:$A$306,Employees!$A$34,'Leave log'!$B$7:$B$306,"&lt;="&amp;DATE($B$3,5,3),'Leave log'!$C$7:$C$306,"&gt;="&amp;DATE($B$3,5,3),'Leave log'!$F$7:$F$306,"Pending")&gt;0,"P",""))))</f>
        <v/>
      </c>
      <c r="E171" s="23" t="str">
        <f>IF(A171="","",IF(IF(OR(DATE($B$3,5,4)&gt;EOMONTH(DATE($B$3,5,1),0),NETWORKDAYS.INTL(DATE($B$3,5,4),DATE($B$3,5,4),1,'Non-working days'!$A$6:$A$45)=0),"",IF(COUNTIFS('Leave log'!$A$7:$A$306,Employees!$A$34,'Leave log'!$B$7:$B$306,"&lt;="&amp;DATE($B$3,5,4),'Leave log'!$C$7:$C$306,"&gt;="&amp;DATE($B$3,5,4),'Leave log'!$F$7:$F$306,"Approved")&gt;0,"A",""))="A","A",IF(OR(DATE($B$3,5,4)&gt;EOMONTH(DATE($B$3,5,1),0),NETWORKDAYS.INTL(DATE($B$3,5,4),DATE($B$3,5,4),1,'Non-working days'!$A$6:$A$45)=0),"",IF(COUNTIFS('Leave log'!$A$7:$A$306,Employees!$A$34,'Leave log'!$B$7:$B$306,"&lt;="&amp;DATE($B$3,5,4),'Leave log'!$C$7:$C$306,"&gt;="&amp;DATE($B$3,5,4),'Leave log'!$F$7:$F$306,"Pending")&gt;0,"P",""))))</f>
        <v/>
      </c>
      <c r="F171" s="23" t="str">
        <f>IF(A171="","",IF(IF(OR(DATE($B$3,5,5)&gt;EOMONTH(DATE($B$3,5,1),0),NETWORKDAYS.INTL(DATE($B$3,5,5),DATE($B$3,5,5),1,'Non-working days'!$A$6:$A$45)=0),"",IF(COUNTIFS('Leave log'!$A$7:$A$306,Employees!$A$34,'Leave log'!$B$7:$B$306,"&lt;="&amp;DATE($B$3,5,5),'Leave log'!$C$7:$C$306,"&gt;="&amp;DATE($B$3,5,5),'Leave log'!$F$7:$F$306,"Approved")&gt;0,"A",""))="A","A",IF(OR(DATE($B$3,5,5)&gt;EOMONTH(DATE($B$3,5,1),0),NETWORKDAYS.INTL(DATE($B$3,5,5),DATE($B$3,5,5),1,'Non-working days'!$A$6:$A$45)=0),"",IF(COUNTIFS('Leave log'!$A$7:$A$306,Employees!$A$34,'Leave log'!$B$7:$B$306,"&lt;="&amp;DATE($B$3,5,5),'Leave log'!$C$7:$C$306,"&gt;="&amp;DATE($B$3,5,5),'Leave log'!$F$7:$F$306,"Pending")&gt;0,"P",""))))</f>
        <v/>
      </c>
      <c r="G171" s="23" t="str">
        <f>IF(A171="","",IF(IF(OR(DATE($B$3,5,6)&gt;EOMONTH(DATE($B$3,5,1),0),NETWORKDAYS.INTL(DATE($B$3,5,6),DATE($B$3,5,6),1,'Non-working days'!$A$6:$A$45)=0),"",IF(COUNTIFS('Leave log'!$A$7:$A$306,Employees!$A$34,'Leave log'!$B$7:$B$306,"&lt;="&amp;DATE($B$3,5,6),'Leave log'!$C$7:$C$306,"&gt;="&amp;DATE($B$3,5,6),'Leave log'!$F$7:$F$306,"Approved")&gt;0,"A",""))="A","A",IF(OR(DATE($B$3,5,6)&gt;EOMONTH(DATE($B$3,5,1),0),NETWORKDAYS.INTL(DATE($B$3,5,6),DATE($B$3,5,6),1,'Non-working days'!$A$6:$A$45)=0),"",IF(COUNTIFS('Leave log'!$A$7:$A$306,Employees!$A$34,'Leave log'!$B$7:$B$306,"&lt;="&amp;DATE($B$3,5,6),'Leave log'!$C$7:$C$306,"&gt;="&amp;DATE($B$3,5,6),'Leave log'!$F$7:$F$306,"Pending")&gt;0,"P",""))))</f>
        <v/>
      </c>
      <c r="H171" s="23" t="str">
        <f>IF(A171="","",IF(IF(OR(DATE($B$3,5,7)&gt;EOMONTH(DATE($B$3,5,1),0),NETWORKDAYS.INTL(DATE($B$3,5,7),DATE($B$3,5,7),1,'Non-working days'!$A$6:$A$45)=0),"",IF(COUNTIFS('Leave log'!$A$7:$A$306,Employees!$A$34,'Leave log'!$B$7:$B$306,"&lt;="&amp;DATE($B$3,5,7),'Leave log'!$C$7:$C$306,"&gt;="&amp;DATE($B$3,5,7),'Leave log'!$F$7:$F$306,"Approved")&gt;0,"A",""))="A","A",IF(OR(DATE($B$3,5,7)&gt;EOMONTH(DATE($B$3,5,1),0),NETWORKDAYS.INTL(DATE($B$3,5,7),DATE($B$3,5,7),1,'Non-working days'!$A$6:$A$45)=0),"",IF(COUNTIFS('Leave log'!$A$7:$A$306,Employees!$A$34,'Leave log'!$B$7:$B$306,"&lt;="&amp;DATE($B$3,5,7),'Leave log'!$C$7:$C$306,"&gt;="&amp;DATE($B$3,5,7),'Leave log'!$F$7:$F$306,"Pending")&gt;0,"P",""))))</f>
        <v/>
      </c>
      <c r="I171" s="23" t="str">
        <f>IF(A171="","",IF(IF(OR(DATE($B$3,5,8)&gt;EOMONTH(DATE($B$3,5,1),0),NETWORKDAYS.INTL(DATE($B$3,5,8),DATE($B$3,5,8),1,'Non-working days'!$A$6:$A$45)=0),"",IF(COUNTIFS('Leave log'!$A$7:$A$306,Employees!$A$34,'Leave log'!$B$7:$B$306,"&lt;="&amp;DATE($B$3,5,8),'Leave log'!$C$7:$C$306,"&gt;="&amp;DATE($B$3,5,8),'Leave log'!$F$7:$F$306,"Approved")&gt;0,"A",""))="A","A",IF(OR(DATE($B$3,5,8)&gt;EOMONTH(DATE($B$3,5,1),0),NETWORKDAYS.INTL(DATE($B$3,5,8),DATE($B$3,5,8),1,'Non-working days'!$A$6:$A$45)=0),"",IF(COUNTIFS('Leave log'!$A$7:$A$306,Employees!$A$34,'Leave log'!$B$7:$B$306,"&lt;="&amp;DATE($B$3,5,8),'Leave log'!$C$7:$C$306,"&gt;="&amp;DATE($B$3,5,8),'Leave log'!$F$7:$F$306,"Pending")&gt;0,"P",""))))</f>
        <v/>
      </c>
      <c r="J171" s="23" t="str">
        <f>IF(A171="","",IF(IF(OR(DATE($B$3,5,9)&gt;EOMONTH(DATE($B$3,5,1),0),NETWORKDAYS.INTL(DATE($B$3,5,9),DATE($B$3,5,9),1,'Non-working days'!$A$6:$A$45)=0),"",IF(COUNTIFS('Leave log'!$A$7:$A$306,Employees!$A$34,'Leave log'!$B$7:$B$306,"&lt;="&amp;DATE($B$3,5,9),'Leave log'!$C$7:$C$306,"&gt;="&amp;DATE($B$3,5,9),'Leave log'!$F$7:$F$306,"Approved")&gt;0,"A",""))="A","A",IF(OR(DATE($B$3,5,9)&gt;EOMONTH(DATE($B$3,5,1),0),NETWORKDAYS.INTL(DATE($B$3,5,9),DATE($B$3,5,9),1,'Non-working days'!$A$6:$A$45)=0),"",IF(COUNTIFS('Leave log'!$A$7:$A$306,Employees!$A$34,'Leave log'!$B$7:$B$306,"&lt;="&amp;DATE($B$3,5,9),'Leave log'!$C$7:$C$306,"&gt;="&amp;DATE($B$3,5,9),'Leave log'!$F$7:$F$306,"Pending")&gt;0,"P",""))))</f>
        <v/>
      </c>
      <c r="K171" s="23" t="str">
        <f>IF(A171="","",IF(IF(OR(DATE($B$3,5,10)&gt;EOMONTH(DATE($B$3,5,1),0),NETWORKDAYS.INTL(DATE($B$3,5,10),DATE($B$3,5,10),1,'Non-working days'!$A$6:$A$45)=0),"",IF(COUNTIFS('Leave log'!$A$7:$A$306,Employees!$A$34,'Leave log'!$B$7:$B$306,"&lt;="&amp;DATE($B$3,5,10),'Leave log'!$C$7:$C$306,"&gt;="&amp;DATE($B$3,5,10),'Leave log'!$F$7:$F$306,"Approved")&gt;0,"A",""))="A","A",IF(OR(DATE($B$3,5,10)&gt;EOMONTH(DATE($B$3,5,1),0),NETWORKDAYS.INTL(DATE($B$3,5,10),DATE($B$3,5,10),1,'Non-working days'!$A$6:$A$45)=0),"",IF(COUNTIFS('Leave log'!$A$7:$A$306,Employees!$A$34,'Leave log'!$B$7:$B$306,"&lt;="&amp;DATE($B$3,5,10),'Leave log'!$C$7:$C$306,"&gt;="&amp;DATE($B$3,5,10),'Leave log'!$F$7:$F$306,"Pending")&gt;0,"P",""))))</f>
        <v/>
      </c>
      <c r="L171" s="23" t="str">
        <f>IF(A171="","",IF(IF(OR(DATE($B$3,5,11)&gt;EOMONTH(DATE($B$3,5,1),0),NETWORKDAYS.INTL(DATE($B$3,5,11),DATE($B$3,5,11),1,'Non-working days'!$A$6:$A$45)=0),"",IF(COUNTIFS('Leave log'!$A$7:$A$306,Employees!$A$34,'Leave log'!$B$7:$B$306,"&lt;="&amp;DATE($B$3,5,11),'Leave log'!$C$7:$C$306,"&gt;="&amp;DATE($B$3,5,11),'Leave log'!$F$7:$F$306,"Approved")&gt;0,"A",""))="A","A",IF(OR(DATE($B$3,5,11)&gt;EOMONTH(DATE($B$3,5,1),0),NETWORKDAYS.INTL(DATE($B$3,5,11),DATE($B$3,5,11),1,'Non-working days'!$A$6:$A$45)=0),"",IF(COUNTIFS('Leave log'!$A$7:$A$306,Employees!$A$34,'Leave log'!$B$7:$B$306,"&lt;="&amp;DATE($B$3,5,11),'Leave log'!$C$7:$C$306,"&gt;="&amp;DATE($B$3,5,11),'Leave log'!$F$7:$F$306,"Pending")&gt;0,"P",""))))</f>
        <v/>
      </c>
      <c r="M171" s="23" t="str">
        <f>IF(A171="","",IF(IF(OR(DATE($B$3,5,12)&gt;EOMONTH(DATE($B$3,5,1),0),NETWORKDAYS.INTL(DATE($B$3,5,12),DATE($B$3,5,12),1,'Non-working days'!$A$6:$A$45)=0),"",IF(COUNTIFS('Leave log'!$A$7:$A$306,Employees!$A$34,'Leave log'!$B$7:$B$306,"&lt;="&amp;DATE($B$3,5,12),'Leave log'!$C$7:$C$306,"&gt;="&amp;DATE($B$3,5,12),'Leave log'!$F$7:$F$306,"Approved")&gt;0,"A",""))="A","A",IF(OR(DATE($B$3,5,12)&gt;EOMONTH(DATE($B$3,5,1),0),NETWORKDAYS.INTL(DATE($B$3,5,12),DATE($B$3,5,12),1,'Non-working days'!$A$6:$A$45)=0),"",IF(COUNTIFS('Leave log'!$A$7:$A$306,Employees!$A$34,'Leave log'!$B$7:$B$306,"&lt;="&amp;DATE($B$3,5,12),'Leave log'!$C$7:$C$306,"&gt;="&amp;DATE($B$3,5,12),'Leave log'!$F$7:$F$306,"Pending")&gt;0,"P",""))))</f>
        <v/>
      </c>
      <c r="N171" s="23" t="str">
        <f>IF(A171="","",IF(IF(OR(DATE($B$3,5,13)&gt;EOMONTH(DATE($B$3,5,1),0),NETWORKDAYS.INTL(DATE($B$3,5,13),DATE($B$3,5,13),1,'Non-working days'!$A$6:$A$45)=0),"",IF(COUNTIFS('Leave log'!$A$7:$A$306,Employees!$A$34,'Leave log'!$B$7:$B$306,"&lt;="&amp;DATE($B$3,5,13),'Leave log'!$C$7:$C$306,"&gt;="&amp;DATE($B$3,5,13),'Leave log'!$F$7:$F$306,"Approved")&gt;0,"A",""))="A","A",IF(OR(DATE($B$3,5,13)&gt;EOMONTH(DATE($B$3,5,1),0),NETWORKDAYS.INTL(DATE($B$3,5,13),DATE($B$3,5,13),1,'Non-working days'!$A$6:$A$45)=0),"",IF(COUNTIFS('Leave log'!$A$7:$A$306,Employees!$A$34,'Leave log'!$B$7:$B$306,"&lt;="&amp;DATE($B$3,5,13),'Leave log'!$C$7:$C$306,"&gt;="&amp;DATE($B$3,5,13),'Leave log'!$F$7:$F$306,"Pending")&gt;0,"P",""))))</f>
        <v/>
      </c>
      <c r="O171" s="23" t="str">
        <f>IF(A171="","",IF(IF(OR(DATE($B$3,5,14)&gt;EOMONTH(DATE($B$3,5,1),0),NETWORKDAYS.INTL(DATE($B$3,5,14),DATE($B$3,5,14),1,'Non-working days'!$A$6:$A$45)=0),"",IF(COUNTIFS('Leave log'!$A$7:$A$306,Employees!$A$34,'Leave log'!$B$7:$B$306,"&lt;="&amp;DATE($B$3,5,14),'Leave log'!$C$7:$C$306,"&gt;="&amp;DATE($B$3,5,14),'Leave log'!$F$7:$F$306,"Approved")&gt;0,"A",""))="A","A",IF(OR(DATE($B$3,5,14)&gt;EOMONTH(DATE($B$3,5,1),0),NETWORKDAYS.INTL(DATE($B$3,5,14),DATE($B$3,5,14),1,'Non-working days'!$A$6:$A$45)=0),"",IF(COUNTIFS('Leave log'!$A$7:$A$306,Employees!$A$34,'Leave log'!$B$7:$B$306,"&lt;="&amp;DATE($B$3,5,14),'Leave log'!$C$7:$C$306,"&gt;="&amp;DATE($B$3,5,14),'Leave log'!$F$7:$F$306,"Pending")&gt;0,"P",""))))</f>
        <v/>
      </c>
      <c r="P171" s="23" t="str">
        <f>IF(A171="","",IF(IF(OR(DATE($B$3,5,15)&gt;EOMONTH(DATE($B$3,5,1),0),NETWORKDAYS.INTL(DATE($B$3,5,15),DATE($B$3,5,15),1,'Non-working days'!$A$6:$A$45)=0),"",IF(COUNTIFS('Leave log'!$A$7:$A$306,Employees!$A$34,'Leave log'!$B$7:$B$306,"&lt;="&amp;DATE($B$3,5,15),'Leave log'!$C$7:$C$306,"&gt;="&amp;DATE($B$3,5,15),'Leave log'!$F$7:$F$306,"Approved")&gt;0,"A",""))="A","A",IF(OR(DATE($B$3,5,15)&gt;EOMONTH(DATE($B$3,5,1),0),NETWORKDAYS.INTL(DATE($B$3,5,15),DATE($B$3,5,15),1,'Non-working days'!$A$6:$A$45)=0),"",IF(COUNTIFS('Leave log'!$A$7:$A$306,Employees!$A$34,'Leave log'!$B$7:$B$306,"&lt;="&amp;DATE($B$3,5,15),'Leave log'!$C$7:$C$306,"&gt;="&amp;DATE($B$3,5,15),'Leave log'!$F$7:$F$306,"Pending")&gt;0,"P",""))))</f>
        <v/>
      </c>
      <c r="Q171" s="23" t="str">
        <f>IF(A171="","",IF(IF(OR(DATE($B$3,5,16)&gt;EOMONTH(DATE($B$3,5,1),0),NETWORKDAYS.INTL(DATE($B$3,5,16),DATE($B$3,5,16),1,'Non-working days'!$A$6:$A$45)=0),"",IF(COUNTIFS('Leave log'!$A$7:$A$306,Employees!$A$34,'Leave log'!$B$7:$B$306,"&lt;="&amp;DATE($B$3,5,16),'Leave log'!$C$7:$C$306,"&gt;="&amp;DATE($B$3,5,16),'Leave log'!$F$7:$F$306,"Approved")&gt;0,"A",""))="A","A",IF(OR(DATE($B$3,5,16)&gt;EOMONTH(DATE($B$3,5,1),0),NETWORKDAYS.INTL(DATE($B$3,5,16),DATE($B$3,5,16),1,'Non-working days'!$A$6:$A$45)=0),"",IF(COUNTIFS('Leave log'!$A$7:$A$306,Employees!$A$34,'Leave log'!$B$7:$B$306,"&lt;="&amp;DATE($B$3,5,16),'Leave log'!$C$7:$C$306,"&gt;="&amp;DATE($B$3,5,16),'Leave log'!$F$7:$F$306,"Pending")&gt;0,"P",""))))</f>
        <v/>
      </c>
      <c r="R171" s="23" t="str">
        <f>IF(A171="","",IF(IF(OR(DATE($B$3,5,17)&gt;EOMONTH(DATE($B$3,5,1),0),NETWORKDAYS.INTL(DATE($B$3,5,17),DATE($B$3,5,17),1,'Non-working days'!$A$6:$A$45)=0),"",IF(COUNTIFS('Leave log'!$A$7:$A$306,Employees!$A$34,'Leave log'!$B$7:$B$306,"&lt;="&amp;DATE($B$3,5,17),'Leave log'!$C$7:$C$306,"&gt;="&amp;DATE($B$3,5,17),'Leave log'!$F$7:$F$306,"Approved")&gt;0,"A",""))="A","A",IF(OR(DATE($B$3,5,17)&gt;EOMONTH(DATE($B$3,5,1),0),NETWORKDAYS.INTL(DATE($B$3,5,17),DATE($B$3,5,17),1,'Non-working days'!$A$6:$A$45)=0),"",IF(COUNTIFS('Leave log'!$A$7:$A$306,Employees!$A$34,'Leave log'!$B$7:$B$306,"&lt;="&amp;DATE($B$3,5,17),'Leave log'!$C$7:$C$306,"&gt;="&amp;DATE($B$3,5,17),'Leave log'!$F$7:$F$306,"Pending")&gt;0,"P",""))))</f>
        <v/>
      </c>
      <c r="S171" s="23" t="str">
        <f>IF(A171="","",IF(IF(OR(DATE($B$3,5,18)&gt;EOMONTH(DATE($B$3,5,1),0),NETWORKDAYS.INTL(DATE($B$3,5,18),DATE($B$3,5,18),1,'Non-working days'!$A$6:$A$45)=0),"",IF(COUNTIFS('Leave log'!$A$7:$A$306,Employees!$A$34,'Leave log'!$B$7:$B$306,"&lt;="&amp;DATE($B$3,5,18),'Leave log'!$C$7:$C$306,"&gt;="&amp;DATE($B$3,5,18),'Leave log'!$F$7:$F$306,"Approved")&gt;0,"A",""))="A","A",IF(OR(DATE($B$3,5,18)&gt;EOMONTH(DATE($B$3,5,1),0),NETWORKDAYS.INTL(DATE($B$3,5,18),DATE($B$3,5,18),1,'Non-working days'!$A$6:$A$45)=0),"",IF(COUNTIFS('Leave log'!$A$7:$A$306,Employees!$A$34,'Leave log'!$B$7:$B$306,"&lt;="&amp;DATE($B$3,5,18),'Leave log'!$C$7:$C$306,"&gt;="&amp;DATE($B$3,5,18),'Leave log'!$F$7:$F$306,"Pending")&gt;0,"P",""))))</f>
        <v/>
      </c>
      <c r="T171" s="23" t="str">
        <f>IF(A171="","",IF(IF(OR(DATE($B$3,5,19)&gt;EOMONTH(DATE($B$3,5,1),0),NETWORKDAYS.INTL(DATE($B$3,5,19),DATE($B$3,5,19),1,'Non-working days'!$A$6:$A$45)=0),"",IF(COUNTIFS('Leave log'!$A$7:$A$306,Employees!$A$34,'Leave log'!$B$7:$B$306,"&lt;="&amp;DATE($B$3,5,19),'Leave log'!$C$7:$C$306,"&gt;="&amp;DATE($B$3,5,19),'Leave log'!$F$7:$F$306,"Approved")&gt;0,"A",""))="A","A",IF(OR(DATE($B$3,5,19)&gt;EOMONTH(DATE($B$3,5,1),0),NETWORKDAYS.INTL(DATE($B$3,5,19),DATE($B$3,5,19),1,'Non-working days'!$A$6:$A$45)=0),"",IF(COUNTIFS('Leave log'!$A$7:$A$306,Employees!$A$34,'Leave log'!$B$7:$B$306,"&lt;="&amp;DATE($B$3,5,19),'Leave log'!$C$7:$C$306,"&gt;="&amp;DATE($B$3,5,19),'Leave log'!$F$7:$F$306,"Pending")&gt;0,"P",""))))</f>
        <v/>
      </c>
      <c r="U171" s="23" t="str">
        <f>IF(A171="","",IF(IF(OR(DATE($B$3,5,20)&gt;EOMONTH(DATE($B$3,5,1),0),NETWORKDAYS.INTL(DATE($B$3,5,20),DATE($B$3,5,20),1,'Non-working days'!$A$6:$A$45)=0),"",IF(COUNTIFS('Leave log'!$A$7:$A$306,Employees!$A$34,'Leave log'!$B$7:$B$306,"&lt;="&amp;DATE($B$3,5,20),'Leave log'!$C$7:$C$306,"&gt;="&amp;DATE($B$3,5,20),'Leave log'!$F$7:$F$306,"Approved")&gt;0,"A",""))="A","A",IF(OR(DATE($B$3,5,20)&gt;EOMONTH(DATE($B$3,5,1),0),NETWORKDAYS.INTL(DATE($B$3,5,20),DATE($B$3,5,20),1,'Non-working days'!$A$6:$A$45)=0),"",IF(COUNTIFS('Leave log'!$A$7:$A$306,Employees!$A$34,'Leave log'!$B$7:$B$306,"&lt;="&amp;DATE($B$3,5,20),'Leave log'!$C$7:$C$306,"&gt;="&amp;DATE($B$3,5,20),'Leave log'!$F$7:$F$306,"Pending")&gt;0,"P",""))))</f>
        <v/>
      </c>
      <c r="V171" s="23" t="str">
        <f>IF(A171="","",IF(IF(OR(DATE($B$3,5,21)&gt;EOMONTH(DATE($B$3,5,1),0),NETWORKDAYS.INTL(DATE($B$3,5,21),DATE($B$3,5,21),1,'Non-working days'!$A$6:$A$45)=0),"",IF(COUNTIFS('Leave log'!$A$7:$A$306,Employees!$A$34,'Leave log'!$B$7:$B$306,"&lt;="&amp;DATE($B$3,5,21),'Leave log'!$C$7:$C$306,"&gt;="&amp;DATE($B$3,5,21),'Leave log'!$F$7:$F$306,"Approved")&gt;0,"A",""))="A","A",IF(OR(DATE($B$3,5,21)&gt;EOMONTH(DATE($B$3,5,1),0),NETWORKDAYS.INTL(DATE($B$3,5,21),DATE($B$3,5,21),1,'Non-working days'!$A$6:$A$45)=0),"",IF(COUNTIFS('Leave log'!$A$7:$A$306,Employees!$A$34,'Leave log'!$B$7:$B$306,"&lt;="&amp;DATE($B$3,5,21),'Leave log'!$C$7:$C$306,"&gt;="&amp;DATE($B$3,5,21),'Leave log'!$F$7:$F$306,"Pending")&gt;0,"P",""))))</f>
        <v/>
      </c>
      <c r="W171" s="23" t="str">
        <f>IF(A171="","",IF(IF(OR(DATE($B$3,5,22)&gt;EOMONTH(DATE($B$3,5,1),0),NETWORKDAYS.INTL(DATE($B$3,5,22),DATE($B$3,5,22),1,'Non-working days'!$A$6:$A$45)=0),"",IF(COUNTIFS('Leave log'!$A$7:$A$306,Employees!$A$34,'Leave log'!$B$7:$B$306,"&lt;="&amp;DATE($B$3,5,22),'Leave log'!$C$7:$C$306,"&gt;="&amp;DATE($B$3,5,22),'Leave log'!$F$7:$F$306,"Approved")&gt;0,"A",""))="A","A",IF(OR(DATE($B$3,5,22)&gt;EOMONTH(DATE($B$3,5,1),0),NETWORKDAYS.INTL(DATE($B$3,5,22),DATE($B$3,5,22),1,'Non-working days'!$A$6:$A$45)=0),"",IF(COUNTIFS('Leave log'!$A$7:$A$306,Employees!$A$34,'Leave log'!$B$7:$B$306,"&lt;="&amp;DATE($B$3,5,22),'Leave log'!$C$7:$C$306,"&gt;="&amp;DATE($B$3,5,22),'Leave log'!$F$7:$F$306,"Pending")&gt;0,"P",""))))</f>
        <v/>
      </c>
      <c r="X171" s="23" t="str">
        <f>IF(A171="","",IF(IF(OR(DATE($B$3,5,23)&gt;EOMONTH(DATE($B$3,5,1),0),NETWORKDAYS.INTL(DATE($B$3,5,23),DATE($B$3,5,23),1,'Non-working days'!$A$6:$A$45)=0),"",IF(COUNTIFS('Leave log'!$A$7:$A$306,Employees!$A$34,'Leave log'!$B$7:$B$306,"&lt;="&amp;DATE($B$3,5,23),'Leave log'!$C$7:$C$306,"&gt;="&amp;DATE($B$3,5,23),'Leave log'!$F$7:$F$306,"Approved")&gt;0,"A",""))="A","A",IF(OR(DATE($B$3,5,23)&gt;EOMONTH(DATE($B$3,5,1),0),NETWORKDAYS.INTL(DATE($B$3,5,23),DATE($B$3,5,23),1,'Non-working days'!$A$6:$A$45)=0),"",IF(COUNTIFS('Leave log'!$A$7:$A$306,Employees!$A$34,'Leave log'!$B$7:$B$306,"&lt;="&amp;DATE($B$3,5,23),'Leave log'!$C$7:$C$306,"&gt;="&amp;DATE($B$3,5,23),'Leave log'!$F$7:$F$306,"Pending")&gt;0,"P",""))))</f>
        <v/>
      </c>
      <c r="Y171" s="23" t="str">
        <f>IF(A171="","",IF(IF(OR(DATE($B$3,5,24)&gt;EOMONTH(DATE($B$3,5,1),0),NETWORKDAYS.INTL(DATE($B$3,5,24),DATE($B$3,5,24),1,'Non-working days'!$A$6:$A$45)=0),"",IF(COUNTIFS('Leave log'!$A$7:$A$306,Employees!$A$34,'Leave log'!$B$7:$B$306,"&lt;="&amp;DATE($B$3,5,24),'Leave log'!$C$7:$C$306,"&gt;="&amp;DATE($B$3,5,24),'Leave log'!$F$7:$F$306,"Approved")&gt;0,"A",""))="A","A",IF(OR(DATE($B$3,5,24)&gt;EOMONTH(DATE($B$3,5,1),0),NETWORKDAYS.INTL(DATE($B$3,5,24),DATE($B$3,5,24),1,'Non-working days'!$A$6:$A$45)=0),"",IF(COUNTIFS('Leave log'!$A$7:$A$306,Employees!$A$34,'Leave log'!$B$7:$B$306,"&lt;="&amp;DATE($B$3,5,24),'Leave log'!$C$7:$C$306,"&gt;="&amp;DATE($B$3,5,24),'Leave log'!$F$7:$F$306,"Pending")&gt;0,"P",""))))</f>
        <v/>
      </c>
      <c r="Z171" s="23" t="str">
        <f>IF(A171="","",IF(IF(OR(DATE($B$3,5,25)&gt;EOMONTH(DATE($B$3,5,1),0),NETWORKDAYS.INTL(DATE($B$3,5,25),DATE($B$3,5,25),1,'Non-working days'!$A$6:$A$45)=0),"",IF(COUNTIFS('Leave log'!$A$7:$A$306,Employees!$A$34,'Leave log'!$B$7:$B$306,"&lt;="&amp;DATE($B$3,5,25),'Leave log'!$C$7:$C$306,"&gt;="&amp;DATE($B$3,5,25),'Leave log'!$F$7:$F$306,"Approved")&gt;0,"A",""))="A","A",IF(OR(DATE($B$3,5,25)&gt;EOMONTH(DATE($B$3,5,1),0),NETWORKDAYS.INTL(DATE($B$3,5,25),DATE($B$3,5,25),1,'Non-working days'!$A$6:$A$45)=0),"",IF(COUNTIFS('Leave log'!$A$7:$A$306,Employees!$A$34,'Leave log'!$B$7:$B$306,"&lt;="&amp;DATE($B$3,5,25),'Leave log'!$C$7:$C$306,"&gt;="&amp;DATE($B$3,5,25),'Leave log'!$F$7:$F$306,"Pending")&gt;0,"P",""))))</f>
        <v/>
      </c>
      <c r="AA171" s="23" t="str">
        <f>IF(A171="","",IF(IF(OR(DATE($B$3,5,26)&gt;EOMONTH(DATE($B$3,5,1),0),NETWORKDAYS.INTL(DATE($B$3,5,26),DATE($B$3,5,26),1,'Non-working days'!$A$6:$A$45)=0),"",IF(COUNTIFS('Leave log'!$A$7:$A$306,Employees!$A$34,'Leave log'!$B$7:$B$306,"&lt;="&amp;DATE($B$3,5,26),'Leave log'!$C$7:$C$306,"&gt;="&amp;DATE($B$3,5,26),'Leave log'!$F$7:$F$306,"Approved")&gt;0,"A",""))="A","A",IF(OR(DATE($B$3,5,26)&gt;EOMONTH(DATE($B$3,5,1),0),NETWORKDAYS.INTL(DATE($B$3,5,26),DATE($B$3,5,26),1,'Non-working days'!$A$6:$A$45)=0),"",IF(COUNTIFS('Leave log'!$A$7:$A$306,Employees!$A$34,'Leave log'!$B$7:$B$306,"&lt;="&amp;DATE($B$3,5,26),'Leave log'!$C$7:$C$306,"&gt;="&amp;DATE($B$3,5,26),'Leave log'!$F$7:$F$306,"Pending")&gt;0,"P",""))))</f>
        <v/>
      </c>
      <c r="AB171" s="23" t="str">
        <f>IF(A171="","",IF(IF(OR(DATE($B$3,5,27)&gt;EOMONTH(DATE($B$3,5,1),0),NETWORKDAYS.INTL(DATE($B$3,5,27),DATE($B$3,5,27),1,'Non-working days'!$A$6:$A$45)=0),"",IF(COUNTIFS('Leave log'!$A$7:$A$306,Employees!$A$34,'Leave log'!$B$7:$B$306,"&lt;="&amp;DATE($B$3,5,27),'Leave log'!$C$7:$C$306,"&gt;="&amp;DATE($B$3,5,27),'Leave log'!$F$7:$F$306,"Approved")&gt;0,"A",""))="A","A",IF(OR(DATE($B$3,5,27)&gt;EOMONTH(DATE($B$3,5,1),0),NETWORKDAYS.INTL(DATE($B$3,5,27),DATE($B$3,5,27),1,'Non-working days'!$A$6:$A$45)=0),"",IF(COUNTIFS('Leave log'!$A$7:$A$306,Employees!$A$34,'Leave log'!$B$7:$B$306,"&lt;="&amp;DATE($B$3,5,27),'Leave log'!$C$7:$C$306,"&gt;="&amp;DATE($B$3,5,27),'Leave log'!$F$7:$F$306,"Pending")&gt;0,"P",""))))</f>
        <v/>
      </c>
      <c r="AC171" s="23" t="str">
        <f>IF(A171="","",IF(IF(OR(DATE($B$3,5,28)&gt;EOMONTH(DATE($B$3,5,1),0),NETWORKDAYS.INTL(DATE($B$3,5,28),DATE($B$3,5,28),1,'Non-working days'!$A$6:$A$45)=0),"",IF(COUNTIFS('Leave log'!$A$7:$A$306,Employees!$A$34,'Leave log'!$B$7:$B$306,"&lt;="&amp;DATE($B$3,5,28),'Leave log'!$C$7:$C$306,"&gt;="&amp;DATE($B$3,5,28),'Leave log'!$F$7:$F$306,"Approved")&gt;0,"A",""))="A","A",IF(OR(DATE($B$3,5,28)&gt;EOMONTH(DATE($B$3,5,1),0),NETWORKDAYS.INTL(DATE($B$3,5,28),DATE($B$3,5,28),1,'Non-working days'!$A$6:$A$45)=0),"",IF(COUNTIFS('Leave log'!$A$7:$A$306,Employees!$A$34,'Leave log'!$B$7:$B$306,"&lt;="&amp;DATE($B$3,5,28),'Leave log'!$C$7:$C$306,"&gt;="&amp;DATE($B$3,5,28),'Leave log'!$F$7:$F$306,"Pending")&gt;0,"P",""))))</f>
        <v/>
      </c>
      <c r="AD171" s="23" t="str">
        <f>IF(A171="","",IF(IF(OR(DATE($B$3,5,29)&gt;EOMONTH(DATE($B$3,5,1),0),NETWORKDAYS.INTL(DATE($B$3,5,29),DATE($B$3,5,29),1,'Non-working days'!$A$6:$A$45)=0),"",IF(COUNTIFS('Leave log'!$A$7:$A$306,Employees!$A$34,'Leave log'!$B$7:$B$306,"&lt;="&amp;DATE($B$3,5,29),'Leave log'!$C$7:$C$306,"&gt;="&amp;DATE($B$3,5,29),'Leave log'!$F$7:$F$306,"Approved")&gt;0,"A",""))="A","A",IF(OR(DATE($B$3,5,29)&gt;EOMONTH(DATE($B$3,5,1),0),NETWORKDAYS.INTL(DATE($B$3,5,29),DATE($B$3,5,29),1,'Non-working days'!$A$6:$A$45)=0),"",IF(COUNTIFS('Leave log'!$A$7:$A$306,Employees!$A$34,'Leave log'!$B$7:$B$306,"&lt;="&amp;DATE($B$3,5,29),'Leave log'!$C$7:$C$306,"&gt;="&amp;DATE($B$3,5,29),'Leave log'!$F$7:$F$306,"Pending")&gt;0,"P",""))))</f>
        <v/>
      </c>
      <c r="AE171" s="23" t="str">
        <f>IF(A171="","",IF(IF(OR(DATE($B$3,5,30)&gt;EOMONTH(DATE($B$3,5,1),0),NETWORKDAYS.INTL(DATE($B$3,5,30),DATE($B$3,5,30),1,'Non-working days'!$A$6:$A$45)=0),"",IF(COUNTIFS('Leave log'!$A$7:$A$306,Employees!$A$34,'Leave log'!$B$7:$B$306,"&lt;="&amp;DATE($B$3,5,30),'Leave log'!$C$7:$C$306,"&gt;="&amp;DATE($B$3,5,30),'Leave log'!$F$7:$F$306,"Approved")&gt;0,"A",""))="A","A",IF(OR(DATE($B$3,5,30)&gt;EOMONTH(DATE($B$3,5,1),0),NETWORKDAYS.INTL(DATE($B$3,5,30),DATE($B$3,5,30),1,'Non-working days'!$A$6:$A$45)=0),"",IF(COUNTIFS('Leave log'!$A$7:$A$306,Employees!$A$34,'Leave log'!$B$7:$B$306,"&lt;="&amp;DATE($B$3,5,30),'Leave log'!$C$7:$C$306,"&gt;="&amp;DATE($B$3,5,30),'Leave log'!$F$7:$F$306,"Pending")&gt;0,"P",""))))</f>
        <v/>
      </c>
      <c r="AF171" s="23" t="str">
        <f>IF(A171="","",IF(IF(OR(DATE($B$3,5,31)&gt;EOMONTH(DATE($B$3,5,1),0),NETWORKDAYS.INTL(DATE($B$3,5,31),DATE($B$3,5,31),1,'Non-working days'!$A$6:$A$45)=0),"",IF(COUNTIFS('Leave log'!$A$7:$A$306,Employees!$A$34,'Leave log'!$B$7:$B$306,"&lt;="&amp;DATE($B$3,5,31),'Leave log'!$C$7:$C$306,"&gt;="&amp;DATE($B$3,5,31),'Leave log'!$F$7:$F$306,"Approved")&gt;0,"A",""))="A","A",IF(OR(DATE($B$3,5,31)&gt;EOMONTH(DATE($B$3,5,1),0),NETWORKDAYS.INTL(DATE($B$3,5,31),DATE($B$3,5,31),1,'Non-working days'!$A$6:$A$45)=0),"",IF(COUNTIFS('Leave log'!$A$7:$A$306,Employees!$A$34,'Leave log'!$B$7:$B$306,"&lt;="&amp;DATE($B$3,5,31),'Leave log'!$C$7:$C$306,"&gt;="&amp;DATE($B$3,5,31),'Leave log'!$F$7:$F$306,"Pending")&gt;0,"P",""))))</f>
        <v/>
      </c>
    </row>
    <row r="172" spans="1:32" ht="18" customHeight="1" x14ac:dyDescent="0.3">
      <c r="A172" s="22" t="str">
        <f>IF(Employees!F35="Yes",Employees!B35,"")</f>
        <v/>
      </c>
      <c r="B172" s="23" t="str">
        <f>IF(A172="","",IF(IF(OR(DATE($B$3,5,1)&gt;EOMONTH(DATE($B$3,5,1),0),NETWORKDAYS.INTL(DATE($B$3,5,1),DATE($B$3,5,1),1,'Non-working days'!$A$6:$A$45)=0),"",IF(COUNTIFS('Leave log'!$A$7:$A$306,Employees!$A$35,'Leave log'!$B$7:$B$306,"&lt;="&amp;DATE($B$3,5,1),'Leave log'!$C$7:$C$306,"&gt;="&amp;DATE($B$3,5,1),'Leave log'!$F$7:$F$306,"Approved")&gt;0,"A",""))="A","A",IF(OR(DATE($B$3,5,1)&gt;EOMONTH(DATE($B$3,5,1),0),NETWORKDAYS.INTL(DATE($B$3,5,1),DATE($B$3,5,1),1,'Non-working days'!$A$6:$A$45)=0),"",IF(COUNTIFS('Leave log'!$A$7:$A$306,Employees!$A$35,'Leave log'!$B$7:$B$306,"&lt;="&amp;DATE($B$3,5,1),'Leave log'!$C$7:$C$306,"&gt;="&amp;DATE($B$3,5,1),'Leave log'!$F$7:$F$306,"Pending")&gt;0,"P",""))))</f>
        <v/>
      </c>
      <c r="C172" s="23" t="str">
        <f>IF(A172="","",IF(IF(OR(DATE($B$3,5,2)&gt;EOMONTH(DATE($B$3,5,1),0),NETWORKDAYS.INTL(DATE($B$3,5,2),DATE($B$3,5,2),1,'Non-working days'!$A$6:$A$45)=0),"",IF(COUNTIFS('Leave log'!$A$7:$A$306,Employees!$A$35,'Leave log'!$B$7:$B$306,"&lt;="&amp;DATE($B$3,5,2),'Leave log'!$C$7:$C$306,"&gt;="&amp;DATE($B$3,5,2),'Leave log'!$F$7:$F$306,"Approved")&gt;0,"A",""))="A","A",IF(OR(DATE($B$3,5,2)&gt;EOMONTH(DATE($B$3,5,1),0),NETWORKDAYS.INTL(DATE($B$3,5,2),DATE($B$3,5,2),1,'Non-working days'!$A$6:$A$45)=0),"",IF(COUNTIFS('Leave log'!$A$7:$A$306,Employees!$A$35,'Leave log'!$B$7:$B$306,"&lt;="&amp;DATE($B$3,5,2),'Leave log'!$C$7:$C$306,"&gt;="&amp;DATE($B$3,5,2),'Leave log'!$F$7:$F$306,"Pending")&gt;0,"P",""))))</f>
        <v/>
      </c>
      <c r="D172" s="23" t="str">
        <f>IF(A172="","",IF(IF(OR(DATE($B$3,5,3)&gt;EOMONTH(DATE($B$3,5,1),0),NETWORKDAYS.INTL(DATE($B$3,5,3),DATE($B$3,5,3),1,'Non-working days'!$A$6:$A$45)=0),"",IF(COUNTIFS('Leave log'!$A$7:$A$306,Employees!$A$35,'Leave log'!$B$7:$B$306,"&lt;="&amp;DATE($B$3,5,3),'Leave log'!$C$7:$C$306,"&gt;="&amp;DATE($B$3,5,3),'Leave log'!$F$7:$F$306,"Approved")&gt;0,"A",""))="A","A",IF(OR(DATE($B$3,5,3)&gt;EOMONTH(DATE($B$3,5,1),0),NETWORKDAYS.INTL(DATE($B$3,5,3),DATE($B$3,5,3),1,'Non-working days'!$A$6:$A$45)=0),"",IF(COUNTIFS('Leave log'!$A$7:$A$306,Employees!$A$35,'Leave log'!$B$7:$B$306,"&lt;="&amp;DATE($B$3,5,3),'Leave log'!$C$7:$C$306,"&gt;="&amp;DATE($B$3,5,3),'Leave log'!$F$7:$F$306,"Pending")&gt;0,"P",""))))</f>
        <v/>
      </c>
      <c r="E172" s="23" t="str">
        <f>IF(A172="","",IF(IF(OR(DATE($B$3,5,4)&gt;EOMONTH(DATE($B$3,5,1),0),NETWORKDAYS.INTL(DATE($B$3,5,4),DATE($B$3,5,4),1,'Non-working days'!$A$6:$A$45)=0),"",IF(COUNTIFS('Leave log'!$A$7:$A$306,Employees!$A$35,'Leave log'!$B$7:$B$306,"&lt;="&amp;DATE($B$3,5,4),'Leave log'!$C$7:$C$306,"&gt;="&amp;DATE($B$3,5,4),'Leave log'!$F$7:$F$306,"Approved")&gt;0,"A",""))="A","A",IF(OR(DATE($B$3,5,4)&gt;EOMONTH(DATE($B$3,5,1),0),NETWORKDAYS.INTL(DATE($B$3,5,4),DATE($B$3,5,4),1,'Non-working days'!$A$6:$A$45)=0),"",IF(COUNTIFS('Leave log'!$A$7:$A$306,Employees!$A$35,'Leave log'!$B$7:$B$306,"&lt;="&amp;DATE($B$3,5,4),'Leave log'!$C$7:$C$306,"&gt;="&amp;DATE($B$3,5,4),'Leave log'!$F$7:$F$306,"Pending")&gt;0,"P",""))))</f>
        <v/>
      </c>
      <c r="F172" s="23" t="str">
        <f>IF(A172="","",IF(IF(OR(DATE($B$3,5,5)&gt;EOMONTH(DATE($B$3,5,1),0),NETWORKDAYS.INTL(DATE($B$3,5,5),DATE($B$3,5,5),1,'Non-working days'!$A$6:$A$45)=0),"",IF(COUNTIFS('Leave log'!$A$7:$A$306,Employees!$A$35,'Leave log'!$B$7:$B$306,"&lt;="&amp;DATE($B$3,5,5),'Leave log'!$C$7:$C$306,"&gt;="&amp;DATE($B$3,5,5),'Leave log'!$F$7:$F$306,"Approved")&gt;0,"A",""))="A","A",IF(OR(DATE($B$3,5,5)&gt;EOMONTH(DATE($B$3,5,1),0),NETWORKDAYS.INTL(DATE($B$3,5,5),DATE($B$3,5,5),1,'Non-working days'!$A$6:$A$45)=0),"",IF(COUNTIFS('Leave log'!$A$7:$A$306,Employees!$A$35,'Leave log'!$B$7:$B$306,"&lt;="&amp;DATE($B$3,5,5),'Leave log'!$C$7:$C$306,"&gt;="&amp;DATE($B$3,5,5),'Leave log'!$F$7:$F$306,"Pending")&gt;0,"P",""))))</f>
        <v/>
      </c>
      <c r="G172" s="23" t="str">
        <f>IF(A172="","",IF(IF(OR(DATE($B$3,5,6)&gt;EOMONTH(DATE($B$3,5,1),0),NETWORKDAYS.INTL(DATE($B$3,5,6),DATE($B$3,5,6),1,'Non-working days'!$A$6:$A$45)=0),"",IF(COUNTIFS('Leave log'!$A$7:$A$306,Employees!$A$35,'Leave log'!$B$7:$B$306,"&lt;="&amp;DATE($B$3,5,6),'Leave log'!$C$7:$C$306,"&gt;="&amp;DATE($B$3,5,6),'Leave log'!$F$7:$F$306,"Approved")&gt;0,"A",""))="A","A",IF(OR(DATE($B$3,5,6)&gt;EOMONTH(DATE($B$3,5,1),0),NETWORKDAYS.INTL(DATE($B$3,5,6),DATE($B$3,5,6),1,'Non-working days'!$A$6:$A$45)=0),"",IF(COUNTIFS('Leave log'!$A$7:$A$306,Employees!$A$35,'Leave log'!$B$7:$B$306,"&lt;="&amp;DATE($B$3,5,6),'Leave log'!$C$7:$C$306,"&gt;="&amp;DATE($B$3,5,6),'Leave log'!$F$7:$F$306,"Pending")&gt;0,"P",""))))</f>
        <v/>
      </c>
      <c r="H172" s="23" t="str">
        <f>IF(A172="","",IF(IF(OR(DATE($B$3,5,7)&gt;EOMONTH(DATE($B$3,5,1),0),NETWORKDAYS.INTL(DATE($B$3,5,7),DATE($B$3,5,7),1,'Non-working days'!$A$6:$A$45)=0),"",IF(COUNTIFS('Leave log'!$A$7:$A$306,Employees!$A$35,'Leave log'!$B$7:$B$306,"&lt;="&amp;DATE($B$3,5,7),'Leave log'!$C$7:$C$306,"&gt;="&amp;DATE($B$3,5,7),'Leave log'!$F$7:$F$306,"Approved")&gt;0,"A",""))="A","A",IF(OR(DATE($B$3,5,7)&gt;EOMONTH(DATE($B$3,5,1),0),NETWORKDAYS.INTL(DATE($B$3,5,7),DATE($B$3,5,7),1,'Non-working days'!$A$6:$A$45)=0),"",IF(COUNTIFS('Leave log'!$A$7:$A$306,Employees!$A$35,'Leave log'!$B$7:$B$306,"&lt;="&amp;DATE($B$3,5,7),'Leave log'!$C$7:$C$306,"&gt;="&amp;DATE($B$3,5,7),'Leave log'!$F$7:$F$306,"Pending")&gt;0,"P",""))))</f>
        <v/>
      </c>
      <c r="I172" s="23" t="str">
        <f>IF(A172="","",IF(IF(OR(DATE($B$3,5,8)&gt;EOMONTH(DATE($B$3,5,1),0),NETWORKDAYS.INTL(DATE($B$3,5,8),DATE($B$3,5,8),1,'Non-working days'!$A$6:$A$45)=0),"",IF(COUNTIFS('Leave log'!$A$7:$A$306,Employees!$A$35,'Leave log'!$B$7:$B$306,"&lt;="&amp;DATE($B$3,5,8),'Leave log'!$C$7:$C$306,"&gt;="&amp;DATE($B$3,5,8),'Leave log'!$F$7:$F$306,"Approved")&gt;0,"A",""))="A","A",IF(OR(DATE($B$3,5,8)&gt;EOMONTH(DATE($B$3,5,1),0),NETWORKDAYS.INTL(DATE($B$3,5,8),DATE($B$3,5,8),1,'Non-working days'!$A$6:$A$45)=0),"",IF(COUNTIFS('Leave log'!$A$7:$A$306,Employees!$A$35,'Leave log'!$B$7:$B$306,"&lt;="&amp;DATE($B$3,5,8),'Leave log'!$C$7:$C$306,"&gt;="&amp;DATE($B$3,5,8),'Leave log'!$F$7:$F$306,"Pending")&gt;0,"P",""))))</f>
        <v/>
      </c>
      <c r="J172" s="23" t="str">
        <f>IF(A172="","",IF(IF(OR(DATE($B$3,5,9)&gt;EOMONTH(DATE($B$3,5,1),0),NETWORKDAYS.INTL(DATE($B$3,5,9),DATE($B$3,5,9),1,'Non-working days'!$A$6:$A$45)=0),"",IF(COUNTIFS('Leave log'!$A$7:$A$306,Employees!$A$35,'Leave log'!$B$7:$B$306,"&lt;="&amp;DATE($B$3,5,9),'Leave log'!$C$7:$C$306,"&gt;="&amp;DATE($B$3,5,9),'Leave log'!$F$7:$F$306,"Approved")&gt;0,"A",""))="A","A",IF(OR(DATE($B$3,5,9)&gt;EOMONTH(DATE($B$3,5,1),0),NETWORKDAYS.INTL(DATE($B$3,5,9),DATE($B$3,5,9),1,'Non-working days'!$A$6:$A$45)=0),"",IF(COUNTIFS('Leave log'!$A$7:$A$306,Employees!$A$35,'Leave log'!$B$7:$B$306,"&lt;="&amp;DATE($B$3,5,9),'Leave log'!$C$7:$C$306,"&gt;="&amp;DATE($B$3,5,9),'Leave log'!$F$7:$F$306,"Pending")&gt;0,"P",""))))</f>
        <v/>
      </c>
      <c r="K172" s="23" t="str">
        <f>IF(A172="","",IF(IF(OR(DATE($B$3,5,10)&gt;EOMONTH(DATE($B$3,5,1),0),NETWORKDAYS.INTL(DATE($B$3,5,10),DATE($B$3,5,10),1,'Non-working days'!$A$6:$A$45)=0),"",IF(COUNTIFS('Leave log'!$A$7:$A$306,Employees!$A$35,'Leave log'!$B$7:$B$306,"&lt;="&amp;DATE($B$3,5,10),'Leave log'!$C$7:$C$306,"&gt;="&amp;DATE($B$3,5,10),'Leave log'!$F$7:$F$306,"Approved")&gt;0,"A",""))="A","A",IF(OR(DATE($B$3,5,10)&gt;EOMONTH(DATE($B$3,5,1),0),NETWORKDAYS.INTL(DATE($B$3,5,10),DATE($B$3,5,10),1,'Non-working days'!$A$6:$A$45)=0),"",IF(COUNTIFS('Leave log'!$A$7:$A$306,Employees!$A$35,'Leave log'!$B$7:$B$306,"&lt;="&amp;DATE($B$3,5,10),'Leave log'!$C$7:$C$306,"&gt;="&amp;DATE($B$3,5,10),'Leave log'!$F$7:$F$306,"Pending")&gt;0,"P",""))))</f>
        <v/>
      </c>
      <c r="L172" s="23" t="str">
        <f>IF(A172="","",IF(IF(OR(DATE($B$3,5,11)&gt;EOMONTH(DATE($B$3,5,1),0),NETWORKDAYS.INTL(DATE($B$3,5,11),DATE($B$3,5,11),1,'Non-working days'!$A$6:$A$45)=0),"",IF(COUNTIFS('Leave log'!$A$7:$A$306,Employees!$A$35,'Leave log'!$B$7:$B$306,"&lt;="&amp;DATE($B$3,5,11),'Leave log'!$C$7:$C$306,"&gt;="&amp;DATE($B$3,5,11),'Leave log'!$F$7:$F$306,"Approved")&gt;0,"A",""))="A","A",IF(OR(DATE($B$3,5,11)&gt;EOMONTH(DATE($B$3,5,1),0),NETWORKDAYS.INTL(DATE($B$3,5,11),DATE($B$3,5,11),1,'Non-working days'!$A$6:$A$45)=0),"",IF(COUNTIFS('Leave log'!$A$7:$A$306,Employees!$A$35,'Leave log'!$B$7:$B$306,"&lt;="&amp;DATE($B$3,5,11),'Leave log'!$C$7:$C$306,"&gt;="&amp;DATE($B$3,5,11),'Leave log'!$F$7:$F$306,"Pending")&gt;0,"P",""))))</f>
        <v/>
      </c>
      <c r="M172" s="23" t="str">
        <f>IF(A172="","",IF(IF(OR(DATE($B$3,5,12)&gt;EOMONTH(DATE($B$3,5,1),0),NETWORKDAYS.INTL(DATE($B$3,5,12),DATE($B$3,5,12),1,'Non-working days'!$A$6:$A$45)=0),"",IF(COUNTIFS('Leave log'!$A$7:$A$306,Employees!$A$35,'Leave log'!$B$7:$B$306,"&lt;="&amp;DATE($B$3,5,12),'Leave log'!$C$7:$C$306,"&gt;="&amp;DATE($B$3,5,12),'Leave log'!$F$7:$F$306,"Approved")&gt;0,"A",""))="A","A",IF(OR(DATE($B$3,5,12)&gt;EOMONTH(DATE($B$3,5,1),0),NETWORKDAYS.INTL(DATE($B$3,5,12),DATE($B$3,5,12),1,'Non-working days'!$A$6:$A$45)=0),"",IF(COUNTIFS('Leave log'!$A$7:$A$306,Employees!$A$35,'Leave log'!$B$7:$B$306,"&lt;="&amp;DATE($B$3,5,12),'Leave log'!$C$7:$C$306,"&gt;="&amp;DATE($B$3,5,12),'Leave log'!$F$7:$F$306,"Pending")&gt;0,"P",""))))</f>
        <v/>
      </c>
      <c r="N172" s="23" t="str">
        <f>IF(A172="","",IF(IF(OR(DATE($B$3,5,13)&gt;EOMONTH(DATE($B$3,5,1),0),NETWORKDAYS.INTL(DATE($B$3,5,13),DATE($B$3,5,13),1,'Non-working days'!$A$6:$A$45)=0),"",IF(COUNTIFS('Leave log'!$A$7:$A$306,Employees!$A$35,'Leave log'!$B$7:$B$306,"&lt;="&amp;DATE($B$3,5,13),'Leave log'!$C$7:$C$306,"&gt;="&amp;DATE($B$3,5,13),'Leave log'!$F$7:$F$306,"Approved")&gt;0,"A",""))="A","A",IF(OR(DATE($B$3,5,13)&gt;EOMONTH(DATE($B$3,5,1),0),NETWORKDAYS.INTL(DATE($B$3,5,13),DATE($B$3,5,13),1,'Non-working days'!$A$6:$A$45)=0),"",IF(COUNTIFS('Leave log'!$A$7:$A$306,Employees!$A$35,'Leave log'!$B$7:$B$306,"&lt;="&amp;DATE($B$3,5,13),'Leave log'!$C$7:$C$306,"&gt;="&amp;DATE($B$3,5,13),'Leave log'!$F$7:$F$306,"Pending")&gt;0,"P",""))))</f>
        <v/>
      </c>
      <c r="O172" s="23" t="str">
        <f>IF(A172="","",IF(IF(OR(DATE($B$3,5,14)&gt;EOMONTH(DATE($B$3,5,1),0),NETWORKDAYS.INTL(DATE($B$3,5,14),DATE($B$3,5,14),1,'Non-working days'!$A$6:$A$45)=0),"",IF(COUNTIFS('Leave log'!$A$7:$A$306,Employees!$A$35,'Leave log'!$B$7:$B$306,"&lt;="&amp;DATE($B$3,5,14),'Leave log'!$C$7:$C$306,"&gt;="&amp;DATE($B$3,5,14),'Leave log'!$F$7:$F$306,"Approved")&gt;0,"A",""))="A","A",IF(OR(DATE($B$3,5,14)&gt;EOMONTH(DATE($B$3,5,1),0),NETWORKDAYS.INTL(DATE($B$3,5,14),DATE($B$3,5,14),1,'Non-working days'!$A$6:$A$45)=0),"",IF(COUNTIFS('Leave log'!$A$7:$A$306,Employees!$A$35,'Leave log'!$B$7:$B$306,"&lt;="&amp;DATE($B$3,5,14),'Leave log'!$C$7:$C$306,"&gt;="&amp;DATE($B$3,5,14),'Leave log'!$F$7:$F$306,"Pending")&gt;0,"P",""))))</f>
        <v/>
      </c>
      <c r="P172" s="23" t="str">
        <f>IF(A172="","",IF(IF(OR(DATE($B$3,5,15)&gt;EOMONTH(DATE($B$3,5,1),0),NETWORKDAYS.INTL(DATE($B$3,5,15),DATE($B$3,5,15),1,'Non-working days'!$A$6:$A$45)=0),"",IF(COUNTIFS('Leave log'!$A$7:$A$306,Employees!$A$35,'Leave log'!$B$7:$B$306,"&lt;="&amp;DATE($B$3,5,15),'Leave log'!$C$7:$C$306,"&gt;="&amp;DATE($B$3,5,15),'Leave log'!$F$7:$F$306,"Approved")&gt;0,"A",""))="A","A",IF(OR(DATE($B$3,5,15)&gt;EOMONTH(DATE($B$3,5,1),0),NETWORKDAYS.INTL(DATE($B$3,5,15),DATE($B$3,5,15),1,'Non-working days'!$A$6:$A$45)=0),"",IF(COUNTIFS('Leave log'!$A$7:$A$306,Employees!$A$35,'Leave log'!$B$7:$B$306,"&lt;="&amp;DATE($B$3,5,15),'Leave log'!$C$7:$C$306,"&gt;="&amp;DATE($B$3,5,15),'Leave log'!$F$7:$F$306,"Pending")&gt;0,"P",""))))</f>
        <v/>
      </c>
      <c r="Q172" s="23" t="str">
        <f>IF(A172="","",IF(IF(OR(DATE($B$3,5,16)&gt;EOMONTH(DATE($B$3,5,1),0),NETWORKDAYS.INTL(DATE($B$3,5,16),DATE($B$3,5,16),1,'Non-working days'!$A$6:$A$45)=0),"",IF(COUNTIFS('Leave log'!$A$7:$A$306,Employees!$A$35,'Leave log'!$B$7:$B$306,"&lt;="&amp;DATE($B$3,5,16),'Leave log'!$C$7:$C$306,"&gt;="&amp;DATE($B$3,5,16),'Leave log'!$F$7:$F$306,"Approved")&gt;0,"A",""))="A","A",IF(OR(DATE($B$3,5,16)&gt;EOMONTH(DATE($B$3,5,1),0),NETWORKDAYS.INTL(DATE($B$3,5,16),DATE($B$3,5,16),1,'Non-working days'!$A$6:$A$45)=0),"",IF(COUNTIFS('Leave log'!$A$7:$A$306,Employees!$A$35,'Leave log'!$B$7:$B$306,"&lt;="&amp;DATE($B$3,5,16),'Leave log'!$C$7:$C$306,"&gt;="&amp;DATE($B$3,5,16),'Leave log'!$F$7:$F$306,"Pending")&gt;0,"P",""))))</f>
        <v/>
      </c>
      <c r="R172" s="23" t="str">
        <f>IF(A172="","",IF(IF(OR(DATE($B$3,5,17)&gt;EOMONTH(DATE($B$3,5,1),0),NETWORKDAYS.INTL(DATE($B$3,5,17),DATE($B$3,5,17),1,'Non-working days'!$A$6:$A$45)=0),"",IF(COUNTIFS('Leave log'!$A$7:$A$306,Employees!$A$35,'Leave log'!$B$7:$B$306,"&lt;="&amp;DATE($B$3,5,17),'Leave log'!$C$7:$C$306,"&gt;="&amp;DATE($B$3,5,17),'Leave log'!$F$7:$F$306,"Approved")&gt;0,"A",""))="A","A",IF(OR(DATE($B$3,5,17)&gt;EOMONTH(DATE($B$3,5,1),0),NETWORKDAYS.INTL(DATE($B$3,5,17),DATE($B$3,5,17),1,'Non-working days'!$A$6:$A$45)=0),"",IF(COUNTIFS('Leave log'!$A$7:$A$306,Employees!$A$35,'Leave log'!$B$7:$B$306,"&lt;="&amp;DATE($B$3,5,17),'Leave log'!$C$7:$C$306,"&gt;="&amp;DATE($B$3,5,17),'Leave log'!$F$7:$F$306,"Pending")&gt;0,"P",""))))</f>
        <v/>
      </c>
      <c r="S172" s="23" t="str">
        <f>IF(A172="","",IF(IF(OR(DATE($B$3,5,18)&gt;EOMONTH(DATE($B$3,5,1),0),NETWORKDAYS.INTL(DATE($B$3,5,18),DATE($B$3,5,18),1,'Non-working days'!$A$6:$A$45)=0),"",IF(COUNTIFS('Leave log'!$A$7:$A$306,Employees!$A$35,'Leave log'!$B$7:$B$306,"&lt;="&amp;DATE($B$3,5,18),'Leave log'!$C$7:$C$306,"&gt;="&amp;DATE($B$3,5,18),'Leave log'!$F$7:$F$306,"Approved")&gt;0,"A",""))="A","A",IF(OR(DATE($B$3,5,18)&gt;EOMONTH(DATE($B$3,5,1),0),NETWORKDAYS.INTL(DATE($B$3,5,18),DATE($B$3,5,18),1,'Non-working days'!$A$6:$A$45)=0),"",IF(COUNTIFS('Leave log'!$A$7:$A$306,Employees!$A$35,'Leave log'!$B$7:$B$306,"&lt;="&amp;DATE($B$3,5,18),'Leave log'!$C$7:$C$306,"&gt;="&amp;DATE($B$3,5,18),'Leave log'!$F$7:$F$306,"Pending")&gt;0,"P",""))))</f>
        <v/>
      </c>
      <c r="T172" s="23" t="str">
        <f>IF(A172="","",IF(IF(OR(DATE($B$3,5,19)&gt;EOMONTH(DATE($B$3,5,1),0),NETWORKDAYS.INTL(DATE($B$3,5,19),DATE($B$3,5,19),1,'Non-working days'!$A$6:$A$45)=0),"",IF(COUNTIFS('Leave log'!$A$7:$A$306,Employees!$A$35,'Leave log'!$B$7:$B$306,"&lt;="&amp;DATE($B$3,5,19),'Leave log'!$C$7:$C$306,"&gt;="&amp;DATE($B$3,5,19),'Leave log'!$F$7:$F$306,"Approved")&gt;0,"A",""))="A","A",IF(OR(DATE($B$3,5,19)&gt;EOMONTH(DATE($B$3,5,1),0),NETWORKDAYS.INTL(DATE($B$3,5,19),DATE($B$3,5,19),1,'Non-working days'!$A$6:$A$45)=0),"",IF(COUNTIFS('Leave log'!$A$7:$A$306,Employees!$A$35,'Leave log'!$B$7:$B$306,"&lt;="&amp;DATE($B$3,5,19),'Leave log'!$C$7:$C$306,"&gt;="&amp;DATE($B$3,5,19),'Leave log'!$F$7:$F$306,"Pending")&gt;0,"P",""))))</f>
        <v/>
      </c>
      <c r="U172" s="23" t="str">
        <f>IF(A172="","",IF(IF(OR(DATE($B$3,5,20)&gt;EOMONTH(DATE($B$3,5,1),0),NETWORKDAYS.INTL(DATE($B$3,5,20),DATE($B$3,5,20),1,'Non-working days'!$A$6:$A$45)=0),"",IF(COUNTIFS('Leave log'!$A$7:$A$306,Employees!$A$35,'Leave log'!$B$7:$B$306,"&lt;="&amp;DATE($B$3,5,20),'Leave log'!$C$7:$C$306,"&gt;="&amp;DATE($B$3,5,20),'Leave log'!$F$7:$F$306,"Approved")&gt;0,"A",""))="A","A",IF(OR(DATE($B$3,5,20)&gt;EOMONTH(DATE($B$3,5,1),0),NETWORKDAYS.INTL(DATE($B$3,5,20),DATE($B$3,5,20),1,'Non-working days'!$A$6:$A$45)=0),"",IF(COUNTIFS('Leave log'!$A$7:$A$306,Employees!$A$35,'Leave log'!$B$7:$B$306,"&lt;="&amp;DATE($B$3,5,20),'Leave log'!$C$7:$C$306,"&gt;="&amp;DATE($B$3,5,20),'Leave log'!$F$7:$F$306,"Pending")&gt;0,"P",""))))</f>
        <v/>
      </c>
      <c r="V172" s="23" t="str">
        <f>IF(A172="","",IF(IF(OR(DATE($B$3,5,21)&gt;EOMONTH(DATE($B$3,5,1),0),NETWORKDAYS.INTL(DATE($B$3,5,21),DATE($B$3,5,21),1,'Non-working days'!$A$6:$A$45)=0),"",IF(COUNTIFS('Leave log'!$A$7:$A$306,Employees!$A$35,'Leave log'!$B$7:$B$306,"&lt;="&amp;DATE($B$3,5,21),'Leave log'!$C$7:$C$306,"&gt;="&amp;DATE($B$3,5,21),'Leave log'!$F$7:$F$306,"Approved")&gt;0,"A",""))="A","A",IF(OR(DATE($B$3,5,21)&gt;EOMONTH(DATE($B$3,5,1),0),NETWORKDAYS.INTL(DATE($B$3,5,21),DATE($B$3,5,21),1,'Non-working days'!$A$6:$A$45)=0),"",IF(COUNTIFS('Leave log'!$A$7:$A$306,Employees!$A$35,'Leave log'!$B$7:$B$306,"&lt;="&amp;DATE($B$3,5,21),'Leave log'!$C$7:$C$306,"&gt;="&amp;DATE($B$3,5,21),'Leave log'!$F$7:$F$306,"Pending")&gt;0,"P",""))))</f>
        <v/>
      </c>
      <c r="W172" s="23" t="str">
        <f>IF(A172="","",IF(IF(OR(DATE($B$3,5,22)&gt;EOMONTH(DATE($B$3,5,1),0),NETWORKDAYS.INTL(DATE($B$3,5,22),DATE($B$3,5,22),1,'Non-working days'!$A$6:$A$45)=0),"",IF(COUNTIFS('Leave log'!$A$7:$A$306,Employees!$A$35,'Leave log'!$B$7:$B$306,"&lt;="&amp;DATE($B$3,5,22),'Leave log'!$C$7:$C$306,"&gt;="&amp;DATE($B$3,5,22),'Leave log'!$F$7:$F$306,"Approved")&gt;0,"A",""))="A","A",IF(OR(DATE($B$3,5,22)&gt;EOMONTH(DATE($B$3,5,1),0),NETWORKDAYS.INTL(DATE($B$3,5,22),DATE($B$3,5,22),1,'Non-working days'!$A$6:$A$45)=0),"",IF(COUNTIFS('Leave log'!$A$7:$A$306,Employees!$A$35,'Leave log'!$B$7:$B$306,"&lt;="&amp;DATE($B$3,5,22),'Leave log'!$C$7:$C$306,"&gt;="&amp;DATE($B$3,5,22),'Leave log'!$F$7:$F$306,"Pending")&gt;0,"P",""))))</f>
        <v/>
      </c>
      <c r="X172" s="23" t="str">
        <f>IF(A172="","",IF(IF(OR(DATE($B$3,5,23)&gt;EOMONTH(DATE($B$3,5,1),0),NETWORKDAYS.INTL(DATE($B$3,5,23),DATE($B$3,5,23),1,'Non-working days'!$A$6:$A$45)=0),"",IF(COUNTIFS('Leave log'!$A$7:$A$306,Employees!$A$35,'Leave log'!$B$7:$B$306,"&lt;="&amp;DATE($B$3,5,23),'Leave log'!$C$7:$C$306,"&gt;="&amp;DATE($B$3,5,23),'Leave log'!$F$7:$F$306,"Approved")&gt;0,"A",""))="A","A",IF(OR(DATE($B$3,5,23)&gt;EOMONTH(DATE($B$3,5,1),0),NETWORKDAYS.INTL(DATE($B$3,5,23),DATE($B$3,5,23),1,'Non-working days'!$A$6:$A$45)=0),"",IF(COUNTIFS('Leave log'!$A$7:$A$306,Employees!$A$35,'Leave log'!$B$7:$B$306,"&lt;="&amp;DATE($B$3,5,23),'Leave log'!$C$7:$C$306,"&gt;="&amp;DATE($B$3,5,23),'Leave log'!$F$7:$F$306,"Pending")&gt;0,"P",""))))</f>
        <v/>
      </c>
      <c r="Y172" s="23" t="str">
        <f>IF(A172="","",IF(IF(OR(DATE($B$3,5,24)&gt;EOMONTH(DATE($B$3,5,1),0),NETWORKDAYS.INTL(DATE($B$3,5,24),DATE($B$3,5,24),1,'Non-working days'!$A$6:$A$45)=0),"",IF(COUNTIFS('Leave log'!$A$7:$A$306,Employees!$A$35,'Leave log'!$B$7:$B$306,"&lt;="&amp;DATE($B$3,5,24),'Leave log'!$C$7:$C$306,"&gt;="&amp;DATE($B$3,5,24),'Leave log'!$F$7:$F$306,"Approved")&gt;0,"A",""))="A","A",IF(OR(DATE($B$3,5,24)&gt;EOMONTH(DATE($B$3,5,1),0),NETWORKDAYS.INTL(DATE($B$3,5,24),DATE($B$3,5,24),1,'Non-working days'!$A$6:$A$45)=0),"",IF(COUNTIFS('Leave log'!$A$7:$A$306,Employees!$A$35,'Leave log'!$B$7:$B$306,"&lt;="&amp;DATE($B$3,5,24),'Leave log'!$C$7:$C$306,"&gt;="&amp;DATE($B$3,5,24),'Leave log'!$F$7:$F$306,"Pending")&gt;0,"P",""))))</f>
        <v/>
      </c>
      <c r="Z172" s="23" t="str">
        <f>IF(A172="","",IF(IF(OR(DATE($B$3,5,25)&gt;EOMONTH(DATE($B$3,5,1),0),NETWORKDAYS.INTL(DATE($B$3,5,25),DATE($B$3,5,25),1,'Non-working days'!$A$6:$A$45)=0),"",IF(COUNTIFS('Leave log'!$A$7:$A$306,Employees!$A$35,'Leave log'!$B$7:$B$306,"&lt;="&amp;DATE($B$3,5,25),'Leave log'!$C$7:$C$306,"&gt;="&amp;DATE($B$3,5,25),'Leave log'!$F$7:$F$306,"Approved")&gt;0,"A",""))="A","A",IF(OR(DATE($B$3,5,25)&gt;EOMONTH(DATE($B$3,5,1),0),NETWORKDAYS.INTL(DATE($B$3,5,25),DATE($B$3,5,25),1,'Non-working days'!$A$6:$A$45)=0),"",IF(COUNTIFS('Leave log'!$A$7:$A$306,Employees!$A$35,'Leave log'!$B$7:$B$306,"&lt;="&amp;DATE($B$3,5,25),'Leave log'!$C$7:$C$306,"&gt;="&amp;DATE($B$3,5,25),'Leave log'!$F$7:$F$306,"Pending")&gt;0,"P",""))))</f>
        <v/>
      </c>
      <c r="AA172" s="23" t="str">
        <f>IF(A172="","",IF(IF(OR(DATE($B$3,5,26)&gt;EOMONTH(DATE($B$3,5,1),0),NETWORKDAYS.INTL(DATE($B$3,5,26),DATE($B$3,5,26),1,'Non-working days'!$A$6:$A$45)=0),"",IF(COUNTIFS('Leave log'!$A$7:$A$306,Employees!$A$35,'Leave log'!$B$7:$B$306,"&lt;="&amp;DATE($B$3,5,26),'Leave log'!$C$7:$C$306,"&gt;="&amp;DATE($B$3,5,26),'Leave log'!$F$7:$F$306,"Approved")&gt;0,"A",""))="A","A",IF(OR(DATE($B$3,5,26)&gt;EOMONTH(DATE($B$3,5,1),0),NETWORKDAYS.INTL(DATE($B$3,5,26),DATE($B$3,5,26),1,'Non-working days'!$A$6:$A$45)=0),"",IF(COUNTIFS('Leave log'!$A$7:$A$306,Employees!$A$35,'Leave log'!$B$7:$B$306,"&lt;="&amp;DATE($B$3,5,26),'Leave log'!$C$7:$C$306,"&gt;="&amp;DATE($B$3,5,26),'Leave log'!$F$7:$F$306,"Pending")&gt;0,"P",""))))</f>
        <v/>
      </c>
      <c r="AB172" s="23" t="str">
        <f>IF(A172="","",IF(IF(OR(DATE($B$3,5,27)&gt;EOMONTH(DATE($B$3,5,1),0),NETWORKDAYS.INTL(DATE($B$3,5,27),DATE($B$3,5,27),1,'Non-working days'!$A$6:$A$45)=0),"",IF(COUNTIFS('Leave log'!$A$7:$A$306,Employees!$A$35,'Leave log'!$B$7:$B$306,"&lt;="&amp;DATE($B$3,5,27),'Leave log'!$C$7:$C$306,"&gt;="&amp;DATE($B$3,5,27),'Leave log'!$F$7:$F$306,"Approved")&gt;0,"A",""))="A","A",IF(OR(DATE($B$3,5,27)&gt;EOMONTH(DATE($B$3,5,1),0),NETWORKDAYS.INTL(DATE($B$3,5,27),DATE($B$3,5,27),1,'Non-working days'!$A$6:$A$45)=0),"",IF(COUNTIFS('Leave log'!$A$7:$A$306,Employees!$A$35,'Leave log'!$B$7:$B$306,"&lt;="&amp;DATE($B$3,5,27),'Leave log'!$C$7:$C$306,"&gt;="&amp;DATE($B$3,5,27),'Leave log'!$F$7:$F$306,"Pending")&gt;0,"P",""))))</f>
        <v/>
      </c>
      <c r="AC172" s="23" t="str">
        <f>IF(A172="","",IF(IF(OR(DATE($B$3,5,28)&gt;EOMONTH(DATE($B$3,5,1),0),NETWORKDAYS.INTL(DATE($B$3,5,28),DATE($B$3,5,28),1,'Non-working days'!$A$6:$A$45)=0),"",IF(COUNTIFS('Leave log'!$A$7:$A$306,Employees!$A$35,'Leave log'!$B$7:$B$306,"&lt;="&amp;DATE($B$3,5,28),'Leave log'!$C$7:$C$306,"&gt;="&amp;DATE($B$3,5,28),'Leave log'!$F$7:$F$306,"Approved")&gt;0,"A",""))="A","A",IF(OR(DATE($B$3,5,28)&gt;EOMONTH(DATE($B$3,5,1),0),NETWORKDAYS.INTL(DATE($B$3,5,28),DATE($B$3,5,28),1,'Non-working days'!$A$6:$A$45)=0),"",IF(COUNTIFS('Leave log'!$A$7:$A$306,Employees!$A$35,'Leave log'!$B$7:$B$306,"&lt;="&amp;DATE($B$3,5,28),'Leave log'!$C$7:$C$306,"&gt;="&amp;DATE($B$3,5,28),'Leave log'!$F$7:$F$306,"Pending")&gt;0,"P",""))))</f>
        <v/>
      </c>
      <c r="AD172" s="23" t="str">
        <f>IF(A172="","",IF(IF(OR(DATE($B$3,5,29)&gt;EOMONTH(DATE($B$3,5,1),0),NETWORKDAYS.INTL(DATE($B$3,5,29),DATE($B$3,5,29),1,'Non-working days'!$A$6:$A$45)=0),"",IF(COUNTIFS('Leave log'!$A$7:$A$306,Employees!$A$35,'Leave log'!$B$7:$B$306,"&lt;="&amp;DATE($B$3,5,29),'Leave log'!$C$7:$C$306,"&gt;="&amp;DATE($B$3,5,29),'Leave log'!$F$7:$F$306,"Approved")&gt;0,"A",""))="A","A",IF(OR(DATE($B$3,5,29)&gt;EOMONTH(DATE($B$3,5,1),0),NETWORKDAYS.INTL(DATE($B$3,5,29),DATE($B$3,5,29),1,'Non-working days'!$A$6:$A$45)=0),"",IF(COUNTIFS('Leave log'!$A$7:$A$306,Employees!$A$35,'Leave log'!$B$7:$B$306,"&lt;="&amp;DATE($B$3,5,29),'Leave log'!$C$7:$C$306,"&gt;="&amp;DATE($B$3,5,29),'Leave log'!$F$7:$F$306,"Pending")&gt;0,"P",""))))</f>
        <v/>
      </c>
      <c r="AE172" s="23" t="str">
        <f>IF(A172="","",IF(IF(OR(DATE($B$3,5,30)&gt;EOMONTH(DATE($B$3,5,1),0),NETWORKDAYS.INTL(DATE($B$3,5,30),DATE($B$3,5,30),1,'Non-working days'!$A$6:$A$45)=0),"",IF(COUNTIFS('Leave log'!$A$7:$A$306,Employees!$A$35,'Leave log'!$B$7:$B$306,"&lt;="&amp;DATE($B$3,5,30),'Leave log'!$C$7:$C$306,"&gt;="&amp;DATE($B$3,5,30),'Leave log'!$F$7:$F$306,"Approved")&gt;0,"A",""))="A","A",IF(OR(DATE($B$3,5,30)&gt;EOMONTH(DATE($B$3,5,1),0),NETWORKDAYS.INTL(DATE($B$3,5,30),DATE($B$3,5,30),1,'Non-working days'!$A$6:$A$45)=0),"",IF(COUNTIFS('Leave log'!$A$7:$A$306,Employees!$A$35,'Leave log'!$B$7:$B$306,"&lt;="&amp;DATE($B$3,5,30),'Leave log'!$C$7:$C$306,"&gt;="&amp;DATE($B$3,5,30),'Leave log'!$F$7:$F$306,"Pending")&gt;0,"P",""))))</f>
        <v/>
      </c>
      <c r="AF172" s="23" t="str">
        <f>IF(A172="","",IF(IF(OR(DATE($B$3,5,31)&gt;EOMONTH(DATE($B$3,5,1),0),NETWORKDAYS.INTL(DATE($B$3,5,31),DATE($B$3,5,31),1,'Non-working days'!$A$6:$A$45)=0),"",IF(COUNTIFS('Leave log'!$A$7:$A$306,Employees!$A$35,'Leave log'!$B$7:$B$306,"&lt;="&amp;DATE($B$3,5,31),'Leave log'!$C$7:$C$306,"&gt;="&amp;DATE($B$3,5,31),'Leave log'!$F$7:$F$306,"Approved")&gt;0,"A",""))="A","A",IF(OR(DATE($B$3,5,31)&gt;EOMONTH(DATE($B$3,5,1),0),NETWORKDAYS.INTL(DATE($B$3,5,31),DATE($B$3,5,31),1,'Non-working days'!$A$6:$A$45)=0),"",IF(COUNTIFS('Leave log'!$A$7:$A$306,Employees!$A$35,'Leave log'!$B$7:$B$306,"&lt;="&amp;DATE($B$3,5,31),'Leave log'!$C$7:$C$306,"&gt;="&amp;DATE($B$3,5,31),'Leave log'!$F$7:$F$306,"Pending")&gt;0,"P",""))))</f>
        <v/>
      </c>
    </row>
    <row r="175" spans="1:32" ht="15.6" x14ac:dyDescent="0.3">
      <c r="A175" s="31" t="s">
        <v>80</v>
      </c>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row>
    <row r="176" spans="1:32" x14ac:dyDescent="0.3">
      <c r="A176" s="20" t="s">
        <v>75</v>
      </c>
      <c r="B176" s="21">
        <v>1</v>
      </c>
      <c r="C176" s="21">
        <v>2</v>
      </c>
      <c r="D176" s="21">
        <v>3</v>
      </c>
      <c r="E176" s="21">
        <v>4</v>
      </c>
      <c r="F176" s="21">
        <v>5</v>
      </c>
      <c r="G176" s="21">
        <v>6</v>
      </c>
      <c r="H176" s="21">
        <v>7</v>
      </c>
      <c r="I176" s="21">
        <v>8</v>
      </c>
      <c r="J176" s="21">
        <v>9</v>
      </c>
      <c r="K176" s="21">
        <v>10</v>
      </c>
      <c r="L176" s="21">
        <v>11</v>
      </c>
      <c r="M176" s="21">
        <v>12</v>
      </c>
      <c r="N176" s="21">
        <v>13</v>
      </c>
      <c r="O176" s="21">
        <v>14</v>
      </c>
      <c r="P176" s="21">
        <v>15</v>
      </c>
      <c r="Q176" s="21">
        <v>16</v>
      </c>
      <c r="R176" s="21">
        <v>17</v>
      </c>
      <c r="S176" s="21">
        <v>18</v>
      </c>
      <c r="T176" s="21">
        <v>19</v>
      </c>
      <c r="U176" s="21">
        <v>20</v>
      </c>
      <c r="V176" s="21">
        <v>21</v>
      </c>
      <c r="W176" s="21">
        <v>22</v>
      </c>
      <c r="X176" s="21">
        <v>23</v>
      </c>
      <c r="Y176" s="21">
        <v>24</v>
      </c>
      <c r="Z176" s="21">
        <v>25</v>
      </c>
      <c r="AA176" s="21">
        <v>26</v>
      </c>
      <c r="AB176" s="21">
        <v>27</v>
      </c>
      <c r="AC176" s="21">
        <v>28</v>
      </c>
      <c r="AD176" s="21">
        <v>29</v>
      </c>
      <c r="AE176" s="21">
        <v>30</v>
      </c>
      <c r="AF176" s="21">
        <v>31</v>
      </c>
    </row>
    <row r="177" spans="1:32" ht="18" customHeight="1" x14ac:dyDescent="0.3">
      <c r="A177" s="22" t="str">
        <f>IF(Employees!F6="Yes",Employees!B6,"")</f>
        <v>Alex Morgan</v>
      </c>
      <c r="B177" s="23" t="str">
        <f>IF(A177="","",IF(IF(OR(DATE($B$3,6,1)&gt;EOMONTH(DATE($B$3,6,1),0),NETWORKDAYS.INTL(DATE($B$3,6,1),DATE($B$3,6,1),1,'Non-working days'!$A$6:$A$45)=0),"",IF(COUNTIFS('Leave log'!$A$7:$A$306,Employees!$A$6,'Leave log'!$B$7:$B$306,"&lt;="&amp;DATE($B$3,6,1),'Leave log'!$C$7:$C$306,"&gt;="&amp;DATE($B$3,6,1),'Leave log'!$F$7:$F$306,"Approved")&gt;0,"A",""))="A","A",IF(OR(DATE($B$3,6,1)&gt;EOMONTH(DATE($B$3,6,1),0),NETWORKDAYS.INTL(DATE($B$3,6,1),DATE($B$3,6,1),1,'Non-working days'!$A$6:$A$45)=0),"",IF(COUNTIFS('Leave log'!$A$7:$A$306,Employees!$A$6,'Leave log'!$B$7:$B$306,"&lt;="&amp;DATE($B$3,6,1),'Leave log'!$C$7:$C$306,"&gt;="&amp;DATE($B$3,6,1),'Leave log'!$F$7:$F$306,"Pending")&gt;0,"P",""))))</f>
        <v/>
      </c>
      <c r="C177" s="23" t="str">
        <f>IF(A177="","",IF(IF(OR(DATE($B$3,6,2)&gt;EOMONTH(DATE($B$3,6,1),0),NETWORKDAYS.INTL(DATE($B$3,6,2),DATE($B$3,6,2),1,'Non-working days'!$A$6:$A$45)=0),"",IF(COUNTIFS('Leave log'!$A$7:$A$306,Employees!$A$6,'Leave log'!$B$7:$B$306,"&lt;="&amp;DATE($B$3,6,2),'Leave log'!$C$7:$C$306,"&gt;="&amp;DATE($B$3,6,2),'Leave log'!$F$7:$F$306,"Approved")&gt;0,"A",""))="A","A",IF(OR(DATE($B$3,6,2)&gt;EOMONTH(DATE($B$3,6,1),0),NETWORKDAYS.INTL(DATE($B$3,6,2),DATE($B$3,6,2),1,'Non-working days'!$A$6:$A$45)=0),"",IF(COUNTIFS('Leave log'!$A$7:$A$306,Employees!$A$6,'Leave log'!$B$7:$B$306,"&lt;="&amp;DATE($B$3,6,2),'Leave log'!$C$7:$C$306,"&gt;="&amp;DATE($B$3,6,2),'Leave log'!$F$7:$F$306,"Pending")&gt;0,"P",""))))</f>
        <v/>
      </c>
      <c r="D177" s="23" t="str">
        <f>IF(A177="","",IF(IF(OR(DATE($B$3,6,3)&gt;EOMONTH(DATE($B$3,6,1),0),NETWORKDAYS.INTL(DATE($B$3,6,3),DATE($B$3,6,3),1,'Non-working days'!$A$6:$A$45)=0),"",IF(COUNTIFS('Leave log'!$A$7:$A$306,Employees!$A$6,'Leave log'!$B$7:$B$306,"&lt;="&amp;DATE($B$3,6,3),'Leave log'!$C$7:$C$306,"&gt;="&amp;DATE($B$3,6,3),'Leave log'!$F$7:$F$306,"Approved")&gt;0,"A",""))="A","A",IF(OR(DATE($B$3,6,3)&gt;EOMONTH(DATE($B$3,6,1),0),NETWORKDAYS.INTL(DATE($B$3,6,3),DATE($B$3,6,3),1,'Non-working days'!$A$6:$A$45)=0),"",IF(COUNTIFS('Leave log'!$A$7:$A$306,Employees!$A$6,'Leave log'!$B$7:$B$306,"&lt;="&amp;DATE($B$3,6,3),'Leave log'!$C$7:$C$306,"&gt;="&amp;DATE($B$3,6,3),'Leave log'!$F$7:$F$306,"Pending")&gt;0,"P",""))))</f>
        <v/>
      </c>
      <c r="E177" s="23" t="str">
        <f>IF(A177="","",IF(IF(OR(DATE($B$3,6,4)&gt;EOMONTH(DATE($B$3,6,1),0),NETWORKDAYS.INTL(DATE($B$3,6,4),DATE($B$3,6,4),1,'Non-working days'!$A$6:$A$45)=0),"",IF(COUNTIFS('Leave log'!$A$7:$A$306,Employees!$A$6,'Leave log'!$B$7:$B$306,"&lt;="&amp;DATE($B$3,6,4),'Leave log'!$C$7:$C$306,"&gt;="&amp;DATE($B$3,6,4),'Leave log'!$F$7:$F$306,"Approved")&gt;0,"A",""))="A","A",IF(OR(DATE($B$3,6,4)&gt;EOMONTH(DATE($B$3,6,1),0),NETWORKDAYS.INTL(DATE($B$3,6,4),DATE($B$3,6,4),1,'Non-working days'!$A$6:$A$45)=0),"",IF(COUNTIFS('Leave log'!$A$7:$A$306,Employees!$A$6,'Leave log'!$B$7:$B$306,"&lt;="&amp;DATE($B$3,6,4),'Leave log'!$C$7:$C$306,"&gt;="&amp;DATE($B$3,6,4),'Leave log'!$F$7:$F$306,"Pending")&gt;0,"P",""))))</f>
        <v/>
      </c>
      <c r="F177" s="23" t="str">
        <f>IF(A177="","",IF(IF(OR(DATE($B$3,6,5)&gt;EOMONTH(DATE($B$3,6,1),0),NETWORKDAYS.INTL(DATE($B$3,6,5),DATE($B$3,6,5),1,'Non-working days'!$A$6:$A$45)=0),"",IF(COUNTIFS('Leave log'!$A$7:$A$306,Employees!$A$6,'Leave log'!$B$7:$B$306,"&lt;="&amp;DATE($B$3,6,5),'Leave log'!$C$7:$C$306,"&gt;="&amp;DATE($B$3,6,5),'Leave log'!$F$7:$F$306,"Approved")&gt;0,"A",""))="A","A",IF(OR(DATE($B$3,6,5)&gt;EOMONTH(DATE($B$3,6,1),0),NETWORKDAYS.INTL(DATE($B$3,6,5),DATE($B$3,6,5),1,'Non-working days'!$A$6:$A$45)=0),"",IF(COUNTIFS('Leave log'!$A$7:$A$306,Employees!$A$6,'Leave log'!$B$7:$B$306,"&lt;="&amp;DATE($B$3,6,5),'Leave log'!$C$7:$C$306,"&gt;="&amp;DATE($B$3,6,5),'Leave log'!$F$7:$F$306,"Pending")&gt;0,"P",""))))</f>
        <v/>
      </c>
      <c r="G177" s="23" t="str">
        <f>IF(A177="","",IF(IF(OR(DATE($B$3,6,6)&gt;EOMONTH(DATE($B$3,6,1),0),NETWORKDAYS.INTL(DATE($B$3,6,6),DATE($B$3,6,6),1,'Non-working days'!$A$6:$A$45)=0),"",IF(COUNTIFS('Leave log'!$A$7:$A$306,Employees!$A$6,'Leave log'!$B$7:$B$306,"&lt;="&amp;DATE($B$3,6,6),'Leave log'!$C$7:$C$306,"&gt;="&amp;DATE($B$3,6,6),'Leave log'!$F$7:$F$306,"Approved")&gt;0,"A",""))="A","A",IF(OR(DATE($B$3,6,6)&gt;EOMONTH(DATE($B$3,6,1),0),NETWORKDAYS.INTL(DATE($B$3,6,6),DATE($B$3,6,6),1,'Non-working days'!$A$6:$A$45)=0),"",IF(COUNTIFS('Leave log'!$A$7:$A$306,Employees!$A$6,'Leave log'!$B$7:$B$306,"&lt;="&amp;DATE($B$3,6,6),'Leave log'!$C$7:$C$306,"&gt;="&amp;DATE($B$3,6,6),'Leave log'!$F$7:$F$306,"Pending")&gt;0,"P",""))))</f>
        <v/>
      </c>
      <c r="H177" s="23" t="str">
        <f>IF(A177="","",IF(IF(OR(DATE($B$3,6,7)&gt;EOMONTH(DATE($B$3,6,1),0),NETWORKDAYS.INTL(DATE($B$3,6,7),DATE($B$3,6,7),1,'Non-working days'!$A$6:$A$45)=0),"",IF(COUNTIFS('Leave log'!$A$7:$A$306,Employees!$A$6,'Leave log'!$B$7:$B$306,"&lt;="&amp;DATE($B$3,6,7),'Leave log'!$C$7:$C$306,"&gt;="&amp;DATE($B$3,6,7),'Leave log'!$F$7:$F$306,"Approved")&gt;0,"A",""))="A","A",IF(OR(DATE($B$3,6,7)&gt;EOMONTH(DATE($B$3,6,1),0),NETWORKDAYS.INTL(DATE($B$3,6,7),DATE($B$3,6,7),1,'Non-working days'!$A$6:$A$45)=0),"",IF(COUNTIFS('Leave log'!$A$7:$A$306,Employees!$A$6,'Leave log'!$B$7:$B$306,"&lt;="&amp;DATE($B$3,6,7),'Leave log'!$C$7:$C$306,"&gt;="&amp;DATE($B$3,6,7),'Leave log'!$F$7:$F$306,"Pending")&gt;0,"P",""))))</f>
        <v/>
      </c>
      <c r="I177" s="23" t="str">
        <f>IF(A177="","",IF(IF(OR(DATE($B$3,6,8)&gt;EOMONTH(DATE($B$3,6,1),0),NETWORKDAYS.INTL(DATE($B$3,6,8),DATE($B$3,6,8),1,'Non-working days'!$A$6:$A$45)=0),"",IF(COUNTIFS('Leave log'!$A$7:$A$306,Employees!$A$6,'Leave log'!$B$7:$B$306,"&lt;="&amp;DATE($B$3,6,8),'Leave log'!$C$7:$C$306,"&gt;="&amp;DATE($B$3,6,8),'Leave log'!$F$7:$F$306,"Approved")&gt;0,"A",""))="A","A",IF(OR(DATE($B$3,6,8)&gt;EOMONTH(DATE($B$3,6,1),0),NETWORKDAYS.INTL(DATE($B$3,6,8),DATE($B$3,6,8),1,'Non-working days'!$A$6:$A$45)=0),"",IF(COUNTIFS('Leave log'!$A$7:$A$306,Employees!$A$6,'Leave log'!$B$7:$B$306,"&lt;="&amp;DATE($B$3,6,8),'Leave log'!$C$7:$C$306,"&gt;="&amp;DATE($B$3,6,8),'Leave log'!$F$7:$F$306,"Pending")&gt;0,"P",""))))</f>
        <v/>
      </c>
      <c r="J177" s="23" t="str">
        <f>IF(A177="","",IF(IF(OR(DATE($B$3,6,9)&gt;EOMONTH(DATE($B$3,6,1),0),NETWORKDAYS.INTL(DATE($B$3,6,9),DATE($B$3,6,9),1,'Non-working days'!$A$6:$A$45)=0),"",IF(COUNTIFS('Leave log'!$A$7:$A$306,Employees!$A$6,'Leave log'!$B$7:$B$306,"&lt;="&amp;DATE($B$3,6,9),'Leave log'!$C$7:$C$306,"&gt;="&amp;DATE($B$3,6,9),'Leave log'!$F$7:$F$306,"Approved")&gt;0,"A",""))="A","A",IF(OR(DATE($B$3,6,9)&gt;EOMONTH(DATE($B$3,6,1),0),NETWORKDAYS.INTL(DATE($B$3,6,9),DATE($B$3,6,9),1,'Non-working days'!$A$6:$A$45)=0),"",IF(COUNTIFS('Leave log'!$A$7:$A$306,Employees!$A$6,'Leave log'!$B$7:$B$306,"&lt;="&amp;DATE($B$3,6,9),'Leave log'!$C$7:$C$306,"&gt;="&amp;DATE($B$3,6,9),'Leave log'!$F$7:$F$306,"Pending")&gt;0,"P",""))))</f>
        <v/>
      </c>
      <c r="K177" s="23" t="str">
        <f>IF(A177="","",IF(IF(OR(DATE($B$3,6,10)&gt;EOMONTH(DATE($B$3,6,1),0),NETWORKDAYS.INTL(DATE($B$3,6,10),DATE($B$3,6,10),1,'Non-working days'!$A$6:$A$45)=0),"",IF(COUNTIFS('Leave log'!$A$7:$A$306,Employees!$A$6,'Leave log'!$B$7:$B$306,"&lt;="&amp;DATE($B$3,6,10),'Leave log'!$C$7:$C$306,"&gt;="&amp;DATE($B$3,6,10),'Leave log'!$F$7:$F$306,"Approved")&gt;0,"A",""))="A","A",IF(OR(DATE($B$3,6,10)&gt;EOMONTH(DATE($B$3,6,1),0),NETWORKDAYS.INTL(DATE($B$3,6,10),DATE($B$3,6,10),1,'Non-working days'!$A$6:$A$45)=0),"",IF(COUNTIFS('Leave log'!$A$7:$A$306,Employees!$A$6,'Leave log'!$B$7:$B$306,"&lt;="&amp;DATE($B$3,6,10),'Leave log'!$C$7:$C$306,"&gt;="&amp;DATE($B$3,6,10),'Leave log'!$F$7:$F$306,"Pending")&gt;0,"P",""))))</f>
        <v/>
      </c>
      <c r="L177" s="23" t="str">
        <f>IF(A177="","",IF(IF(OR(DATE($B$3,6,11)&gt;EOMONTH(DATE($B$3,6,1),0),NETWORKDAYS.INTL(DATE($B$3,6,11),DATE($B$3,6,11),1,'Non-working days'!$A$6:$A$45)=0),"",IF(COUNTIFS('Leave log'!$A$7:$A$306,Employees!$A$6,'Leave log'!$B$7:$B$306,"&lt;="&amp;DATE($B$3,6,11),'Leave log'!$C$7:$C$306,"&gt;="&amp;DATE($B$3,6,11),'Leave log'!$F$7:$F$306,"Approved")&gt;0,"A",""))="A","A",IF(OR(DATE($B$3,6,11)&gt;EOMONTH(DATE($B$3,6,1),0),NETWORKDAYS.INTL(DATE($B$3,6,11),DATE($B$3,6,11),1,'Non-working days'!$A$6:$A$45)=0),"",IF(COUNTIFS('Leave log'!$A$7:$A$306,Employees!$A$6,'Leave log'!$B$7:$B$306,"&lt;="&amp;DATE($B$3,6,11),'Leave log'!$C$7:$C$306,"&gt;="&amp;DATE($B$3,6,11),'Leave log'!$F$7:$F$306,"Pending")&gt;0,"P",""))))</f>
        <v/>
      </c>
      <c r="M177" s="23" t="str">
        <f>IF(A177="","",IF(IF(OR(DATE($B$3,6,12)&gt;EOMONTH(DATE($B$3,6,1),0),NETWORKDAYS.INTL(DATE($B$3,6,12),DATE($B$3,6,12),1,'Non-working days'!$A$6:$A$45)=0),"",IF(COUNTIFS('Leave log'!$A$7:$A$306,Employees!$A$6,'Leave log'!$B$7:$B$306,"&lt;="&amp;DATE($B$3,6,12),'Leave log'!$C$7:$C$306,"&gt;="&amp;DATE($B$3,6,12),'Leave log'!$F$7:$F$306,"Approved")&gt;0,"A",""))="A","A",IF(OR(DATE($B$3,6,12)&gt;EOMONTH(DATE($B$3,6,1),0),NETWORKDAYS.INTL(DATE($B$3,6,12),DATE($B$3,6,12),1,'Non-working days'!$A$6:$A$45)=0),"",IF(COUNTIFS('Leave log'!$A$7:$A$306,Employees!$A$6,'Leave log'!$B$7:$B$306,"&lt;="&amp;DATE($B$3,6,12),'Leave log'!$C$7:$C$306,"&gt;="&amp;DATE($B$3,6,12),'Leave log'!$F$7:$F$306,"Pending")&gt;0,"P",""))))</f>
        <v/>
      </c>
      <c r="N177" s="23" t="str">
        <f>IF(A177="","",IF(IF(OR(DATE($B$3,6,13)&gt;EOMONTH(DATE($B$3,6,1),0),NETWORKDAYS.INTL(DATE($B$3,6,13),DATE($B$3,6,13),1,'Non-working days'!$A$6:$A$45)=0),"",IF(COUNTIFS('Leave log'!$A$7:$A$306,Employees!$A$6,'Leave log'!$B$7:$B$306,"&lt;="&amp;DATE($B$3,6,13),'Leave log'!$C$7:$C$306,"&gt;="&amp;DATE($B$3,6,13),'Leave log'!$F$7:$F$306,"Approved")&gt;0,"A",""))="A","A",IF(OR(DATE($B$3,6,13)&gt;EOMONTH(DATE($B$3,6,1),0),NETWORKDAYS.INTL(DATE($B$3,6,13),DATE($B$3,6,13),1,'Non-working days'!$A$6:$A$45)=0),"",IF(COUNTIFS('Leave log'!$A$7:$A$306,Employees!$A$6,'Leave log'!$B$7:$B$306,"&lt;="&amp;DATE($B$3,6,13),'Leave log'!$C$7:$C$306,"&gt;="&amp;DATE($B$3,6,13),'Leave log'!$F$7:$F$306,"Pending")&gt;0,"P",""))))</f>
        <v/>
      </c>
      <c r="O177" s="23" t="str">
        <f>IF(A177="","",IF(IF(OR(DATE($B$3,6,14)&gt;EOMONTH(DATE($B$3,6,1),0),NETWORKDAYS.INTL(DATE($B$3,6,14),DATE($B$3,6,14),1,'Non-working days'!$A$6:$A$45)=0),"",IF(COUNTIFS('Leave log'!$A$7:$A$306,Employees!$A$6,'Leave log'!$B$7:$B$306,"&lt;="&amp;DATE($B$3,6,14),'Leave log'!$C$7:$C$306,"&gt;="&amp;DATE($B$3,6,14),'Leave log'!$F$7:$F$306,"Approved")&gt;0,"A",""))="A","A",IF(OR(DATE($B$3,6,14)&gt;EOMONTH(DATE($B$3,6,1),0),NETWORKDAYS.INTL(DATE($B$3,6,14),DATE($B$3,6,14),1,'Non-working days'!$A$6:$A$45)=0),"",IF(COUNTIFS('Leave log'!$A$7:$A$306,Employees!$A$6,'Leave log'!$B$7:$B$306,"&lt;="&amp;DATE($B$3,6,14),'Leave log'!$C$7:$C$306,"&gt;="&amp;DATE($B$3,6,14),'Leave log'!$F$7:$F$306,"Pending")&gt;0,"P",""))))</f>
        <v/>
      </c>
      <c r="P177" s="23" t="str">
        <f>IF(A177="","",IF(IF(OR(DATE($B$3,6,15)&gt;EOMONTH(DATE($B$3,6,1),0),NETWORKDAYS.INTL(DATE($B$3,6,15),DATE($B$3,6,15),1,'Non-working days'!$A$6:$A$45)=0),"",IF(COUNTIFS('Leave log'!$A$7:$A$306,Employees!$A$6,'Leave log'!$B$7:$B$306,"&lt;="&amp;DATE($B$3,6,15),'Leave log'!$C$7:$C$306,"&gt;="&amp;DATE($B$3,6,15),'Leave log'!$F$7:$F$306,"Approved")&gt;0,"A",""))="A","A",IF(OR(DATE($B$3,6,15)&gt;EOMONTH(DATE($B$3,6,1),0),NETWORKDAYS.INTL(DATE($B$3,6,15),DATE($B$3,6,15),1,'Non-working days'!$A$6:$A$45)=0),"",IF(COUNTIFS('Leave log'!$A$7:$A$306,Employees!$A$6,'Leave log'!$B$7:$B$306,"&lt;="&amp;DATE($B$3,6,15),'Leave log'!$C$7:$C$306,"&gt;="&amp;DATE($B$3,6,15),'Leave log'!$F$7:$F$306,"Pending")&gt;0,"P",""))))</f>
        <v/>
      </c>
      <c r="Q177" s="23" t="str">
        <f>IF(A177="","",IF(IF(OR(DATE($B$3,6,16)&gt;EOMONTH(DATE($B$3,6,1),0),NETWORKDAYS.INTL(DATE($B$3,6,16),DATE($B$3,6,16),1,'Non-working days'!$A$6:$A$45)=0),"",IF(COUNTIFS('Leave log'!$A$7:$A$306,Employees!$A$6,'Leave log'!$B$7:$B$306,"&lt;="&amp;DATE($B$3,6,16),'Leave log'!$C$7:$C$306,"&gt;="&amp;DATE($B$3,6,16),'Leave log'!$F$7:$F$306,"Approved")&gt;0,"A",""))="A","A",IF(OR(DATE($B$3,6,16)&gt;EOMONTH(DATE($B$3,6,1),0),NETWORKDAYS.INTL(DATE($B$3,6,16),DATE($B$3,6,16),1,'Non-working days'!$A$6:$A$45)=0),"",IF(COUNTIFS('Leave log'!$A$7:$A$306,Employees!$A$6,'Leave log'!$B$7:$B$306,"&lt;="&amp;DATE($B$3,6,16),'Leave log'!$C$7:$C$306,"&gt;="&amp;DATE($B$3,6,16),'Leave log'!$F$7:$F$306,"Pending")&gt;0,"P",""))))</f>
        <v/>
      </c>
      <c r="R177" s="23" t="str">
        <f>IF(A177="","",IF(IF(OR(DATE($B$3,6,17)&gt;EOMONTH(DATE($B$3,6,1),0),NETWORKDAYS.INTL(DATE($B$3,6,17),DATE($B$3,6,17),1,'Non-working days'!$A$6:$A$45)=0),"",IF(COUNTIFS('Leave log'!$A$7:$A$306,Employees!$A$6,'Leave log'!$B$7:$B$306,"&lt;="&amp;DATE($B$3,6,17),'Leave log'!$C$7:$C$306,"&gt;="&amp;DATE($B$3,6,17),'Leave log'!$F$7:$F$306,"Approved")&gt;0,"A",""))="A","A",IF(OR(DATE($B$3,6,17)&gt;EOMONTH(DATE($B$3,6,1),0),NETWORKDAYS.INTL(DATE($B$3,6,17),DATE($B$3,6,17),1,'Non-working days'!$A$6:$A$45)=0),"",IF(COUNTIFS('Leave log'!$A$7:$A$306,Employees!$A$6,'Leave log'!$B$7:$B$306,"&lt;="&amp;DATE($B$3,6,17),'Leave log'!$C$7:$C$306,"&gt;="&amp;DATE($B$3,6,17),'Leave log'!$F$7:$F$306,"Pending")&gt;0,"P",""))))</f>
        <v/>
      </c>
      <c r="S177" s="23" t="str">
        <f>IF(A177="","",IF(IF(OR(DATE($B$3,6,18)&gt;EOMONTH(DATE($B$3,6,1),0),NETWORKDAYS.INTL(DATE($B$3,6,18),DATE($B$3,6,18),1,'Non-working days'!$A$6:$A$45)=0),"",IF(COUNTIFS('Leave log'!$A$7:$A$306,Employees!$A$6,'Leave log'!$B$7:$B$306,"&lt;="&amp;DATE($B$3,6,18),'Leave log'!$C$7:$C$306,"&gt;="&amp;DATE($B$3,6,18),'Leave log'!$F$7:$F$306,"Approved")&gt;0,"A",""))="A","A",IF(OR(DATE($B$3,6,18)&gt;EOMONTH(DATE($B$3,6,1),0),NETWORKDAYS.INTL(DATE($B$3,6,18),DATE($B$3,6,18),1,'Non-working days'!$A$6:$A$45)=0),"",IF(COUNTIFS('Leave log'!$A$7:$A$306,Employees!$A$6,'Leave log'!$B$7:$B$306,"&lt;="&amp;DATE($B$3,6,18),'Leave log'!$C$7:$C$306,"&gt;="&amp;DATE($B$3,6,18),'Leave log'!$F$7:$F$306,"Pending")&gt;0,"P",""))))</f>
        <v/>
      </c>
      <c r="T177" s="23" t="str">
        <f>IF(A177="","",IF(IF(OR(DATE($B$3,6,19)&gt;EOMONTH(DATE($B$3,6,1),0),NETWORKDAYS.INTL(DATE($B$3,6,19),DATE($B$3,6,19),1,'Non-working days'!$A$6:$A$45)=0),"",IF(COUNTIFS('Leave log'!$A$7:$A$306,Employees!$A$6,'Leave log'!$B$7:$B$306,"&lt;="&amp;DATE($B$3,6,19),'Leave log'!$C$7:$C$306,"&gt;="&amp;DATE($B$3,6,19),'Leave log'!$F$7:$F$306,"Approved")&gt;0,"A",""))="A","A",IF(OR(DATE($B$3,6,19)&gt;EOMONTH(DATE($B$3,6,1),0),NETWORKDAYS.INTL(DATE($B$3,6,19),DATE($B$3,6,19),1,'Non-working days'!$A$6:$A$45)=0),"",IF(COUNTIFS('Leave log'!$A$7:$A$306,Employees!$A$6,'Leave log'!$B$7:$B$306,"&lt;="&amp;DATE($B$3,6,19),'Leave log'!$C$7:$C$306,"&gt;="&amp;DATE($B$3,6,19),'Leave log'!$F$7:$F$306,"Pending")&gt;0,"P",""))))</f>
        <v/>
      </c>
      <c r="U177" s="23" t="str">
        <f>IF(A177="","",IF(IF(OR(DATE($B$3,6,20)&gt;EOMONTH(DATE($B$3,6,1),0),NETWORKDAYS.INTL(DATE($B$3,6,20),DATE($B$3,6,20),1,'Non-working days'!$A$6:$A$45)=0),"",IF(COUNTIFS('Leave log'!$A$7:$A$306,Employees!$A$6,'Leave log'!$B$7:$B$306,"&lt;="&amp;DATE($B$3,6,20),'Leave log'!$C$7:$C$306,"&gt;="&amp;DATE($B$3,6,20),'Leave log'!$F$7:$F$306,"Approved")&gt;0,"A",""))="A","A",IF(OR(DATE($B$3,6,20)&gt;EOMONTH(DATE($B$3,6,1),0),NETWORKDAYS.INTL(DATE($B$3,6,20),DATE($B$3,6,20),1,'Non-working days'!$A$6:$A$45)=0),"",IF(COUNTIFS('Leave log'!$A$7:$A$306,Employees!$A$6,'Leave log'!$B$7:$B$306,"&lt;="&amp;DATE($B$3,6,20),'Leave log'!$C$7:$C$306,"&gt;="&amp;DATE($B$3,6,20),'Leave log'!$F$7:$F$306,"Pending")&gt;0,"P",""))))</f>
        <v/>
      </c>
      <c r="V177" s="23" t="str">
        <f>IF(A177="","",IF(IF(OR(DATE($B$3,6,21)&gt;EOMONTH(DATE($B$3,6,1),0),NETWORKDAYS.INTL(DATE($B$3,6,21),DATE($B$3,6,21),1,'Non-working days'!$A$6:$A$45)=0),"",IF(COUNTIFS('Leave log'!$A$7:$A$306,Employees!$A$6,'Leave log'!$B$7:$B$306,"&lt;="&amp;DATE($B$3,6,21),'Leave log'!$C$7:$C$306,"&gt;="&amp;DATE($B$3,6,21),'Leave log'!$F$7:$F$306,"Approved")&gt;0,"A",""))="A","A",IF(OR(DATE($B$3,6,21)&gt;EOMONTH(DATE($B$3,6,1),0),NETWORKDAYS.INTL(DATE($B$3,6,21),DATE($B$3,6,21),1,'Non-working days'!$A$6:$A$45)=0),"",IF(COUNTIFS('Leave log'!$A$7:$A$306,Employees!$A$6,'Leave log'!$B$7:$B$306,"&lt;="&amp;DATE($B$3,6,21),'Leave log'!$C$7:$C$306,"&gt;="&amp;DATE($B$3,6,21),'Leave log'!$F$7:$F$306,"Pending")&gt;0,"P",""))))</f>
        <v/>
      </c>
      <c r="W177" s="23" t="str">
        <f>IF(A177="","",IF(IF(OR(DATE($B$3,6,22)&gt;EOMONTH(DATE($B$3,6,1),0),NETWORKDAYS.INTL(DATE($B$3,6,22),DATE($B$3,6,22),1,'Non-working days'!$A$6:$A$45)=0),"",IF(COUNTIFS('Leave log'!$A$7:$A$306,Employees!$A$6,'Leave log'!$B$7:$B$306,"&lt;="&amp;DATE($B$3,6,22),'Leave log'!$C$7:$C$306,"&gt;="&amp;DATE($B$3,6,22),'Leave log'!$F$7:$F$306,"Approved")&gt;0,"A",""))="A","A",IF(OR(DATE($B$3,6,22)&gt;EOMONTH(DATE($B$3,6,1),0),NETWORKDAYS.INTL(DATE($B$3,6,22),DATE($B$3,6,22),1,'Non-working days'!$A$6:$A$45)=0),"",IF(COUNTIFS('Leave log'!$A$7:$A$306,Employees!$A$6,'Leave log'!$B$7:$B$306,"&lt;="&amp;DATE($B$3,6,22),'Leave log'!$C$7:$C$306,"&gt;="&amp;DATE($B$3,6,22),'Leave log'!$F$7:$F$306,"Pending")&gt;0,"P",""))))</f>
        <v/>
      </c>
      <c r="X177" s="23" t="str">
        <f>IF(A177="","",IF(IF(OR(DATE($B$3,6,23)&gt;EOMONTH(DATE($B$3,6,1),0),NETWORKDAYS.INTL(DATE($B$3,6,23),DATE($B$3,6,23),1,'Non-working days'!$A$6:$A$45)=0),"",IF(COUNTIFS('Leave log'!$A$7:$A$306,Employees!$A$6,'Leave log'!$B$7:$B$306,"&lt;="&amp;DATE($B$3,6,23),'Leave log'!$C$7:$C$306,"&gt;="&amp;DATE($B$3,6,23),'Leave log'!$F$7:$F$306,"Approved")&gt;0,"A",""))="A","A",IF(OR(DATE($B$3,6,23)&gt;EOMONTH(DATE($B$3,6,1),0),NETWORKDAYS.INTL(DATE($B$3,6,23),DATE($B$3,6,23),1,'Non-working days'!$A$6:$A$45)=0),"",IF(COUNTIFS('Leave log'!$A$7:$A$306,Employees!$A$6,'Leave log'!$B$7:$B$306,"&lt;="&amp;DATE($B$3,6,23),'Leave log'!$C$7:$C$306,"&gt;="&amp;DATE($B$3,6,23),'Leave log'!$F$7:$F$306,"Pending")&gt;0,"P",""))))</f>
        <v/>
      </c>
      <c r="Y177" s="23" t="str">
        <f>IF(A177="","",IF(IF(OR(DATE($B$3,6,24)&gt;EOMONTH(DATE($B$3,6,1),0),NETWORKDAYS.INTL(DATE($B$3,6,24),DATE($B$3,6,24),1,'Non-working days'!$A$6:$A$45)=0),"",IF(COUNTIFS('Leave log'!$A$7:$A$306,Employees!$A$6,'Leave log'!$B$7:$B$306,"&lt;="&amp;DATE($B$3,6,24),'Leave log'!$C$7:$C$306,"&gt;="&amp;DATE($B$3,6,24),'Leave log'!$F$7:$F$306,"Approved")&gt;0,"A",""))="A","A",IF(OR(DATE($B$3,6,24)&gt;EOMONTH(DATE($B$3,6,1),0),NETWORKDAYS.INTL(DATE($B$3,6,24),DATE($B$3,6,24),1,'Non-working days'!$A$6:$A$45)=0),"",IF(COUNTIFS('Leave log'!$A$7:$A$306,Employees!$A$6,'Leave log'!$B$7:$B$306,"&lt;="&amp;DATE($B$3,6,24),'Leave log'!$C$7:$C$306,"&gt;="&amp;DATE($B$3,6,24),'Leave log'!$F$7:$F$306,"Pending")&gt;0,"P",""))))</f>
        <v/>
      </c>
      <c r="Z177" s="23" t="str">
        <f>IF(A177="","",IF(IF(OR(DATE($B$3,6,25)&gt;EOMONTH(DATE($B$3,6,1),0),NETWORKDAYS.INTL(DATE($B$3,6,25),DATE($B$3,6,25),1,'Non-working days'!$A$6:$A$45)=0),"",IF(COUNTIFS('Leave log'!$A$7:$A$306,Employees!$A$6,'Leave log'!$B$7:$B$306,"&lt;="&amp;DATE($B$3,6,25),'Leave log'!$C$7:$C$306,"&gt;="&amp;DATE($B$3,6,25),'Leave log'!$F$7:$F$306,"Approved")&gt;0,"A",""))="A","A",IF(OR(DATE($B$3,6,25)&gt;EOMONTH(DATE($B$3,6,1),0),NETWORKDAYS.INTL(DATE($B$3,6,25),DATE($B$3,6,25),1,'Non-working days'!$A$6:$A$45)=0),"",IF(COUNTIFS('Leave log'!$A$7:$A$306,Employees!$A$6,'Leave log'!$B$7:$B$306,"&lt;="&amp;DATE($B$3,6,25),'Leave log'!$C$7:$C$306,"&gt;="&amp;DATE($B$3,6,25),'Leave log'!$F$7:$F$306,"Pending")&gt;0,"P",""))))</f>
        <v/>
      </c>
      <c r="AA177" s="23" t="str">
        <f>IF(A177="","",IF(IF(OR(DATE($B$3,6,26)&gt;EOMONTH(DATE($B$3,6,1),0),NETWORKDAYS.INTL(DATE($B$3,6,26),DATE($B$3,6,26),1,'Non-working days'!$A$6:$A$45)=0),"",IF(COUNTIFS('Leave log'!$A$7:$A$306,Employees!$A$6,'Leave log'!$B$7:$B$306,"&lt;="&amp;DATE($B$3,6,26),'Leave log'!$C$7:$C$306,"&gt;="&amp;DATE($B$3,6,26),'Leave log'!$F$7:$F$306,"Approved")&gt;0,"A",""))="A","A",IF(OR(DATE($B$3,6,26)&gt;EOMONTH(DATE($B$3,6,1),0),NETWORKDAYS.INTL(DATE($B$3,6,26),DATE($B$3,6,26),1,'Non-working days'!$A$6:$A$45)=0),"",IF(COUNTIFS('Leave log'!$A$7:$A$306,Employees!$A$6,'Leave log'!$B$7:$B$306,"&lt;="&amp;DATE($B$3,6,26),'Leave log'!$C$7:$C$306,"&gt;="&amp;DATE($B$3,6,26),'Leave log'!$F$7:$F$306,"Pending")&gt;0,"P",""))))</f>
        <v/>
      </c>
      <c r="AB177" s="23" t="str">
        <f>IF(A177="","",IF(IF(OR(DATE($B$3,6,27)&gt;EOMONTH(DATE($B$3,6,1),0),NETWORKDAYS.INTL(DATE($B$3,6,27),DATE($B$3,6,27),1,'Non-working days'!$A$6:$A$45)=0),"",IF(COUNTIFS('Leave log'!$A$7:$A$306,Employees!$A$6,'Leave log'!$B$7:$B$306,"&lt;="&amp;DATE($B$3,6,27),'Leave log'!$C$7:$C$306,"&gt;="&amp;DATE($B$3,6,27),'Leave log'!$F$7:$F$306,"Approved")&gt;0,"A",""))="A","A",IF(OR(DATE($B$3,6,27)&gt;EOMONTH(DATE($B$3,6,1),0),NETWORKDAYS.INTL(DATE($B$3,6,27),DATE($B$3,6,27),1,'Non-working days'!$A$6:$A$45)=0),"",IF(COUNTIFS('Leave log'!$A$7:$A$306,Employees!$A$6,'Leave log'!$B$7:$B$306,"&lt;="&amp;DATE($B$3,6,27),'Leave log'!$C$7:$C$306,"&gt;="&amp;DATE($B$3,6,27),'Leave log'!$F$7:$F$306,"Pending")&gt;0,"P",""))))</f>
        <v/>
      </c>
      <c r="AC177" s="23" t="str">
        <f>IF(A177="","",IF(IF(OR(DATE($B$3,6,28)&gt;EOMONTH(DATE($B$3,6,1),0),NETWORKDAYS.INTL(DATE($B$3,6,28),DATE($B$3,6,28),1,'Non-working days'!$A$6:$A$45)=0),"",IF(COUNTIFS('Leave log'!$A$7:$A$306,Employees!$A$6,'Leave log'!$B$7:$B$306,"&lt;="&amp;DATE($B$3,6,28),'Leave log'!$C$7:$C$306,"&gt;="&amp;DATE($B$3,6,28),'Leave log'!$F$7:$F$306,"Approved")&gt;0,"A",""))="A","A",IF(OR(DATE($B$3,6,28)&gt;EOMONTH(DATE($B$3,6,1),0),NETWORKDAYS.INTL(DATE($B$3,6,28),DATE($B$3,6,28),1,'Non-working days'!$A$6:$A$45)=0),"",IF(COUNTIFS('Leave log'!$A$7:$A$306,Employees!$A$6,'Leave log'!$B$7:$B$306,"&lt;="&amp;DATE($B$3,6,28),'Leave log'!$C$7:$C$306,"&gt;="&amp;DATE($B$3,6,28),'Leave log'!$F$7:$F$306,"Pending")&gt;0,"P",""))))</f>
        <v/>
      </c>
      <c r="AD177" s="23" t="str">
        <f>IF(A177="","",IF(IF(OR(DATE($B$3,6,29)&gt;EOMONTH(DATE($B$3,6,1),0),NETWORKDAYS.INTL(DATE($B$3,6,29),DATE($B$3,6,29),1,'Non-working days'!$A$6:$A$45)=0),"",IF(COUNTIFS('Leave log'!$A$7:$A$306,Employees!$A$6,'Leave log'!$B$7:$B$306,"&lt;="&amp;DATE($B$3,6,29),'Leave log'!$C$7:$C$306,"&gt;="&amp;DATE($B$3,6,29),'Leave log'!$F$7:$F$306,"Approved")&gt;0,"A",""))="A","A",IF(OR(DATE($B$3,6,29)&gt;EOMONTH(DATE($B$3,6,1),0),NETWORKDAYS.INTL(DATE($B$3,6,29),DATE($B$3,6,29),1,'Non-working days'!$A$6:$A$45)=0),"",IF(COUNTIFS('Leave log'!$A$7:$A$306,Employees!$A$6,'Leave log'!$B$7:$B$306,"&lt;="&amp;DATE($B$3,6,29),'Leave log'!$C$7:$C$306,"&gt;="&amp;DATE($B$3,6,29),'Leave log'!$F$7:$F$306,"Pending")&gt;0,"P",""))))</f>
        <v/>
      </c>
      <c r="AE177" s="23" t="str">
        <f>IF(A177="","",IF(IF(OR(DATE($B$3,6,30)&gt;EOMONTH(DATE($B$3,6,1),0),NETWORKDAYS.INTL(DATE($B$3,6,30),DATE($B$3,6,30),1,'Non-working days'!$A$6:$A$45)=0),"",IF(COUNTIFS('Leave log'!$A$7:$A$306,Employees!$A$6,'Leave log'!$B$7:$B$306,"&lt;="&amp;DATE($B$3,6,30),'Leave log'!$C$7:$C$306,"&gt;="&amp;DATE($B$3,6,30),'Leave log'!$F$7:$F$306,"Approved")&gt;0,"A",""))="A","A",IF(OR(DATE($B$3,6,30)&gt;EOMONTH(DATE($B$3,6,1),0),NETWORKDAYS.INTL(DATE($B$3,6,30),DATE($B$3,6,30),1,'Non-working days'!$A$6:$A$45)=0),"",IF(COUNTIFS('Leave log'!$A$7:$A$306,Employees!$A$6,'Leave log'!$B$7:$B$306,"&lt;="&amp;DATE($B$3,6,30),'Leave log'!$C$7:$C$306,"&gt;="&amp;DATE($B$3,6,30),'Leave log'!$F$7:$F$306,"Pending")&gt;0,"P",""))))</f>
        <v/>
      </c>
      <c r="AF177" s="23" t="str">
        <f>IF(A177="","",IF(IF(OR(DATE($B$3,6,31)&gt;EOMONTH(DATE($B$3,6,1),0),NETWORKDAYS.INTL(DATE($B$3,6,31),DATE($B$3,6,31),1,'Non-working days'!$A$6:$A$45)=0),"",IF(COUNTIFS('Leave log'!$A$7:$A$306,Employees!$A$6,'Leave log'!$B$7:$B$306,"&lt;="&amp;DATE($B$3,6,31),'Leave log'!$C$7:$C$306,"&gt;="&amp;DATE($B$3,6,31),'Leave log'!$F$7:$F$306,"Approved")&gt;0,"A",""))="A","A",IF(OR(DATE($B$3,6,31)&gt;EOMONTH(DATE($B$3,6,1),0),NETWORKDAYS.INTL(DATE($B$3,6,31),DATE($B$3,6,31),1,'Non-working days'!$A$6:$A$45)=0),"",IF(COUNTIFS('Leave log'!$A$7:$A$306,Employees!$A$6,'Leave log'!$B$7:$B$306,"&lt;="&amp;DATE($B$3,6,31),'Leave log'!$C$7:$C$306,"&gt;="&amp;DATE($B$3,6,31),'Leave log'!$F$7:$F$306,"Pending")&gt;0,"P",""))))</f>
        <v/>
      </c>
    </row>
    <row r="178" spans="1:32" ht="18" customHeight="1" x14ac:dyDescent="0.3">
      <c r="A178" s="22" t="str">
        <f>IF(Employees!F7="Yes",Employees!B7,"")</f>
        <v/>
      </c>
      <c r="B178" s="23" t="str">
        <f>IF(A178="","",IF(IF(OR(DATE($B$3,6,1)&gt;EOMONTH(DATE($B$3,6,1),0),NETWORKDAYS.INTL(DATE($B$3,6,1),DATE($B$3,6,1),1,'Non-working days'!$A$6:$A$45)=0),"",IF(COUNTIFS('Leave log'!$A$7:$A$306,Employees!$A$7,'Leave log'!$B$7:$B$306,"&lt;="&amp;DATE($B$3,6,1),'Leave log'!$C$7:$C$306,"&gt;="&amp;DATE($B$3,6,1),'Leave log'!$F$7:$F$306,"Approved")&gt;0,"A",""))="A","A",IF(OR(DATE($B$3,6,1)&gt;EOMONTH(DATE($B$3,6,1),0),NETWORKDAYS.INTL(DATE($B$3,6,1),DATE($B$3,6,1),1,'Non-working days'!$A$6:$A$45)=0),"",IF(COUNTIFS('Leave log'!$A$7:$A$306,Employees!$A$7,'Leave log'!$B$7:$B$306,"&lt;="&amp;DATE($B$3,6,1),'Leave log'!$C$7:$C$306,"&gt;="&amp;DATE($B$3,6,1),'Leave log'!$F$7:$F$306,"Pending")&gt;0,"P",""))))</f>
        <v/>
      </c>
      <c r="C178" s="23" t="str">
        <f>IF(A178="","",IF(IF(OR(DATE($B$3,6,2)&gt;EOMONTH(DATE($B$3,6,1),0),NETWORKDAYS.INTL(DATE($B$3,6,2),DATE($B$3,6,2),1,'Non-working days'!$A$6:$A$45)=0),"",IF(COUNTIFS('Leave log'!$A$7:$A$306,Employees!$A$7,'Leave log'!$B$7:$B$306,"&lt;="&amp;DATE($B$3,6,2),'Leave log'!$C$7:$C$306,"&gt;="&amp;DATE($B$3,6,2),'Leave log'!$F$7:$F$306,"Approved")&gt;0,"A",""))="A","A",IF(OR(DATE($B$3,6,2)&gt;EOMONTH(DATE($B$3,6,1),0),NETWORKDAYS.INTL(DATE($B$3,6,2),DATE($B$3,6,2),1,'Non-working days'!$A$6:$A$45)=0),"",IF(COUNTIFS('Leave log'!$A$7:$A$306,Employees!$A$7,'Leave log'!$B$7:$B$306,"&lt;="&amp;DATE($B$3,6,2),'Leave log'!$C$7:$C$306,"&gt;="&amp;DATE($B$3,6,2),'Leave log'!$F$7:$F$306,"Pending")&gt;0,"P",""))))</f>
        <v/>
      </c>
      <c r="D178" s="23" t="str">
        <f>IF(A178="","",IF(IF(OR(DATE($B$3,6,3)&gt;EOMONTH(DATE($B$3,6,1),0),NETWORKDAYS.INTL(DATE($B$3,6,3),DATE($B$3,6,3),1,'Non-working days'!$A$6:$A$45)=0),"",IF(COUNTIFS('Leave log'!$A$7:$A$306,Employees!$A$7,'Leave log'!$B$7:$B$306,"&lt;="&amp;DATE($B$3,6,3),'Leave log'!$C$7:$C$306,"&gt;="&amp;DATE($B$3,6,3),'Leave log'!$F$7:$F$306,"Approved")&gt;0,"A",""))="A","A",IF(OR(DATE($B$3,6,3)&gt;EOMONTH(DATE($B$3,6,1),0),NETWORKDAYS.INTL(DATE($B$3,6,3),DATE($B$3,6,3),1,'Non-working days'!$A$6:$A$45)=0),"",IF(COUNTIFS('Leave log'!$A$7:$A$306,Employees!$A$7,'Leave log'!$B$7:$B$306,"&lt;="&amp;DATE($B$3,6,3),'Leave log'!$C$7:$C$306,"&gt;="&amp;DATE($B$3,6,3),'Leave log'!$F$7:$F$306,"Pending")&gt;0,"P",""))))</f>
        <v/>
      </c>
      <c r="E178" s="23" t="str">
        <f>IF(A178="","",IF(IF(OR(DATE($B$3,6,4)&gt;EOMONTH(DATE($B$3,6,1),0),NETWORKDAYS.INTL(DATE($B$3,6,4),DATE($B$3,6,4),1,'Non-working days'!$A$6:$A$45)=0),"",IF(COUNTIFS('Leave log'!$A$7:$A$306,Employees!$A$7,'Leave log'!$B$7:$B$306,"&lt;="&amp;DATE($B$3,6,4),'Leave log'!$C$7:$C$306,"&gt;="&amp;DATE($B$3,6,4),'Leave log'!$F$7:$F$306,"Approved")&gt;0,"A",""))="A","A",IF(OR(DATE($B$3,6,4)&gt;EOMONTH(DATE($B$3,6,1),0),NETWORKDAYS.INTL(DATE($B$3,6,4),DATE($B$3,6,4),1,'Non-working days'!$A$6:$A$45)=0),"",IF(COUNTIFS('Leave log'!$A$7:$A$306,Employees!$A$7,'Leave log'!$B$7:$B$306,"&lt;="&amp;DATE($B$3,6,4),'Leave log'!$C$7:$C$306,"&gt;="&amp;DATE($B$3,6,4),'Leave log'!$F$7:$F$306,"Pending")&gt;0,"P",""))))</f>
        <v/>
      </c>
      <c r="F178" s="23" t="str">
        <f>IF(A178="","",IF(IF(OR(DATE($B$3,6,5)&gt;EOMONTH(DATE($B$3,6,1),0),NETWORKDAYS.INTL(DATE($B$3,6,5),DATE($B$3,6,5),1,'Non-working days'!$A$6:$A$45)=0),"",IF(COUNTIFS('Leave log'!$A$7:$A$306,Employees!$A$7,'Leave log'!$B$7:$B$306,"&lt;="&amp;DATE($B$3,6,5),'Leave log'!$C$7:$C$306,"&gt;="&amp;DATE($B$3,6,5),'Leave log'!$F$7:$F$306,"Approved")&gt;0,"A",""))="A","A",IF(OR(DATE($B$3,6,5)&gt;EOMONTH(DATE($B$3,6,1),0),NETWORKDAYS.INTL(DATE($B$3,6,5),DATE($B$3,6,5),1,'Non-working days'!$A$6:$A$45)=0),"",IF(COUNTIFS('Leave log'!$A$7:$A$306,Employees!$A$7,'Leave log'!$B$7:$B$306,"&lt;="&amp;DATE($B$3,6,5),'Leave log'!$C$7:$C$306,"&gt;="&amp;DATE($B$3,6,5),'Leave log'!$F$7:$F$306,"Pending")&gt;0,"P",""))))</f>
        <v/>
      </c>
      <c r="G178" s="23" t="str">
        <f>IF(A178="","",IF(IF(OR(DATE($B$3,6,6)&gt;EOMONTH(DATE($B$3,6,1),0),NETWORKDAYS.INTL(DATE($B$3,6,6),DATE($B$3,6,6),1,'Non-working days'!$A$6:$A$45)=0),"",IF(COUNTIFS('Leave log'!$A$7:$A$306,Employees!$A$7,'Leave log'!$B$7:$B$306,"&lt;="&amp;DATE($B$3,6,6),'Leave log'!$C$7:$C$306,"&gt;="&amp;DATE($B$3,6,6),'Leave log'!$F$7:$F$306,"Approved")&gt;0,"A",""))="A","A",IF(OR(DATE($B$3,6,6)&gt;EOMONTH(DATE($B$3,6,1),0),NETWORKDAYS.INTL(DATE($B$3,6,6),DATE($B$3,6,6),1,'Non-working days'!$A$6:$A$45)=0),"",IF(COUNTIFS('Leave log'!$A$7:$A$306,Employees!$A$7,'Leave log'!$B$7:$B$306,"&lt;="&amp;DATE($B$3,6,6),'Leave log'!$C$7:$C$306,"&gt;="&amp;DATE($B$3,6,6),'Leave log'!$F$7:$F$306,"Pending")&gt;0,"P",""))))</f>
        <v/>
      </c>
      <c r="H178" s="23" t="str">
        <f>IF(A178="","",IF(IF(OR(DATE($B$3,6,7)&gt;EOMONTH(DATE($B$3,6,1),0),NETWORKDAYS.INTL(DATE($B$3,6,7),DATE($B$3,6,7),1,'Non-working days'!$A$6:$A$45)=0),"",IF(COUNTIFS('Leave log'!$A$7:$A$306,Employees!$A$7,'Leave log'!$B$7:$B$306,"&lt;="&amp;DATE($B$3,6,7),'Leave log'!$C$7:$C$306,"&gt;="&amp;DATE($B$3,6,7),'Leave log'!$F$7:$F$306,"Approved")&gt;0,"A",""))="A","A",IF(OR(DATE($B$3,6,7)&gt;EOMONTH(DATE($B$3,6,1),0),NETWORKDAYS.INTL(DATE($B$3,6,7),DATE($B$3,6,7),1,'Non-working days'!$A$6:$A$45)=0),"",IF(COUNTIFS('Leave log'!$A$7:$A$306,Employees!$A$7,'Leave log'!$B$7:$B$306,"&lt;="&amp;DATE($B$3,6,7),'Leave log'!$C$7:$C$306,"&gt;="&amp;DATE($B$3,6,7),'Leave log'!$F$7:$F$306,"Pending")&gt;0,"P",""))))</f>
        <v/>
      </c>
      <c r="I178" s="23" t="str">
        <f>IF(A178="","",IF(IF(OR(DATE($B$3,6,8)&gt;EOMONTH(DATE($B$3,6,1),0),NETWORKDAYS.INTL(DATE($B$3,6,8),DATE($B$3,6,8),1,'Non-working days'!$A$6:$A$45)=0),"",IF(COUNTIFS('Leave log'!$A$7:$A$306,Employees!$A$7,'Leave log'!$B$7:$B$306,"&lt;="&amp;DATE($B$3,6,8),'Leave log'!$C$7:$C$306,"&gt;="&amp;DATE($B$3,6,8),'Leave log'!$F$7:$F$306,"Approved")&gt;0,"A",""))="A","A",IF(OR(DATE($B$3,6,8)&gt;EOMONTH(DATE($B$3,6,1),0),NETWORKDAYS.INTL(DATE($B$3,6,8),DATE($B$3,6,8),1,'Non-working days'!$A$6:$A$45)=0),"",IF(COUNTIFS('Leave log'!$A$7:$A$306,Employees!$A$7,'Leave log'!$B$7:$B$306,"&lt;="&amp;DATE($B$3,6,8),'Leave log'!$C$7:$C$306,"&gt;="&amp;DATE($B$3,6,8),'Leave log'!$F$7:$F$306,"Pending")&gt;0,"P",""))))</f>
        <v/>
      </c>
      <c r="J178" s="23" t="str">
        <f>IF(A178="","",IF(IF(OR(DATE($B$3,6,9)&gt;EOMONTH(DATE($B$3,6,1),0),NETWORKDAYS.INTL(DATE($B$3,6,9),DATE($B$3,6,9),1,'Non-working days'!$A$6:$A$45)=0),"",IF(COUNTIFS('Leave log'!$A$7:$A$306,Employees!$A$7,'Leave log'!$B$7:$B$306,"&lt;="&amp;DATE($B$3,6,9),'Leave log'!$C$7:$C$306,"&gt;="&amp;DATE($B$3,6,9),'Leave log'!$F$7:$F$306,"Approved")&gt;0,"A",""))="A","A",IF(OR(DATE($B$3,6,9)&gt;EOMONTH(DATE($B$3,6,1),0),NETWORKDAYS.INTL(DATE($B$3,6,9),DATE($B$3,6,9),1,'Non-working days'!$A$6:$A$45)=0),"",IF(COUNTIFS('Leave log'!$A$7:$A$306,Employees!$A$7,'Leave log'!$B$7:$B$306,"&lt;="&amp;DATE($B$3,6,9),'Leave log'!$C$7:$C$306,"&gt;="&amp;DATE($B$3,6,9),'Leave log'!$F$7:$F$306,"Pending")&gt;0,"P",""))))</f>
        <v/>
      </c>
      <c r="K178" s="23" t="str">
        <f>IF(A178="","",IF(IF(OR(DATE($B$3,6,10)&gt;EOMONTH(DATE($B$3,6,1),0),NETWORKDAYS.INTL(DATE($B$3,6,10),DATE($B$3,6,10),1,'Non-working days'!$A$6:$A$45)=0),"",IF(COUNTIFS('Leave log'!$A$7:$A$306,Employees!$A$7,'Leave log'!$B$7:$B$306,"&lt;="&amp;DATE($B$3,6,10),'Leave log'!$C$7:$C$306,"&gt;="&amp;DATE($B$3,6,10),'Leave log'!$F$7:$F$306,"Approved")&gt;0,"A",""))="A","A",IF(OR(DATE($B$3,6,10)&gt;EOMONTH(DATE($B$3,6,1),0),NETWORKDAYS.INTL(DATE($B$3,6,10),DATE($B$3,6,10),1,'Non-working days'!$A$6:$A$45)=0),"",IF(COUNTIFS('Leave log'!$A$7:$A$306,Employees!$A$7,'Leave log'!$B$7:$B$306,"&lt;="&amp;DATE($B$3,6,10),'Leave log'!$C$7:$C$306,"&gt;="&amp;DATE($B$3,6,10),'Leave log'!$F$7:$F$306,"Pending")&gt;0,"P",""))))</f>
        <v/>
      </c>
      <c r="L178" s="23" t="str">
        <f>IF(A178="","",IF(IF(OR(DATE($B$3,6,11)&gt;EOMONTH(DATE($B$3,6,1),0),NETWORKDAYS.INTL(DATE($B$3,6,11),DATE($B$3,6,11),1,'Non-working days'!$A$6:$A$45)=0),"",IF(COUNTIFS('Leave log'!$A$7:$A$306,Employees!$A$7,'Leave log'!$B$7:$B$306,"&lt;="&amp;DATE($B$3,6,11),'Leave log'!$C$7:$C$306,"&gt;="&amp;DATE($B$3,6,11),'Leave log'!$F$7:$F$306,"Approved")&gt;0,"A",""))="A","A",IF(OR(DATE($B$3,6,11)&gt;EOMONTH(DATE($B$3,6,1),0),NETWORKDAYS.INTL(DATE($B$3,6,11),DATE($B$3,6,11),1,'Non-working days'!$A$6:$A$45)=0),"",IF(COUNTIFS('Leave log'!$A$7:$A$306,Employees!$A$7,'Leave log'!$B$7:$B$306,"&lt;="&amp;DATE($B$3,6,11),'Leave log'!$C$7:$C$306,"&gt;="&amp;DATE($B$3,6,11),'Leave log'!$F$7:$F$306,"Pending")&gt;0,"P",""))))</f>
        <v/>
      </c>
      <c r="M178" s="23" t="str">
        <f>IF(A178="","",IF(IF(OR(DATE($B$3,6,12)&gt;EOMONTH(DATE($B$3,6,1),0),NETWORKDAYS.INTL(DATE($B$3,6,12),DATE($B$3,6,12),1,'Non-working days'!$A$6:$A$45)=0),"",IF(COUNTIFS('Leave log'!$A$7:$A$306,Employees!$A$7,'Leave log'!$B$7:$B$306,"&lt;="&amp;DATE($B$3,6,12),'Leave log'!$C$7:$C$306,"&gt;="&amp;DATE($B$3,6,12),'Leave log'!$F$7:$F$306,"Approved")&gt;0,"A",""))="A","A",IF(OR(DATE($B$3,6,12)&gt;EOMONTH(DATE($B$3,6,1),0),NETWORKDAYS.INTL(DATE($B$3,6,12),DATE($B$3,6,12),1,'Non-working days'!$A$6:$A$45)=0),"",IF(COUNTIFS('Leave log'!$A$7:$A$306,Employees!$A$7,'Leave log'!$B$7:$B$306,"&lt;="&amp;DATE($B$3,6,12),'Leave log'!$C$7:$C$306,"&gt;="&amp;DATE($B$3,6,12),'Leave log'!$F$7:$F$306,"Pending")&gt;0,"P",""))))</f>
        <v/>
      </c>
      <c r="N178" s="23" t="str">
        <f>IF(A178="","",IF(IF(OR(DATE($B$3,6,13)&gt;EOMONTH(DATE($B$3,6,1),0),NETWORKDAYS.INTL(DATE($B$3,6,13),DATE($B$3,6,13),1,'Non-working days'!$A$6:$A$45)=0),"",IF(COUNTIFS('Leave log'!$A$7:$A$306,Employees!$A$7,'Leave log'!$B$7:$B$306,"&lt;="&amp;DATE($B$3,6,13),'Leave log'!$C$7:$C$306,"&gt;="&amp;DATE($B$3,6,13),'Leave log'!$F$7:$F$306,"Approved")&gt;0,"A",""))="A","A",IF(OR(DATE($B$3,6,13)&gt;EOMONTH(DATE($B$3,6,1),0),NETWORKDAYS.INTL(DATE($B$3,6,13),DATE($B$3,6,13),1,'Non-working days'!$A$6:$A$45)=0),"",IF(COUNTIFS('Leave log'!$A$7:$A$306,Employees!$A$7,'Leave log'!$B$7:$B$306,"&lt;="&amp;DATE($B$3,6,13),'Leave log'!$C$7:$C$306,"&gt;="&amp;DATE($B$3,6,13),'Leave log'!$F$7:$F$306,"Pending")&gt;0,"P",""))))</f>
        <v/>
      </c>
      <c r="O178" s="23" t="str">
        <f>IF(A178="","",IF(IF(OR(DATE($B$3,6,14)&gt;EOMONTH(DATE($B$3,6,1),0),NETWORKDAYS.INTL(DATE($B$3,6,14),DATE($B$3,6,14),1,'Non-working days'!$A$6:$A$45)=0),"",IF(COUNTIFS('Leave log'!$A$7:$A$306,Employees!$A$7,'Leave log'!$B$7:$B$306,"&lt;="&amp;DATE($B$3,6,14),'Leave log'!$C$7:$C$306,"&gt;="&amp;DATE($B$3,6,14),'Leave log'!$F$7:$F$306,"Approved")&gt;0,"A",""))="A","A",IF(OR(DATE($B$3,6,14)&gt;EOMONTH(DATE($B$3,6,1),0),NETWORKDAYS.INTL(DATE($B$3,6,14),DATE($B$3,6,14),1,'Non-working days'!$A$6:$A$45)=0),"",IF(COUNTIFS('Leave log'!$A$7:$A$306,Employees!$A$7,'Leave log'!$B$7:$B$306,"&lt;="&amp;DATE($B$3,6,14),'Leave log'!$C$7:$C$306,"&gt;="&amp;DATE($B$3,6,14),'Leave log'!$F$7:$F$306,"Pending")&gt;0,"P",""))))</f>
        <v/>
      </c>
      <c r="P178" s="23" t="str">
        <f>IF(A178="","",IF(IF(OR(DATE($B$3,6,15)&gt;EOMONTH(DATE($B$3,6,1),0),NETWORKDAYS.INTL(DATE($B$3,6,15),DATE($B$3,6,15),1,'Non-working days'!$A$6:$A$45)=0),"",IF(COUNTIFS('Leave log'!$A$7:$A$306,Employees!$A$7,'Leave log'!$B$7:$B$306,"&lt;="&amp;DATE($B$3,6,15),'Leave log'!$C$7:$C$306,"&gt;="&amp;DATE($B$3,6,15),'Leave log'!$F$7:$F$306,"Approved")&gt;0,"A",""))="A","A",IF(OR(DATE($B$3,6,15)&gt;EOMONTH(DATE($B$3,6,1),0),NETWORKDAYS.INTL(DATE($B$3,6,15),DATE($B$3,6,15),1,'Non-working days'!$A$6:$A$45)=0),"",IF(COUNTIFS('Leave log'!$A$7:$A$306,Employees!$A$7,'Leave log'!$B$7:$B$306,"&lt;="&amp;DATE($B$3,6,15),'Leave log'!$C$7:$C$306,"&gt;="&amp;DATE($B$3,6,15),'Leave log'!$F$7:$F$306,"Pending")&gt;0,"P",""))))</f>
        <v/>
      </c>
      <c r="Q178" s="23" t="str">
        <f>IF(A178="","",IF(IF(OR(DATE($B$3,6,16)&gt;EOMONTH(DATE($B$3,6,1),0),NETWORKDAYS.INTL(DATE($B$3,6,16),DATE($B$3,6,16),1,'Non-working days'!$A$6:$A$45)=0),"",IF(COUNTIFS('Leave log'!$A$7:$A$306,Employees!$A$7,'Leave log'!$B$7:$B$306,"&lt;="&amp;DATE($B$3,6,16),'Leave log'!$C$7:$C$306,"&gt;="&amp;DATE($B$3,6,16),'Leave log'!$F$7:$F$306,"Approved")&gt;0,"A",""))="A","A",IF(OR(DATE($B$3,6,16)&gt;EOMONTH(DATE($B$3,6,1),0),NETWORKDAYS.INTL(DATE($B$3,6,16),DATE($B$3,6,16),1,'Non-working days'!$A$6:$A$45)=0),"",IF(COUNTIFS('Leave log'!$A$7:$A$306,Employees!$A$7,'Leave log'!$B$7:$B$306,"&lt;="&amp;DATE($B$3,6,16),'Leave log'!$C$7:$C$306,"&gt;="&amp;DATE($B$3,6,16),'Leave log'!$F$7:$F$306,"Pending")&gt;0,"P",""))))</f>
        <v/>
      </c>
      <c r="R178" s="23" t="str">
        <f>IF(A178="","",IF(IF(OR(DATE($B$3,6,17)&gt;EOMONTH(DATE($B$3,6,1),0),NETWORKDAYS.INTL(DATE($B$3,6,17),DATE($B$3,6,17),1,'Non-working days'!$A$6:$A$45)=0),"",IF(COUNTIFS('Leave log'!$A$7:$A$306,Employees!$A$7,'Leave log'!$B$7:$B$306,"&lt;="&amp;DATE($B$3,6,17),'Leave log'!$C$7:$C$306,"&gt;="&amp;DATE($B$3,6,17),'Leave log'!$F$7:$F$306,"Approved")&gt;0,"A",""))="A","A",IF(OR(DATE($B$3,6,17)&gt;EOMONTH(DATE($B$3,6,1),0),NETWORKDAYS.INTL(DATE($B$3,6,17),DATE($B$3,6,17),1,'Non-working days'!$A$6:$A$45)=0),"",IF(COUNTIFS('Leave log'!$A$7:$A$306,Employees!$A$7,'Leave log'!$B$7:$B$306,"&lt;="&amp;DATE($B$3,6,17),'Leave log'!$C$7:$C$306,"&gt;="&amp;DATE($B$3,6,17),'Leave log'!$F$7:$F$306,"Pending")&gt;0,"P",""))))</f>
        <v/>
      </c>
      <c r="S178" s="23" t="str">
        <f>IF(A178="","",IF(IF(OR(DATE($B$3,6,18)&gt;EOMONTH(DATE($B$3,6,1),0),NETWORKDAYS.INTL(DATE($B$3,6,18),DATE($B$3,6,18),1,'Non-working days'!$A$6:$A$45)=0),"",IF(COUNTIFS('Leave log'!$A$7:$A$306,Employees!$A$7,'Leave log'!$B$7:$B$306,"&lt;="&amp;DATE($B$3,6,18),'Leave log'!$C$7:$C$306,"&gt;="&amp;DATE($B$3,6,18),'Leave log'!$F$7:$F$306,"Approved")&gt;0,"A",""))="A","A",IF(OR(DATE($B$3,6,18)&gt;EOMONTH(DATE($B$3,6,1),0),NETWORKDAYS.INTL(DATE($B$3,6,18),DATE($B$3,6,18),1,'Non-working days'!$A$6:$A$45)=0),"",IF(COUNTIFS('Leave log'!$A$7:$A$306,Employees!$A$7,'Leave log'!$B$7:$B$306,"&lt;="&amp;DATE($B$3,6,18),'Leave log'!$C$7:$C$306,"&gt;="&amp;DATE($B$3,6,18),'Leave log'!$F$7:$F$306,"Pending")&gt;0,"P",""))))</f>
        <v/>
      </c>
      <c r="T178" s="23" t="str">
        <f>IF(A178="","",IF(IF(OR(DATE($B$3,6,19)&gt;EOMONTH(DATE($B$3,6,1),0),NETWORKDAYS.INTL(DATE($B$3,6,19),DATE($B$3,6,19),1,'Non-working days'!$A$6:$A$45)=0),"",IF(COUNTIFS('Leave log'!$A$7:$A$306,Employees!$A$7,'Leave log'!$B$7:$B$306,"&lt;="&amp;DATE($B$3,6,19),'Leave log'!$C$7:$C$306,"&gt;="&amp;DATE($B$3,6,19),'Leave log'!$F$7:$F$306,"Approved")&gt;0,"A",""))="A","A",IF(OR(DATE($B$3,6,19)&gt;EOMONTH(DATE($B$3,6,1),0),NETWORKDAYS.INTL(DATE($B$3,6,19),DATE($B$3,6,19),1,'Non-working days'!$A$6:$A$45)=0),"",IF(COUNTIFS('Leave log'!$A$7:$A$306,Employees!$A$7,'Leave log'!$B$7:$B$306,"&lt;="&amp;DATE($B$3,6,19),'Leave log'!$C$7:$C$306,"&gt;="&amp;DATE($B$3,6,19),'Leave log'!$F$7:$F$306,"Pending")&gt;0,"P",""))))</f>
        <v/>
      </c>
      <c r="U178" s="23" t="str">
        <f>IF(A178="","",IF(IF(OR(DATE($B$3,6,20)&gt;EOMONTH(DATE($B$3,6,1),0),NETWORKDAYS.INTL(DATE($B$3,6,20),DATE($B$3,6,20),1,'Non-working days'!$A$6:$A$45)=0),"",IF(COUNTIFS('Leave log'!$A$7:$A$306,Employees!$A$7,'Leave log'!$B$7:$B$306,"&lt;="&amp;DATE($B$3,6,20),'Leave log'!$C$7:$C$306,"&gt;="&amp;DATE($B$3,6,20),'Leave log'!$F$7:$F$306,"Approved")&gt;0,"A",""))="A","A",IF(OR(DATE($B$3,6,20)&gt;EOMONTH(DATE($B$3,6,1),0),NETWORKDAYS.INTL(DATE($B$3,6,20),DATE($B$3,6,20),1,'Non-working days'!$A$6:$A$45)=0),"",IF(COUNTIFS('Leave log'!$A$7:$A$306,Employees!$A$7,'Leave log'!$B$7:$B$306,"&lt;="&amp;DATE($B$3,6,20),'Leave log'!$C$7:$C$306,"&gt;="&amp;DATE($B$3,6,20),'Leave log'!$F$7:$F$306,"Pending")&gt;0,"P",""))))</f>
        <v/>
      </c>
      <c r="V178" s="23" t="str">
        <f>IF(A178="","",IF(IF(OR(DATE($B$3,6,21)&gt;EOMONTH(DATE($B$3,6,1),0),NETWORKDAYS.INTL(DATE($B$3,6,21),DATE($B$3,6,21),1,'Non-working days'!$A$6:$A$45)=0),"",IF(COUNTIFS('Leave log'!$A$7:$A$306,Employees!$A$7,'Leave log'!$B$7:$B$306,"&lt;="&amp;DATE($B$3,6,21),'Leave log'!$C$7:$C$306,"&gt;="&amp;DATE($B$3,6,21),'Leave log'!$F$7:$F$306,"Approved")&gt;0,"A",""))="A","A",IF(OR(DATE($B$3,6,21)&gt;EOMONTH(DATE($B$3,6,1),0),NETWORKDAYS.INTL(DATE($B$3,6,21),DATE($B$3,6,21),1,'Non-working days'!$A$6:$A$45)=0),"",IF(COUNTIFS('Leave log'!$A$7:$A$306,Employees!$A$7,'Leave log'!$B$7:$B$306,"&lt;="&amp;DATE($B$3,6,21),'Leave log'!$C$7:$C$306,"&gt;="&amp;DATE($B$3,6,21),'Leave log'!$F$7:$F$306,"Pending")&gt;0,"P",""))))</f>
        <v/>
      </c>
      <c r="W178" s="23" t="str">
        <f>IF(A178="","",IF(IF(OR(DATE($B$3,6,22)&gt;EOMONTH(DATE($B$3,6,1),0),NETWORKDAYS.INTL(DATE($B$3,6,22),DATE($B$3,6,22),1,'Non-working days'!$A$6:$A$45)=0),"",IF(COUNTIFS('Leave log'!$A$7:$A$306,Employees!$A$7,'Leave log'!$B$7:$B$306,"&lt;="&amp;DATE($B$3,6,22),'Leave log'!$C$7:$C$306,"&gt;="&amp;DATE($B$3,6,22),'Leave log'!$F$7:$F$306,"Approved")&gt;0,"A",""))="A","A",IF(OR(DATE($B$3,6,22)&gt;EOMONTH(DATE($B$3,6,1),0),NETWORKDAYS.INTL(DATE($B$3,6,22),DATE($B$3,6,22),1,'Non-working days'!$A$6:$A$45)=0),"",IF(COUNTIFS('Leave log'!$A$7:$A$306,Employees!$A$7,'Leave log'!$B$7:$B$306,"&lt;="&amp;DATE($B$3,6,22),'Leave log'!$C$7:$C$306,"&gt;="&amp;DATE($B$3,6,22),'Leave log'!$F$7:$F$306,"Pending")&gt;0,"P",""))))</f>
        <v/>
      </c>
      <c r="X178" s="23" t="str">
        <f>IF(A178="","",IF(IF(OR(DATE($B$3,6,23)&gt;EOMONTH(DATE($B$3,6,1),0),NETWORKDAYS.INTL(DATE($B$3,6,23),DATE($B$3,6,23),1,'Non-working days'!$A$6:$A$45)=0),"",IF(COUNTIFS('Leave log'!$A$7:$A$306,Employees!$A$7,'Leave log'!$B$7:$B$306,"&lt;="&amp;DATE($B$3,6,23),'Leave log'!$C$7:$C$306,"&gt;="&amp;DATE($B$3,6,23),'Leave log'!$F$7:$F$306,"Approved")&gt;0,"A",""))="A","A",IF(OR(DATE($B$3,6,23)&gt;EOMONTH(DATE($B$3,6,1),0),NETWORKDAYS.INTL(DATE($B$3,6,23),DATE($B$3,6,23),1,'Non-working days'!$A$6:$A$45)=0),"",IF(COUNTIFS('Leave log'!$A$7:$A$306,Employees!$A$7,'Leave log'!$B$7:$B$306,"&lt;="&amp;DATE($B$3,6,23),'Leave log'!$C$7:$C$306,"&gt;="&amp;DATE($B$3,6,23),'Leave log'!$F$7:$F$306,"Pending")&gt;0,"P",""))))</f>
        <v/>
      </c>
      <c r="Y178" s="23" t="str">
        <f>IF(A178="","",IF(IF(OR(DATE($B$3,6,24)&gt;EOMONTH(DATE($B$3,6,1),0),NETWORKDAYS.INTL(DATE($B$3,6,24),DATE($B$3,6,24),1,'Non-working days'!$A$6:$A$45)=0),"",IF(COUNTIFS('Leave log'!$A$7:$A$306,Employees!$A$7,'Leave log'!$B$7:$B$306,"&lt;="&amp;DATE($B$3,6,24),'Leave log'!$C$7:$C$306,"&gt;="&amp;DATE($B$3,6,24),'Leave log'!$F$7:$F$306,"Approved")&gt;0,"A",""))="A","A",IF(OR(DATE($B$3,6,24)&gt;EOMONTH(DATE($B$3,6,1),0),NETWORKDAYS.INTL(DATE($B$3,6,24),DATE($B$3,6,24),1,'Non-working days'!$A$6:$A$45)=0),"",IF(COUNTIFS('Leave log'!$A$7:$A$306,Employees!$A$7,'Leave log'!$B$7:$B$306,"&lt;="&amp;DATE($B$3,6,24),'Leave log'!$C$7:$C$306,"&gt;="&amp;DATE($B$3,6,24),'Leave log'!$F$7:$F$306,"Pending")&gt;0,"P",""))))</f>
        <v/>
      </c>
      <c r="Z178" s="23" t="str">
        <f>IF(A178="","",IF(IF(OR(DATE($B$3,6,25)&gt;EOMONTH(DATE($B$3,6,1),0),NETWORKDAYS.INTL(DATE($B$3,6,25),DATE($B$3,6,25),1,'Non-working days'!$A$6:$A$45)=0),"",IF(COUNTIFS('Leave log'!$A$7:$A$306,Employees!$A$7,'Leave log'!$B$7:$B$306,"&lt;="&amp;DATE($B$3,6,25),'Leave log'!$C$7:$C$306,"&gt;="&amp;DATE($B$3,6,25),'Leave log'!$F$7:$F$306,"Approved")&gt;0,"A",""))="A","A",IF(OR(DATE($B$3,6,25)&gt;EOMONTH(DATE($B$3,6,1),0),NETWORKDAYS.INTL(DATE($B$3,6,25),DATE($B$3,6,25),1,'Non-working days'!$A$6:$A$45)=0),"",IF(COUNTIFS('Leave log'!$A$7:$A$306,Employees!$A$7,'Leave log'!$B$7:$B$306,"&lt;="&amp;DATE($B$3,6,25),'Leave log'!$C$7:$C$306,"&gt;="&amp;DATE($B$3,6,25),'Leave log'!$F$7:$F$306,"Pending")&gt;0,"P",""))))</f>
        <v/>
      </c>
      <c r="AA178" s="23" t="str">
        <f>IF(A178="","",IF(IF(OR(DATE($B$3,6,26)&gt;EOMONTH(DATE($B$3,6,1),0),NETWORKDAYS.INTL(DATE($B$3,6,26),DATE($B$3,6,26),1,'Non-working days'!$A$6:$A$45)=0),"",IF(COUNTIFS('Leave log'!$A$7:$A$306,Employees!$A$7,'Leave log'!$B$7:$B$306,"&lt;="&amp;DATE($B$3,6,26),'Leave log'!$C$7:$C$306,"&gt;="&amp;DATE($B$3,6,26),'Leave log'!$F$7:$F$306,"Approved")&gt;0,"A",""))="A","A",IF(OR(DATE($B$3,6,26)&gt;EOMONTH(DATE($B$3,6,1),0),NETWORKDAYS.INTL(DATE($B$3,6,26),DATE($B$3,6,26),1,'Non-working days'!$A$6:$A$45)=0),"",IF(COUNTIFS('Leave log'!$A$7:$A$306,Employees!$A$7,'Leave log'!$B$7:$B$306,"&lt;="&amp;DATE($B$3,6,26),'Leave log'!$C$7:$C$306,"&gt;="&amp;DATE($B$3,6,26),'Leave log'!$F$7:$F$306,"Pending")&gt;0,"P",""))))</f>
        <v/>
      </c>
      <c r="AB178" s="23" t="str">
        <f>IF(A178="","",IF(IF(OR(DATE($B$3,6,27)&gt;EOMONTH(DATE($B$3,6,1),0),NETWORKDAYS.INTL(DATE($B$3,6,27),DATE($B$3,6,27),1,'Non-working days'!$A$6:$A$45)=0),"",IF(COUNTIFS('Leave log'!$A$7:$A$306,Employees!$A$7,'Leave log'!$B$7:$B$306,"&lt;="&amp;DATE($B$3,6,27),'Leave log'!$C$7:$C$306,"&gt;="&amp;DATE($B$3,6,27),'Leave log'!$F$7:$F$306,"Approved")&gt;0,"A",""))="A","A",IF(OR(DATE($B$3,6,27)&gt;EOMONTH(DATE($B$3,6,1),0),NETWORKDAYS.INTL(DATE($B$3,6,27),DATE($B$3,6,27),1,'Non-working days'!$A$6:$A$45)=0),"",IF(COUNTIFS('Leave log'!$A$7:$A$306,Employees!$A$7,'Leave log'!$B$7:$B$306,"&lt;="&amp;DATE($B$3,6,27),'Leave log'!$C$7:$C$306,"&gt;="&amp;DATE($B$3,6,27),'Leave log'!$F$7:$F$306,"Pending")&gt;0,"P",""))))</f>
        <v/>
      </c>
      <c r="AC178" s="23" t="str">
        <f>IF(A178="","",IF(IF(OR(DATE($B$3,6,28)&gt;EOMONTH(DATE($B$3,6,1),0),NETWORKDAYS.INTL(DATE($B$3,6,28),DATE($B$3,6,28),1,'Non-working days'!$A$6:$A$45)=0),"",IF(COUNTIFS('Leave log'!$A$7:$A$306,Employees!$A$7,'Leave log'!$B$7:$B$306,"&lt;="&amp;DATE($B$3,6,28),'Leave log'!$C$7:$C$306,"&gt;="&amp;DATE($B$3,6,28),'Leave log'!$F$7:$F$306,"Approved")&gt;0,"A",""))="A","A",IF(OR(DATE($B$3,6,28)&gt;EOMONTH(DATE($B$3,6,1),0),NETWORKDAYS.INTL(DATE($B$3,6,28),DATE($B$3,6,28),1,'Non-working days'!$A$6:$A$45)=0),"",IF(COUNTIFS('Leave log'!$A$7:$A$306,Employees!$A$7,'Leave log'!$B$7:$B$306,"&lt;="&amp;DATE($B$3,6,28),'Leave log'!$C$7:$C$306,"&gt;="&amp;DATE($B$3,6,28),'Leave log'!$F$7:$F$306,"Pending")&gt;0,"P",""))))</f>
        <v/>
      </c>
      <c r="AD178" s="23" t="str">
        <f>IF(A178="","",IF(IF(OR(DATE($B$3,6,29)&gt;EOMONTH(DATE($B$3,6,1),0),NETWORKDAYS.INTL(DATE($B$3,6,29),DATE($B$3,6,29),1,'Non-working days'!$A$6:$A$45)=0),"",IF(COUNTIFS('Leave log'!$A$7:$A$306,Employees!$A$7,'Leave log'!$B$7:$B$306,"&lt;="&amp;DATE($B$3,6,29),'Leave log'!$C$7:$C$306,"&gt;="&amp;DATE($B$3,6,29),'Leave log'!$F$7:$F$306,"Approved")&gt;0,"A",""))="A","A",IF(OR(DATE($B$3,6,29)&gt;EOMONTH(DATE($B$3,6,1),0),NETWORKDAYS.INTL(DATE($B$3,6,29),DATE($B$3,6,29),1,'Non-working days'!$A$6:$A$45)=0),"",IF(COUNTIFS('Leave log'!$A$7:$A$306,Employees!$A$7,'Leave log'!$B$7:$B$306,"&lt;="&amp;DATE($B$3,6,29),'Leave log'!$C$7:$C$306,"&gt;="&amp;DATE($B$3,6,29),'Leave log'!$F$7:$F$306,"Pending")&gt;0,"P",""))))</f>
        <v/>
      </c>
      <c r="AE178" s="23" t="str">
        <f>IF(A178="","",IF(IF(OR(DATE($B$3,6,30)&gt;EOMONTH(DATE($B$3,6,1),0),NETWORKDAYS.INTL(DATE($B$3,6,30),DATE($B$3,6,30),1,'Non-working days'!$A$6:$A$45)=0),"",IF(COUNTIFS('Leave log'!$A$7:$A$306,Employees!$A$7,'Leave log'!$B$7:$B$306,"&lt;="&amp;DATE($B$3,6,30),'Leave log'!$C$7:$C$306,"&gt;="&amp;DATE($B$3,6,30),'Leave log'!$F$7:$F$306,"Approved")&gt;0,"A",""))="A","A",IF(OR(DATE($B$3,6,30)&gt;EOMONTH(DATE($B$3,6,1),0),NETWORKDAYS.INTL(DATE($B$3,6,30),DATE($B$3,6,30),1,'Non-working days'!$A$6:$A$45)=0),"",IF(COUNTIFS('Leave log'!$A$7:$A$306,Employees!$A$7,'Leave log'!$B$7:$B$306,"&lt;="&amp;DATE($B$3,6,30),'Leave log'!$C$7:$C$306,"&gt;="&amp;DATE($B$3,6,30),'Leave log'!$F$7:$F$306,"Pending")&gt;0,"P",""))))</f>
        <v/>
      </c>
      <c r="AF178" s="23" t="str">
        <f>IF(A178="","",IF(IF(OR(DATE($B$3,6,31)&gt;EOMONTH(DATE($B$3,6,1),0),NETWORKDAYS.INTL(DATE($B$3,6,31),DATE($B$3,6,31),1,'Non-working days'!$A$6:$A$45)=0),"",IF(COUNTIFS('Leave log'!$A$7:$A$306,Employees!$A$7,'Leave log'!$B$7:$B$306,"&lt;="&amp;DATE($B$3,6,31),'Leave log'!$C$7:$C$306,"&gt;="&amp;DATE($B$3,6,31),'Leave log'!$F$7:$F$306,"Approved")&gt;0,"A",""))="A","A",IF(OR(DATE($B$3,6,31)&gt;EOMONTH(DATE($B$3,6,1),0),NETWORKDAYS.INTL(DATE($B$3,6,31),DATE($B$3,6,31),1,'Non-working days'!$A$6:$A$45)=0),"",IF(COUNTIFS('Leave log'!$A$7:$A$306,Employees!$A$7,'Leave log'!$B$7:$B$306,"&lt;="&amp;DATE($B$3,6,31),'Leave log'!$C$7:$C$306,"&gt;="&amp;DATE($B$3,6,31),'Leave log'!$F$7:$F$306,"Pending")&gt;0,"P",""))))</f>
        <v/>
      </c>
    </row>
    <row r="179" spans="1:32" ht="18" customHeight="1" x14ac:dyDescent="0.3">
      <c r="A179" s="22" t="str">
        <f>IF(Employees!F8="Yes",Employees!B8,"")</f>
        <v/>
      </c>
      <c r="B179" s="23" t="str">
        <f>IF(A179="","",IF(IF(OR(DATE($B$3,6,1)&gt;EOMONTH(DATE($B$3,6,1),0),NETWORKDAYS.INTL(DATE($B$3,6,1),DATE($B$3,6,1),1,'Non-working days'!$A$6:$A$45)=0),"",IF(COUNTIFS('Leave log'!$A$7:$A$306,Employees!$A$8,'Leave log'!$B$7:$B$306,"&lt;="&amp;DATE($B$3,6,1),'Leave log'!$C$7:$C$306,"&gt;="&amp;DATE($B$3,6,1),'Leave log'!$F$7:$F$306,"Approved")&gt;0,"A",""))="A","A",IF(OR(DATE($B$3,6,1)&gt;EOMONTH(DATE($B$3,6,1),0),NETWORKDAYS.INTL(DATE($B$3,6,1),DATE($B$3,6,1),1,'Non-working days'!$A$6:$A$45)=0),"",IF(COUNTIFS('Leave log'!$A$7:$A$306,Employees!$A$8,'Leave log'!$B$7:$B$306,"&lt;="&amp;DATE($B$3,6,1),'Leave log'!$C$7:$C$306,"&gt;="&amp;DATE($B$3,6,1),'Leave log'!$F$7:$F$306,"Pending")&gt;0,"P",""))))</f>
        <v/>
      </c>
      <c r="C179" s="23" t="str">
        <f>IF(A179="","",IF(IF(OR(DATE($B$3,6,2)&gt;EOMONTH(DATE($B$3,6,1),0),NETWORKDAYS.INTL(DATE($B$3,6,2),DATE($B$3,6,2),1,'Non-working days'!$A$6:$A$45)=0),"",IF(COUNTIFS('Leave log'!$A$7:$A$306,Employees!$A$8,'Leave log'!$B$7:$B$306,"&lt;="&amp;DATE($B$3,6,2),'Leave log'!$C$7:$C$306,"&gt;="&amp;DATE($B$3,6,2),'Leave log'!$F$7:$F$306,"Approved")&gt;0,"A",""))="A","A",IF(OR(DATE($B$3,6,2)&gt;EOMONTH(DATE($B$3,6,1),0),NETWORKDAYS.INTL(DATE($B$3,6,2),DATE($B$3,6,2),1,'Non-working days'!$A$6:$A$45)=0),"",IF(COUNTIFS('Leave log'!$A$7:$A$306,Employees!$A$8,'Leave log'!$B$7:$B$306,"&lt;="&amp;DATE($B$3,6,2),'Leave log'!$C$7:$C$306,"&gt;="&amp;DATE($B$3,6,2),'Leave log'!$F$7:$F$306,"Pending")&gt;0,"P",""))))</f>
        <v/>
      </c>
      <c r="D179" s="23" t="str">
        <f>IF(A179="","",IF(IF(OR(DATE($B$3,6,3)&gt;EOMONTH(DATE($B$3,6,1),0),NETWORKDAYS.INTL(DATE($B$3,6,3),DATE($B$3,6,3),1,'Non-working days'!$A$6:$A$45)=0),"",IF(COUNTIFS('Leave log'!$A$7:$A$306,Employees!$A$8,'Leave log'!$B$7:$B$306,"&lt;="&amp;DATE($B$3,6,3),'Leave log'!$C$7:$C$306,"&gt;="&amp;DATE($B$3,6,3),'Leave log'!$F$7:$F$306,"Approved")&gt;0,"A",""))="A","A",IF(OR(DATE($B$3,6,3)&gt;EOMONTH(DATE($B$3,6,1),0),NETWORKDAYS.INTL(DATE($B$3,6,3),DATE($B$3,6,3),1,'Non-working days'!$A$6:$A$45)=0),"",IF(COUNTIFS('Leave log'!$A$7:$A$306,Employees!$A$8,'Leave log'!$B$7:$B$306,"&lt;="&amp;DATE($B$3,6,3),'Leave log'!$C$7:$C$306,"&gt;="&amp;DATE($B$3,6,3),'Leave log'!$F$7:$F$306,"Pending")&gt;0,"P",""))))</f>
        <v/>
      </c>
      <c r="E179" s="23" t="str">
        <f>IF(A179="","",IF(IF(OR(DATE($B$3,6,4)&gt;EOMONTH(DATE($B$3,6,1),0),NETWORKDAYS.INTL(DATE($B$3,6,4),DATE($B$3,6,4),1,'Non-working days'!$A$6:$A$45)=0),"",IF(COUNTIFS('Leave log'!$A$7:$A$306,Employees!$A$8,'Leave log'!$B$7:$B$306,"&lt;="&amp;DATE($B$3,6,4),'Leave log'!$C$7:$C$306,"&gt;="&amp;DATE($B$3,6,4),'Leave log'!$F$7:$F$306,"Approved")&gt;0,"A",""))="A","A",IF(OR(DATE($B$3,6,4)&gt;EOMONTH(DATE($B$3,6,1),0),NETWORKDAYS.INTL(DATE($B$3,6,4),DATE($B$3,6,4),1,'Non-working days'!$A$6:$A$45)=0),"",IF(COUNTIFS('Leave log'!$A$7:$A$306,Employees!$A$8,'Leave log'!$B$7:$B$306,"&lt;="&amp;DATE($B$3,6,4),'Leave log'!$C$7:$C$306,"&gt;="&amp;DATE($B$3,6,4),'Leave log'!$F$7:$F$306,"Pending")&gt;0,"P",""))))</f>
        <v/>
      </c>
      <c r="F179" s="23" t="str">
        <f>IF(A179="","",IF(IF(OR(DATE($B$3,6,5)&gt;EOMONTH(DATE($B$3,6,1),0),NETWORKDAYS.INTL(DATE($B$3,6,5),DATE($B$3,6,5),1,'Non-working days'!$A$6:$A$45)=0),"",IF(COUNTIFS('Leave log'!$A$7:$A$306,Employees!$A$8,'Leave log'!$B$7:$B$306,"&lt;="&amp;DATE($B$3,6,5),'Leave log'!$C$7:$C$306,"&gt;="&amp;DATE($B$3,6,5),'Leave log'!$F$7:$F$306,"Approved")&gt;0,"A",""))="A","A",IF(OR(DATE($B$3,6,5)&gt;EOMONTH(DATE($B$3,6,1),0),NETWORKDAYS.INTL(DATE($B$3,6,5),DATE($B$3,6,5),1,'Non-working days'!$A$6:$A$45)=0),"",IF(COUNTIFS('Leave log'!$A$7:$A$306,Employees!$A$8,'Leave log'!$B$7:$B$306,"&lt;="&amp;DATE($B$3,6,5),'Leave log'!$C$7:$C$306,"&gt;="&amp;DATE($B$3,6,5),'Leave log'!$F$7:$F$306,"Pending")&gt;0,"P",""))))</f>
        <v/>
      </c>
      <c r="G179" s="23" t="str">
        <f>IF(A179="","",IF(IF(OR(DATE($B$3,6,6)&gt;EOMONTH(DATE($B$3,6,1),0),NETWORKDAYS.INTL(DATE($B$3,6,6),DATE($B$3,6,6),1,'Non-working days'!$A$6:$A$45)=0),"",IF(COUNTIFS('Leave log'!$A$7:$A$306,Employees!$A$8,'Leave log'!$B$7:$B$306,"&lt;="&amp;DATE($B$3,6,6),'Leave log'!$C$7:$C$306,"&gt;="&amp;DATE($B$3,6,6),'Leave log'!$F$7:$F$306,"Approved")&gt;0,"A",""))="A","A",IF(OR(DATE($B$3,6,6)&gt;EOMONTH(DATE($B$3,6,1),0),NETWORKDAYS.INTL(DATE($B$3,6,6),DATE($B$3,6,6),1,'Non-working days'!$A$6:$A$45)=0),"",IF(COUNTIFS('Leave log'!$A$7:$A$306,Employees!$A$8,'Leave log'!$B$7:$B$306,"&lt;="&amp;DATE($B$3,6,6),'Leave log'!$C$7:$C$306,"&gt;="&amp;DATE($B$3,6,6),'Leave log'!$F$7:$F$306,"Pending")&gt;0,"P",""))))</f>
        <v/>
      </c>
      <c r="H179" s="23" t="str">
        <f>IF(A179="","",IF(IF(OR(DATE($B$3,6,7)&gt;EOMONTH(DATE($B$3,6,1),0),NETWORKDAYS.INTL(DATE($B$3,6,7),DATE($B$3,6,7),1,'Non-working days'!$A$6:$A$45)=0),"",IF(COUNTIFS('Leave log'!$A$7:$A$306,Employees!$A$8,'Leave log'!$B$7:$B$306,"&lt;="&amp;DATE($B$3,6,7),'Leave log'!$C$7:$C$306,"&gt;="&amp;DATE($B$3,6,7),'Leave log'!$F$7:$F$306,"Approved")&gt;0,"A",""))="A","A",IF(OR(DATE($B$3,6,7)&gt;EOMONTH(DATE($B$3,6,1),0),NETWORKDAYS.INTL(DATE($B$3,6,7),DATE($B$3,6,7),1,'Non-working days'!$A$6:$A$45)=0),"",IF(COUNTIFS('Leave log'!$A$7:$A$306,Employees!$A$8,'Leave log'!$B$7:$B$306,"&lt;="&amp;DATE($B$3,6,7),'Leave log'!$C$7:$C$306,"&gt;="&amp;DATE($B$3,6,7),'Leave log'!$F$7:$F$306,"Pending")&gt;0,"P",""))))</f>
        <v/>
      </c>
      <c r="I179" s="23" t="str">
        <f>IF(A179="","",IF(IF(OR(DATE($B$3,6,8)&gt;EOMONTH(DATE($B$3,6,1),0),NETWORKDAYS.INTL(DATE($B$3,6,8),DATE($B$3,6,8),1,'Non-working days'!$A$6:$A$45)=0),"",IF(COUNTIFS('Leave log'!$A$7:$A$306,Employees!$A$8,'Leave log'!$B$7:$B$306,"&lt;="&amp;DATE($B$3,6,8),'Leave log'!$C$7:$C$306,"&gt;="&amp;DATE($B$3,6,8),'Leave log'!$F$7:$F$306,"Approved")&gt;0,"A",""))="A","A",IF(OR(DATE($B$3,6,8)&gt;EOMONTH(DATE($B$3,6,1),0),NETWORKDAYS.INTL(DATE($B$3,6,8),DATE($B$3,6,8),1,'Non-working days'!$A$6:$A$45)=0),"",IF(COUNTIFS('Leave log'!$A$7:$A$306,Employees!$A$8,'Leave log'!$B$7:$B$306,"&lt;="&amp;DATE($B$3,6,8),'Leave log'!$C$7:$C$306,"&gt;="&amp;DATE($B$3,6,8),'Leave log'!$F$7:$F$306,"Pending")&gt;0,"P",""))))</f>
        <v/>
      </c>
      <c r="J179" s="23" t="str">
        <f>IF(A179="","",IF(IF(OR(DATE($B$3,6,9)&gt;EOMONTH(DATE($B$3,6,1),0),NETWORKDAYS.INTL(DATE($B$3,6,9),DATE($B$3,6,9),1,'Non-working days'!$A$6:$A$45)=0),"",IF(COUNTIFS('Leave log'!$A$7:$A$306,Employees!$A$8,'Leave log'!$B$7:$B$306,"&lt;="&amp;DATE($B$3,6,9),'Leave log'!$C$7:$C$306,"&gt;="&amp;DATE($B$3,6,9),'Leave log'!$F$7:$F$306,"Approved")&gt;0,"A",""))="A","A",IF(OR(DATE($B$3,6,9)&gt;EOMONTH(DATE($B$3,6,1),0),NETWORKDAYS.INTL(DATE($B$3,6,9),DATE($B$3,6,9),1,'Non-working days'!$A$6:$A$45)=0),"",IF(COUNTIFS('Leave log'!$A$7:$A$306,Employees!$A$8,'Leave log'!$B$7:$B$306,"&lt;="&amp;DATE($B$3,6,9),'Leave log'!$C$7:$C$306,"&gt;="&amp;DATE($B$3,6,9),'Leave log'!$F$7:$F$306,"Pending")&gt;0,"P",""))))</f>
        <v/>
      </c>
      <c r="K179" s="23" t="str">
        <f>IF(A179="","",IF(IF(OR(DATE($B$3,6,10)&gt;EOMONTH(DATE($B$3,6,1),0),NETWORKDAYS.INTL(DATE($B$3,6,10),DATE($B$3,6,10),1,'Non-working days'!$A$6:$A$45)=0),"",IF(COUNTIFS('Leave log'!$A$7:$A$306,Employees!$A$8,'Leave log'!$B$7:$B$306,"&lt;="&amp;DATE($B$3,6,10),'Leave log'!$C$7:$C$306,"&gt;="&amp;DATE($B$3,6,10),'Leave log'!$F$7:$F$306,"Approved")&gt;0,"A",""))="A","A",IF(OR(DATE($B$3,6,10)&gt;EOMONTH(DATE($B$3,6,1),0),NETWORKDAYS.INTL(DATE($B$3,6,10),DATE($B$3,6,10),1,'Non-working days'!$A$6:$A$45)=0),"",IF(COUNTIFS('Leave log'!$A$7:$A$306,Employees!$A$8,'Leave log'!$B$7:$B$306,"&lt;="&amp;DATE($B$3,6,10),'Leave log'!$C$7:$C$306,"&gt;="&amp;DATE($B$3,6,10),'Leave log'!$F$7:$F$306,"Pending")&gt;0,"P",""))))</f>
        <v/>
      </c>
      <c r="L179" s="23" t="str">
        <f>IF(A179="","",IF(IF(OR(DATE($B$3,6,11)&gt;EOMONTH(DATE($B$3,6,1),0),NETWORKDAYS.INTL(DATE($B$3,6,11),DATE($B$3,6,11),1,'Non-working days'!$A$6:$A$45)=0),"",IF(COUNTIFS('Leave log'!$A$7:$A$306,Employees!$A$8,'Leave log'!$B$7:$B$306,"&lt;="&amp;DATE($B$3,6,11),'Leave log'!$C$7:$C$306,"&gt;="&amp;DATE($B$3,6,11),'Leave log'!$F$7:$F$306,"Approved")&gt;0,"A",""))="A","A",IF(OR(DATE($B$3,6,11)&gt;EOMONTH(DATE($B$3,6,1),0),NETWORKDAYS.INTL(DATE($B$3,6,11),DATE($B$3,6,11),1,'Non-working days'!$A$6:$A$45)=0),"",IF(COUNTIFS('Leave log'!$A$7:$A$306,Employees!$A$8,'Leave log'!$B$7:$B$306,"&lt;="&amp;DATE($B$3,6,11),'Leave log'!$C$7:$C$306,"&gt;="&amp;DATE($B$3,6,11),'Leave log'!$F$7:$F$306,"Pending")&gt;0,"P",""))))</f>
        <v/>
      </c>
      <c r="M179" s="23" t="str">
        <f>IF(A179="","",IF(IF(OR(DATE($B$3,6,12)&gt;EOMONTH(DATE($B$3,6,1),0),NETWORKDAYS.INTL(DATE($B$3,6,12),DATE($B$3,6,12),1,'Non-working days'!$A$6:$A$45)=0),"",IF(COUNTIFS('Leave log'!$A$7:$A$306,Employees!$A$8,'Leave log'!$B$7:$B$306,"&lt;="&amp;DATE($B$3,6,12),'Leave log'!$C$7:$C$306,"&gt;="&amp;DATE($B$3,6,12),'Leave log'!$F$7:$F$306,"Approved")&gt;0,"A",""))="A","A",IF(OR(DATE($B$3,6,12)&gt;EOMONTH(DATE($B$3,6,1),0),NETWORKDAYS.INTL(DATE($B$3,6,12),DATE($B$3,6,12),1,'Non-working days'!$A$6:$A$45)=0),"",IF(COUNTIFS('Leave log'!$A$7:$A$306,Employees!$A$8,'Leave log'!$B$7:$B$306,"&lt;="&amp;DATE($B$3,6,12),'Leave log'!$C$7:$C$306,"&gt;="&amp;DATE($B$3,6,12),'Leave log'!$F$7:$F$306,"Pending")&gt;0,"P",""))))</f>
        <v/>
      </c>
      <c r="N179" s="23" t="str">
        <f>IF(A179="","",IF(IF(OR(DATE($B$3,6,13)&gt;EOMONTH(DATE($B$3,6,1),0),NETWORKDAYS.INTL(DATE($B$3,6,13),DATE($B$3,6,13),1,'Non-working days'!$A$6:$A$45)=0),"",IF(COUNTIFS('Leave log'!$A$7:$A$306,Employees!$A$8,'Leave log'!$B$7:$B$306,"&lt;="&amp;DATE($B$3,6,13),'Leave log'!$C$7:$C$306,"&gt;="&amp;DATE($B$3,6,13),'Leave log'!$F$7:$F$306,"Approved")&gt;0,"A",""))="A","A",IF(OR(DATE($B$3,6,13)&gt;EOMONTH(DATE($B$3,6,1),0),NETWORKDAYS.INTL(DATE($B$3,6,13),DATE($B$3,6,13),1,'Non-working days'!$A$6:$A$45)=0),"",IF(COUNTIFS('Leave log'!$A$7:$A$306,Employees!$A$8,'Leave log'!$B$7:$B$306,"&lt;="&amp;DATE($B$3,6,13),'Leave log'!$C$7:$C$306,"&gt;="&amp;DATE($B$3,6,13),'Leave log'!$F$7:$F$306,"Pending")&gt;0,"P",""))))</f>
        <v/>
      </c>
      <c r="O179" s="23" t="str">
        <f>IF(A179="","",IF(IF(OR(DATE($B$3,6,14)&gt;EOMONTH(DATE($B$3,6,1),0),NETWORKDAYS.INTL(DATE($B$3,6,14),DATE($B$3,6,14),1,'Non-working days'!$A$6:$A$45)=0),"",IF(COUNTIFS('Leave log'!$A$7:$A$306,Employees!$A$8,'Leave log'!$B$7:$B$306,"&lt;="&amp;DATE($B$3,6,14),'Leave log'!$C$7:$C$306,"&gt;="&amp;DATE($B$3,6,14),'Leave log'!$F$7:$F$306,"Approved")&gt;0,"A",""))="A","A",IF(OR(DATE($B$3,6,14)&gt;EOMONTH(DATE($B$3,6,1),0),NETWORKDAYS.INTL(DATE($B$3,6,14),DATE($B$3,6,14),1,'Non-working days'!$A$6:$A$45)=0),"",IF(COUNTIFS('Leave log'!$A$7:$A$306,Employees!$A$8,'Leave log'!$B$7:$B$306,"&lt;="&amp;DATE($B$3,6,14),'Leave log'!$C$7:$C$306,"&gt;="&amp;DATE($B$3,6,14),'Leave log'!$F$7:$F$306,"Pending")&gt;0,"P",""))))</f>
        <v/>
      </c>
      <c r="P179" s="23" t="str">
        <f>IF(A179="","",IF(IF(OR(DATE($B$3,6,15)&gt;EOMONTH(DATE($B$3,6,1),0),NETWORKDAYS.INTL(DATE($B$3,6,15),DATE($B$3,6,15),1,'Non-working days'!$A$6:$A$45)=0),"",IF(COUNTIFS('Leave log'!$A$7:$A$306,Employees!$A$8,'Leave log'!$B$7:$B$306,"&lt;="&amp;DATE($B$3,6,15),'Leave log'!$C$7:$C$306,"&gt;="&amp;DATE($B$3,6,15),'Leave log'!$F$7:$F$306,"Approved")&gt;0,"A",""))="A","A",IF(OR(DATE($B$3,6,15)&gt;EOMONTH(DATE($B$3,6,1),0),NETWORKDAYS.INTL(DATE($B$3,6,15),DATE($B$3,6,15),1,'Non-working days'!$A$6:$A$45)=0),"",IF(COUNTIFS('Leave log'!$A$7:$A$306,Employees!$A$8,'Leave log'!$B$7:$B$306,"&lt;="&amp;DATE($B$3,6,15),'Leave log'!$C$7:$C$306,"&gt;="&amp;DATE($B$3,6,15),'Leave log'!$F$7:$F$306,"Pending")&gt;0,"P",""))))</f>
        <v/>
      </c>
      <c r="Q179" s="23" t="str">
        <f>IF(A179="","",IF(IF(OR(DATE($B$3,6,16)&gt;EOMONTH(DATE($B$3,6,1),0),NETWORKDAYS.INTL(DATE($B$3,6,16),DATE($B$3,6,16),1,'Non-working days'!$A$6:$A$45)=0),"",IF(COUNTIFS('Leave log'!$A$7:$A$306,Employees!$A$8,'Leave log'!$B$7:$B$306,"&lt;="&amp;DATE($B$3,6,16),'Leave log'!$C$7:$C$306,"&gt;="&amp;DATE($B$3,6,16),'Leave log'!$F$7:$F$306,"Approved")&gt;0,"A",""))="A","A",IF(OR(DATE($B$3,6,16)&gt;EOMONTH(DATE($B$3,6,1),0),NETWORKDAYS.INTL(DATE($B$3,6,16),DATE($B$3,6,16),1,'Non-working days'!$A$6:$A$45)=0),"",IF(COUNTIFS('Leave log'!$A$7:$A$306,Employees!$A$8,'Leave log'!$B$7:$B$306,"&lt;="&amp;DATE($B$3,6,16),'Leave log'!$C$7:$C$306,"&gt;="&amp;DATE($B$3,6,16),'Leave log'!$F$7:$F$306,"Pending")&gt;0,"P",""))))</f>
        <v/>
      </c>
      <c r="R179" s="23" t="str">
        <f>IF(A179="","",IF(IF(OR(DATE($B$3,6,17)&gt;EOMONTH(DATE($B$3,6,1),0),NETWORKDAYS.INTL(DATE($B$3,6,17),DATE($B$3,6,17),1,'Non-working days'!$A$6:$A$45)=0),"",IF(COUNTIFS('Leave log'!$A$7:$A$306,Employees!$A$8,'Leave log'!$B$7:$B$306,"&lt;="&amp;DATE($B$3,6,17),'Leave log'!$C$7:$C$306,"&gt;="&amp;DATE($B$3,6,17),'Leave log'!$F$7:$F$306,"Approved")&gt;0,"A",""))="A","A",IF(OR(DATE($B$3,6,17)&gt;EOMONTH(DATE($B$3,6,1),0),NETWORKDAYS.INTL(DATE($B$3,6,17),DATE($B$3,6,17),1,'Non-working days'!$A$6:$A$45)=0),"",IF(COUNTIFS('Leave log'!$A$7:$A$306,Employees!$A$8,'Leave log'!$B$7:$B$306,"&lt;="&amp;DATE($B$3,6,17),'Leave log'!$C$7:$C$306,"&gt;="&amp;DATE($B$3,6,17),'Leave log'!$F$7:$F$306,"Pending")&gt;0,"P",""))))</f>
        <v/>
      </c>
      <c r="S179" s="23" t="str">
        <f>IF(A179="","",IF(IF(OR(DATE($B$3,6,18)&gt;EOMONTH(DATE($B$3,6,1),0),NETWORKDAYS.INTL(DATE($B$3,6,18),DATE($B$3,6,18),1,'Non-working days'!$A$6:$A$45)=0),"",IF(COUNTIFS('Leave log'!$A$7:$A$306,Employees!$A$8,'Leave log'!$B$7:$B$306,"&lt;="&amp;DATE($B$3,6,18),'Leave log'!$C$7:$C$306,"&gt;="&amp;DATE($B$3,6,18),'Leave log'!$F$7:$F$306,"Approved")&gt;0,"A",""))="A","A",IF(OR(DATE($B$3,6,18)&gt;EOMONTH(DATE($B$3,6,1),0),NETWORKDAYS.INTL(DATE($B$3,6,18),DATE($B$3,6,18),1,'Non-working days'!$A$6:$A$45)=0),"",IF(COUNTIFS('Leave log'!$A$7:$A$306,Employees!$A$8,'Leave log'!$B$7:$B$306,"&lt;="&amp;DATE($B$3,6,18),'Leave log'!$C$7:$C$306,"&gt;="&amp;DATE($B$3,6,18),'Leave log'!$F$7:$F$306,"Pending")&gt;0,"P",""))))</f>
        <v/>
      </c>
      <c r="T179" s="23" t="str">
        <f>IF(A179="","",IF(IF(OR(DATE($B$3,6,19)&gt;EOMONTH(DATE($B$3,6,1),0),NETWORKDAYS.INTL(DATE($B$3,6,19),DATE($B$3,6,19),1,'Non-working days'!$A$6:$A$45)=0),"",IF(COUNTIFS('Leave log'!$A$7:$A$306,Employees!$A$8,'Leave log'!$B$7:$B$306,"&lt;="&amp;DATE($B$3,6,19),'Leave log'!$C$7:$C$306,"&gt;="&amp;DATE($B$3,6,19),'Leave log'!$F$7:$F$306,"Approved")&gt;0,"A",""))="A","A",IF(OR(DATE($B$3,6,19)&gt;EOMONTH(DATE($B$3,6,1),0),NETWORKDAYS.INTL(DATE($B$3,6,19),DATE($B$3,6,19),1,'Non-working days'!$A$6:$A$45)=0),"",IF(COUNTIFS('Leave log'!$A$7:$A$306,Employees!$A$8,'Leave log'!$B$7:$B$306,"&lt;="&amp;DATE($B$3,6,19),'Leave log'!$C$7:$C$306,"&gt;="&amp;DATE($B$3,6,19),'Leave log'!$F$7:$F$306,"Pending")&gt;0,"P",""))))</f>
        <v/>
      </c>
      <c r="U179" s="23" t="str">
        <f>IF(A179="","",IF(IF(OR(DATE($B$3,6,20)&gt;EOMONTH(DATE($B$3,6,1),0),NETWORKDAYS.INTL(DATE($B$3,6,20),DATE($B$3,6,20),1,'Non-working days'!$A$6:$A$45)=0),"",IF(COUNTIFS('Leave log'!$A$7:$A$306,Employees!$A$8,'Leave log'!$B$7:$B$306,"&lt;="&amp;DATE($B$3,6,20),'Leave log'!$C$7:$C$306,"&gt;="&amp;DATE($B$3,6,20),'Leave log'!$F$7:$F$306,"Approved")&gt;0,"A",""))="A","A",IF(OR(DATE($B$3,6,20)&gt;EOMONTH(DATE($B$3,6,1),0),NETWORKDAYS.INTL(DATE($B$3,6,20),DATE($B$3,6,20),1,'Non-working days'!$A$6:$A$45)=0),"",IF(COUNTIFS('Leave log'!$A$7:$A$306,Employees!$A$8,'Leave log'!$B$7:$B$306,"&lt;="&amp;DATE($B$3,6,20),'Leave log'!$C$7:$C$306,"&gt;="&amp;DATE($B$3,6,20),'Leave log'!$F$7:$F$306,"Pending")&gt;0,"P",""))))</f>
        <v/>
      </c>
      <c r="V179" s="23" t="str">
        <f>IF(A179="","",IF(IF(OR(DATE($B$3,6,21)&gt;EOMONTH(DATE($B$3,6,1),0),NETWORKDAYS.INTL(DATE($B$3,6,21),DATE($B$3,6,21),1,'Non-working days'!$A$6:$A$45)=0),"",IF(COUNTIFS('Leave log'!$A$7:$A$306,Employees!$A$8,'Leave log'!$B$7:$B$306,"&lt;="&amp;DATE($B$3,6,21),'Leave log'!$C$7:$C$306,"&gt;="&amp;DATE($B$3,6,21),'Leave log'!$F$7:$F$306,"Approved")&gt;0,"A",""))="A","A",IF(OR(DATE($B$3,6,21)&gt;EOMONTH(DATE($B$3,6,1),0),NETWORKDAYS.INTL(DATE($B$3,6,21),DATE($B$3,6,21),1,'Non-working days'!$A$6:$A$45)=0),"",IF(COUNTIFS('Leave log'!$A$7:$A$306,Employees!$A$8,'Leave log'!$B$7:$B$306,"&lt;="&amp;DATE($B$3,6,21),'Leave log'!$C$7:$C$306,"&gt;="&amp;DATE($B$3,6,21),'Leave log'!$F$7:$F$306,"Pending")&gt;0,"P",""))))</f>
        <v/>
      </c>
      <c r="W179" s="23" t="str">
        <f>IF(A179="","",IF(IF(OR(DATE($B$3,6,22)&gt;EOMONTH(DATE($B$3,6,1),0),NETWORKDAYS.INTL(DATE($B$3,6,22),DATE($B$3,6,22),1,'Non-working days'!$A$6:$A$45)=0),"",IF(COUNTIFS('Leave log'!$A$7:$A$306,Employees!$A$8,'Leave log'!$B$7:$B$306,"&lt;="&amp;DATE($B$3,6,22),'Leave log'!$C$7:$C$306,"&gt;="&amp;DATE($B$3,6,22),'Leave log'!$F$7:$F$306,"Approved")&gt;0,"A",""))="A","A",IF(OR(DATE($B$3,6,22)&gt;EOMONTH(DATE($B$3,6,1),0),NETWORKDAYS.INTL(DATE($B$3,6,22),DATE($B$3,6,22),1,'Non-working days'!$A$6:$A$45)=0),"",IF(COUNTIFS('Leave log'!$A$7:$A$306,Employees!$A$8,'Leave log'!$B$7:$B$306,"&lt;="&amp;DATE($B$3,6,22),'Leave log'!$C$7:$C$306,"&gt;="&amp;DATE($B$3,6,22),'Leave log'!$F$7:$F$306,"Pending")&gt;0,"P",""))))</f>
        <v/>
      </c>
      <c r="X179" s="23" t="str">
        <f>IF(A179="","",IF(IF(OR(DATE($B$3,6,23)&gt;EOMONTH(DATE($B$3,6,1),0),NETWORKDAYS.INTL(DATE($B$3,6,23),DATE($B$3,6,23),1,'Non-working days'!$A$6:$A$45)=0),"",IF(COUNTIFS('Leave log'!$A$7:$A$306,Employees!$A$8,'Leave log'!$B$7:$B$306,"&lt;="&amp;DATE($B$3,6,23),'Leave log'!$C$7:$C$306,"&gt;="&amp;DATE($B$3,6,23),'Leave log'!$F$7:$F$306,"Approved")&gt;0,"A",""))="A","A",IF(OR(DATE($B$3,6,23)&gt;EOMONTH(DATE($B$3,6,1),0),NETWORKDAYS.INTL(DATE($B$3,6,23),DATE($B$3,6,23),1,'Non-working days'!$A$6:$A$45)=0),"",IF(COUNTIFS('Leave log'!$A$7:$A$306,Employees!$A$8,'Leave log'!$B$7:$B$306,"&lt;="&amp;DATE($B$3,6,23),'Leave log'!$C$7:$C$306,"&gt;="&amp;DATE($B$3,6,23),'Leave log'!$F$7:$F$306,"Pending")&gt;0,"P",""))))</f>
        <v/>
      </c>
      <c r="Y179" s="23" t="str">
        <f>IF(A179="","",IF(IF(OR(DATE($B$3,6,24)&gt;EOMONTH(DATE($B$3,6,1),0),NETWORKDAYS.INTL(DATE($B$3,6,24),DATE($B$3,6,24),1,'Non-working days'!$A$6:$A$45)=0),"",IF(COUNTIFS('Leave log'!$A$7:$A$306,Employees!$A$8,'Leave log'!$B$7:$B$306,"&lt;="&amp;DATE($B$3,6,24),'Leave log'!$C$7:$C$306,"&gt;="&amp;DATE($B$3,6,24),'Leave log'!$F$7:$F$306,"Approved")&gt;0,"A",""))="A","A",IF(OR(DATE($B$3,6,24)&gt;EOMONTH(DATE($B$3,6,1),0),NETWORKDAYS.INTL(DATE($B$3,6,24),DATE($B$3,6,24),1,'Non-working days'!$A$6:$A$45)=0),"",IF(COUNTIFS('Leave log'!$A$7:$A$306,Employees!$A$8,'Leave log'!$B$7:$B$306,"&lt;="&amp;DATE($B$3,6,24),'Leave log'!$C$7:$C$306,"&gt;="&amp;DATE($B$3,6,24),'Leave log'!$F$7:$F$306,"Pending")&gt;0,"P",""))))</f>
        <v/>
      </c>
      <c r="Z179" s="23" t="str">
        <f>IF(A179="","",IF(IF(OR(DATE($B$3,6,25)&gt;EOMONTH(DATE($B$3,6,1),0),NETWORKDAYS.INTL(DATE($B$3,6,25),DATE($B$3,6,25),1,'Non-working days'!$A$6:$A$45)=0),"",IF(COUNTIFS('Leave log'!$A$7:$A$306,Employees!$A$8,'Leave log'!$B$7:$B$306,"&lt;="&amp;DATE($B$3,6,25),'Leave log'!$C$7:$C$306,"&gt;="&amp;DATE($B$3,6,25),'Leave log'!$F$7:$F$306,"Approved")&gt;0,"A",""))="A","A",IF(OR(DATE($B$3,6,25)&gt;EOMONTH(DATE($B$3,6,1),0),NETWORKDAYS.INTL(DATE($B$3,6,25),DATE($B$3,6,25),1,'Non-working days'!$A$6:$A$45)=0),"",IF(COUNTIFS('Leave log'!$A$7:$A$306,Employees!$A$8,'Leave log'!$B$7:$B$306,"&lt;="&amp;DATE($B$3,6,25),'Leave log'!$C$7:$C$306,"&gt;="&amp;DATE($B$3,6,25),'Leave log'!$F$7:$F$306,"Pending")&gt;0,"P",""))))</f>
        <v/>
      </c>
      <c r="AA179" s="23" t="str">
        <f>IF(A179="","",IF(IF(OR(DATE($B$3,6,26)&gt;EOMONTH(DATE($B$3,6,1),0),NETWORKDAYS.INTL(DATE($B$3,6,26),DATE($B$3,6,26),1,'Non-working days'!$A$6:$A$45)=0),"",IF(COUNTIFS('Leave log'!$A$7:$A$306,Employees!$A$8,'Leave log'!$B$7:$B$306,"&lt;="&amp;DATE($B$3,6,26),'Leave log'!$C$7:$C$306,"&gt;="&amp;DATE($B$3,6,26),'Leave log'!$F$7:$F$306,"Approved")&gt;0,"A",""))="A","A",IF(OR(DATE($B$3,6,26)&gt;EOMONTH(DATE($B$3,6,1),0),NETWORKDAYS.INTL(DATE($B$3,6,26),DATE($B$3,6,26),1,'Non-working days'!$A$6:$A$45)=0),"",IF(COUNTIFS('Leave log'!$A$7:$A$306,Employees!$A$8,'Leave log'!$B$7:$B$306,"&lt;="&amp;DATE($B$3,6,26),'Leave log'!$C$7:$C$306,"&gt;="&amp;DATE($B$3,6,26),'Leave log'!$F$7:$F$306,"Pending")&gt;0,"P",""))))</f>
        <v/>
      </c>
      <c r="AB179" s="23" t="str">
        <f>IF(A179="","",IF(IF(OR(DATE($B$3,6,27)&gt;EOMONTH(DATE($B$3,6,1),0),NETWORKDAYS.INTL(DATE($B$3,6,27),DATE($B$3,6,27),1,'Non-working days'!$A$6:$A$45)=0),"",IF(COUNTIFS('Leave log'!$A$7:$A$306,Employees!$A$8,'Leave log'!$B$7:$B$306,"&lt;="&amp;DATE($B$3,6,27),'Leave log'!$C$7:$C$306,"&gt;="&amp;DATE($B$3,6,27),'Leave log'!$F$7:$F$306,"Approved")&gt;0,"A",""))="A","A",IF(OR(DATE($B$3,6,27)&gt;EOMONTH(DATE($B$3,6,1),0),NETWORKDAYS.INTL(DATE($B$3,6,27),DATE($B$3,6,27),1,'Non-working days'!$A$6:$A$45)=0),"",IF(COUNTIFS('Leave log'!$A$7:$A$306,Employees!$A$8,'Leave log'!$B$7:$B$306,"&lt;="&amp;DATE($B$3,6,27),'Leave log'!$C$7:$C$306,"&gt;="&amp;DATE($B$3,6,27),'Leave log'!$F$7:$F$306,"Pending")&gt;0,"P",""))))</f>
        <v/>
      </c>
      <c r="AC179" s="23" t="str">
        <f>IF(A179="","",IF(IF(OR(DATE($B$3,6,28)&gt;EOMONTH(DATE($B$3,6,1),0),NETWORKDAYS.INTL(DATE($B$3,6,28),DATE($B$3,6,28),1,'Non-working days'!$A$6:$A$45)=0),"",IF(COUNTIFS('Leave log'!$A$7:$A$306,Employees!$A$8,'Leave log'!$B$7:$B$306,"&lt;="&amp;DATE($B$3,6,28),'Leave log'!$C$7:$C$306,"&gt;="&amp;DATE($B$3,6,28),'Leave log'!$F$7:$F$306,"Approved")&gt;0,"A",""))="A","A",IF(OR(DATE($B$3,6,28)&gt;EOMONTH(DATE($B$3,6,1),0),NETWORKDAYS.INTL(DATE($B$3,6,28),DATE($B$3,6,28),1,'Non-working days'!$A$6:$A$45)=0),"",IF(COUNTIFS('Leave log'!$A$7:$A$306,Employees!$A$8,'Leave log'!$B$7:$B$306,"&lt;="&amp;DATE($B$3,6,28),'Leave log'!$C$7:$C$306,"&gt;="&amp;DATE($B$3,6,28),'Leave log'!$F$7:$F$306,"Pending")&gt;0,"P",""))))</f>
        <v/>
      </c>
      <c r="AD179" s="23" t="str">
        <f>IF(A179="","",IF(IF(OR(DATE($B$3,6,29)&gt;EOMONTH(DATE($B$3,6,1),0),NETWORKDAYS.INTL(DATE($B$3,6,29),DATE($B$3,6,29),1,'Non-working days'!$A$6:$A$45)=0),"",IF(COUNTIFS('Leave log'!$A$7:$A$306,Employees!$A$8,'Leave log'!$B$7:$B$306,"&lt;="&amp;DATE($B$3,6,29),'Leave log'!$C$7:$C$306,"&gt;="&amp;DATE($B$3,6,29),'Leave log'!$F$7:$F$306,"Approved")&gt;0,"A",""))="A","A",IF(OR(DATE($B$3,6,29)&gt;EOMONTH(DATE($B$3,6,1),0),NETWORKDAYS.INTL(DATE($B$3,6,29),DATE($B$3,6,29),1,'Non-working days'!$A$6:$A$45)=0),"",IF(COUNTIFS('Leave log'!$A$7:$A$306,Employees!$A$8,'Leave log'!$B$7:$B$306,"&lt;="&amp;DATE($B$3,6,29),'Leave log'!$C$7:$C$306,"&gt;="&amp;DATE($B$3,6,29),'Leave log'!$F$7:$F$306,"Pending")&gt;0,"P",""))))</f>
        <v/>
      </c>
      <c r="AE179" s="23" t="str">
        <f>IF(A179="","",IF(IF(OR(DATE($B$3,6,30)&gt;EOMONTH(DATE($B$3,6,1),0),NETWORKDAYS.INTL(DATE($B$3,6,30),DATE($B$3,6,30),1,'Non-working days'!$A$6:$A$45)=0),"",IF(COUNTIFS('Leave log'!$A$7:$A$306,Employees!$A$8,'Leave log'!$B$7:$B$306,"&lt;="&amp;DATE($B$3,6,30),'Leave log'!$C$7:$C$306,"&gt;="&amp;DATE($B$3,6,30),'Leave log'!$F$7:$F$306,"Approved")&gt;0,"A",""))="A","A",IF(OR(DATE($B$3,6,30)&gt;EOMONTH(DATE($B$3,6,1),0),NETWORKDAYS.INTL(DATE($B$3,6,30),DATE($B$3,6,30),1,'Non-working days'!$A$6:$A$45)=0),"",IF(COUNTIFS('Leave log'!$A$7:$A$306,Employees!$A$8,'Leave log'!$B$7:$B$306,"&lt;="&amp;DATE($B$3,6,30),'Leave log'!$C$7:$C$306,"&gt;="&amp;DATE($B$3,6,30),'Leave log'!$F$7:$F$306,"Pending")&gt;0,"P",""))))</f>
        <v/>
      </c>
      <c r="AF179" s="23" t="str">
        <f>IF(A179="","",IF(IF(OR(DATE($B$3,6,31)&gt;EOMONTH(DATE($B$3,6,1),0),NETWORKDAYS.INTL(DATE($B$3,6,31),DATE($B$3,6,31),1,'Non-working days'!$A$6:$A$45)=0),"",IF(COUNTIFS('Leave log'!$A$7:$A$306,Employees!$A$8,'Leave log'!$B$7:$B$306,"&lt;="&amp;DATE($B$3,6,31),'Leave log'!$C$7:$C$306,"&gt;="&amp;DATE($B$3,6,31),'Leave log'!$F$7:$F$306,"Approved")&gt;0,"A",""))="A","A",IF(OR(DATE($B$3,6,31)&gt;EOMONTH(DATE($B$3,6,1),0),NETWORKDAYS.INTL(DATE($B$3,6,31),DATE($B$3,6,31),1,'Non-working days'!$A$6:$A$45)=0),"",IF(COUNTIFS('Leave log'!$A$7:$A$306,Employees!$A$8,'Leave log'!$B$7:$B$306,"&lt;="&amp;DATE($B$3,6,31),'Leave log'!$C$7:$C$306,"&gt;="&amp;DATE($B$3,6,31),'Leave log'!$F$7:$F$306,"Pending")&gt;0,"P",""))))</f>
        <v/>
      </c>
    </row>
    <row r="180" spans="1:32" ht="18" customHeight="1" x14ac:dyDescent="0.3">
      <c r="A180" s="22" t="str">
        <f>IF(Employees!F9="Yes",Employees!B9,"")</f>
        <v/>
      </c>
      <c r="B180" s="23" t="str">
        <f>IF(A180="","",IF(IF(OR(DATE($B$3,6,1)&gt;EOMONTH(DATE($B$3,6,1),0),NETWORKDAYS.INTL(DATE($B$3,6,1),DATE($B$3,6,1),1,'Non-working days'!$A$6:$A$45)=0),"",IF(COUNTIFS('Leave log'!$A$7:$A$306,Employees!$A$9,'Leave log'!$B$7:$B$306,"&lt;="&amp;DATE($B$3,6,1),'Leave log'!$C$7:$C$306,"&gt;="&amp;DATE($B$3,6,1),'Leave log'!$F$7:$F$306,"Approved")&gt;0,"A",""))="A","A",IF(OR(DATE($B$3,6,1)&gt;EOMONTH(DATE($B$3,6,1),0),NETWORKDAYS.INTL(DATE($B$3,6,1),DATE($B$3,6,1),1,'Non-working days'!$A$6:$A$45)=0),"",IF(COUNTIFS('Leave log'!$A$7:$A$306,Employees!$A$9,'Leave log'!$B$7:$B$306,"&lt;="&amp;DATE($B$3,6,1),'Leave log'!$C$7:$C$306,"&gt;="&amp;DATE($B$3,6,1),'Leave log'!$F$7:$F$306,"Pending")&gt;0,"P",""))))</f>
        <v/>
      </c>
      <c r="C180" s="23" t="str">
        <f>IF(A180="","",IF(IF(OR(DATE($B$3,6,2)&gt;EOMONTH(DATE($B$3,6,1),0),NETWORKDAYS.INTL(DATE($B$3,6,2),DATE($B$3,6,2),1,'Non-working days'!$A$6:$A$45)=0),"",IF(COUNTIFS('Leave log'!$A$7:$A$306,Employees!$A$9,'Leave log'!$B$7:$B$306,"&lt;="&amp;DATE($B$3,6,2),'Leave log'!$C$7:$C$306,"&gt;="&amp;DATE($B$3,6,2),'Leave log'!$F$7:$F$306,"Approved")&gt;0,"A",""))="A","A",IF(OR(DATE($B$3,6,2)&gt;EOMONTH(DATE($B$3,6,1),0),NETWORKDAYS.INTL(DATE($B$3,6,2),DATE($B$3,6,2),1,'Non-working days'!$A$6:$A$45)=0),"",IF(COUNTIFS('Leave log'!$A$7:$A$306,Employees!$A$9,'Leave log'!$B$7:$B$306,"&lt;="&amp;DATE($B$3,6,2),'Leave log'!$C$7:$C$306,"&gt;="&amp;DATE($B$3,6,2),'Leave log'!$F$7:$F$306,"Pending")&gt;0,"P",""))))</f>
        <v/>
      </c>
      <c r="D180" s="23" t="str">
        <f>IF(A180="","",IF(IF(OR(DATE($B$3,6,3)&gt;EOMONTH(DATE($B$3,6,1),0),NETWORKDAYS.INTL(DATE($B$3,6,3),DATE($B$3,6,3),1,'Non-working days'!$A$6:$A$45)=0),"",IF(COUNTIFS('Leave log'!$A$7:$A$306,Employees!$A$9,'Leave log'!$B$7:$B$306,"&lt;="&amp;DATE($B$3,6,3),'Leave log'!$C$7:$C$306,"&gt;="&amp;DATE($B$3,6,3),'Leave log'!$F$7:$F$306,"Approved")&gt;0,"A",""))="A","A",IF(OR(DATE($B$3,6,3)&gt;EOMONTH(DATE($B$3,6,1),0),NETWORKDAYS.INTL(DATE($B$3,6,3),DATE($B$3,6,3),1,'Non-working days'!$A$6:$A$45)=0),"",IF(COUNTIFS('Leave log'!$A$7:$A$306,Employees!$A$9,'Leave log'!$B$7:$B$306,"&lt;="&amp;DATE($B$3,6,3),'Leave log'!$C$7:$C$306,"&gt;="&amp;DATE($B$3,6,3),'Leave log'!$F$7:$F$306,"Pending")&gt;0,"P",""))))</f>
        <v/>
      </c>
      <c r="E180" s="23" t="str">
        <f>IF(A180="","",IF(IF(OR(DATE($B$3,6,4)&gt;EOMONTH(DATE($B$3,6,1),0),NETWORKDAYS.INTL(DATE($B$3,6,4),DATE($B$3,6,4),1,'Non-working days'!$A$6:$A$45)=0),"",IF(COUNTIFS('Leave log'!$A$7:$A$306,Employees!$A$9,'Leave log'!$B$7:$B$306,"&lt;="&amp;DATE($B$3,6,4),'Leave log'!$C$7:$C$306,"&gt;="&amp;DATE($B$3,6,4),'Leave log'!$F$7:$F$306,"Approved")&gt;0,"A",""))="A","A",IF(OR(DATE($B$3,6,4)&gt;EOMONTH(DATE($B$3,6,1),0),NETWORKDAYS.INTL(DATE($B$3,6,4),DATE($B$3,6,4),1,'Non-working days'!$A$6:$A$45)=0),"",IF(COUNTIFS('Leave log'!$A$7:$A$306,Employees!$A$9,'Leave log'!$B$7:$B$306,"&lt;="&amp;DATE($B$3,6,4),'Leave log'!$C$7:$C$306,"&gt;="&amp;DATE($B$3,6,4),'Leave log'!$F$7:$F$306,"Pending")&gt;0,"P",""))))</f>
        <v/>
      </c>
      <c r="F180" s="23" t="str">
        <f>IF(A180="","",IF(IF(OR(DATE($B$3,6,5)&gt;EOMONTH(DATE($B$3,6,1),0),NETWORKDAYS.INTL(DATE($B$3,6,5),DATE($B$3,6,5),1,'Non-working days'!$A$6:$A$45)=0),"",IF(COUNTIFS('Leave log'!$A$7:$A$306,Employees!$A$9,'Leave log'!$B$7:$B$306,"&lt;="&amp;DATE($B$3,6,5),'Leave log'!$C$7:$C$306,"&gt;="&amp;DATE($B$3,6,5),'Leave log'!$F$7:$F$306,"Approved")&gt;0,"A",""))="A","A",IF(OR(DATE($B$3,6,5)&gt;EOMONTH(DATE($B$3,6,1),0),NETWORKDAYS.INTL(DATE($B$3,6,5),DATE($B$3,6,5),1,'Non-working days'!$A$6:$A$45)=0),"",IF(COUNTIFS('Leave log'!$A$7:$A$306,Employees!$A$9,'Leave log'!$B$7:$B$306,"&lt;="&amp;DATE($B$3,6,5),'Leave log'!$C$7:$C$306,"&gt;="&amp;DATE($B$3,6,5),'Leave log'!$F$7:$F$306,"Pending")&gt;0,"P",""))))</f>
        <v/>
      </c>
      <c r="G180" s="23" t="str">
        <f>IF(A180="","",IF(IF(OR(DATE($B$3,6,6)&gt;EOMONTH(DATE($B$3,6,1),0),NETWORKDAYS.INTL(DATE($B$3,6,6),DATE($B$3,6,6),1,'Non-working days'!$A$6:$A$45)=0),"",IF(COUNTIFS('Leave log'!$A$7:$A$306,Employees!$A$9,'Leave log'!$B$7:$B$306,"&lt;="&amp;DATE($B$3,6,6),'Leave log'!$C$7:$C$306,"&gt;="&amp;DATE($B$3,6,6),'Leave log'!$F$7:$F$306,"Approved")&gt;0,"A",""))="A","A",IF(OR(DATE($B$3,6,6)&gt;EOMONTH(DATE($B$3,6,1),0),NETWORKDAYS.INTL(DATE($B$3,6,6),DATE($B$3,6,6),1,'Non-working days'!$A$6:$A$45)=0),"",IF(COUNTIFS('Leave log'!$A$7:$A$306,Employees!$A$9,'Leave log'!$B$7:$B$306,"&lt;="&amp;DATE($B$3,6,6),'Leave log'!$C$7:$C$306,"&gt;="&amp;DATE($B$3,6,6),'Leave log'!$F$7:$F$306,"Pending")&gt;0,"P",""))))</f>
        <v/>
      </c>
      <c r="H180" s="23" t="str">
        <f>IF(A180="","",IF(IF(OR(DATE($B$3,6,7)&gt;EOMONTH(DATE($B$3,6,1),0),NETWORKDAYS.INTL(DATE($B$3,6,7),DATE($B$3,6,7),1,'Non-working days'!$A$6:$A$45)=0),"",IF(COUNTIFS('Leave log'!$A$7:$A$306,Employees!$A$9,'Leave log'!$B$7:$B$306,"&lt;="&amp;DATE($B$3,6,7),'Leave log'!$C$7:$C$306,"&gt;="&amp;DATE($B$3,6,7),'Leave log'!$F$7:$F$306,"Approved")&gt;0,"A",""))="A","A",IF(OR(DATE($B$3,6,7)&gt;EOMONTH(DATE($B$3,6,1),0),NETWORKDAYS.INTL(DATE($B$3,6,7),DATE($B$3,6,7),1,'Non-working days'!$A$6:$A$45)=0),"",IF(COUNTIFS('Leave log'!$A$7:$A$306,Employees!$A$9,'Leave log'!$B$7:$B$306,"&lt;="&amp;DATE($B$3,6,7),'Leave log'!$C$7:$C$306,"&gt;="&amp;DATE($B$3,6,7),'Leave log'!$F$7:$F$306,"Pending")&gt;0,"P",""))))</f>
        <v/>
      </c>
      <c r="I180" s="23" t="str">
        <f>IF(A180="","",IF(IF(OR(DATE($B$3,6,8)&gt;EOMONTH(DATE($B$3,6,1),0),NETWORKDAYS.INTL(DATE($B$3,6,8),DATE($B$3,6,8),1,'Non-working days'!$A$6:$A$45)=0),"",IF(COUNTIFS('Leave log'!$A$7:$A$306,Employees!$A$9,'Leave log'!$B$7:$B$306,"&lt;="&amp;DATE($B$3,6,8),'Leave log'!$C$7:$C$306,"&gt;="&amp;DATE($B$3,6,8),'Leave log'!$F$7:$F$306,"Approved")&gt;0,"A",""))="A","A",IF(OR(DATE($B$3,6,8)&gt;EOMONTH(DATE($B$3,6,1),0),NETWORKDAYS.INTL(DATE($B$3,6,8),DATE($B$3,6,8),1,'Non-working days'!$A$6:$A$45)=0),"",IF(COUNTIFS('Leave log'!$A$7:$A$306,Employees!$A$9,'Leave log'!$B$7:$B$306,"&lt;="&amp;DATE($B$3,6,8),'Leave log'!$C$7:$C$306,"&gt;="&amp;DATE($B$3,6,8),'Leave log'!$F$7:$F$306,"Pending")&gt;0,"P",""))))</f>
        <v/>
      </c>
      <c r="J180" s="23" t="str">
        <f>IF(A180="","",IF(IF(OR(DATE($B$3,6,9)&gt;EOMONTH(DATE($B$3,6,1),0),NETWORKDAYS.INTL(DATE($B$3,6,9),DATE($B$3,6,9),1,'Non-working days'!$A$6:$A$45)=0),"",IF(COUNTIFS('Leave log'!$A$7:$A$306,Employees!$A$9,'Leave log'!$B$7:$B$306,"&lt;="&amp;DATE($B$3,6,9),'Leave log'!$C$7:$C$306,"&gt;="&amp;DATE($B$3,6,9),'Leave log'!$F$7:$F$306,"Approved")&gt;0,"A",""))="A","A",IF(OR(DATE($B$3,6,9)&gt;EOMONTH(DATE($B$3,6,1),0),NETWORKDAYS.INTL(DATE($B$3,6,9),DATE($B$3,6,9),1,'Non-working days'!$A$6:$A$45)=0),"",IF(COUNTIFS('Leave log'!$A$7:$A$306,Employees!$A$9,'Leave log'!$B$7:$B$306,"&lt;="&amp;DATE($B$3,6,9),'Leave log'!$C$7:$C$306,"&gt;="&amp;DATE($B$3,6,9),'Leave log'!$F$7:$F$306,"Pending")&gt;0,"P",""))))</f>
        <v/>
      </c>
      <c r="K180" s="23" t="str">
        <f>IF(A180="","",IF(IF(OR(DATE($B$3,6,10)&gt;EOMONTH(DATE($B$3,6,1),0),NETWORKDAYS.INTL(DATE($B$3,6,10),DATE($B$3,6,10),1,'Non-working days'!$A$6:$A$45)=0),"",IF(COUNTIFS('Leave log'!$A$7:$A$306,Employees!$A$9,'Leave log'!$B$7:$B$306,"&lt;="&amp;DATE($B$3,6,10),'Leave log'!$C$7:$C$306,"&gt;="&amp;DATE($B$3,6,10),'Leave log'!$F$7:$F$306,"Approved")&gt;0,"A",""))="A","A",IF(OR(DATE($B$3,6,10)&gt;EOMONTH(DATE($B$3,6,1),0),NETWORKDAYS.INTL(DATE($B$3,6,10),DATE($B$3,6,10),1,'Non-working days'!$A$6:$A$45)=0),"",IF(COUNTIFS('Leave log'!$A$7:$A$306,Employees!$A$9,'Leave log'!$B$7:$B$306,"&lt;="&amp;DATE($B$3,6,10),'Leave log'!$C$7:$C$306,"&gt;="&amp;DATE($B$3,6,10),'Leave log'!$F$7:$F$306,"Pending")&gt;0,"P",""))))</f>
        <v/>
      </c>
      <c r="L180" s="23" t="str">
        <f>IF(A180="","",IF(IF(OR(DATE($B$3,6,11)&gt;EOMONTH(DATE($B$3,6,1),0),NETWORKDAYS.INTL(DATE($B$3,6,11),DATE($B$3,6,11),1,'Non-working days'!$A$6:$A$45)=0),"",IF(COUNTIFS('Leave log'!$A$7:$A$306,Employees!$A$9,'Leave log'!$B$7:$B$306,"&lt;="&amp;DATE($B$3,6,11),'Leave log'!$C$7:$C$306,"&gt;="&amp;DATE($B$3,6,11),'Leave log'!$F$7:$F$306,"Approved")&gt;0,"A",""))="A","A",IF(OR(DATE($B$3,6,11)&gt;EOMONTH(DATE($B$3,6,1),0),NETWORKDAYS.INTL(DATE($B$3,6,11),DATE($B$3,6,11),1,'Non-working days'!$A$6:$A$45)=0),"",IF(COUNTIFS('Leave log'!$A$7:$A$306,Employees!$A$9,'Leave log'!$B$7:$B$306,"&lt;="&amp;DATE($B$3,6,11),'Leave log'!$C$7:$C$306,"&gt;="&amp;DATE($B$3,6,11),'Leave log'!$F$7:$F$306,"Pending")&gt;0,"P",""))))</f>
        <v/>
      </c>
      <c r="M180" s="23" t="str">
        <f>IF(A180="","",IF(IF(OR(DATE($B$3,6,12)&gt;EOMONTH(DATE($B$3,6,1),0),NETWORKDAYS.INTL(DATE($B$3,6,12),DATE($B$3,6,12),1,'Non-working days'!$A$6:$A$45)=0),"",IF(COUNTIFS('Leave log'!$A$7:$A$306,Employees!$A$9,'Leave log'!$B$7:$B$306,"&lt;="&amp;DATE($B$3,6,12),'Leave log'!$C$7:$C$306,"&gt;="&amp;DATE($B$3,6,12),'Leave log'!$F$7:$F$306,"Approved")&gt;0,"A",""))="A","A",IF(OR(DATE($B$3,6,12)&gt;EOMONTH(DATE($B$3,6,1),0),NETWORKDAYS.INTL(DATE($B$3,6,12),DATE($B$3,6,12),1,'Non-working days'!$A$6:$A$45)=0),"",IF(COUNTIFS('Leave log'!$A$7:$A$306,Employees!$A$9,'Leave log'!$B$7:$B$306,"&lt;="&amp;DATE($B$3,6,12),'Leave log'!$C$7:$C$306,"&gt;="&amp;DATE($B$3,6,12),'Leave log'!$F$7:$F$306,"Pending")&gt;0,"P",""))))</f>
        <v/>
      </c>
      <c r="N180" s="23" t="str">
        <f>IF(A180="","",IF(IF(OR(DATE($B$3,6,13)&gt;EOMONTH(DATE($B$3,6,1),0),NETWORKDAYS.INTL(DATE($B$3,6,13),DATE($B$3,6,13),1,'Non-working days'!$A$6:$A$45)=0),"",IF(COUNTIFS('Leave log'!$A$7:$A$306,Employees!$A$9,'Leave log'!$B$7:$B$306,"&lt;="&amp;DATE($B$3,6,13),'Leave log'!$C$7:$C$306,"&gt;="&amp;DATE($B$3,6,13),'Leave log'!$F$7:$F$306,"Approved")&gt;0,"A",""))="A","A",IF(OR(DATE($B$3,6,13)&gt;EOMONTH(DATE($B$3,6,1),0),NETWORKDAYS.INTL(DATE($B$3,6,13),DATE($B$3,6,13),1,'Non-working days'!$A$6:$A$45)=0),"",IF(COUNTIFS('Leave log'!$A$7:$A$306,Employees!$A$9,'Leave log'!$B$7:$B$306,"&lt;="&amp;DATE($B$3,6,13),'Leave log'!$C$7:$C$306,"&gt;="&amp;DATE($B$3,6,13),'Leave log'!$F$7:$F$306,"Pending")&gt;0,"P",""))))</f>
        <v/>
      </c>
      <c r="O180" s="23" t="str">
        <f>IF(A180="","",IF(IF(OR(DATE($B$3,6,14)&gt;EOMONTH(DATE($B$3,6,1),0),NETWORKDAYS.INTL(DATE($B$3,6,14),DATE($B$3,6,14),1,'Non-working days'!$A$6:$A$45)=0),"",IF(COUNTIFS('Leave log'!$A$7:$A$306,Employees!$A$9,'Leave log'!$B$7:$B$306,"&lt;="&amp;DATE($B$3,6,14),'Leave log'!$C$7:$C$306,"&gt;="&amp;DATE($B$3,6,14),'Leave log'!$F$7:$F$306,"Approved")&gt;0,"A",""))="A","A",IF(OR(DATE($B$3,6,14)&gt;EOMONTH(DATE($B$3,6,1),0),NETWORKDAYS.INTL(DATE($B$3,6,14),DATE($B$3,6,14),1,'Non-working days'!$A$6:$A$45)=0),"",IF(COUNTIFS('Leave log'!$A$7:$A$306,Employees!$A$9,'Leave log'!$B$7:$B$306,"&lt;="&amp;DATE($B$3,6,14),'Leave log'!$C$7:$C$306,"&gt;="&amp;DATE($B$3,6,14),'Leave log'!$F$7:$F$306,"Pending")&gt;0,"P",""))))</f>
        <v/>
      </c>
      <c r="P180" s="23" t="str">
        <f>IF(A180="","",IF(IF(OR(DATE($B$3,6,15)&gt;EOMONTH(DATE($B$3,6,1),0),NETWORKDAYS.INTL(DATE($B$3,6,15),DATE($B$3,6,15),1,'Non-working days'!$A$6:$A$45)=0),"",IF(COUNTIFS('Leave log'!$A$7:$A$306,Employees!$A$9,'Leave log'!$B$7:$B$306,"&lt;="&amp;DATE($B$3,6,15),'Leave log'!$C$7:$C$306,"&gt;="&amp;DATE($B$3,6,15),'Leave log'!$F$7:$F$306,"Approved")&gt;0,"A",""))="A","A",IF(OR(DATE($B$3,6,15)&gt;EOMONTH(DATE($B$3,6,1),0),NETWORKDAYS.INTL(DATE($B$3,6,15),DATE($B$3,6,15),1,'Non-working days'!$A$6:$A$45)=0),"",IF(COUNTIFS('Leave log'!$A$7:$A$306,Employees!$A$9,'Leave log'!$B$7:$B$306,"&lt;="&amp;DATE($B$3,6,15),'Leave log'!$C$7:$C$306,"&gt;="&amp;DATE($B$3,6,15),'Leave log'!$F$7:$F$306,"Pending")&gt;0,"P",""))))</f>
        <v/>
      </c>
      <c r="Q180" s="23" t="str">
        <f>IF(A180="","",IF(IF(OR(DATE($B$3,6,16)&gt;EOMONTH(DATE($B$3,6,1),0),NETWORKDAYS.INTL(DATE($B$3,6,16),DATE($B$3,6,16),1,'Non-working days'!$A$6:$A$45)=0),"",IF(COUNTIFS('Leave log'!$A$7:$A$306,Employees!$A$9,'Leave log'!$B$7:$B$306,"&lt;="&amp;DATE($B$3,6,16),'Leave log'!$C$7:$C$306,"&gt;="&amp;DATE($B$3,6,16),'Leave log'!$F$7:$F$306,"Approved")&gt;0,"A",""))="A","A",IF(OR(DATE($B$3,6,16)&gt;EOMONTH(DATE($B$3,6,1),0),NETWORKDAYS.INTL(DATE($B$3,6,16),DATE($B$3,6,16),1,'Non-working days'!$A$6:$A$45)=0),"",IF(COUNTIFS('Leave log'!$A$7:$A$306,Employees!$A$9,'Leave log'!$B$7:$B$306,"&lt;="&amp;DATE($B$3,6,16),'Leave log'!$C$7:$C$306,"&gt;="&amp;DATE($B$3,6,16),'Leave log'!$F$7:$F$306,"Pending")&gt;0,"P",""))))</f>
        <v/>
      </c>
      <c r="R180" s="23" t="str">
        <f>IF(A180="","",IF(IF(OR(DATE($B$3,6,17)&gt;EOMONTH(DATE($B$3,6,1),0),NETWORKDAYS.INTL(DATE($B$3,6,17),DATE($B$3,6,17),1,'Non-working days'!$A$6:$A$45)=0),"",IF(COUNTIFS('Leave log'!$A$7:$A$306,Employees!$A$9,'Leave log'!$B$7:$B$306,"&lt;="&amp;DATE($B$3,6,17),'Leave log'!$C$7:$C$306,"&gt;="&amp;DATE($B$3,6,17),'Leave log'!$F$7:$F$306,"Approved")&gt;0,"A",""))="A","A",IF(OR(DATE($B$3,6,17)&gt;EOMONTH(DATE($B$3,6,1),0),NETWORKDAYS.INTL(DATE($B$3,6,17),DATE($B$3,6,17),1,'Non-working days'!$A$6:$A$45)=0),"",IF(COUNTIFS('Leave log'!$A$7:$A$306,Employees!$A$9,'Leave log'!$B$7:$B$306,"&lt;="&amp;DATE($B$3,6,17),'Leave log'!$C$7:$C$306,"&gt;="&amp;DATE($B$3,6,17),'Leave log'!$F$7:$F$306,"Pending")&gt;0,"P",""))))</f>
        <v/>
      </c>
      <c r="S180" s="23" t="str">
        <f>IF(A180="","",IF(IF(OR(DATE($B$3,6,18)&gt;EOMONTH(DATE($B$3,6,1),0),NETWORKDAYS.INTL(DATE($B$3,6,18),DATE($B$3,6,18),1,'Non-working days'!$A$6:$A$45)=0),"",IF(COUNTIFS('Leave log'!$A$7:$A$306,Employees!$A$9,'Leave log'!$B$7:$B$306,"&lt;="&amp;DATE($B$3,6,18),'Leave log'!$C$7:$C$306,"&gt;="&amp;DATE($B$3,6,18),'Leave log'!$F$7:$F$306,"Approved")&gt;0,"A",""))="A","A",IF(OR(DATE($B$3,6,18)&gt;EOMONTH(DATE($B$3,6,1),0),NETWORKDAYS.INTL(DATE($B$3,6,18),DATE($B$3,6,18),1,'Non-working days'!$A$6:$A$45)=0),"",IF(COUNTIFS('Leave log'!$A$7:$A$306,Employees!$A$9,'Leave log'!$B$7:$B$306,"&lt;="&amp;DATE($B$3,6,18),'Leave log'!$C$7:$C$306,"&gt;="&amp;DATE($B$3,6,18),'Leave log'!$F$7:$F$306,"Pending")&gt;0,"P",""))))</f>
        <v/>
      </c>
      <c r="T180" s="23" t="str">
        <f>IF(A180="","",IF(IF(OR(DATE($B$3,6,19)&gt;EOMONTH(DATE($B$3,6,1),0),NETWORKDAYS.INTL(DATE($B$3,6,19),DATE($B$3,6,19),1,'Non-working days'!$A$6:$A$45)=0),"",IF(COUNTIFS('Leave log'!$A$7:$A$306,Employees!$A$9,'Leave log'!$B$7:$B$306,"&lt;="&amp;DATE($B$3,6,19),'Leave log'!$C$7:$C$306,"&gt;="&amp;DATE($B$3,6,19),'Leave log'!$F$7:$F$306,"Approved")&gt;0,"A",""))="A","A",IF(OR(DATE($B$3,6,19)&gt;EOMONTH(DATE($B$3,6,1),0),NETWORKDAYS.INTL(DATE($B$3,6,19),DATE($B$3,6,19),1,'Non-working days'!$A$6:$A$45)=0),"",IF(COUNTIFS('Leave log'!$A$7:$A$306,Employees!$A$9,'Leave log'!$B$7:$B$306,"&lt;="&amp;DATE($B$3,6,19),'Leave log'!$C$7:$C$306,"&gt;="&amp;DATE($B$3,6,19),'Leave log'!$F$7:$F$306,"Pending")&gt;0,"P",""))))</f>
        <v/>
      </c>
      <c r="U180" s="23" t="str">
        <f>IF(A180="","",IF(IF(OR(DATE($B$3,6,20)&gt;EOMONTH(DATE($B$3,6,1),0),NETWORKDAYS.INTL(DATE($B$3,6,20),DATE($B$3,6,20),1,'Non-working days'!$A$6:$A$45)=0),"",IF(COUNTIFS('Leave log'!$A$7:$A$306,Employees!$A$9,'Leave log'!$B$7:$B$306,"&lt;="&amp;DATE($B$3,6,20),'Leave log'!$C$7:$C$306,"&gt;="&amp;DATE($B$3,6,20),'Leave log'!$F$7:$F$306,"Approved")&gt;0,"A",""))="A","A",IF(OR(DATE($B$3,6,20)&gt;EOMONTH(DATE($B$3,6,1),0),NETWORKDAYS.INTL(DATE($B$3,6,20),DATE($B$3,6,20),1,'Non-working days'!$A$6:$A$45)=0),"",IF(COUNTIFS('Leave log'!$A$7:$A$306,Employees!$A$9,'Leave log'!$B$7:$B$306,"&lt;="&amp;DATE($B$3,6,20),'Leave log'!$C$7:$C$306,"&gt;="&amp;DATE($B$3,6,20),'Leave log'!$F$7:$F$306,"Pending")&gt;0,"P",""))))</f>
        <v/>
      </c>
      <c r="V180" s="23" t="str">
        <f>IF(A180="","",IF(IF(OR(DATE($B$3,6,21)&gt;EOMONTH(DATE($B$3,6,1),0),NETWORKDAYS.INTL(DATE($B$3,6,21),DATE($B$3,6,21),1,'Non-working days'!$A$6:$A$45)=0),"",IF(COUNTIFS('Leave log'!$A$7:$A$306,Employees!$A$9,'Leave log'!$B$7:$B$306,"&lt;="&amp;DATE($B$3,6,21),'Leave log'!$C$7:$C$306,"&gt;="&amp;DATE($B$3,6,21),'Leave log'!$F$7:$F$306,"Approved")&gt;0,"A",""))="A","A",IF(OR(DATE($B$3,6,21)&gt;EOMONTH(DATE($B$3,6,1),0),NETWORKDAYS.INTL(DATE($B$3,6,21),DATE($B$3,6,21),1,'Non-working days'!$A$6:$A$45)=0),"",IF(COUNTIFS('Leave log'!$A$7:$A$306,Employees!$A$9,'Leave log'!$B$7:$B$306,"&lt;="&amp;DATE($B$3,6,21),'Leave log'!$C$7:$C$306,"&gt;="&amp;DATE($B$3,6,21),'Leave log'!$F$7:$F$306,"Pending")&gt;0,"P",""))))</f>
        <v/>
      </c>
      <c r="W180" s="23" t="str">
        <f>IF(A180="","",IF(IF(OR(DATE($B$3,6,22)&gt;EOMONTH(DATE($B$3,6,1),0),NETWORKDAYS.INTL(DATE($B$3,6,22),DATE($B$3,6,22),1,'Non-working days'!$A$6:$A$45)=0),"",IF(COUNTIFS('Leave log'!$A$7:$A$306,Employees!$A$9,'Leave log'!$B$7:$B$306,"&lt;="&amp;DATE($B$3,6,22),'Leave log'!$C$7:$C$306,"&gt;="&amp;DATE($B$3,6,22),'Leave log'!$F$7:$F$306,"Approved")&gt;0,"A",""))="A","A",IF(OR(DATE($B$3,6,22)&gt;EOMONTH(DATE($B$3,6,1),0),NETWORKDAYS.INTL(DATE($B$3,6,22),DATE($B$3,6,22),1,'Non-working days'!$A$6:$A$45)=0),"",IF(COUNTIFS('Leave log'!$A$7:$A$306,Employees!$A$9,'Leave log'!$B$7:$B$306,"&lt;="&amp;DATE($B$3,6,22),'Leave log'!$C$7:$C$306,"&gt;="&amp;DATE($B$3,6,22),'Leave log'!$F$7:$F$306,"Pending")&gt;0,"P",""))))</f>
        <v/>
      </c>
      <c r="X180" s="23" t="str">
        <f>IF(A180="","",IF(IF(OR(DATE($B$3,6,23)&gt;EOMONTH(DATE($B$3,6,1),0),NETWORKDAYS.INTL(DATE($B$3,6,23),DATE($B$3,6,23),1,'Non-working days'!$A$6:$A$45)=0),"",IF(COUNTIFS('Leave log'!$A$7:$A$306,Employees!$A$9,'Leave log'!$B$7:$B$306,"&lt;="&amp;DATE($B$3,6,23),'Leave log'!$C$7:$C$306,"&gt;="&amp;DATE($B$3,6,23),'Leave log'!$F$7:$F$306,"Approved")&gt;0,"A",""))="A","A",IF(OR(DATE($B$3,6,23)&gt;EOMONTH(DATE($B$3,6,1),0),NETWORKDAYS.INTL(DATE($B$3,6,23),DATE($B$3,6,23),1,'Non-working days'!$A$6:$A$45)=0),"",IF(COUNTIFS('Leave log'!$A$7:$A$306,Employees!$A$9,'Leave log'!$B$7:$B$306,"&lt;="&amp;DATE($B$3,6,23),'Leave log'!$C$7:$C$306,"&gt;="&amp;DATE($B$3,6,23),'Leave log'!$F$7:$F$306,"Pending")&gt;0,"P",""))))</f>
        <v/>
      </c>
      <c r="Y180" s="23" t="str">
        <f>IF(A180="","",IF(IF(OR(DATE($B$3,6,24)&gt;EOMONTH(DATE($B$3,6,1),0),NETWORKDAYS.INTL(DATE($B$3,6,24),DATE($B$3,6,24),1,'Non-working days'!$A$6:$A$45)=0),"",IF(COUNTIFS('Leave log'!$A$7:$A$306,Employees!$A$9,'Leave log'!$B$7:$B$306,"&lt;="&amp;DATE($B$3,6,24),'Leave log'!$C$7:$C$306,"&gt;="&amp;DATE($B$3,6,24),'Leave log'!$F$7:$F$306,"Approved")&gt;0,"A",""))="A","A",IF(OR(DATE($B$3,6,24)&gt;EOMONTH(DATE($B$3,6,1),0),NETWORKDAYS.INTL(DATE($B$3,6,24),DATE($B$3,6,24),1,'Non-working days'!$A$6:$A$45)=0),"",IF(COUNTIFS('Leave log'!$A$7:$A$306,Employees!$A$9,'Leave log'!$B$7:$B$306,"&lt;="&amp;DATE($B$3,6,24),'Leave log'!$C$7:$C$306,"&gt;="&amp;DATE($B$3,6,24),'Leave log'!$F$7:$F$306,"Pending")&gt;0,"P",""))))</f>
        <v/>
      </c>
      <c r="Z180" s="23" t="str">
        <f>IF(A180="","",IF(IF(OR(DATE($B$3,6,25)&gt;EOMONTH(DATE($B$3,6,1),0),NETWORKDAYS.INTL(DATE($B$3,6,25),DATE($B$3,6,25),1,'Non-working days'!$A$6:$A$45)=0),"",IF(COUNTIFS('Leave log'!$A$7:$A$306,Employees!$A$9,'Leave log'!$B$7:$B$306,"&lt;="&amp;DATE($B$3,6,25),'Leave log'!$C$7:$C$306,"&gt;="&amp;DATE($B$3,6,25),'Leave log'!$F$7:$F$306,"Approved")&gt;0,"A",""))="A","A",IF(OR(DATE($B$3,6,25)&gt;EOMONTH(DATE($B$3,6,1),0),NETWORKDAYS.INTL(DATE($B$3,6,25),DATE($B$3,6,25),1,'Non-working days'!$A$6:$A$45)=0),"",IF(COUNTIFS('Leave log'!$A$7:$A$306,Employees!$A$9,'Leave log'!$B$7:$B$306,"&lt;="&amp;DATE($B$3,6,25),'Leave log'!$C$7:$C$306,"&gt;="&amp;DATE($B$3,6,25),'Leave log'!$F$7:$F$306,"Pending")&gt;0,"P",""))))</f>
        <v/>
      </c>
      <c r="AA180" s="23" t="str">
        <f>IF(A180="","",IF(IF(OR(DATE($B$3,6,26)&gt;EOMONTH(DATE($B$3,6,1),0),NETWORKDAYS.INTL(DATE($B$3,6,26),DATE($B$3,6,26),1,'Non-working days'!$A$6:$A$45)=0),"",IF(COUNTIFS('Leave log'!$A$7:$A$306,Employees!$A$9,'Leave log'!$B$7:$B$306,"&lt;="&amp;DATE($B$3,6,26),'Leave log'!$C$7:$C$306,"&gt;="&amp;DATE($B$3,6,26),'Leave log'!$F$7:$F$306,"Approved")&gt;0,"A",""))="A","A",IF(OR(DATE($B$3,6,26)&gt;EOMONTH(DATE($B$3,6,1),0),NETWORKDAYS.INTL(DATE($B$3,6,26),DATE($B$3,6,26),1,'Non-working days'!$A$6:$A$45)=0),"",IF(COUNTIFS('Leave log'!$A$7:$A$306,Employees!$A$9,'Leave log'!$B$7:$B$306,"&lt;="&amp;DATE($B$3,6,26),'Leave log'!$C$7:$C$306,"&gt;="&amp;DATE($B$3,6,26),'Leave log'!$F$7:$F$306,"Pending")&gt;0,"P",""))))</f>
        <v/>
      </c>
      <c r="AB180" s="23" t="str">
        <f>IF(A180="","",IF(IF(OR(DATE($B$3,6,27)&gt;EOMONTH(DATE($B$3,6,1),0),NETWORKDAYS.INTL(DATE($B$3,6,27),DATE($B$3,6,27),1,'Non-working days'!$A$6:$A$45)=0),"",IF(COUNTIFS('Leave log'!$A$7:$A$306,Employees!$A$9,'Leave log'!$B$7:$B$306,"&lt;="&amp;DATE($B$3,6,27),'Leave log'!$C$7:$C$306,"&gt;="&amp;DATE($B$3,6,27),'Leave log'!$F$7:$F$306,"Approved")&gt;0,"A",""))="A","A",IF(OR(DATE($B$3,6,27)&gt;EOMONTH(DATE($B$3,6,1),0),NETWORKDAYS.INTL(DATE($B$3,6,27),DATE($B$3,6,27),1,'Non-working days'!$A$6:$A$45)=0),"",IF(COUNTIFS('Leave log'!$A$7:$A$306,Employees!$A$9,'Leave log'!$B$7:$B$306,"&lt;="&amp;DATE($B$3,6,27),'Leave log'!$C$7:$C$306,"&gt;="&amp;DATE($B$3,6,27),'Leave log'!$F$7:$F$306,"Pending")&gt;0,"P",""))))</f>
        <v/>
      </c>
      <c r="AC180" s="23" t="str">
        <f>IF(A180="","",IF(IF(OR(DATE($B$3,6,28)&gt;EOMONTH(DATE($B$3,6,1),0),NETWORKDAYS.INTL(DATE($B$3,6,28),DATE($B$3,6,28),1,'Non-working days'!$A$6:$A$45)=0),"",IF(COUNTIFS('Leave log'!$A$7:$A$306,Employees!$A$9,'Leave log'!$B$7:$B$306,"&lt;="&amp;DATE($B$3,6,28),'Leave log'!$C$7:$C$306,"&gt;="&amp;DATE($B$3,6,28),'Leave log'!$F$7:$F$306,"Approved")&gt;0,"A",""))="A","A",IF(OR(DATE($B$3,6,28)&gt;EOMONTH(DATE($B$3,6,1),0),NETWORKDAYS.INTL(DATE($B$3,6,28),DATE($B$3,6,28),1,'Non-working days'!$A$6:$A$45)=0),"",IF(COUNTIFS('Leave log'!$A$7:$A$306,Employees!$A$9,'Leave log'!$B$7:$B$306,"&lt;="&amp;DATE($B$3,6,28),'Leave log'!$C$7:$C$306,"&gt;="&amp;DATE($B$3,6,28),'Leave log'!$F$7:$F$306,"Pending")&gt;0,"P",""))))</f>
        <v/>
      </c>
      <c r="AD180" s="23" t="str">
        <f>IF(A180="","",IF(IF(OR(DATE($B$3,6,29)&gt;EOMONTH(DATE($B$3,6,1),0),NETWORKDAYS.INTL(DATE($B$3,6,29),DATE($B$3,6,29),1,'Non-working days'!$A$6:$A$45)=0),"",IF(COUNTIFS('Leave log'!$A$7:$A$306,Employees!$A$9,'Leave log'!$B$7:$B$306,"&lt;="&amp;DATE($B$3,6,29),'Leave log'!$C$7:$C$306,"&gt;="&amp;DATE($B$3,6,29),'Leave log'!$F$7:$F$306,"Approved")&gt;0,"A",""))="A","A",IF(OR(DATE($B$3,6,29)&gt;EOMONTH(DATE($B$3,6,1),0),NETWORKDAYS.INTL(DATE($B$3,6,29),DATE($B$3,6,29),1,'Non-working days'!$A$6:$A$45)=0),"",IF(COUNTIFS('Leave log'!$A$7:$A$306,Employees!$A$9,'Leave log'!$B$7:$B$306,"&lt;="&amp;DATE($B$3,6,29),'Leave log'!$C$7:$C$306,"&gt;="&amp;DATE($B$3,6,29),'Leave log'!$F$7:$F$306,"Pending")&gt;0,"P",""))))</f>
        <v/>
      </c>
      <c r="AE180" s="23" t="str">
        <f>IF(A180="","",IF(IF(OR(DATE($B$3,6,30)&gt;EOMONTH(DATE($B$3,6,1),0),NETWORKDAYS.INTL(DATE($B$3,6,30),DATE($B$3,6,30),1,'Non-working days'!$A$6:$A$45)=0),"",IF(COUNTIFS('Leave log'!$A$7:$A$306,Employees!$A$9,'Leave log'!$B$7:$B$306,"&lt;="&amp;DATE($B$3,6,30),'Leave log'!$C$7:$C$306,"&gt;="&amp;DATE($B$3,6,30),'Leave log'!$F$7:$F$306,"Approved")&gt;0,"A",""))="A","A",IF(OR(DATE($B$3,6,30)&gt;EOMONTH(DATE($B$3,6,1),0),NETWORKDAYS.INTL(DATE($B$3,6,30),DATE($B$3,6,30),1,'Non-working days'!$A$6:$A$45)=0),"",IF(COUNTIFS('Leave log'!$A$7:$A$306,Employees!$A$9,'Leave log'!$B$7:$B$306,"&lt;="&amp;DATE($B$3,6,30),'Leave log'!$C$7:$C$306,"&gt;="&amp;DATE($B$3,6,30),'Leave log'!$F$7:$F$306,"Pending")&gt;0,"P",""))))</f>
        <v/>
      </c>
      <c r="AF180" s="23" t="str">
        <f>IF(A180="","",IF(IF(OR(DATE($B$3,6,31)&gt;EOMONTH(DATE($B$3,6,1),0),NETWORKDAYS.INTL(DATE($B$3,6,31),DATE($B$3,6,31),1,'Non-working days'!$A$6:$A$45)=0),"",IF(COUNTIFS('Leave log'!$A$7:$A$306,Employees!$A$9,'Leave log'!$B$7:$B$306,"&lt;="&amp;DATE($B$3,6,31),'Leave log'!$C$7:$C$306,"&gt;="&amp;DATE($B$3,6,31),'Leave log'!$F$7:$F$306,"Approved")&gt;0,"A",""))="A","A",IF(OR(DATE($B$3,6,31)&gt;EOMONTH(DATE($B$3,6,1),0),NETWORKDAYS.INTL(DATE($B$3,6,31),DATE($B$3,6,31),1,'Non-working days'!$A$6:$A$45)=0),"",IF(COUNTIFS('Leave log'!$A$7:$A$306,Employees!$A$9,'Leave log'!$B$7:$B$306,"&lt;="&amp;DATE($B$3,6,31),'Leave log'!$C$7:$C$306,"&gt;="&amp;DATE($B$3,6,31),'Leave log'!$F$7:$F$306,"Pending")&gt;0,"P",""))))</f>
        <v/>
      </c>
    </row>
    <row r="181" spans="1:32" ht="18" customHeight="1" x14ac:dyDescent="0.3">
      <c r="A181" s="22" t="str">
        <f>IF(Employees!F10="Yes",Employees!B10,"")</f>
        <v/>
      </c>
      <c r="B181" s="23" t="str">
        <f>IF(A181="","",IF(IF(OR(DATE($B$3,6,1)&gt;EOMONTH(DATE($B$3,6,1),0),NETWORKDAYS.INTL(DATE($B$3,6,1),DATE($B$3,6,1),1,'Non-working days'!$A$6:$A$45)=0),"",IF(COUNTIFS('Leave log'!$A$7:$A$306,Employees!$A$10,'Leave log'!$B$7:$B$306,"&lt;="&amp;DATE($B$3,6,1),'Leave log'!$C$7:$C$306,"&gt;="&amp;DATE($B$3,6,1),'Leave log'!$F$7:$F$306,"Approved")&gt;0,"A",""))="A","A",IF(OR(DATE($B$3,6,1)&gt;EOMONTH(DATE($B$3,6,1),0),NETWORKDAYS.INTL(DATE($B$3,6,1),DATE($B$3,6,1),1,'Non-working days'!$A$6:$A$45)=0),"",IF(COUNTIFS('Leave log'!$A$7:$A$306,Employees!$A$10,'Leave log'!$B$7:$B$306,"&lt;="&amp;DATE($B$3,6,1),'Leave log'!$C$7:$C$306,"&gt;="&amp;DATE($B$3,6,1),'Leave log'!$F$7:$F$306,"Pending")&gt;0,"P",""))))</f>
        <v/>
      </c>
      <c r="C181" s="23" t="str">
        <f>IF(A181="","",IF(IF(OR(DATE($B$3,6,2)&gt;EOMONTH(DATE($B$3,6,1),0),NETWORKDAYS.INTL(DATE($B$3,6,2),DATE($B$3,6,2),1,'Non-working days'!$A$6:$A$45)=0),"",IF(COUNTIFS('Leave log'!$A$7:$A$306,Employees!$A$10,'Leave log'!$B$7:$B$306,"&lt;="&amp;DATE($B$3,6,2),'Leave log'!$C$7:$C$306,"&gt;="&amp;DATE($B$3,6,2),'Leave log'!$F$7:$F$306,"Approved")&gt;0,"A",""))="A","A",IF(OR(DATE($B$3,6,2)&gt;EOMONTH(DATE($B$3,6,1),0),NETWORKDAYS.INTL(DATE($B$3,6,2),DATE($B$3,6,2),1,'Non-working days'!$A$6:$A$45)=0),"",IF(COUNTIFS('Leave log'!$A$7:$A$306,Employees!$A$10,'Leave log'!$B$7:$B$306,"&lt;="&amp;DATE($B$3,6,2),'Leave log'!$C$7:$C$306,"&gt;="&amp;DATE($B$3,6,2),'Leave log'!$F$7:$F$306,"Pending")&gt;0,"P",""))))</f>
        <v/>
      </c>
      <c r="D181" s="23" t="str">
        <f>IF(A181="","",IF(IF(OR(DATE($B$3,6,3)&gt;EOMONTH(DATE($B$3,6,1),0),NETWORKDAYS.INTL(DATE($B$3,6,3),DATE($B$3,6,3),1,'Non-working days'!$A$6:$A$45)=0),"",IF(COUNTIFS('Leave log'!$A$7:$A$306,Employees!$A$10,'Leave log'!$B$7:$B$306,"&lt;="&amp;DATE($B$3,6,3),'Leave log'!$C$7:$C$306,"&gt;="&amp;DATE($B$3,6,3),'Leave log'!$F$7:$F$306,"Approved")&gt;0,"A",""))="A","A",IF(OR(DATE($B$3,6,3)&gt;EOMONTH(DATE($B$3,6,1),0),NETWORKDAYS.INTL(DATE($B$3,6,3),DATE($B$3,6,3),1,'Non-working days'!$A$6:$A$45)=0),"",IF(COUNTIFS('Leave log'!$A$7:$A$306,Employees!$A$10,'Leave log'!$B$7:$B$306,"&lt;="&amp;DATE($B$3,6,3),'Leave log'!$C$7:$C$306,"&gt;="&amp;DATE($B$3,6,3),'Leave log'!$F$7:$F$306,"Pending")&gt;0,"P",""))))</f>
        <v/>
      </c>
      <c r="E181" s="23" t="str">
        <f>IF(A181="","",IF(IF(OR(DATE($B$3,6,4)&gt;EOMONTH(DATE($B$3,6,1),0),NETWORKDAYS.INTL(DATE($B$3,6,4),DATE($B$3,6,4),1,'Non-working days'!$A$6:$A$45)=0),"",IF(COUNTIFS('Leave log'!$A$7:$A$306,Employees!$A$10,'Leave log'!$B$7:$B$306,"&lt;="&amp;DATE($B$3,6,4),'Leave log'!$C$7:$C$306,"&gt;="&amp;DATE($B$3,6,4),'Leave log'!$F$7:$F$306,"Approved")&gt;0,"A",""))="A","A",IF(OR(DATE($B$3,6,4)&gt;EOMONTH(DATE($B$3,6,1),0),NETWORKDAYS.INTL(DATE($B$3,6,4),DATE($B$3,6,4),1,'Non-working days'!$A$6:$A$45)=0),"",IF(COUNTIFS('Leave log'!$A$7:$A$306,Employees!$A$10,'Leave log'!$B$7:$B$306,"&lt;="&amp;DATE($B$3,6,4),'Leave log'!$C$7:$C$306,"&gt;="&amp;DATE($B$3,6,4),'Leave log'!$F$7:$F$306,"Pending")&gt;0,"P",""))))</f>
        <v/>
      </c>
      <c r="F181" s="23" t="str">
        <f>IF(A181="","",IF(IF(OR(DATE($B$3,6,5)&gt;EOMONTH(DATE($B$3,6,1),0),NETWORKDAYS.INTL(DATE($B$3,6,5),DATE($B$3,6,5),1,'Non-working days'!$A$6:$A$45)=0),"",IF(COUNTIFS('Leave log'!$A$7:$A$306,Employees!$A$10,'Leave log'!$B$7:$B$306,"&lt;="&amp;DATE($B$3,6,5),'Leave log'!$C$7:$C$306,"&gt;="&amp;DATE($B$3,6,5),'Leave log'!$F$7:$F$306,"Approved")&gt;0,"A",""))="A","A",IF(OR(DATE($B$3,6,5)&gt;EOMONTH(DATE($B$3,6,1),0),NETWORKDAYS.INTL(DATE($B$3,6,5),DATE($B$3,6,5),1,'Non-working days'!$A$6:$A$45)=0),"",IF(COUNTIFS('Leave log'!$A$7:$A$306,Employees!$A$10,'Leave log'!$B$7:$B$306,"&lt;="&amp;DATE($B$3,6,5),'Leave log'!$C$7:$C$306,"&gt;="&amp;DATE($B$3,6,5),'Leave log'!$F$7:$F$306,"Pending")&gt;0,"P",""))))</f>
        <v/>
      </c>
      <c r="G181" s="23" t="str">
        <f>IF(A181="","",IF(IF(OR(DATE($B$3,6,6)&gt;EOMONTH(DATE($B$3,6,1),0),NETWORKDAYS.INTL(DATE($B$3,6,6),DATE($B$3,6,6),1,'Non-working days'!$A$6:$A$45)=0),"",IF(COUNTIFS('Leave log'!$A$7:$A$306,Employees!$A$10,'Leave log'!$B$7:$B$306,"&lt;="&amp;DATE($B$3,6,6),'Leave log'!$C$7:$C$306,"&gt;="&amp;DATE($B$3,6,6),'Leave log'!$F$7:$F$306,"Approved")&gt;0,"A",""))="A","A",IF(OR(DATE($B$3,6,6)&gt;EOMONTH(DATE($B$3,6,1),0),NETWORKDAYS.INTL(DATE($B$3,6,6),DATE($B$3,6,6),1,'Non-working days'!$A$6:$A$45)=0),"",IF(COUNTIFS('Leave log'!$A$7:$A$306,Employees!$A$10,'Leave log'!$B$7:$B$306,"&lt;="&amp;DATE($B$3,6,6),'Leave log'!$C$7:$C$306,"&gt;="&amp;DATE($B$3,6,6),'Leave log'!$F$7:$F$306,"Pending")&gt;0,"P",""))))</f>
        <v/>
      </c>
      <c r="H181" s="23" t="str">
        <f>IF(A181="","",IF(IF(OR(DATE($B$3,6,7)&gt;EOMONTH(DATE($B$3,6,1),0),NETWORKDAYS.INTL(DATE($B$3,6,7),DATE($B$3,6,7),1,'Non-working days'!$A$6:$A$45)=0),"",IF(COUNTIFS('Leave log'!$A$7:$A$306,Employees!$A$10,'Leave log'!$B$7:$B$306,"&lt;="&amp;DATE($B$3,6,7),'Leave log'!$C$7:$C$306,"&gt;="&amp;DATE($B$3,6,7),'Leave log'!$F$7:$F$306,"Approved")&gt;0,"A",""))="A","A",IF(OR(DATE($B$3,6,7)&gt;EOMONTH(DATE($B$3,6,1),0),NETWORKDAYS.INTL(DATE($B$3,6,7),DATE($B$3,6,7),1,'Non-working days'!$A$6:$A$45)=0),"",IF(COUNTIFS('Leave log'!$A$7:$A$306,Employees!$A$10,'Leave log'!$B$7:$B$306,"&lt;="&amp;DATE($B$3,6,7),'Leave log'!$C$7:$C$306,"&gt;="&amp;DATE($B$3,6,7),'Leave log'!$F$7:$F$306,"Pending")&gt;0,"P",""))))</f>
        <v/>
      </c>
      <c r="I181" s="23" t="str">
        <f>IF(A181="","",IF(IF(OR(DATE($B$3,6,8)&gt;EOMONTH(DATE($B$3,6,1),0),NETWORKDAYS.INTL(DATE($B$3,6,8),DATE($B$3,6,8),1,'Non-working days'!$A$6:$A$45)=0),"",IF(COUNTIFS('Leave log'!$A$7:$A$306,Employees!$A$10,'Leave log'!$B$7:$B$306,"&lt;="&amp;DATE($B$3,6,8),'Leave log'!$C$7:$C$306,"&gt;="&amp;DATE($B$3,6,8),'Leave log'!$F$7:$F$306,"Approved")&gt;0,"A",""))="A","A",IF(OR(DATE($B$3,6,8)&gt;EOMONTH(DATE($B$3,6,1),0),NETWORKDAYS.INTL(DATE($B$3,6,8),DATE($B$3,6,8),1,'Non-working days'!$A$6:$A$45)=0),"",IF(COUNTIFS('Leave log'!$A$7:$A$306,Employees!$A$10,'Leave log'!$B$7:$B$306,"&lt;="&amp;DATE($B$3,6,8),'Leave log'!$C$7:$C$306,"&gt;="&amp;DATE($B$3,6,8),'Leave log'!$F$7:$F$306,"Pending")&gt;0,"P",""))))</f>
        <v/>
      </c>
      <c r="J181" s="23" t="str">
        <f>IF(A181="","",IF(IF(OR(DATE($B$3,6,9)&gt;EOMONTH(DATE($B$3,6,1),0),NETWORKDAYS.INTL(DATE($B$3,6,9),DATE($B$3,6,9),1,'Non-working days'!$A$6:$A$45)=0),"",IF(COUNTIFS('Leave log'!$A$7:$A$306,Employees!$A$10,'Leave log'!$B$7:$B$306,"&lt;="&amp;DATE($B$3,6,9),'Leave log'!$C$7:$C$306,"&gt;="&amp;DATE($B$3,6,9),'Leave log'!$F$7:$F$306,"Approved")&gt;0,"A",""))="A","A",IF(OR(DATE($B$3,6,9)&gt;EOMONTH(DATE($B$3,6,1),0),NETWORKDAYS.INTL(DATE($B$3,6,9),DATE($B$3,6,9),1,'Non-working days'!$A$6:$A$45)=0),"",IF(COUNTIFS('Leave log'!$A$7:$A$306,Employees!$A$10,'Leave log'!$B$7:$B$306,"&lt;="&amp;DATE($B$3,6,9),'Leave log'!$C$7:$C$306,"&gt;="&amp;DATE($B$3,6,9),'Leave log'!$F$7:$F$306,"Pending")&gt;0,"P",""))))</f>
        <v/>
      </c>
      <c r="K181" s="23" t="str">
        <f>IF(A181="","",IF(IF(OR(DATE($B$3,6,10)&gt;EOMONTH(DATE($B$3,6,1),0),NETWORKDAYS.INTL(DATE($B$3,6,10),DATE($B$3,6,10),1,'Non-working days'!$A$6:$A$45)=0),"",IF(COUNTIFS('Leave log'!$A$7:$A$306,Employees!$A$10,'Leave log'!$B$7:$B$306,"&lt;="&amp;DATE($B$3,6,10),'Leave log'!$C$7:$C$306,"&gt;="&amp;DATE($B$3,6,10),'Leave log'!$F$7:$F$306,"Approved")&gt;0,"A",""))="A","A",IF(OR(DATE($B$3,6,10)&gt;EOMONTH(DATE($B$3,6,1),0),NETWORKDAYS.INTL(DATE($B$3,6,10),DATE($B$3,6,10),1,'Non-working days'!$A$6:$A$45)=0),"",IF(COUNTIFS('Leave log'!$A$7:$A$306,Employees!$A$10,'Leave log'!$B$7:$B$306,"&lt;="&amp;DATE($B$3,6,10),'Leave log'!$C$7:$C$306,"&gt;="&amp;DATE($B$3,6,10),'Leave log'!$F$7:$F$306,"Pending")&gt;0,"P",""))))</f>
        <v/>
      </c>
      <c r="L181" s="23" t="str">
        <f>IF(A181="","",IF(IF(OR(DATE($B$3,6,11)&gt;EOMONTH(DATE($B$3,6,1),0),NETWORKDAYS.INTL(DATE($B$3,6,11),DATE($B$3,6,11),1,'Non-working days'!$A$6:$A$45)=0),"",IF(COUNTIFS('Leave log'!$A$7:$A$306,Employees!$A$10,'Leave log'!$B$7:$B$306,"&lt;="&amp;DATE($B$3,6,11),'Leave log'!$C$7:$C$306,"&gt;="&amp;DATE($B$3,6,11),'Leave log'!$F$7:$F$306,"Approved")&gt;0,"A",""))="A","A",IF(OR(DATE($B$3,6,11)&gt;EOMONTH(DATE($B$3,6,1),0),NETWORKDAYS.INTL(DATE($B$3,6,11),DATE($B$3,6,11),1,'Non-working days'!$A$6:$A$45)=0),"",IF(COUNTIFS('Leave log'!$A$7:$A$306,Employees!$A$10,'Leave log'!$B$7:$B$306,"&lt;="&amp;DATE($B$3,6,11),'Leave log'!$C$7:$C$306,"&gt;="&amp;DATE($B$3,6,11),'Leave log'!$F$7:$F$306,"Pending")&gt;0,"P",""))))</f>
        <v/>
      </c>
      <c r="M181" s="23" t="str">
        <f>IF(A181="","",IF(IF(OR(DATE($B$3,6,12)&gt;EOMONTH(DATE($B$3,6,1),0),NETWORKDAYS.INTL(DATE($B$3,6,12),DATE($B$3,6,12),1,'Non-working days'!$A$6:$A$45)=0),"",IF(COUNTIFS('Leave log'!$A$7:$A$306,Employees!$A$10,'Leave log'!$B$7:$B$306,"&lt;="&amp;DATE($B$3,6,12),'Leave log'!$C$7:$C$306,"&gt;="&amp;DATE($B$3,6,12),'Leave log'!$F$7:$F$306,"Approved")&gt;0,"A",""))="A","A",IF(OR(DATE($B$3,6,12)&gt;EOMONTH(DATE($B$3,6,1),0),NETWORKDAYS.INTL(DATE($B$3,6,12),DATE($B$3,6,12),1,'Non-working days'!$A$6:$A$45)=0),"",IF(COUNTIFS('Leave log'!$A$7:$A$306,Employees!$A$10,'Leave log'!$B$7:$B$306,"&lt;="&amp;DATE($B$3,6,12),'Leave log'!$C$7:$C$306,"&gt;="&amp;DATE($B$3,6,12),'Leave log'!$F$7:$F$306,"Pending")&gt;0,"P",""))))</f>
        <v/>
      </c>
      <c r="N181" s="23" t="str">
        <f>IF(A181="","",IF(IF(OR(DATE($B$3,6,13)&gt;EOMONTH(DATE($B$3,6,1),0),NETWORKDAYS.INTL(DATE($B$3,6,13),DATE($B$3,6,13),1,'Non-working days'!$A$6:$A$45)=0),"",IF(COUNTIFS('Leave log'!$A$7:$A$306,Employees!$A$10,'Leave log'!$B$7:$B$306,"&lt;="&amp;DATE($B$3,6,13),'Leave log'!$C$7:$C$306,"&gt;="&amp;DATE($B$3,6,13),'Leave log'!$F$7:$F$306,"Approved")&gt;0,"A",""))="A","A",IF(OR(DATE($B$3,6,13)&gt;EOMONTH(DATE($B$3,6,1),0),NETWORKDAYS.INTL(DATE($B$3,6,13),DATE($B$3,6,13),1,'Non-working days'!$A$6:$A$45)=0),"",IF(COUNTIFS('Leave log'!$A$7:$A$306,Employees!$A$10,'Leave log'!$B$7:$B$306,"&lt;="&amp;DATE($B$3,6,13),'Leave log'!$C$7:$C$306,"&gt;="&amp;DATE($B$3,6,13),'Leave log'!$F$7:$F$306,"Pending")&gt;0,"P",""))))</f>
        <v/>
      </c>
      <c r="O181" s="23" t="str">
        <f>IF(A181="","",IF(IF(OR(DATE($B$3,6,14)&gt;EOMONTH(DATE($B$3,6,1),0),NETWORKDAYS.INTL(DATE($B$3,6,14),DATE($B$3,6,14),1,'Non-working days'!$A$6:$A$45)=0),"",IF(COUNTIFS('Leave log'!$A$7:$A$306,Employees!$A$10,'Leave log'!$B$7:$B$306,"&lt;="&amp;DATE($B$3,6,14),'Leave log'!$C$7:$C$306,"&gt;="&amp;DATE($B$3,6,14),'Leave log'!$F$7:$F$306,"Approved")&gt;0,"A",""))="A","A",IF(OR(DATE($B$3,6,14)&gt;EOMONTH(DATE($B$3,6,1),0),NETWORKDAYS.INTL(DATE($B$3,6,14),DATE($B$3,6,14),1,'Non-working days'!$A$6:$A$45)=0),"",IF(COUNTIFS('Leave log'!$A$7:$A$306,Employees!$A$10,'Leave log'!$B$7:$B$306,"&lt;="&amp;DATE($B$3,6,14),'Leave log'!$C$7:$C$306,"&gt;="&amp;DATE($B$3,6,14),'Leave log'!$F$7:$F$306,"Pending")&gt;0,"P",""))))</f>
        <v/>
      </c>
      <c r="P181" s="23" t="str">
        <f>IF(A181="","",IF(IF(OR(DATE($B$3,6,15)&gt;EOMONTH(DATE($B$3,6,1),0),NETWORKDAYS.INTL(DATE($B$3,6,15),DATE($B$3,6,15),1,'Non-working days'!$A$6:$A$45)=0),"",IF(COUNTIFS('Leave log'!$A$7:$A$306,Employees!$A$10,'Leave log'!$B$7:$B$306,"&lt;="&amp;DATE($B$3,6,15),'Leave log'!$C$7:$C$306,"&gt;="&amp;DATE($B$3,6,15),'Leave log'!$F$7:$F$306,"Approved")&gt;0,"A",""))="A","A",IF(OR(DATE($B$3,6,15)&gt;EOMONTH(DATE($B$3,6,1),0),NETWORKDAYS.INTL(DATE($B$3,6,15),DATE($B$3,6,15),1,'Non-working days'!$A$6:$A$45)=0),"",IF(COUNTIFS('Leave log'!$A$7:$A$306,Employees!$A$10,'Leave log'!$B$7:$B$306,"&lt;="&amp;DATE($B$3,6,15),'Leave log'!$C$7:$C$306,"&gt;="&amp;DATE($B$3,6,15),'Leave log'!$F$7:$F$306,"Pending")&gt;0,"P",""))))</f>
        <v/>
      </c>
      <c r="Q181" s="23" t="str">
        <f>IF(A181="","",IF(IF(OR(DATE($B$3,6,16)&gt;EOMONTH(DATE($B$3,6,1),0),NETWORKDAYS.INTL(DATE($B$3,6,16),DATE($B$3,6,16),1,'Non-working days'!$A$6:$A$45)=0),"",IF(COUNTIFS('Leave log'!$A$7:$A$306,Employees!$A$10,'Leave log'!$B$7:$B$306,"&lt;="&amp;DATE($B$3,6,16),'Leave log'!$C$7:$C$306,"&gt;="&amp;DATE($B$3,6,16),'Leave log'!$F$7:$F$306,"Approved")&gt;0,"A",""))="A","A",IF(OR(DATE($B$3,6,16)&gt;EOMONTH(DATE($B$3,6,1),0),NETWORKDAYS.INTL(DATE($B$3,6,16),DATE($B$3,6,16),1,'Non-working days'!$A$6:$A$45)=0),"",IF(COUNTIFS('Leave log'!$A$7:$A$306,Employees!$A$10,'Leave log'!$B$7:$B$306,"&lt;="&amp;DATE($B$3,6,16),'Leave log'!$C$7:$C$306,"&gt;="&amp;DATE($B$3,6,16),'Leave log'!$F$7:$F$306,"Pending")&gt;0,"P",""))))</f>
        <v/>
      </c>
      <c r="R181" s="23" t="str">
        <f>IF(A181="","",IF(IF(OR(DATE($B$3,6,17)&gt;EOMONTH(DATE($B$3,6,1),0),NETWORKDAYS.INTL(DATE($B$3,6,17),DATE($B$3,6,17),1,'Non-working days'!$A$6:$A$45)=0),"",IF(COUNTIFS('Leave log'!$A$7:$A$306,Employees!$A$10,'Leave log'!$B$7:$B$306,"&lt;="&amp;DATE($B$3,6,17),'Leave log'!$C$7:$C$306,"&gt;="&amp;DATE($B$3,6,17),'Leave log'!$F$7:$F$306,"Approved")&gt;0,"A",""))="A","A",IF(OR(DATE($B$3,6,17)&gt;EOMONTH(DATE($B$3,6,1),0),NETWORKDAYS.INTL(DATE($B$3,6,17),DATE($B$3,6,17),1,'Non-working days'!$A$6:$A$45)=0),"",IF(COUNTIFS('Leave log'!$A$7:$A$306,Employees!$A$10,'Leave log'!$B$7:$B$306,"&lt;="&amp;DATE($B$3,6,17),'Leave log'!$C$7:$C$306,"&gt;="&amp;DATE($B$3,6,17),'Leave log'!$F$7:$F$306,"Pending")&gt;0,"P",""))))</f>
        <v/>
      </c>
      <c r="S181" s="23" t="str">
        <f>IF(A181="","",IF(IF(OR(DATE($B$3,6,18)&gt;EOMONTH(DATE($B$3,6,1),0),NETWORKDAYS.INTL(DATE($B$3,6,18),DATE($B$3,6,18),1,'Non-working days'!$A$6:$A$45)=0),"",IF(COUNTIFS('Leave log'!$A$7:$A$306,Employees!$A$10,'Leave log'!$B$7:$B$306,"&lt;="&amp;DATE($B$3,6,18),'Leave log'!$C$7:$C$306,"&gt;="&amp;DATE($B$3,6,18),'Leave log'!$F$7:$F$306,"Approved")&gt;0,"A",""))="A","A",IF(OR(DATE($B$3,6,18)&gt;EOMONTH(DATE($B$3,6,1),0),NETWORKDAYS.INTL(DATE($B$3,6,18),DATE($B$3,6,18),1,'Non-working days'!$A$6:$A$45)=0),"",IF(COUNTIFS('Leave log'!$A$7:$A$306,Employees!$A$10,'Leave log'!$B$7:$B$306,"&lt;="&amp;DATE($B$3,6,18),'Leave log'!$C$7:$C$306,"&gt;="&amp;DATE($B$3,6,18),'Leave log'!$F$7:$F$306,"Pending")&gt;0,"P",""))))</f>
        <v/>
      </c>
      <c r="T181" s="23" t="str">
        <f>IF(A181="","",IF(IF(OR(DATE($B$3,6,19)&gt;EOMONTH(DATE($B$3,6,1),0),NETWORKDAYS.INTL(DATE($B$3,6,19),DATE($B$3,6,19),1,'Non-working days'!$A$6:$A$45)=0),"",IF(COUNTIFS('Leave log'!$A$7:$A$306,Employees!$A$10,'Leave log'!$B$7:$B$306,"&lt;="&amp;DATE($B$3,6,19),'Leave log'!$C$7:$C$306,"&gt;="&amp;DATE($B$3,6,19),'Leave log'!$F$7:$F$306,"Approved")&gt;0,"A",""))="A","A",IF(OR(DATE($B$3,6,19)&gt;EOMONTH(DATE($B$3,6,1),0),NETWORKDAYS.INTL(DATE($B$3,6,19),DATE($B$3,6,19),1,'Non-working days'!$A$6:$A$45)=0),"",IF(COUNTIFS('Leave log'!$A$7:$A$306,Employees!$A$10,'Leave log'!$B$7:$B$306,"&lt;="&amp;DATE($B$3,6,19),'Leave log'!$C$7:$C$306,"&gt;="&amp;DATE($B$3,6,19),'Leave log'!$F$7:$F$306,"Pending")&gt;0,"P",""))))</f>
        <v/>
      </c>
      <c r="U181" s="23" t="str">
        <f>IF(A181="","",IF(IF(OR(DATE($B$3,6,20)&gt;EOMONTH(DATE($B$3,6,1),0),NETWORKDAYS.INTL(DATE($B$3,6,20),DATE($B$3,6,20),1,'Non-working days'!$A$6:$A$45)=0),"",IF(COUNTIFS('Leave log'!$A$7:$A$306,Employees!$A$10,'Leave log'!$B$7:$B$306,"&lt;="&amp;DATE($B$3,6,20),'Leave log'!$C$7:$C$306,"&gt;="&amp;DATE($B$3,6,20),'Leave log'!$F$7:$F$306,"Approved")&gt;0,"A",""))="A","A",IF(OR(DATE($B$3,6,20)&gt;EOMONTH(DATE($B$3,6,1),0),NETWORKDAYS.INTL(DATE($B$3,6,20),DATE($B$3,6,20),1,'Non-working days'!$A$6:$A$45)=0),"",IF(COUNTIFS('Leave log'!$A$7:$A$306,Employees!$A$10,'Leave log'!$B$7:$B$306,"&lt;="&amp;DATE($B$3,6,20),'Leave log'!$C$7:$C$306,"&gt;="&amp;DATE($B$3,6,20),'Leave log'!$F$7:$F$306,"Pending")&gt;0,"P",""))))</f>
        <v/>
      </c>
      <c r="V181" s="23" t="str">
        <f>IF(A181="","",IF(IF(OR(DATE($B$3,6,21)&gt;EOMONTH(DATE($B$3,6,1),0),NETWORKDAYS.INTL(DATE($B$3,6,21),DATE($B$3,6,21),1,'Non-working days'!$A$6:$A$45)=0),"",IF(COUNTIFS('Leave log'!$A$7:$A$306,Employees!$A$10,'Leave log'!$B$7:$B$306,"&lt;="&amp;DATE($B$3,6,21),'Leave log'!$C$7:$C$306,"&gt;="&amp;DATE($B$3,6,21),'Leave log'!$F$7:$F$306,"Approved")&gt;0,"A",""))="A","A",IF(OR(DATE($B$3,6,21)&gt;EOMONTH(DATE($B$3,6,1),0),NETWORKDAYS.INTL(DATE($B$3,6,21),DATE($B$3,6,21),1,'Non-working days'!$A$6:$A$45)=0),"",IF(COUNTIFS('Leave log'!$A$7:$A$306,Employees!$A$10,'Leave log'!$B$7:$B$306,"&lt;="&amp;DATE($B$3,6,21),'Leave log'!$C$7:$C$306,"&gt;="&amp;DATE($B$3,6,21),'Leave log'!$F$7:$F$306,"Pending")&gt;0,"P",""))))</f>
        <v/>
      </c>
      <c r="W181" s="23" t="str">
        <f>IF(A181="","",IF(IF(OR(DATE($B$3,6,22)&gt;EOMONTH(DATE($B$3,6,1),0),NETWORKDAYS.INTL(DATE($B$3,6,22),DATE($B$3,6,22),1,'Non-working days'!$A$6:$A$45)=0),"",IF(COUNTIFS('Leave log'!$A$7:$A$306,Employees!$A$10,'Leave log'!$B$7:$B$306,"&lt;="&amp;DATE($B$3,6,22),'Leave log'!$C$7:$C$306,"&gt;="&amp;DATE($B$3,6,22),'Leave log'!$F$7:$F$306,"Approved")&gt;0,"A",""))="A","A",IF(OR(DATE($B$3,6,22)&gt;EOMONTH(DATE($B$3,6,1),0),NETWORKDAYS.INTL(DATE($B$3,6,22),DATE($B$3,6,22),1,'Non-working days'!$A$6:$A$45)=0),"",IF(COUNTIFS('Leave log'!$A$7:$A$306,Employees!$A$10,'Leave log'!$B$7:$B$306,"&lt;="&amp;DATE($B$3,6,22),'Leave log'!$C$7:$C$306,"&gt;="&amp;DATE($B$3,6,22),'Leave log'!$F$7:$F$306,"Pending")&gt;0,"P",""))))</f>
        <v/>
      </c>
      <c r="X181" s="23" t="str">
        <f>IF(A181="","",IF(IF(OR(DATE($B$3,6,23)&gt;EOMONTH(DATE($B$3,6,1),0),NETWORKDAYS.INTL(DATE($B$3,6,23),DATE($B$3,6,23),1,'Non-working days'!$A$6:$A$45)=0),"",IF(COUNTIFS('Leave log'!$A$7:$A$306,Employees!$A$10,'Leave log'!$B$7:$B$306,"&lt;="&amp;DATE($B$3,6,23),'Leave log'!$C$7:$C$306,"&gt;="&amp;DATE($B$3,6,23),'Leave log'!$F$7:$F$306,"Approved")&gt;0,"A",""))="A","A",IF(OR(DATE($B$3,6,23)&gt;EOMONTH(DATE($B$3,6,1),0),NETWORKDAYS.INTL(DATE($B$3,6,23),DATE($B$3,6,23),1,'Non-working days'!$A$6:$A$45)=0),"",IF(COUNTIFS('Leave log'!$A$7:$A$306,Employees!$A$10,'Leave log'!$B$7:$B$306,"&lt;="&amp;DATE($B$3,6,23),'Leave log'!$C$7:$C$306,"&gt;="&amp;DATE($B$3,6,23),'Leave log'!$F$7:$F$306,"Pending")&gt;0,"P",""))))</f>
        <v/>
      </c>
      <c r="Y181" s="23" t="str">
        <f>IF(A181="","",IF(IF(OR(DATE($B$3,6,24)&gt;EOMONTH(DATE($B$3,6,1),0),NETWORKDAYS.INTL(DATE($B$3,6,24),DATE($B$3,6,24),1,'Non-working days'!$A$6:$A$45)=0),"",IF(COUNTIFS('Leave log'!$A$7:$A$306,Employees!$A$10,'Leave log'!$B$7:$B$306,"&lt;="&amp;DATE($B$3,6,24),'Leave log'!$C$7:$C$306,"&gt;="&amp;DATE($B$3,6,24),'Leave log'!$F$7:$F$306,"Approved")&gt;0,"A",""))="A","A",IF(OR(DATE($B$3,6,24)&gt;EOMONTH(DATE($B$3,6,1),0),NETWORKDAYS.INTL(DATE($B$3,6,24),DATE($B$3,6,24),1,'Non-working days'!$A$6:$A$45)=0),"",IF(COUNTIFS('Leave log'!$A$7:$A$306,Employees!$A$10,'Leave log'!$B$7:$B$306,"&lt;="&amp;DATE($B$3,6,24),'Leave log'!$C$7:$C$306,"&gt;="&amp;DATE($B$3,6,24),'Leave log'!$F$7:$F$306,"Pending")&gt;0,"P",""))))</f>
        <v/>
      </c>
      <c r="Z181" s="23" t="str">
        <f>IF(A181="","",IF(IF(OR(DATE($B$3,6,25)&gt;EOMONTH(DATE($B$3,6,1),0),NETWORKDAYS.INTL(DATE($B$3,6,25),DATE($B$3,6,25),1,'Non-working days'!$A$6:$A$45)=0),"",IF(COUNTIFS('Leave log'!$A$7:$A$306,Employees!$A$10,'Leave log'!$B$7:$B$306,"&lt;="&amp;DATE($B$3,6,25),'Leave log'!$C$7:$C$306,"&gt;="&amp;DATE($B$3,6,25),'Leave log'!$F$7:$F$306,"Approved")&gt;0,"A",""))="A","A",IF(OR(DATE($B$3,6,25)&gt;EOMONTH(DATE($B$3,6,1),0),NETWORKDAYS.INTL(DATE($B$3,6,25),DATE($B$3,6,25),1,'Non-working days'!$A$6:$A$45)=0),"",IF(COUNTIFS('Leave log'!$A$7:$A$306,Employees!$A$10,'Leave log'!$B$7:$B$306,"&lt;="&amp;DATE($B$3,6,25),'Leave log'!$C$7:$C$306,"&gt;="&amp;DATE($B$3,6,25),'Leave log'!$F$7:$F$306,"Pending")&gt;0,"P",""))))</f>
        <v/>
      </c>
      <c r="AA181" s="23" t="str">
        <f>IF(A181="","",IF(IF(OR(DATE($B$3,6,26)&gt;EOMONTH(DATE($B$3,6,1),0),NETWORKDAYS.INTL(DATE($B$3,6,26),DATE($B$3,6,26),1,'Non-working days'!$A$6:$A$45)=0),"",IF(COUNTIFS('Leave log'!$A$7:$A$306,Employees!$A$10,'Leave log'!$B$7:$B$306,"&lt;="&amp;DATE($B$3,6,26),'Leave log'!$C$7:$C$306,"&gt;="&amp;DATE($B$3,6,26),'Leave log'!$F$7:$F$306,"Approved")&gt;0,"A",""))="A","A",IF(OR(DATE($B$3,6,26)&gt;EOMONTH(DATE($B$3,6,1),0),NETWORKDAYS.INTL(DATE($B$3,6,26),DATE($B$3,6,26),1,'Non-working days'!$A$6:$A$45)=0),"",IF(COUNTIFS('Leave log'!$A$7:$A$306,Employees!$A$10,'Leave log'!$B$7:$B$306,"&lt;="&amp;DATE($B$3,6,26),'Leave log'!$C$7:$C$306,"&gt;="&amp;DATE($B$3,6,26),'Leave log'!$F$7:$F$306,"Pending")&gt;0,"P",""))))</f>
        <v/>
      </c>
      <c r="AB181" s="23" t="str">
        <f>IF(A181="","",IF(IF(OR(DATE($B$3,6,27)&gt;EOMONTH(DATE($B$3,6,1),0),NETWORKDAYS.INTL(DATE($B$3,6,27),DATE($B$3,6,27),1,'Non-working days'!$A$6:$A$45)=0),"",IF(COUNTIFS('Leave log'!$A$7:$A$306,Employees!$A$10,'Leave log'!$B$7:$B$306,"&lt;="&amp;DATE($B$3,6,27),'Leave log'!$C$7:$C$306,"&gt;="&amp;DATE($B$3,6,27),'Leave log'!$F$7:$F$306,"Approved")&gt;0,"A",""))="A","A",IF(OR(DATE($B$3,6,27)&gt;EOMONTH(DATE($B$3,6,1),0),NETWORKDAYS.INTL(DATE($B$3,6,27),DATE($B$3,6,27),1,'Non-working days'!$A$6:$A$45)=0),"",IF(COUNTIFS('Leave log'!$A$7:$A$306,Employees!$A$10,'Leave log'!$B$7:$B$306,"&lt;="&amp;DATE($B$3,6,27),'Leave log'!$C$7:$C$306,"&gt;="&amp;DATE($B$3,6,27),'Leave log'!$F$7:$F$306,"Pending")&gt;0,"P",""))))</f>
        <v/>
      </c>
      <c r="AC181" s="23" t="str">
        <f>IF(A181="","",IF(IF(OR(DATE($B$3,6,28)&gt;EOMONTH(DATE($B$3,6,1),0),NETWORKDAYS.INTL(DATE($B$3,6,28),DATE($B$3,6,28),1,'Non-working days'!$A$6:$A$45)=0),"",IF(COUNTIFS('Leave log'!$A$7:$A$306,Employees!$A$10,'Leave log'!$B$7:$B$306,"&lt;="&amp;DATE($B$3,6,28),'Leave log'!$C$7:$C$306,"&gt;="&amp;DATE($B$3,6,28),'Leave log'!$F$7:$F$306,"Approved")&gt;0,"A",""))="A","A",IF(OR(DATE($B$3,6,28)&gt;EOMONTH(DATE($B$3,6,1),0),NETWORKDAYS.INTL(DATE($B$3,6,28),DATE($B$3,6,28),1,'Non-working days'!$A$6:$A$45)=0),"",IF(COUNTIFS('Leave log'!$A$7:$A$306,Employees!$A$10,'Leave log'!$B$7:$B$306,"&lt;="&amp;DATE($B$3,6,28),'Leave log'!$C$7:$C$306,"&gt;="&amp;DATE($B$3,6,28),'Leave log'!$F$7:$F$306,"Pending")&gt;0,"P",""))))</f>
        <v/>
      </c>
      <c r="AD181" s="23" t="str">
        <f>IF(A181="","",IF(IF(OR(DATE($B$3,6,29)&gt;EOMONTH(DATE($B$3,6,1),0),NETWORKDAYS.INTL(DATE($B$3,6,29),DATE($B$3,6,29),1,'Non-working days'!$A$6:$A$45)=0),"",IF(COUNTIFS('Leave log'!$A$7:$A$306,Employees!$A$10,'Leave log'!$B$7:$B$306,"&lt;="&amp;DATE($B$3,6,29),'Leave log'!$C$7:$C$306,"&gt;="&amp;DATE($B$3,6,29),'Leave log'!$F$7:$F$306,"Approved")&gt;0,"A",""))="A","A",IF(OR(DATE($B$3,6,29)&gt;EOMONTH(DATE($B$3,6,1),0),NETWORKDAYS.INTL(DATE($B$3,6,29),DATE($B$3,6,29),1,'Non-working days'!$A$6:$A$45)=0),"",IF(COUNTIFS('Leave log'!$A$7:$A$306,Employees!$A$10,'Leave log'!$B$7:$B$306,"&lt;="&amp;DATE($B$3,6,29),'Leave log'!$C$7:$C$306,"&gt;="&amp;DATE($B$3,6,29),'Leave log'!$F$7:$F$306,"Pending")&gt;0,"P",""))))</f>
        <v/>
      </c>
      <c r="AE181" s="23" t="str">
        <f>IF(A181="","",IF(IF(OR(DATE($B$3,6,30)&gt;EOMONTH(DATE($B$3,6,1),0),NETWORKDAYS.INTL(DATE($B$3,6,30),DATE($B$3,6,30),1,'Non-working days'!$A$6:$A$45)=0),"",IF(COUNTIFS('Leave log'!$A$7:$A$306,Employees!$A$10,'Leave log'!$B$7:$B$306,"&lt;="&amp;DATE($B$3,6,30),'Leave log'!$C$7:$C$306,"&gt;="&amp;DATE($B$3,6,30),'Leave log'!$F$7:$F$306,"Approved")&gt;0,"A",""))="A","A",IF(OR(DATE($B$3,6,30)&gt;EOMONTH(DATE($B$3,6,1),0),NETWORKDAYS.INTL(DATE($B$3,6,30),DATE($B$3,6,30),1,'Non-working days'!$A$6:$A$45)=0),"",IF(COUNTIFS('Leave log'!$A$7:$A$306,Employees!$A$10,'Leave log'!$B$7:$B$306,"&lt;="&amp;DATE($B$3,6,30),'Leave log'!$C$7:$C$306,"&gt;="&amp;DATE($B$3,6,30),'Leave log'!$F$7:$F$306,"Pending")&gt;0,"P",""))))</f>
        <v/>
      </c>
      <c r="AF181" s="23" t="str">
        <f>IF(A181="","",IF(IF(OR(DATE($B$3,6,31)&gt;EOMONTH(DATE($B$3,6,1),0),NETWORKDAYS.INTL(DATE($B$3,6,31),DATE($B$3,6,31),1,'Non-working days'!$A$6:$A$45)=0),"",IF(COUNTIFS('Leave log'!$A$7:$A$306,Employees!$A$10,'Leave log'!$B$7:$B$306,"&lt;="&amp;DATE($B$3,6,31),'Leave log'!$C$7:$C$306,"&gt;="&amp;DATE($B$3,6,31),'Leave log'!$F$7:$F$306,"Approved")&gt;0,"A",""))="A","A",IF(OR(DATE($B$3,6,31)&gt;EOMONTH(DATE($B$3,6,1),0),NETWORKDAYS.INTL(DATE($B$3,6,31),DATE($B$3,6,31),1,'Non-working days'!$A$6:$A$45)=0),"",IF(COUNTIFS('Leave log'!$A$7:$A$306,Employees!$A$10,'Leave log'!$B$7:$B$306,"&lt;="&amp;DATE($B$3,6,31),'Leave log'!$C$7:$C$306,"&gt;="&amp;DATE($B$3,6,31),'Leave log'!$F$7:$F$306,"Pending")&gt;0,"P",""))))</f>
        <v/>
      </c>
    </row>
    <row r="182" spans="1:32" ht="18" customHeight="1" x14ac:dyDescent="0.3">
      <c r="A182" s="22" t="str">
        <f>IF(Employees!F11="Yes",Employees!B11,"")</f>
        <v/>
      </c>
      <c r="B182" s="23" t="str">
        <f>IF(A182="","",IF(IF(OR(DATE($B$3,6,1)&gt;EOMONTH(DATE($B$3,6,1),0),NETWORKDAYS.INTL(DATE($B$3,6,1),DATE($B$3,6,1),1,'Non-working days'!$A$6:$A$45)=0),"",IF(COUNTIFS('Leave log'!$A$7:$A$306,Employees!$A$11,'Leave log'!$B$7:$B$306,"&lt;="&amp;DATE($B$3,6,1),'Leave log'!$C$7:$C$306,"&gt;="&amp;DATE($B$3,6,1),'Leave log'!$F$7:$F$306,"Approved")&gt;0,"A",""))="A","A",IF(OR(DATE($B$3,6,1)&gt;EOMONTH(DATE($B$3,6,1),0),NETWORKDAYS.INTL(DATE($B$3,6,1),DATE($B$3,6,1),1,'Non-working days'!$A$6:$A$45)=0),"",IF(COUNTIFS('Leave log'!$A$7:$A$306,Employees!$A$11,'Leave log'!$B$7:$B$306,"&lt;="&amp;DATE($B$3,6,1),'Leave log'!$C$7:$C$306,"&gt;="&amp;DATE($B$3,6,1),'Leave log'!$F$7:$F$306,"Pending")&gt;0,"P",""))))</f>
        <v/>
      </c>
      <c r="C182" s="23" t="str">
        <f>IF(A182="","",IF(IF(OR(DATE($B$3,6,2)&gt;EOMONTH(DATE($B$3,6,1),0),NETWORKDAYS.INTL(DATE($B$3,6,2),DATE($B$3,6,2),1,'Non-working days'!$A$6:$A$45)=0),"",IF(COUNTIFS('Leave log'!$A$7:$A$306,Employees!$A$11,'Leave log'!$B$7:$B$306,"&lt;="&amp;DATE($B$3,6,2),'Leave log'!$C$7:$C$306,"&gt;="&amp;DATE($B$3,6,2),'Leave log'!$F$7:$F$306,"Approved")&gt;0,"A",""))="A","A",IF(OR(DATE($B$3,6,2)&gt;EOMONTH(DATE($B$3,6,1),0),NETWORKDAYS.INTL(DATE($B$3,6,2),DATE($B$3,6,2),1,'Non-working days'!$A$6:$A$45)=0),"",IF(COUNTIFS('Leave log'!$A$7:$A$306,Employees!$A$11,'Leave log'!$B$7:$B$306,"&lt;="&amp;DATE($B$3,6,2),'Leave log'!$C$7:$C$306,"&gt;="&amp;DATE($B$3,6,2),'Leave log'!$F$7:$F$306,"Pending")&gt;0,"P",""))))</f>
        <v/>
      </c>
      <c r="D182" s="23" t="str">
        <f>IF(A182="","",IF(IF(OR(DATE($B$3,6,3)&gt;EOMONTH(DATE($B$3,6,1),0),NETWORKDAYS.INTL(DATE($B$3,6,3),DATE($B$3,6,3),1,'Non-working days'!$A$6:$A$45)=0),"",IF(COUNTIFS('Leave log'!$A$7:$A$306,Employees!$A$11,'Leave log'!$B$7:$B$306,"&lt;="&amp;DATE($B$3,6,3),'Leave log'!$C$7:$C$306,"&gt;="&amp;DATE($B$3,6,3),'Leave log'!$F$7:$F$306,"Approved")&gt;0,"A",""))="A","A",IF(OR(DATE($B$3,6,3)&gt;EOMONTH(DATE($B$3,6,1),0),NETWORKDAYS.INTL(DATE($B$3,6,3),DATE($B$3,6,3),1,'Non-working days'!$A$6:$A$45)=0),"",IF(COUNTIFS('Leave log'!$A$7:$A$306,Employees!$A$11,'Leave log'!$B$7:$B$306,"&lt;="&amp;DATE($B$3,6,3),'Leave log'!$C$7:$C$306,"&gt;="&amp;DATE($B$3,6,3),'Leave log'!$F$7:$F$306,"Pending")&gt;0,"P",""))))</f>
        <v/>
      </c>
      <c r="E182" s="23" t="str">
        <f>IF(A182="","",IF(IF(OR(DATE($B$3,6,4)&gt;EOMONTH(DATE($B$3,6,1),0),NETWORKDAYS.INTL(DATE($B$3,6,4),DATE($B$3,6,4),1,'Non-working days'!$A$6:$A$45)=0),"",IF(COUNTIFS('Leave log'!$A$7:$A$306,Employees!$A$11,'Leave log'!$B$7:$B$306,"&lt;="&amp;DATE($B$3,6,4),'Leave log'!$C$7:$C$306,"&gt;="&amp;DATE($B$3,6,4),'Leave log'!$F$7:$F$306,"Approved")&gt;0,"A",""))="A","A",IF(OR(DATE($B$3,6,4)&gt;EOMONTH(DATE($B$3,6,1),0),NETWORKDAYS.INTL(DATE($B$3,6,4),DATE($B$3,6,4),1,'Non-working days'!$A$6:$A$45)=0),"",IF(COUNTIFS('Leave log'!$A$7:$A$306,Employees!$A$11,'Leave log'!$B$7:$B$306,"&lt;="&amp;DATE($B$3,6,4),'Leave log'!$C$7:$C$306,"&gt;="&amp;DATE($B$3,6,4),'Leave log'!$F$7:$F$306,"Pending")&gt;0,"P",""))))</f>
        <v/>
      </c>
      <c r="F182" s="23" t="str">
        <f>IF(A182="","",IF(IF(OR(DATE($B$3,6,5)&gt;EOMONTH(DATE($B$3,6,1),0),NETWORKDAYS.INTL(DATE($B$3,6,5),DATE($B$3,6,5),1,'Non-working days'!$A$6:$A$45)=0),"",IF(COUNTIFS('Leave log'!$A$7:$A$306,Employees!$A$11,'Leave log'!$B$7:$B$306,"&lt;="&amp;DATE($B$3,6,5),'Leave log'!$C$7:$C$306,"&gt;="&amp;DATE($B$3,6,5),'Leave log'!$F$7:$F$306,"Approved")&gt;0,"A",""))="A","A",IF(OR(DATE($B$3,6,5)&gt;EOMONTH(DATE($B$3,6,1),0),NETWORKDAYS.INTL(DATE($B$3,6,5),DATE($B$3,6,5),1,'Non-working days'!$A$6:$A$45)=0),"",IF(COUNTIFS('Leave log'!$A$7:$A$306,Employees!$A$11,'Leave log'!$B$7:$B$306,"&lt;="&amp;DATE($B$3,6,5),'Leave log'!$C$7:$C$306,"&gt;="&amp;DATE($B$3,6,5),'Leave log'!$F$7:$F$306,"Pending")&gt;0,"P",""))))</f>
        <v/>
      </c>
      <c r="G182" s="23" t="str">
        <f>IF(A182="","",IF(IF(OR(DATE($B$3,6,6)&gt;EOMONTH(DATE($B$3,6,1),0),NETWORKDAYS.INTL(DATE($B$3,6,6),DATE($B$3,6,6),1,'Non-working days'!$A$6:$A$45)=0),"",IF(COUNTIFS('Leave log'!$A$7:$A$306,Employees!$A$11,'Leave log'!$B$7:$B$306,"&lt;="&amp;DATE($B$3,6,6),'Leave log'!$C$7:$C$306,"&gt;="&amp;DATE($B$3,6,6),'Leave log'!$F$7:$F$306,"Approved")&gt;0,"A",""))="A","A",IF(OR(DATE($B$3,6,6)&gt;EOMONTH(DATE($B$3,6,1),0),NETWORKDAYS.INTL(DATE($B$3,6,6),DATE($B$3,6,6),1,'Non-working days'!$A$6:$A$45)=0),"",IF(COUNTIFS('Leave log'!$A$7:$A$306,Employees!$A$11,'Leave log'!$B$7:$B$306,"&lt;="&amp;DATE($B$3,6,6),'Leave log'!$C$7:$C$306,"&gt;="&amp;DATE($B$3,6,6),'Leave log'!$F$7:$F$306,"Pending")&gt;0,"P",""))))</f>
        <v/>
      </c>
      <c r="H182" s="23" t="str">
        <f>IF(A182="","",IF(IF(OR(DATE($B$3,6,7)&gt;EOMONTH(DATE($B$3,6,1),0),NETWORKDAYS.INTL(DATE($B$3,6,7),DATE($B$3,6,7),1,'Non-working days'!$A$6:$A$45)=0),"",IF(COUNTIFS('Leave log'!$A$7:$A$306,Employees!$A$11,'Leave log'!$B$7:$B$306,"&lt;="&amp;DATE($B$3,6,7),'Leave log'!$C$7:$C$306,"&gt;="&amp;DATE($B$3,6,7),'Leave log'!$F$7:$F$306,"Approved")&gt;0,"A",""))="A","A",IF(OR(DATE($B$3,6,7)&gt;EOMONTH(DATE($B$3,6,1),0),NETWORKDAYS.INTL(DATE($B$3,6,7),DATE($B$3,6,7),1,'Non-working days'!$A$6:$A$45)=0),"",IF(COUNTIFS('Leave log'!$A$7:$A$306,Employees!$A$11,'Leave log'!$B$7:$B$306,"&lt;="&amp;DATE($B$3,6,7),'Leave log'!$C$7:$C$306,"&gt;="&amp;DATE($B$3,6,7),'Leave log'!$F$7:$F$306,"Pending")&gt;0,"P",""))))</f>
        <v/>
      </c>
      <c r="I182" s="23" t="str">
        <f>IF(A182="","",IF(IF(OR(DATE($B$3,6,8)&gt;EOMONTH(DATE($B$3,6,1),0),NETWORKDAYS.INTL(DATE($B$3,6,8),DATE($B$3,6,8),1,'Non-working days'!$A$6:$A$45)=0),"",IF(COUNTIFS('Leave log'!$A$7:$A$306,Employees!$A$11,'Leave log'!$B$7:$B$306,"&lt;="&amp;DATE($B$3,6,8),'Leave log'!$C$7:$C$306,"&gt;="&amp;DATE($B$3,6,8),'Leave log'!$F$7:$F$306,"Approved")&gt;0,"A",""))="A","A",IF(OR(DATE($B$3,6,8)&gt;EOMONTH(DATE($B$3,6,1),0),NETWORKDAYS.INTL(DATE($B$3,6,8),DATE($B$3,6,8),1,'Non-working days'!$A$6:$A$45)=0),"",IF(COUNTIFS('Leave log'!$A$7:$A$306,Employees!$A$11,'Leave log'!$B$7:$B$306,"&lt;="&amp;DATE($B$3,6,8),'Leave log'!$C$7:$C$306,"&gt;="&amp;DATE($B$3,6,8),'Leave log'!$F$7:$F$306,"Pending")&gt;0,"P",""))))</f>
        <v/>
      </c>
      <c r="J182" s="23" t="str">
        <f>IF(A182="","",IF(IF(OR(DATE($B$3,6,9)&gt;EOMONTH(DATE($B$3,6,1),0),NETWORKDAYS.INTL(DATE($B$3,6,9),DATE($B$3,6,9),1,'Non-working days'!$A$6:$A$45)=0),"",IF(COUNTIFS('Leave log'!$A$7:$A$306,Employees!$A$11,'Leave log'!$B$7:$B$306,"&lt;="&amp;DATE($B$3,6,9),'Leave log'!$C$7:$C$306,"&gt;="&amp;DATE($B$3,6,9),'Leave log'!$F$7:$F$306,"Approved")&gt;0,"A",""))="A","A",IF(OR(DATE($B$3,6,9)&gt;EOMONTH(DATE($B$3,6,1),0),NETWORKDAYS.INTL(DATE($B$3,6,9),DATE($B$3,6,9),1,'Non-working days'!$A$6:$A$45)=0),"",IF(COUNTIFS('Leave log'!$A$7:$A$306,Employees!$A$11,'Leave log'!$B$7:$B$306,"&lt;="&amp;DATE($B$3,6,9),'Leave log'!$C$7:$C$306,"&gt;="&amp;DATE($B$3,6,9),'Leave log'!$F$7:$F$306,"Pending")&gt;0,"P",""))))</f>
        <v/>
      </c>
      <c r="K182" s="23" t="str">
        <f>IF(A182="","",IF(IF(OR(DATE($B$3,6,10)&gt;EOMONTH(DATE($B$3,6,1),0),NETWORKDAYS.INTL(DATE($B$3,6,10),DATE($B$3,6,10),1,'Non-working days'!$A$6:$A$45)=0),"",IF(COUNTIFS('Leave log'!$A$7:$A$306,Employees!$A$11,'Leave log'!$B$7:$B$306,"&lt;="&amp;DATE($B$3,6,10),'Leave log'!$C$7:$C$306,"&gt;="&amp;DATE($B$3,6,10),'Leave log'!$F$7:$F$306,"Approved")&gt;0,"A",""))="A","A",IF(OR(DATE($B$3,6,10)&gt;EOMONTH(DATE($B$3,6,1),0),NETWORKDAYS.INTL(DATE($B$3,6,10),DATE($B$3,6,10),1,'Non-working days'!$A$6:$A$45)=0),"",IF(COUNTIFS('Leave log'!$A$7:$A$306,Employees!$A$11,'Leave log'!$B$7:$B$306,"&lt;="&amp;DATE($B$3,6,10),'Leave log'!$C$7:$C$306,"&gt;="&amp;DATE($B$3,6,10),'Leave log'!$F$7:$F$306,"Pending")&gt;0,"P",""))))</f>
        <v/>
      </c>
      <c r="L182" s="23" t="str">
        <f>IF(A182="","",IF(IF(OR(DATE($B$3,6,11)&gt;EOMONTH(DATE($B$3,6,1),0),NETWORKDAYS.INTL(DATE($B$3,6,11),DATE($B$3,6,11),1,'Non-working days'!$A$6:$A$45)=0),"",IF(COUNTIFS('Leave log'!$A$7:$A$306,Employees!$A$11,'Leave log'!$B$7:$B$306,"&lt;="&amp;DATE($B$3,6,11),'Leave log'!$C$7:$C$306,"&gt;="&amp;DATE($B$3,6,11),'Leave log'!$F$7:$F$306,"Approved")&gt;0,"A",""))="A","A",IF(OR(DATE($B$3,6,11)&gt;EOMONTH(DATE($B$3,6,1),0),NETWORKDAYS.INTL(DATE($B$3,6,11),DATE($B$3,6,11),1,'Non-working days'!$A$6:$A$45)=0),"",IF(COUNTIFS('Leave log'!$A$7:$A$306,Employees!$A$11,'Leave log'!$B$7:$B$306,"&lt;="&amp;DATE($B$3,6,11),'Leave log'!$C$7:$C$306,"&gt;="&amp;DATE($B$3,6,11),'Leave log'!$F$7:$F$306,"Pending")&gt;0,"P",""))))</f>
        <v/>
      </c>
      <c r="M182" s="23" t="str">
        <f>IF(A182="","",IF(IF(OR(DATE($B$3,6,12)&gt;EOMONTH(DATE($B$3,6,1),0),NETWORKDAYS.INTL(DATE($B$3,6,12),DATE($B$3,6,12),1,'Non-working days'!$A$6:$A$45)=0),"",IF(COUNTIFS('Leave log'!$A$7:$A$306,Employees!$A$11,'Leave log'!$B$7:$B$306,"&lt;="&amp;DATE($B$3,6,12),'Leave log'!$C$7:$C$306,"&gt;="&amp;DATE($B$3,6,12),'Leave log'!$F$7:$F$306,"Approved")&gt;0,"A",""))="A","A",IF(OR(DATE($B$3,6,12)&gt;EOMONTH(DATE($B$3,6,1),0),NETWORKDAYS.INTL(DATE($B$3,6,12),DATE($B$3,6,12),1,'Non-working days'!$A$6:$A$45)=0),"",IF(COUNTIFS('Leave log'!$A$7:$A$306,Employees!$A$11,'Leave log'!$B$7:$B$306,"&lt;="&amp;DATE($B$3,6,12),'Leave log'!$C$7:$C$306,"&gt;="&amp;DATE($B$3,6,12),'Leave log'!$F$7:$F$306,"Pending")&gt;0,"P",""))))</f>
        <v/>
      </c>
      <c r="N182" s="23" t="str">
        <f>IF(A182="","",IF(IF(OR(DATE($B$3,6,13)&gt;EOMONTH(DATE($B$3,6,1),0),NETWORKDAYS.INTL(DATE($B$3,6,13),DATE($B$3,6,13),1,'Non-working days'!$A$6:$A$45)=0),"",IF(COUNTIFS('Leave log'!$A$7:$A$306,Employees!$A$11,'Leave log'!$B$7:$B$306,"&lt;="&amp;DATE($B$3,6,13),'Leave log'!$C$7:$C$306,"&gt;="&amp;DATE($B$3,6,13),'Leave log'!$F$7:$F$306,"Approved")&gt;0,"A",""))="A","A",IF(OR(DATE($B$3,6,13)&gt;EOMONTH(DATE($B$3,6,1),0),NETWORKDAYS.INTL(DATE($B$3,6,13),DATE($B$3,6,13),1,'Non-working days'!$A$6:$A$45)=0),"",IF(COUNTIFS('Leave log'!$A$7:$A$306,Employees!$A$11,'Leave log'!$B$7:$B$306,"&lt;="&amp;DATE($B$3,6,13),'Leave log'!$C$7:$C$306,"&gt;="&amp;DATE($B$3,6,13),'Leave log'!$F$7:$F$306,"Pending")&gt;0,"P",""))))</f>
        <v/>
      </c>
      <c r="O182" s="23" t="str">
        <f>IF(A182="","",IF(IF(OR(DATE($B$3,6,14)&gt;EOMONTH(DATE($B$3,6,1),0),NETWORKDAYS.INTL(DATE($B$3,6,14),DATE($B$3,6,14),1,'Non-working days'!$A$6:$A$45)=0),"",IF(COUNTIFS('Leave log'!$A$7:$A$306,Employees!$A$11,'Leave log'!$B$7:$B$306,"&lt;="&amp;DATE($B$3,6,14),'Leave log'!$C$7:$C$306,"&gt;="&amp;DATE($B$3,6,14),'Leave log'!$F$7:$F$306,"Approved")&gt;0,"A",""))="A","A",IF(OR(DATE($B$3,6,14)&gt;EOMONTH(DATE($B$3,6,1),0),NETWORKDAYS.INTL(DATE($B$3,6,14),DATE($B$3,6,14),1,'Non-working days'!$A$6:$A$45)=0),"",IF(COUNTIFS('Leave log'!$A$7:$A$306,Employees!$A$11,'Leave log'!$B$7:$B$306,"&lt;="&amp;DATE($B$3,6,14),'Leave log'!$C$7:$C$306,"&gt;="&amp;DATE($B$3,6,14),'Leave log'!$F$7:$F$306,"Pending")&gt;0,"P",""))))</f>
        <v/>
      </c>
      <c r="P182" s="23" t="str">
        <f>IF(A182="","",IF(IF(OR(DATE($B$3,6,15)&gt;EOMONTH(DATE($B$3,6,1),0),NETWORKDAYS.INTL(DATE($B$3,6,15),DATE($B$3,6,15),1,'Non-working days'!$A$6:$A$45)=0),"",IF(COUNTIFS('Leave log'!$A$7:$A$306,Employees!$A$11,'Leave log'!$B$7:$B$306,"&lt;="&amp;DATE($B$3,6,15),'Leave log'!$C$7:$C$306,"&gt;="&amp;DATE($B$3,6,15),'Leave log'!$F$7:$F$306,"Approved")&gt;0,"A",""))="A","A",IF(OR(DATE($B$3,6,15)&gt;EOMONTH(DATE($B$3,6,1),0),NETWORKDAYS.INTL(DATE($B$3,6,15),DATE($B$3,6,15),1,'Non-working days'!$A$6:$A$45)=0),"",IF(COUNTIFS('Leave log'!$A$7:$A$306,Employees!$A$11,'Leave log'!$B$7:$B$306,"&lt;="&amp;DATE($B$3,6,15),'Leave log'!$C$7:$C$306,"&gt;="&amp;DATE($B$3,6,15),'Leave log'!$F$7:$F$306,"Pending")&gt;0,"P",""))))</f>
        <v/>
      </c>
      <c r="Q182" s="23" t="str">
        <f>IF(A182="","",IF(IF(OR(DATE($B$3,6,16)&gt;EOMONTH(DATE($B$3,6,1),0),NETWORKDAYS.INTL(DATE($B$3,6,16),DATE($B$3,6,16),1,'Non-working days'!$A$6:$A$45)=0),"",IF(COUNTIFS('Leave log'!$A$7:$A$306,Employees!$A$11,'Leave log'!$B$7:$B$306,"&lt;="&amp;DATE($B$3,6,16),'Leave log'!$C$7:$C$306,"&gt;="&amp;DATE($B$3,6,16),'Leave log'!$F$7:$F$306,"Approved")&gt;0,"A",""))="A","A",IF(OR(DATE($B$3,6,16)&gt;EOMONTH(DATE($B$3,6,1),0),NETWORKDAYS.INTL(DATE($B$3,6,16),DATE($B$3,6,16),1,'Non-working days'!$A$6:$A$45)=0),"",IF(COUNTIFS('Leave log'!$A$7:$A$306,Employees!$A$11,'Leave log'!$B$7:$B$306,"&lt;="&amp;DATE($B$3,6,16),'Leave log'!$C$7:$C$306,"&gt;="&amp;DATE($B$3,6,16),'Leave log'!$F$7:$F$306,"Pending")&gt;0,"P",""))))</f>
        <v/>
      </c>
      <c r="R182" s="23" t="str">
        <f>IF(A182="","",IF(IF(OR(DATE($B$3,6,17)&gt;EOMONTH(DATE($B$3,6,1),0),NETWORKDAYS.INTL(DATE($B$3,6,17),DATE($B$3,6,17),1,'Non-working days'!$A$6:$A$45)=0),"",IF(COUNTIFS('Leave log'!$A$7:$A$306,Employees!$A$11,'Leave log'!$B$7:$B$306,"&lt;="&amp;DATE($B$3,6,17),'Leave log'!$C$7:$C$306,"&gt;="&amp;DATE($B$3,6,17),'Leave log'!$F$7:$F$306,"Approved")&gt;0,"A",""))="A","A",IF(OR(DATE($B$3,6,17)&gt;EOMONTH(DATE($B$3,6,1),0),NETWORKDAYS.INTL(DATE($B$3,6,17),DATE($B$3,6,17),1,'Non-working days'!$A$6:$A$45)=0),"",IF(COUNTIFS('Leave log'!$A$7:$A$306,Employees!$A$11,'Leave log'!$B$7:$B$306,"&lt;="&amp;DATE($B$3,6,17),'Leave log'!$C$7:$C$306,"&gt;="&amp;DATE($B$3,6,17),'Leave log'!$F$7:$F$306,"Pending")&gt;0,"P",""))))</f>
        <v/>
      </c>
      <c r="S182" s="23" t="str">
        <f>IF(A182="","",IF(IF(OR(DATE($B$3,6,18)&gt;EOMONTH(DATE($B$3,6,1),0),NETWORKDAYS.INTL(DATE($B$3,6,18),DATE($B$3,6,18),1,'Non-working days'!$A$6:$A$45)=0),"",IF(COUNTIFS('Leave log'!$A$7:$A$306,Employees!$A$11,'Leave log'!$B$7:$B$306,"&lt;="&amp;DATE($B$3,6,18),'Leave log'!$C$7:$C$306,"&gt;="&amp;DATE($B$3,6,18),'Leave log'!$F$7:$F$306,"Approved")&gt;0,"A",""))="A","A",IF(OR(DATE($B$3,6,18)&gt;EOMONTH(DATE($B$3,6,1),0),NETWORKDAYS.INTL(DATE($B$3,6,18),DATE($B$3,6,18),1,'Non-working days'!$A$6:$A$45)=0),"",IF(COUNTIFS('Leave log'!$A$7:$A$306,Employees!$A$11,'Leave log'!$B$7:$B$306,"&lt;="&amp;DATE($B$3,6,18),'Leave log'!$C$7:$C$306,"&gt;="&amp;DATE($B$3,6,18),'Leave log'!$F$7:$F$306,"Pending")&gt;0,"P",""))))</f>
        <v/>
      </c>
      <c r="T182" s="23" t="str">
        <f>IF(A182="","",IF(IF(OR(DATE($B$3,6,19)&gt;EOMONTH(DATE($B$3,6,1),0),NETWORKDAYS.INTL(DATE($B$3,6,19),DATE($B$3,6,19),1,'Non-working days'!$A$6:$A$45)=0),"",IF(COUNTIFS('Leave log'!$A$7:$A$306,Employees!$A$11,'Leave log'!$B$7:$B$306,"&lt;="&amp;DATE($B$3,6,19),'Leave log'!$C$7:$C$306,"&gt;="&amp;DATE($B$3,6,19),'Leave log'!$F$7:$F$306,"Approved")&gt;0,"A",""))="A","A",IF(OR(DATE($B$3,6,19)&gt;EOMONTH(DATE($B$3,6,1),0),NETWORKDAYS.INTL(DATE($B$3,6,19),DATE($B$3,6,19),1,'Non-working days'!$A$6:$A$45)=0),"",IF(COUNTIFS('Leave log'!$A$7:$A$306,Employees!$A$11,'Leave log'!$B$7:$B$306,"&lt;="&amp;DATE($B$3,6,19),'Leave log'!$C$7:$C$306,"&gt;="&amp;DATE($B$3,6,19),'Leave log'!$F$7:$F$306,"Pending")&gt;0,"P",""))))</f>
        <v/>
      </c>
      <c r="U182" s="23" t="str">
        <f>IF(A182="","",IF(IF(OR(DATE($B$3,6,20)&gt;EOMONTH(DATE($B$3,6,1),0),NETWORKDAYS.INTL(DATE($B$3,6,20),DATE($B$3,6,20),1,'Non-working days'!$A$6:$A$45)=0),"",IF(COUNTIFS('Leave log'!$A$7:$A$306,Employees!$A$11,'Leave log'!$B$7:$B$306,"&lt;="&amp;DATE($B$3,6,20),'Leave log'!$C$7:$C$306,"&gt;="&amp;DATE($B$3,6,20),'Leave log'!$F$7:$F$306,"Approved")&gt;0,"A",""))="A","A",IF(OR(DATE($B$3,6,20)&gt;EOMONTH(DATE($B$3,6,1),0),NETWORKDAYS.INTL(DATE($B$3,6,20),DATE($B$3,6,20),1,'Non-working days'!$A$6:$A$45)=0),"",IF(COUNTIFS('Leave log'!$A$7:$A$306,Employees!$A$11,'Leave log'!$B$7:$B$306,"&lt;="&amp;DATE($B$3,6,20),'Leave log'!$C$7:$C$306,"&gt;="&amp;DATE($B$3,6,20),'Leave log'!$F$7:$F$306,"Pending")&gt;0,"P",""))))</f>
        <v/>
      </c>
      <c r="V182" s="23" t="str">
        <f>IF(A182="","",IF(IF(OR(DATE($B$3,6,21)&gt;EOMONTH(DATE($B$3,6,1),0),NETWORKDAYS.INTL(DATE($B$3,6,21),DATE($B$3,6,21),1,'Non-working days'!$A$6:$A$45)=0),"",IF(COUNTIFS('Leave log'!$A$7:$A$306,Employees!$A$11,'Leave log'!$B$7:$B$306,"&lt;="&amp;DATE($B$3,6,21),'Leave log'!$C$7:$C$306,"&gt;="&amp;DATE($B$3,6,21),'Leave log'!$F$7:$F$306,"Approved")&gt;0,"A",""))="A","A",IF(OR(DATE($B$3,6,21)&gt;EOMONTH(DATE($B$3,6,1),0),NETWORKDAYS.INTL(DATE($B$3,6,21),DATE($B$3,6,21),1,'Non-working days'!$A$6:$A$45)=0),"",IF(COUNTIFS('Leave log'!$A$7:$A$306,Employees!$A$11,'Leave log'!$B$7:$B$306,"&lt;="&amp;DATE($B$3,6,21),'Leave log'!$C$7:$C$306,"&gt;="&amp;DATE($B$3,6,21),'Leave log'!$F$7:$F$306,"Pending")&gt;0,"P",""))))</f>
        <v/>
      </c>
      <c r="W182" s="23" t="str">
        <f>IF(A182="","",IF(IF(OR(DATE($B$3,6,22)&gt;EOMONTH(DATE($B$3,6,1),0),NETWORKDAYS.INTL(DATE($B$3,6,22),DATE($B$3,6,22),1,'Non-working days'!$A$6:$A$45)=0),"",IF(COUNTIFS('Leave log'!$A$7:$A$306,Employees!$A$11,'Leave log'!$B$7:$B$306,"&lt;="&amp;DATE($B$3,6,22),'Leave log'!$C$7:$C$306,"&gt;="&amp;DATE($B$3,6,22),'Leave log'!$F$7:$F$306,"Approved")&gt;0,"A",""))="A","A",IF(OR(DATE($B$3,6,22)&gt;EOMONTH(DATE($B$3,6,1),0),NETWORKDAYS.INTL(DATE($B$3,6,22),DATE($B$3,6,22),1,'Non-working days'!$A$6:$A$45)=0),"",IF(COUNTIFS('Leave log'!$A$7:$A$306,Employees!$A$11,'Leave log'!$B$7:$B$306,"&lt;="&amp;DATE($B$3,6,22),'Leave log'!$C$7:$C$306,"&gt;="&amp;DATE($B$3,6,22),'Leave log'!$F$7:$F$306,"Pending")&gt;0,"P",""))))</f>
        <v/>
      </c>
      <c r="X182" s="23" t="str">
        <f>IF(A182="","",IF(IF(OR(DATE($B$3,6,23)&gt;EOMONTH(DATE($B$3,6,1),0),NETWORKDAYS.INTL(DATE($B$3,6,23),DATE($B$3,6,23),1,'Non-working days'!$A$6:$A$45)=0),"",IF(COUNTIFS('Leave log'!$A$7:$A$306,Employees!$A$11,'Leave log'!$B$7:$B$306,"&lt;="&amp;DATE($B$3,6,23),'Leave log'!$C$7:$C$306,"&gt;="&amp;DATE($B$3,6,23),'Leave log'!$F$7:$F$306,"Approved")&gt;0,"A",""))="A","A",IF(OR(DATE($B$3,6,23)&gt;EOMONTH(DATE($B$3,6,1),0),NETWORKDAYS.INTL(DATE($B$3,6,23),DATE($B$3,6,23),1,'Non-working days'!$A$6:$A$45)=0),"",IF(COUNTIFS('Leave log'!$A$7:$A$306,Employees!$A$11,'Leave log'!$B$7:$B$306,"&lt;="&amp;DATE($B$3,6,23),'Leave log'!$C$7:$C$306,"&gt;="&amp;DATE($B$3,6,23),'Leave log'!$F$7:$F$306,"Pending")&gt;0,"P",""))))</f>
        <v/>
      </c>
      <c r="Y182" s="23" t="str">
        <f>IF(A182="","",IF(IF(OR(DATE($B$3,6,24)&gt;EOMONTH(DATE($B$3,6,1),0),NETWORKDAYS.INTL(DATE($B$3,6,24),DATE($B$3,6,24),1,'Non-working days'!$A$6:$A$45)=0),"",IF(COUNTIFS('Leave log'!$A$7:$A$306,Employees!$A$11,'Leave log'!$B$7:$B$306,"&lt;="&amp;DATE($B$3,6,24),'Leave log'!$C$7:$C$306,"&gt;="&amp;DATE($B$3,6,24),'Leave log'!$F$7:$F$306,"Approved")&gt;0,"A",""))="A","A",IF(OR(DATE($B$3,6,24)&gt;EOMONTH(DATE($B$3,6,1),0),NETWORKDAYS.INTL(DATE($B$3,6,24),DATE($B$3,6,24),1,'Non-working days'!$A$6:$A$45)=0),"",IF(COUNTIFS('Leave log'!$A$7:$A$306,Employees!$A$11,'Leave log'!$B$7:$B$306,"&lt;="&amp;DATE($B$3,6,24),'Leave log'!$C$7:$C$306,"&gt;="&amp;DATE($B$3,6,24),'Leave log'!$F$7:$F$306,"Pending")&gt;0,"P",""))))</f>
        <v/>
      </c>
      <c r="Z182" s="23" t="str">
        <f>IF(A182="","",IF(IF(OR(DATE($B$3,6,25)&gt;EOMONTH(DATE($B$3,6,1),0),NETWORKDAYS.INTL(DATE($B$3,6,25),DATE($B$3,6,25),1,'Non-working days'!$A$6:$A$45)=0),"",IF(COUNTIFS('Leave log'!$A$7:$A$306,Employees!$A$11,'Leave log'!$B$7:$B$306,"&lt;="&amp;DATE($B$3,6,25),'Leave log'!$C$7:$C$306,"&gt;="&amp;DATE($B$3,6,25),'Leave log'!$F$7:$F$306,"Approved")&gt;0,"A",""))="A","A",IF(OR(DATE($B$3,6,25)&gt;EOMONTH(DATE($B$3,6,1),0),NETWORKDAYS.INTL(DATE($B$3,6,25),DATE($B$3,6,25),1,'Non-working days'!$A$6:$A$45)=0),"",IF(COUNTIFS('Leave log'!$A$7:$A$306,Employees!$A$11,'Leave log'!$B$7:$B$306,"&lt;="&amp;DATE($B$3,6,25),'Leave log'!$C$7:$C$306,"&gt;="&amp;DATE($B$3,6,25),'Leave log'!$F$7:$F$306,"Pending")&gt;0,"P",""))))</f>
        <v/>
      </c>
      <c r="AA182" s="23" t="str">
        <f>IF(A182="","",IF(IF(OR(DATE($B$3,6,26)&gt;EOMONTH(DATE($B$3,6,1),0),NETWORKDAYS.INTL(DATE($B$3,6,26),DATE($B$3,6,26),1,'Non-working days'!$A$6:$A$45)=0),"",IF(COUNTIFS('Leave log'!$A$7:$A$306,Employees!$A$11,'Leave log'!$B$7:$B$306,"&lt;="&amp;DATE($B$3,6,26),'Leave log'!$C$7:$C$306,"&gt;="&amp;DATE($B$3,6,26),'Leave log'!$F$7:$F$306,"Approved")&gt;0,"A",""))="A","A",IF(OR(DATE($B$3,6,26)&gt;EOMONTH(DATE($B$3,6,1),0),NETWORKDAYS.INTL(DATE($B$3,6,26),DATE($B$3,6,26),1,'Non-working days'!$A$6:$A$45)=0),"",IF(COUNTIFS('Leave log'!$A$7:$A$306,Employees!$A$11,'Leave log'!$B$7:$B$306,"&lt;="&amp;DATE($B$3,6,26),'Leave log'!$C$7:$C$306,"&gt;="&amp;DATE($B$3,6,26),'Leave log'!$F$7:$F$306,"Pending")&gt;0,"P",""))))</f>
        <v/>
      </c>
      <c r="AB182" s="23" t="str">
        <f>IF(A182="","",IF(IF(OR(DATE($B$3,6,27)&gt;EOMONTH(DATE($B$3,6,1),0),NETWORKDAYS.INTL(DATE($B$3,6,27),DATE($B$3,6,27),1,'Non-working days'!$A$6:$A$45)=0),"",IF(COUNTIFS('Leave log'!$A$7:$A$306,Employees!$A$11,'Leave log'!$B$7:$B$306,"&lt;="&amp;DATE($B$3,6,27),'Leave log'!$C$7:$C$306,"&gt;="&amp;DATE($B$3,6,27),'Leave log'!$F$7:$F$306,"Approved")&gt;0,"A",""))="A","A",IF(OR(DATE($B$3,6,27)&gt;EOMONTH(DATE($B$3,6,1),0),NETWORKDAYS.INTL(DATE($B$3,6,27),DATE($B$3,6,27),1,'Non-working days'!$A$6:$A$45)=0),"",IF(COUNTIFS('Leave log'!$A$7:$A$306,Employees!$A$11,'Leave log'!$B$7:$B$306,"&lt;="&amp;DATE($B$3,6,27),'Leave log'!$C$7:$C$306,"&gt;="&amp;DATE($B$3,6,27),'Leave log'!$F$7:$F$306,"Pending")&gt;0,"P",""))))</f>
        <v/>
      </c>
      <c r="AC182" s="23" t="str">
        <f>IF(A182="","",IF(IF(OR(DATE($B$3,6,28)&gt;EOMONTH(DATE($B$3,6,1),0),NETWORKDAYS.INTL(DATE($B$3,6,28),DATE($B$3,6,28),1,'Non-working days'!$A$6:$A$45)=0),"",IF(COUNTIFS('Leave log'!$A$7:$A$306,Employees!$A$11,'Leave log'!$B$7:$B$306,"&lt;="&amp;DATE($B$3,6,28),'Leave log'!$C$7:$C$306,"&gt;="&amp;DATE($B$3,6,28),'Leave log'!$F$7:$F$306,"Approved")&gt;0,"A",""))="A","A",IF(OR(DATE($B$3,6,28)&gt;EOMONTH(DATE($B$3,6,1),0),NETWORKDAYS.INTL(DATE($B$3,6,28),DATE($B$3,6,28),1,'Non-working days'!$A$6:$A$45)=0),"",IF(COUNTIFS('Leave log'!$A$7:$A$306,Employees!$A$11,'Leave log'!$B$7:$B$306,"&lt;="&amp;DATE($B$3,6,28),'Leave log'!$C$7:$C$306,"&gt;="&amp;DATE($B$3,6,28),'Leave log'!$F$7:$F$306,"Pending")&gt;0,"P",""))))</f>
        <v/>
      </c>
      <c r="AD182" s="23" t="str">
        <f>IF(A182="","",IF(IF(OR(DATE($B$3,6,29)&gt;EOMONTH(DATE($B$3,6,1),0),NETWORKDAYS.INTL(DATE($B$3,6,29),DATE($B$3,6,29),1,'Non-working days'!$A$6:$A$45)=0),"",IF(COUNTIFS('Leave log'!$A$7:$A$306,Employees!$A$11,'Leave log'!$B$7:$B$306,"&lt;="&amp;DATE($B$3,6,29),'Leave log'!$C$7:$C$306,"&gt;="&amp;DATE($B$3,6,29),'Leave log'!$F$7:$F$306,"Approved")&gt;0,"A",""))="A","A",IF(OR(DATE($B$3,6,29)&gt;EOMONTH(DATE($B$3,6,1),0),NETWORKDAYS.INTL(DATE($B$3,6,29),DATE($B$3,6,29),1,'Non-working days'!$A$6:$A$45)=0),"",IF(COUNTIFS('Leave log'!$A$7:$A$306,Employees!$A$11,'Leave log'!$B$7:$B$306,"&lt;="&amp;DATE($B$3,6,29),'Leave log'!$C$7:$C$306,"&gt;="&amp;DATE($B$3,6,29),'Leave log'!$F$7:$F$306,"Pending")&gt;0,"P",""))))</f>
        <v/>
      </c>
      <c r="AE182" s="23" t="str">
        <f>IF(A182="","",IF(IF(OR(DATE($B$3,6,30)&gt;EOMONTH(DATE($B$3,6,1),0),NETWORKDAYS.INTL(DATE($B$3,6,30),DATE($B$3,6,30),1,'Non-working days'!$A$6:$A$45)=0),"",IF(COUNTIFS('Leave log'!$A$7:$A$306,Employees!$A$11,'Leave log'!$B$7:$B$306,"&lt;="&amp;DATE($B$3,6,30),'Leave log'!$C$7:$C$306,"&gt;="&amp;DATE($B$3,6,30),'Leave log'!$F$7:$F$306,"Approved")&gt;0,"A",""))="A","A",IF(OR(DATE($B$3,6,30)&gt;EOMONTH(DATE($B$3,6,1),0),NETWORKDAYS.INTL(DATE($B$3,6,30),DATE($B$3,6,30),1,'Non-working days'!$A$6:$A$45)=0),"",IF(COUNTIFS('Leave log'!$A$7:$A$306,Employees!$A$11,'Leave log'!$B$7:$B$306,"&lt;="&amp;DATE($B$3,6,30),'Leave log'!$C$7:$C$306,"&gt;="&amp;DATE($B$3,6,30),'Leave log'!$F$7:$F$306,"Pending")&gt;0,"P",""))))</f>
        <v/>
      </c>
      <c r="AF182" s="23" t="str">
        <f>IF(A182="","",IF(IF(OR(DATE($B$3,6,31)&gt;EOMONTH(DATE($B$3,6,1),0),NETWORKDAYS.INTL(DATE($B$3,6,31),DATE($B$3,6,31),1,'Non-working days'!$A$6:$A$45)=0),"",IF(COUNTIFS('Leave log'!$A$7:$A$306,Employees!$A$11,'Leave log'!$B$7:$B$306,"&lt;="&amp;DATE($B$3,6,31),'Leave log'!$C$7:$C$306,"&gt;="&amp;DATE($B$3,6,31),'Leave log'!$F$7:$F$306,"Approved")&gt;0,"A",""))="A","A",IF(OR(DATE($B$3,6,31)&gt;EOMONTH(DATE($B$3,6,1),0),NETWORKDAYS.INTL(DATE($B$3,6,31),DATE($B$3,6,31),1,'Non-working days'!$A$6:$A$45)=0),"",IF(COUNTIFS('Leave log'!$A$7:$A$306,Employees!$A$11,'Leave log'!$B$7:$B$306,"&lt;="&amp;DATE($B$3,6,31),'Leave log'!$C$7:$C$306,"&gt;="&amp;DATE($B$3,6,31),'Leave log'!$F$7:$F$306,"Pending")&gt;0,"P",""))))</f>
        <v/>
      </c>
    </row>
    <row r="183" spans="1:32" ht="18" customHeight="1" x14ac:dyDescent="0.3">
      <c r="A183" s="22" t="str">
        <f>IF(Employees!F12="Yes",Employees!B12,"")</f>
        <v/>
      </c>
      <c r="B183" s="23" t="str">
        <f>IF(A183="","",IF(IF(OR(DATE($B$3,6,1)&gt;EOMONTH(DATE($B$3,6,1),0),NETWORKDAYS.INTL(DATE($B$3,6,1),DATE($B$3,6,1),1,'Non-working days'!$A$6:$A$45)=0),"",IF(COUNTIFS('Leave log'!$A$7:$A$306,Employees!$A$12,'Leave log'!$B$7:$B$306,"&lt;="&amp;DATE($B$3,6,1),'Leave log'!$C$7:$C$306,"&gt;="&amp;DATE($B$3,6,1),'Leave log'!$F$7:$F$306,"Approved")&gt;0,"A",""))="A","A",IF(OR(DATE($B$3,6,1)&gt;EOMONTH(DATE($B$3,6,1),0),NETWORKDAYS.INTL(DATE($B$3,6,1),DATE($B$3,6,1),1,'Non-working days'!$A$6:$A$45)=0),"",IF(COUNTIFS('Leave log'!$A$7:$A$306,Employees!$A$12,'Leave log'!$B$7:$B$306,"&lt;="&amp;DATE($B$3,6,1),'Leave log'!$C$7:$C$306,"&gt;="&amp;DATE($B$3,6,1),'Leave log'!$F$7:$F$306,"Pending")&gt;0,"P",""))))</f>
        <v/>
      </c>
      <c r="C183" s="23" t="str">
        <f>IF(A183="","",IF(IF(OR(DATE($B$3,6,2)&gt;EOMONTH(DATE($B$3,6,1),0),NETWORKDAYS.INTL(DATE($B$3,6,2),DATE($B$3,6,2),1,'Non-working days'!$A$6:$A$45)=0),"",IF(COUNTIFS('Leave log'!$A$7:$A$306,Employees!$A$12,'Leave log'!$B$7:$B$306,"&lt;="&amp;DATE($B$3,6,2),'Leave log'!$C$7:$C$306,"&gt;="&amp;DATE($B$3,6,2),'Leave log'!$F$7:$F$306,"Approved")&gt;0,"A",""))="A","A",IF(OR(DATE($B$3,6,2)&gt;EOMONTH(DATE($B$3,6,1),0),NETWORKDAYS.INTL(DATE($B$3,6,2),DATE($B$3,6,2),1,'Non-working days'!$A$6:$A$45)=0),"",IF(COUNTIFS('Leave log'!$A$7:$A$306,Employees!$A$12,'Leave log'!$B$7:$B$306,"&lt;="&amp;DATE($B$3,6,2),'Leave log'!$C$7:$C$306,"&gt;="&amp;DATE($B$3,6,2),'Leave log'!$F$7:$F$306,"Pending")&gt;0,"P",""))))</f>
        <v/>
      </c>
      <c r="D183" s="23" t="str">
        <f>IF(A183="","",IF(IF(OR(DATE($B$3,6,3)&gt;EOMONTH(DATE($B$3,6,1),0),NETWORKDAYS.INTL(DATE($B$3,6,3),DATE($B$3,6,3),1,'Non-working days'!$A$6:$A$45)=0),"",IF(COUNTIFS('Leave log'!$A$7:$A$306,Employees!$A$12,'Leave log'!$B$7:$B$306,"&lt;="&amp;DATE($B$3,6,3),'Leave log'!$C$7:$C$306,"&gt;="&amp;DATE($B$3,6,3),'Leave log'!$F$7:$F$306,"Approved")&gt;0,"A",""))="A","A",IF(OR(DATE($B$3,6,3)&gt;EOMONTH(DATE($B$3,6,1),0),NETWORKDAYS.INTL(DATE($B$3,6,3),DATE($B$3,6,3),1,'Non-working days'!$A$6:$A$45)=0),"",IF(COUNTIFS('Leave log'!$A$7:$A$306,Employees!$A$12,'Leave log'!$B$7:$B$306,"&lt;="&amp;DATE($B$3,6,3),'Leave log'!$C$7:$C$306,"&gt;="&amp;DATE($B$3,6,3),'Leave log'!$F$7:$F$306,"Pending")&gt;0,"P",""))))</f>
        <v/>
      </c>
      <c r="E183" s="23" t="str">
        <f>IF(A183="","",IF(IF(OR(DATE($B$3,6,4)&gt;EOMONTH(DATE($B$3,6,1),0),NETWORKDAYS.INTL(DATE($B$3,6,4),DATE($B$3,6,4),1,'Non-working days'!$A$6:$A$45)=0),"",IF(COUNTIFS('Leave log'!$A$7:$A$306,Employees!$A$12,'Leave log'!$B$7:$B$306,"&lt;="&amp;DATE($B$3,6,4),'Leave log'!$C$7:$C$306,"&gt;="&amp;DATE($B$3,6,4),'Leave log'!$F$7:$F$306,"Approved")&gt;0,"A",""))="A","A",IF(OR(DATE($B$3,6,4)&gt;EOMONTH(DATE($B$3,6,1),0),NETWORKDAYS.INTL(DATE($B$3,6,4),DATE($B$3,6,4),1,'Non-working days'!$A$6:$A$45)=0),"",IF(COUNTIFS('Leave log'!$A$7:$A$306,Employees!$A$12,'Leave log'!$B$7:$B$306,"&lt;="&amp;DATE($B$3,6,4),'Leave log'!$C$7:$C$306,"&gt;="&amp;DATE($B$3,6,4),'Leave log'!$F$7:$F$306,"Pending")&gt;0,"P",""))))</f>
        <v/>
      </c>
      <c r="F183" s="23" t="str">
        <f>IF(A183="","",IF(IF(OR(DATE($B$3,6,5)&gt;EOMONTH(DATE($B$3,6,1),0),NETWORKDAYS.INTL(DATE($B$3,6,5),DATE($B$3,6,5),1,'Non-working days'!$A$6:$A$45)=0),"",IF(COUNTIFS('Leave log'!$A$7:$A$306,Employees!$A$12,'Leave log'!$B$7:$B$306,"&lt;="&amp;DATE($B$3,6,5),'Leave log'!$C$7:$C$306,"&gt;="&amp;DATE($B$3,6,5),'Leave log'!$F$7:$F$306,"Approved")&gt;0,"A",""))="A","A",IF(OR(DATE($B$3,6,5)&gt;EOMONTH(DATE($B$3,6,1),0),NETWORKDAYS.INTL(DATE($B$3,6,5),DATE($B$3,6,5),1,'Non-working days'!$A$6:$A$45)=0),"",IF(COUNTIFS('Leave log'!$A$7:$A$306,Employees!$A$12,'Leave log'!$B$7:$B$306,"&lt;="&amp;DATE($B$3,6,5),'Leave log'!$C$7:$C$306,"&gt;="&amp;DATE($B$3,6,5),'Leave log'!$F$7:$F$306,"Pending")&gt;0,"P",""))))</f>
        <v/>
      </c>
      <c r="G183" s="23" t="str">
        <f>IF(A183="","",IF(IF(OR(DATE($B$3,6,6)&gt;EOMONTH(DATE($B$3,6,1),0),NETWORKDAYS.INTL(DATE($B$3,6,6),DATE($B$3,6,6),1,'Non-working days'!$A$6:$A$45)=0),"",IF(COUNTIFS('Leave log'!$A$7:$A$306,Employees!$A$12,'Leave log'!$B$7:$B$306,"&lt;="&amp;DATE($B$3,6,6),'Leave log'!$C$7:$C$306,"&gt;="&amp;DATE($B$3,6,6),'Leave log'!$F$7:$F$306,"Approved")&gt;0,"A",""))="A","A",IF(OR(DATE($B$3,6,6)&gt;EOMONTH(DATE($B$3,6,1),0),NETWORKDAYS.INTL(DATE($B$3,6,6),DATE($B$3,6,6),1,'Non-working days'!$A$6:$A$45)=0),"",IF(COUNTIFS('Leave log'!$A$7:$A$306,Employees!$A$12,'Leave log'!$B$7:$B$306,"&lt;="&amp;DATE($B$3,6,6),'Leave log'!$C$7:$C$306,"&gt;="&amp;DATE($B$3,6,6),'Leave log'!$F$7:$F$306,"Pending")&gt;0,"P",""))))</f>
        <v/>
      </c>
      <c r="H183" s="23" t="str">
        <f>IF(A183="","",IF(IF(OR(DATE($B$3,6,7)&gt;EOMONTH(DATE($B$3,6,1),0),NETWORKDAYS.INTL(DATE($B$3,6,7),DATE($B$3,6,7),1,'Non-working days'!$A$6:$A$45)=0),"",IF(COUNTIFS('Leave log'!$A$7:$A$306,Employees!$A$12,'Leave log'!$B$7:$B$306,"&lt;="&amp;DATE($B$3,6,7),'Leave log'!$C$7:$C$306,"&gt;="&amp;DATE($B$3,6,7),'Leave log'!$F$7:$F$306,"Approved")&gt;0,"A",""))="A","A",IF(OR(DATE($B$3,6,7)&gt;EOMONTH(DATE($B$3,6,1),0),NETWORKDAYS.INTL(DATE($B$3,6,7),DATE($B$3,6,7),1,'Non-working days'!$A$6:$A$45)=0),"",IF(COUNTIFS('Leave log'!$A$7:$A$306,Employees!$A$12,'Leave log'!$B$7:$B$306,"&lt;="&amp;DATE($B$3,6,7),'Leave log'!$C$7:$C$306,"&gt;="&amp;DATE($B$3,6,7),'Leave log'!$F$7:$F$306,"Pending")&gt;0,"P",""))))</f>
        <v/>
      </c>
      <c r="I183" s="23" t="str">
        <f>IF(A183="","",IF(IF(OR(DATE($B$3,6,8)&gt;EOMONTH(DATE($B$3,6,1),0),NETWORKDAYS.INTL(DATE($B$3,6,8),DATE($B$3,6,8),1,'Non-working days'!$A$6:$A$45)=0),"",IF(COUNTIFS('Leave log'!$A$7:$A$306,Employees!$A$12,'Leave log'!$B$7:$B$306,"&lt;="&amp;DATE($B$3,6,8),'Leave log'!$C$7:$C$306,"&gt;="&amp;DATE($B$3,6,8),'Leave log'!$F$7:$F$306,"Approved")&gt;0,"A",""))="A","A",IF(OR(DATE($B$3,6,8)&gt;EOMONTH(DATE($B$3,6,1),0),NETWORKDAYS.INTL(DATE($B$3,6,8),DATE($B$3,6,8),1,'Non-working days'!$A$6:$A$45)=0),"",IF(COUNTIFS('Leave log'!$A$7:$A$306,Employees!$A$12,'Leave log'!$B$7:$B$306,"&lt;="&amp;DATE($B$3,6,8),'Leave log'!$C$7:$C$306,"&gt;="&amp;DATE($B$3,6,8),'Leave log'!$F$7:$F$306,"Pending")&gt;0,"P",""))))</f>
        <v/>
      </c>
      <c r="J183" s="23" t="str">
        <f>IF(A183="","",IF(IF(OR(DATE($B$3,6,9)&gt;EOMONTH(DATE($B$3,6,1),0),NETWORKDAYS.INTL(DATE($B$3,6,9),DATE($B$3,6,9),1,'Non-working days'!$A$6:$A$45)=0),"",IF(COUNTIFS('Leave log'!$A$7:$A$306,Employees!$A$12,'Leave log'!$B$7:$B$306,"&lt;="&amp;DATE($B$3,6,9),'Leave log'!$C$7:$C$306,"&gt;="&amp;DATE($B$3,6,9),'Leave log'!$F$7:$F$306,"Approved")&gt;0,"A",""))="A","A",IF(OR(DATE($B$3,6,9)&gt;EOMONTH(DATE($B$3,6,1),0),NETWORKDAYS.INTL(DATE($B$3,6,9),DATE($B$3,6,9),1,'Non-working days'!$A$6:$A$45)=0),"",IF(COUNTIFS('Leave log'!$A$7:$A$306,Employees!$A$12,'Leave log'!$B$7:$B$306,"&lt;="&amp;DATE($B$3,6,9),'Leave log'!$C$7:$C$306,"&gt;="&amp;DATE($B$3,6,9),'Leave log'!$F$7:$F$306,"Pending")&gt;0,"P",""))))</f>
        <v/>
      </c>
      <c r="K183" s="23" t="str">
        <f>IF(A183="","",IF(IF(OR(DATE($B$3,6,10)&gt;EOMONTH(DATE($B$3,6,1),0),NETWORKDAYS.INTL(DATE($B$3,6,10),DATE($B$3,6,10),1,'Non-working days'!$A$6:$A$45)=0),"",IF(COUNTIFS('Leave log'!$A$7:$A$306,Employees!$A$12,'Leave log'!$B$7:$B$306,"&lt;="&amp;DATE($B$3,6,10),'Leave log'!$C$7:$C$306,"&gt;="&amp;DATE($B$3,6,10),'Leave log'!$F$7:$F$306,"Approved")&gt;0,"A",""))="A","A",IF(OR(DATE($B$3,6,10)&gt;EOMONTH(DATE($B$3,6,1),0),NETWORKDAYS.INTL(DATE($B$3,6,10),DATE($B$3,6,10),1,'Non-working days'!$A$6:$A$45)=0),"",IF(COUNTIFS('Leave log'!$A$7:$A$306,Employees!$A$12,'Leave log'!$B$7:$B$306,"&lt;="&amp;DATE($B$3,6,10),'Leave log'!$C$7:$C$306,"&gt;="&amp;DATE($B$3,6,10),'Leave log'!$F$7:$F$306,"Pending")&gt;0,"P",""))))</f>
        <v/>
      </c>
      <c r="L183" s="23" t="str">
        <f>IF(A183="","",IF(IF(OR(DATE($B$3,6,11)&gt;EOMONTH(DATE($B$3,6,1),0),NETWORKDAYS.INTL(DATE($B$3,6,11),DATE($B$3,6,11),1,'Non-working days'!$A$6:$A$45)=0),"",IF(COUNTIFS('Leave log'!$A$7:$A$306,Employees!$A$12,'Leave log'!$B$7:$B$306,"&lt;="&amp;DATE($B$3,6,11),'Leave log'!$C$7:$C$306,"&gt;="&amp;DATE($B$3,6,11),'Leave log'!$F$7:$F$306,"Approved")&gt;0,"A",""))="A","A",IF(OR(DATE($B$3,6,11)&gt;EOMONTH(DATE($B$3,6,1),0),NETWORKDAYS.INTL(DATE($B$3,6,11),DATE($B$3,6,11),1,'Non-working days'!$A$6:$A$45)=0),"",IF(COUNTIFS('Leave log'!$A$7:$A$306,Employees!$A$12,'Leave log'!$B$7:$B$306,"&lt;="&amp;DATE($B$3,6,11),'Leave log'!$C$7:$C$306,"&gt;="&amp;DATE($B$3,6,11),'Leave log'!$F$7:$F$306,"Pending")&gt;0,"P",""))))</f>
        <v/>
      </c>
      <c r="M183" s="23" t="str">
        <f>IF(A183="","",IF(IF(OR(DATE($B$3,6,12)&gt;EOMONTH(DATE($B$3,6,1),0),NETWORKDAYS.INTL(DATE($B$3,6,12),DATE($B$3,6,12),1,'Non-working days'!$A$6:$A$45)=0),"",IF(COUNTIFS('Leave log'!$A$7:$A$306,Employees!$A$12,'Leave log'!$B$7:$B$306,"&lt;="&amp;DATE($B$3,6,12),'Leave log'!$C$7:$C$306,"&gt;="&amp;DATE($B$3,6,12),'Leave log'!$F$7:$F$306,"Approved")&gt;0,"A",""))="A","A",IF(OR(DATE($B$3,6,12)&gt;EOMONTH(DATE($B$3,6,1),0),NETWORKDAYS.INTL(DATE($B$3,6,12),DATE($B$3,6,12),1,'Non-working days'!$A$6:$A$45)=0),"",IF(COUNTIFS('Leave log'!$A$7:$A$306,Employees!$A$12,'Leave log'!$B$7:$B$306,"&lt;="&amp;DATE($B$3,6,12),'Leave log'!$C$7:$C$306,"&gt;="&amp;DATE($B$3,6,12),'Leave log'!$F$7:$F$306,"Pending")&gt;0,"P",""))))</f>
        <v/>
      </c>
      <c r="N183" s="23" t="str">
        <f>IF(A183="","",IF(IF(OR(DATE($B$3,6,13)&gt;EOMONTH(DATE($B$3,6,1),0),NETWORKDAYS.INTL(DATE($B$3,6,13),DATE($B$3,6,13),1,'Non-working days'!$A$6:$A$45)=0),"",IF(COUNTIFS('Leave log'!$A$7:$A$306,Employees!$A$12,'Leave log'!$B$7:$B$306,"&lt;="&amp;DATE($B$3,6,13),'Leave log'!$C$7:$C$306,"&gt;="&amp;DATE($B$3,6,13),'Leave log'!$F$7:$F$306,"Approved")&gt;0,"A",""))="A","A",IF(OR(DATE($B$3,6,13)&gt;EOMONTH(DATE($B$3,6,1),0),NETWORKDAYS.INTL(DATE($B$3,6,13),DATE($B$3,6,13),1,'Non-working days'!$A$6:$A$45)=0),"",IF(COUNTIFS('Leave log'!$A$7:$A$306,Employees!$A$12,'Leave log'!$B$7:$B$306,"&lt;="&amp;DATE($B$3,6,13),'Leave log'!$C$7:$C$306,"&gt;="&amp;DATE($B$3,6,13),'Leave log'!$F$7:$F$306,"Pending")&gt;0,"P",""))))</f>
        <v/>
      </c>
      <c r="O183" s="23" t="str">
        <f>IF(A183="","",IF(IF(OR(DATE($B$3,6,14)&gt;EOMONTH(DATE($B$3,6,1),0),NETWORKDAYS.INTL(DATE($B$3,6,14),DATE($B$3,6,14),1,'Non-working days'!$A$6:$A$45)=0),"",IF(COUNTIFS('Leave log'!$A$7:$A$306,Employees!$A$12,'Leave log'!$B$7:$B$306,"&lt;="&amp;DATE($B$3,6,14),'Leave log'!$C$7:$C$306,"&gt;="&amp;DATE($B$3,6,14),'Leave log'!$F$7:$F$306,"Approved")&gt;0,"A",""))="A","A",IF(OR(DATE($B$3,6,14)&gt;EOMONTH(DATE($B$3,6,1),0),NETWORKDAYS.INTL(DATE($B$3,6,14),DATE($B$3,6,14),1,'Non-working days'!$A$6:$A$45)=0),"",IF(COUNTIFS('Leave log'!$A$7:$A$306,Employees!$A$12,'Leave log'!$B$7:$B$306,"&lt;="&amp;DATE($B$3,6,14),'Leave log'!$C$7:$C$306,"&gt;="&amp;DATE($B$3,6,14),'Leave log'!$F$7:$F$306,"Pending")&gt;0,"P",""))))</f>
        <v/>
      </c>
      <c r="P183" s="23" t="str">
        <f>IF(A183="","",IF(IF(OR(DATE($B$3,6,15)&gt;EOMONTH(DATE($B$3,6,1),0),NETWORKDAYS.INTL(DATE($B$3,6,15),DATE($B$3,6,15),1,'Non-working days'!$A$6:$A$45)=0),"",IF(COUNTIFS('Leave log'!$A$7:$A$306,Employees!$A$12,'Leave log'!$B$7:$B$306,"&lt;="&amp;DATE($B$3,6,15),'Leave log'!$C$7:$C$306,"&gt;="&amp;DATE($B$3,6,15),'Leave log'!$F$7:$F$306,"Approved")&gt;0,"A",""))="A","A",IF(OR(DATE($B$3,6,15)&gt;EOMONTH(DATE($B$3,6,1),0),NETWORKDAYS.INTL(DATE($B$3,6,15),DATE($B$3,6,15),1,'Non-working days'!$A$6:$A$45)=0),"",IF(COUNTIFS('Leave log'!$A$7:$A$306,Employees!$A$12,'Leave log'!$B$7:$B$306,"&lt;="&amp;DATE($B$3,6,15),'Leave log'!$C$7:$C$306,"&gt;="&amp;DATE($B$3,6,15),'Leave log'!$F$7:$F$306,"Pending")&gt;0,"P",""))))</f>
        <v/>
      </c>
      <c r="Q183" s="23" t="str">
        <f>IF(A183="","",IF(IF(OR(DATE($B$3,6,16)&gt;EOMONTH(DATE($B$3,6,1),0),NETWORKDAYS.INTL(DATE($B$3,6,16),DATE($B$3,6,16),1,'Non-working days'!$A$6:$A$45)=0),"",IF(COUNTIFS('Leave log'!$A$7:$A$306,Employees!$A$12,'Leave log'!$B$7:$B$306,"&lt;="&amp;DATE($B$3,6,16),'Leave log'!$C$7:$C$306,"&gt;="&amp;DATE($B$3,6,16),'Leave log'!$F$7:$F$306,"Approved")&gt;0,"A",""))="A","A",IF(OR(DATE($B$3,6,16)&gt;EOMONTH(DATE($B$3,6,1),0),NETWORKDAYS.INTL(DATE($B$3,6,16),DATE($B$3,6,16),1,'Non-working days'!$A$6:$A$45)=0),"",IF(COUNTIFS('Leave log'!$A$7:$A$306,Employees!$A$12,'Leave log'!$B$7:$B$306,"&lt;="&amp;DATE($B$3,6,16),'Leave log'!$C$7:$C$306,"&gt;="&amp;DATE($B$3,6,16),'Leave log'!$F$7:$F$306,"Pending")&gt;0,"P",""))))</f>
        <v/>
      </c>
      <c r="R183" s="23" t="str">
        <f>IF(A183="","",IF(IF(OR(DATE($B$3,6,17)&gt;EOMONTH(DATE($B$3,6,1),0),NETWORKDAYS.INTL(DATE($B$3,6,17),DATE($B$3,6,17),1,'Non-working days'!$A$6:$A$45)=0),"",IF(COUNTIFS('Leave log'!$A$7:$A$306,Employees!$A$12,'Leave log'!$B$7:$B$306,"&lt;="&amp;DATE($B$3,6,17),'Leave log'!$C$7:$C$306,"&gt;="&amp;DATE($B$3,6,17),'Leave log'!$F$7:$F$306,"Approved")&gt;0,"A",""))="A","A",IF(OR(DATE($B$3,6,17)&gt;EOMONTH(DATE($B$3,6,1),0),NETWORKDAYS.INTL(DATE($B$3,6,17),DATE($B$3,6,17),1,'Non-working days'!$A$6:$A$45)=0),"",IF(COUNTIFS('Leave log'!$A$7:$A$306,Employees!$A$12,'Leave log'!$B$7:$B$306,"&lt;="&amp;DATE($B$3,6,17),'Leave log'!$C$7:$C$306,"&gt;="&amp;DATE($B$3,6,17),'Leave log'!$F$7:$F$306,"Pending")&gt;0,"P",""))))</f>
        <v/>
      </c>
      <c r="S183" s="23" t="str">
        <f>IF(A183="","",IF(IF(OR(DATE($B$3,6,18)&gt;EOMONTH(DATE($B$3,6,1),0),NETWORKDAYS.INTL(DATE($B$3,6,18),DATE($B$3,6,18),1,'Non-working days'!$A$6:$A$45)=0),"",IF(COUNTIFS('Leave log'!$A$7:$A$306,Employees!$A$12,'Leave log'!$B$7:$B$306,"&lt;="&amp;DATE($B$3,6,18),'Leave log'!$C$7:$C$306,"&gt;="&amp;DATE($B$3,6,18),'Leave log'!$F$7:$F$306,"Approved")&gt;0,"A",""))="A","A",IF(OR(DATE($B$3,6,18)&gt;EOMONTH(DATE($B$3,6,1),0),NETWORKDAYS.INTL(DATE($B$3,6,18),DATE($B$3,6,18),1,'Non-working days'!$A$6:$A$45)=0),"",IF(COUNTIFS('Leave log'!$A$7:$A$306,Employees!$A$12,'Leave log'!$B$7:$B$306,"&lt;="&amp;DATE($B$3,6,18),'Leave log'!$C$7:$C$306,"&gt;="&amp;DATE($B$3,6,18),'Leave log'!$F$7:$F$306,"Pending")&gt;0,"P",""))))</f>
        <v/>
      </c>
      <c r="T183" s="23" t="str">
        <f>IF(A183="","",IF(IF(OR(DATE($B$3,6,19)&gt;EOMONTH(DATE($B$3,6,1),0),NETWORKDAYS.INTL(DATE($B$3,6,19),DATE($B$3,6,19),1,'Non-working days'!$A$6:$A$45)=0),"",IF(COUNTIFS('Leave log'!$A$7:$A$306,Employees!$A$12,'Leave log'!$B$7:$B$306,"&lt;="&amp;DATE($B$3,6,19),'Leave log'!$C$7:$C$306,"&gt;="&amp;DATE($B$3,6,19),'Leave log'!$F$7:$F$306,"Approved")&gt;0,"A",""))="A","A",IF(OR(DATE($B$3,6,19)&gt;EOMONTH(DATE($B$3,6,1),0),NETWORKDAYS.INTL(DATE($B$3,6,19),DATE($B$3,6,19),1,'Non-working days'!$A$6:$A$45)=0),"",IF(COUNTIFS('Leave log'!$A$7:$A$306,Employees!$A$12,'Leave log'!$B$7:$B$306,"&lt;="&amp;DATE($B$3,6,19),'Leave log'!$C$7:$C$306,"&gt;="&amp;DATE($B$3,6,19),'Leave log'!$F$7:$F$306,"Pending")&gt;0,"P",""))))</f>
        <v/>
      </c>
      <c r="U183" s="23" t="str">
        <f>IF(A183="","",IF(IF(OR(DATE($B$3,6,20)&gt;EOMONTH(DATE($B$3,6,1),0),NETWORKDAYS.INTL(DATE($B$3,6,20),DATE($B$3,6,20),1,'Non-working days'!$A$6:$A$45)=0),"",IF(COUNTIFS('Leave log'!$A$7:$A$306,Employees!$A$12,'Leave log'!$B$7:$B$306,"&lt;="&amp;DATE($B$3,6,20),'Leave log'!$C$7:$C$306,"&gt;="&amp;DATE($B$3,6,20),'Leave log'!$F$7:$F$306,"Approved")&gt;0,"A",""))="A","A",IF(OR(DATE($B$3,6,20)&gt;EOMONTH(DATE($B$3,6,1),0),NETWORKDAYS.INTL(DATE($B$3,6,20),DATE($B$3,6,20),1,'Non-working days'!$A$6:$A$45)=0),"",IF(COUNTIFS('Leave log'!$A$7:$A$306,Employees!$A$12,'Leave log'!$B$7:$B$306,"&lt;="&amp;DATE($B$3,6,20),'Leave log'!$C$7:$C$306,"&gt;="&amp;DATE($B$3,6,20),'Leave log'!$F$7:$F$306,"Pending")&gt;0,"P",""))))</f>
        <v/>
      </c>
      <c r="V183" s="23" t="str">
        <f>IF(A183="","",IF(IF(OR(DATE($B$3,6,21)&gt;EOMONTH(DATE($B$3,6,1),0),NETWORKDAYS.INTL(DATE($B$3,6,21),DATE($B$3,6,21),1,'Non-working days'!$A$6:$A$45)=0),"",IF(COUNTIFS('Leave log'!$A$7:$A$306,Employees!$A$12,'Leave log'!$B$7:$B$306,"&lt;="&amp;DATE($B$3,6,21),'Leave log'!$C$7:$C$306,"&gt;="&amp;DATE($B$3,6,21),'Leave log'!$F$7:$F$306,"Approved")&gt;0,"A",""))="A","A",IF(OR(DATE($B$3,6,21)&gt;EOMONTH(DATE($B$3,6,1),0),NETWORKDAYS.INTL(DATE($B$3,6,21),DATE($B$3,6,21),1,'Non-working days'!$A$6:$A$45)=0),"",IF(COUNTIFS('Leave log'!$A$7:$A$306,Employees!$A$12,'Leave log'!$B$7:$B$306,"&lt;="&amp;DATE($B$3,6,21),'Leave log'!$C$7:$C$306,"&gt;="&amp;DATE($B$3,6,21),'Leave log'!$F$7:$F$306,"Pending")&gt;0,"P",""))))</f>
        <v/>
      </c>
      <c r="W183" s="23" t="str">
        <f>IF(A183="","",IF(IF(OR(DATE($B$3,6,22)&gt;EOMONTH(DATE($B$3,6,1),0),NETWORKDAYS.INTL(DATE($B$3,6,22),DATE($B$3,6,22),1,'Non-working days'!$A$6:$A$45)=0),"",IF(COUNTIFS('Leave log'!$A$7:$A$306,Employees!$A$12,'Leave log'!$B$7:$B$306,"&lt;="&amp;DATE($B$3,6,22),'Leave log'!$C$7:$C$306,"&gt;="&amp;DATE($B$3,6,22),'Leave log'!$F$7:$F$306,"Approved")&gt;0,"A",""))="A","A",IF(OR(DATE($B$3,6,22)&gt;EOMONTH(DATE($B$3,6,1),0),NETWORKDAYS.INTL(DATE($B$3,6,22),DATE($B$3,6,22),1,'Non-working days'!$A$6:$A$45)=0),"",IF(COUNTIFS('Leave log'!$A$7:$A$306,Employees!$A$12,'Leave log'!$B$7:$B$306,"&lt;="&amp;DATE($B$3,6,22),'Leave log'!$C$7:$C$306,"&gt;="&amp;DATE($B$3,6,22),'Leave log'!$F$7:$F$306,"Pending")&gt;0,"P",""))))</f>
        <v/>
      </c>
      <c r="X183" s="23" t="str">
        <f>IF(A183="","",IF(IF(OR(DATE($B$3,6,23)&gt;EOMONTH(DATE($B$3,6,1),0),NETWORKDAYS.INTL(DATE($B$3,6,23),DATE($B$3,6,23),1,'Non-working days'!$A$6:$A$45)=0),"",IF(COUNTIFS('Leave log'!$A$7:$A$306,Employees!$A$12,'Leave log'!$B$7:$B$306,"&lt;="&amp;DATE($B$3,6,23),'Leave log'!$C$7:$C$306,"&gt;="&amp;DATE($B$3,6,23),'Leave log'!$F$7:$F$306,"Approved")&gt;0,"A",""))="A","A",IF(OR(DATE($B$3,6,23)&gt;EOMONTH(DATE($B$3,6,1),0),NETWORKDAYS.INTL(DATE($B$3,6,23),DATE($B$3,6,23),1,'Non-working days'!$A$6:$A$45)=0),"",IF(COUNTIFS('Leave log'!$A$7:$A$306,Employees!$A$12,'Leave log'!$B$7:$B$306,"&lt;="&amp;DATE($B$3,6,23),'Leave log'!$C$7:$C$306,"&gt;="&amp;DATE($B$3,6,23),'Leave log'!$F$7:$F$306,"Pending")&gt;0,"P",""))))</f>
        <v/>
      </c>
      <c r="Y183" s="23" t="str">
        <f>IF(A183="","",IF(IF(OR(DATE($B$3,6,24)&gt;EOMONTH(DATE($B$3,6,1),0),NETWORKDAYS.INTL(DATE($B$3,6,24),DATE($B$3,6,24),1,'Non-working days'!$A$6:$A$45)=0),"",IF(COUNTIFS('Leave log'!$A$7:$A$306,Employees!$A$12,'Leave log'!$B$7:$B$306,"&lt;="&amp;DATE($B$3,6,24),'Leave log'!$C$7:$C$306,"&gt;="&amp;DATE($B$3,6,24),'Leave log'!$F$7:$F$306,"Approved")&gt;0,"A",""))="A","A",IF(OR(DATE($B$3,6,24)&gt;EOMONTH(DATE($B$3,6,1),0),NETWORKDAYS.INTL(DATE($B$3,6,24),DATE($B$3,6,24),1,'Non-working days'!$A$6:$A$45)=0),"",IF(COUNTIFS('Leave log'!$A$7:$A$306,Employees!$A$12,'Leave log'!$B$7:$B$306,"&lt;="&amp;DATE($B$3,6,24),'Leave log'!$C$7:$C$306,"&gt;="&amp;DATE($B$3,6,24),'Leave log'!$F$7:$F$306,"Pending")&gt;0,"P",""))))</f>
        <v/>
      </c>
      <c r="Z183" s="23" t="str">
        <f>IF(A183="","",IF(IF(OR(DATE($B$3,6,25)&gt;EOMONTH(DATE($B$3,6,1),0),NETWORKDAYS.INTL(DATE($B$3,6,25),DATE($B$3,6,25),1,'Non-working days'!$A$6:$A$45)=0),"",IF(COUNTIFS('Leave log'!$A$7:$A$306,Employees!$A$12,'Leave log'!$B$7:$B$306,"&lt;="&amp;DATE($B$3,6,25),'Leave log'!$C$7:$C$306,"&gt;="&amp;DATE($B$3,6,25),'Leave log'!$F$7:$F$306,"Approved")&gt;0,"A",""))="A","A",IF(OR(DATE($B$3,6,25)&gt;EOMONTH(DATE($B$3,6,1),0),NETWORKDAYS.INTL(DATE($B$3,6,25),DATE($B$3,6,25),1,'Non-working days'!$A$6:$A$45)=0),"",IF(COUNTIFS('Leave log'!$A$7:$A$306,Employees!$A$12,'Leave log'!$B$7:$B$306,"&lt;="&amp;DATE($B$3,6,25),'Leave log'!$C$7:$C$306,"&gt;="&amp;DATE($B$3,6,25),'Leave log'!$F$7:$F$306,"Pending")&gt;0,"P",""))))</f>
        <v/>
      </c>
      <c r="AA183" s="23" t="str">
        <f>IF(A183="","",IF(IF(OR(DATE($B$3,6,26)&gt;EOMONTH(DATE($B$3,6,1),0),NETWORKDAYS.INTL(DATE($B$3,6,26),DATE($B$3,6,26),1,'Non-working days'!$A$6:$A$45)=0),"",IF(COUNTIFS('Leave log'!$A$7:$A$306,Employees!$A$12,'Leave log'!$B$7:$B$306,"&lt;="&amp;DATE($B$3,6,26),'Leave log'!$C$7:$C$306,"&gt;="&amp;DATE($B$3,6,26),'Leave log'!$F$7:$F$306,"Approved")&gt;0,"A",""))="A","A",IF(OR(DATE($B$3,6,26)&gt;EOMONTH(DATE($B$3,6,1),0),NETWORKDAYS.INTL(DATE($B$3,6,26),DATE($B$3,6,26),1,'Non-working days'!$A$6:$A$45)=0),"",IF(COUNTIFS('Leave log'!$A$7:$A$306,Employees!$A$12,'Leave log'!$B$7:$B$306,"&lt;="&amp;DATE($B$3,6,26),'Leave log'!$C$7:$C$306,"&gt;="&amp;DATE($B$3,6,26),'Leave log'!$F$7:$F$306,"Pending")&gt;0,"P",""))))</f>
        <v/>
      </c>
      <c r="AB183" s="23" t="str">
        <f>IF(A183="","",IF(IF(OR(DATE($B$3,6,27)&gt;EOMONTH(DATE($B$3,6,1),0),NETWORKDAYS.INTL(DATE($B$3,6,27),DATE($B$3,6,27),1,'Non-working days'!$A$6:$A$45)=0),"",IF(COUNTIFS('Leave log'!$A$7:$A$306,Employees!$A$12,'Leave log'!$B$7:$B$306,"&lt;="&amp;DATE($B$3,6,27),'Leave log'!$C$7:$C$306,"&gt;="&amp;DATE($B$3,6,27),'Leave log'!$F$7:$F$306,"Approved")&gt;0,"A",""))="A","A",IF(OR(DATE($B$3,6,27)&gt;EOMONTH(DATE($B$3,6,1),0),NETWORKDAYS.INTL(DATE($B$3,6,27),DATE($B$3,6,27),1,'Non-working days'!$A$6:$A$45)=0),"",IF(COUNTIFS('Leave log'!$A$7:$A$306,Employees!$A$12,'Leave log'!$B$7:$B$306,"&lt;="&amp;DATE($B$3,6,27),'Leave log'!$C$7:$C$306,"&gt;="&amp;DATE($B$3,6,27),'Leave log'!$F$7:$F$306,"Pending")&gt;0,"P",""))))</f>
        <v/>
      </c>
      <c r="AC183" s="23" t="str">
        <f>IF(A183="","",IF(IF(OR(DATE($B$3,6,28)&gt;EOMONTH(DATE($B$3,6,1),0),NETWORKDAYS.INTL(DATE($B$3,6,28),DATE($B$3,6,28),1,'Non-working days'!$A$6:$A$45)=0),"",IF(COUNTIFS('Leave log'!$A$7:$A$306,Employees!$A$12,'Leave log'!$B$7:$B$306,"&lt;="&amp;DATE($B$3,6,28),'Leave log'!$C$7:$C$306,"&gt;="&amp;DATE($B$3,6,28),'Leave log'!$F$7:$F$306,"Approved")&gt;0,"A",""))="A","A",IF(OR(DATE($B$3,6,28)&gt;EOMONTH(DATE($B$3,6,1),0),NETWORKDAYS.INTL(DATE($B$3,6,28),DATE($B$3,6,28),1,'Non-working days'!$A$6:$A$45)=0),"",IF(COUNTIFS('Leave log'!$A$7:$A$306,Employees!$A$12,'Leave log'!$B$7:$B$306,"&lt;="&amp;DATE($B$3,6,28),'Leave log'!$C$7:$C$306,"&gt;="&amp;DATE($B$3,6,28),'Leave log'!$F$7:$F$306,"Pending")&gt;0,"P",""))))</f>
        <v/>
      </c>
      <c r="AD183" s="23" t="str">
        <f>IF(A183="","",IF(IF(OR(DATE($B$3,6,29)&gt;EOMONTH(DATE($B$3,6,1),0),NETWORKDAYS.INTL(DATE($B$3,6,29),DATE($B$3,6,29),1,'Non-working days'!$A$6:$A$45)=0),"",IF(COUNTIFS('Leave log'!$A$7:$A$306,Employees!$A$12,'Leave log'!$B$7:$B$306,"&lt;="&amp;DATE($B$3,6,29),'Leave log'!$C$7:$C$306,"&gt;="&amp;DATE($B$3,6,29),'Leave log'!$F$7:$F$306,"Approved")&gt;0,"A",""))="A","A",IF(OR(DATE($B$3,6,29)&gt;EOMONTH(DATE($B$3,6,1),0),NETWORKDAYS.INTL(DATE($B$3,6,29),DATE($B$3,6,29),1,'Non-working days'!$A$6:$A$45)=0),"",IF(COUNTIFS('Leave log'!$A$7:$A$306,Employees!$A$12,'Leave log'!$B$7:$B$306,"&lt;="&amp;DATE($B$3,6,29),'Leave log'!$C$7:$C$306,"&gt;="&amp;DATE($B$3,6,29),'Leave log'!$F$7:$F$306,"Pending")&gt;0,"P",""))))</f>
        <v/>
      </c>
      <c r="AE183" s="23" t="str">
        <f>IF(A183="","",IF(IF(OR(DATE($B$3,6,30)&gt;EOMONTH(DATE($B$3,6,1),0),NETWORKDAYS.INTL(DATE($B$3,6,30),DATE($B$3,6,30),1,'Non-working days'!$A$6:$A$45)=0),"",IF(COUNTIFS('Leave log'!$A$7:$A$306,Employees!$A$12,'Leave log'!$B$7:$B$306,"&lt;="&amp;DATE($B$3,6,30),'Leave log'!$C$7:$C$306,"&gt;="&amp;DATE($B$3,6,30),'Leave log'!$F$7:$F$306,"Approved")&gt;0,"A",""))="A","A",IF(OR(DATE($B$3,6,30)&gt;EOMONTH(DATE($B$3,6,1),0),NETWORKDAYS.INTL(DATE($B$3,6,30),DATE($B$3,6,30),1,'Non-working days'!$A$6:$A$45)=0),"",IF(COUNTIFS('Leave log'!$A$7:$A$306,Employees!$A$12,'Leave log'!$B$7:$B$306,"&lt;="&amp;DATE($B$3,6,30),'Leave log'!$C$7:$C$306,"&gt;="&amp;DATE($B$3,6,30),'Leave log'!$F$7:$F$306,"Pending")&gt;0,"P",""))))</f>
        <v/>
      </c>
      <c r="AF183" s="23" t="str">
        <f>IF(A183="","",IF(IF(OR(DATE($B$3,6,31)&gt;EOMONTH(DATE($B$3,6,1),0),NETWORKDAYS.INTL(DATE($B$3,6,31),DATE($B$3,6,31),1,'Non-working days'!$A$6:$A$45)=0),"",IF(COUNTIFS('Leave log'!$A$7:$A$306,Employees!$A$12,'Leave log'!$B$7:$B$306,"&lt;="&amp;DATE($B$3,6,31),'Leave log'!$C$7:$C$306,"&gt;="&amp;DATE($B$3,6,31),'Leave log'!$F$7:$F$306,"Approved")&gt;0,"A",""))="A","A",IF(OR(DATE($B$3,6,31)&gt;EOMONTH(DATE($B$3,6,1),0),NETWORKDAYS.INTL(DATE($B$3,6,31),DATE($B$3,6,31),1,'Non-working days'!$A$6:$A$45)=0),"",IF(COUNTIFS('Leave log'!$A$7:$A$306,Employees!$A$12,'Leave log'!$B$7:$B$306,"&lt;="&amp;DATE($B$3,6,31),'Leave log'!$C$7:$C$306,"&gt;="&amp;DATE($B$3,6,31),'Leave log'!$F$7:$F$306,"Pending")&gt;0,"P",""))))</f>
        <v/>
      </c>
    </row>
    <row r="184" spans="1:32" ht="18" customHeight="1" x14ac:dyDescent="0.3">
      <c r="A184" s="22" t="str">
        <f>IF(Employees!F13="Yes",Employees!B13,"")</f>
        <v/>
      </c>
      <c r="B184" s="23" t="str">
        <f>IF(A184="","",IF(IF(OR(DATE($B$3,6,1)&gt;EOMONTH(DATE($B$3,6,1),0),NETWORKDAYS.INTL(DATE($B$3,6,1),DATE($B$3,6,1),1,'Non-working days'!$A$6:$A$45)=0),"",IF(COUNTIFS('Leave log'!$A$7:$A$306,Employees!$A$13,'Leave log'!$B$7:$B$306,"&lt;="&amp;DATE($B$3,6,1),'Leave log'!$C$7:$C$306,"&gt;="&amp;DATE($B$3,6,1),'Leave log'!$F$7:$F$306,"Approved")&gt;0,"A",""))="A","A",IF(OR(DATE($B$3,6,1)&gt;EOMONTH(DATE($B$3,6,1),0),NETWORKDAYS.INTL(DATE($B$3,6,1),DATE($B$3,6,1),1,'Non-working days'!$A$6:$A$45)=0),"",IF(COUNTIFS('Leave log'!$A$7:$A$306,Employees!$A$13,'Leave log'!$B$7:$B$306,"&lt;="&amp;DATE($B$3,6,1),'Leave log'!$C$7:$C$306,"&gt;="&amp;DATE($B$3,6,1),'Leave log'!$F$7:$F$306,"Pending")&gt;0,"P",""))))</f>
        <v/>
      </c>
      <c r="C184" s="23" t="str">
        <f>IF(A184="","",IF(IF(OR(DATE($B$3,6,2)&gt;EOMONTH(DATE($B$3,6,1),0),NETWORKDAYS.INTL(DATE($B$3,6,2),DATE($B$3,6,2),1,'Non-working days'!$A$6:$A$45)=0),"",IF(COUNTIFS('Leave log'!$A$7:$A$306,Employees!$A$13,'Leave log'!$B$7:$B$306,"&lt;="&amp;DATE($B$3,6,2),'Leave log'!$C$7:$C$306,"&gt;="&amp;DATE($B$3,6,2),'Leave log'!$F$7:$F$306,"Approved")&gt;0,"A",""))="A","A",IF(OR(DATE($B$3,6,2)&gt;EOMONTH(DATE($B$3,6,1),0),NETWORKDAYS.INTL(DATE($B$3,6,2),DATE($B$3,6,2),1,'Non-working days'!$A$6:$A$45)=0),"",IF(COUNTIFS('Leave log'!$A$7:$A$306,Employees!$A$13,'Leave log'!$B$7:$B$306,"&lt;="&amp;DATE($B$3,6,2),'Leave log'!$C$7:$C$306,"&gt;="&amp;DATE($B$3,6,2),'Leave log'!$F$7:$F$306,"Pending")&gt;0,"P",""))))</f>
        <v/>
      </c>
      <c r="D184" s="23" t="str">
        <f>IF(A184="","",IF(IF(OR(DATE($B$3,6,3)&gt;EOMONTH(DATE($B$3,6,1),0),NETWORKDAYS.INTL(DATE($B$3,6,3),DATE($B$3,6,3),1,'Non-working days'!$A$6:$A$45)=0),"",IF(COUNTIFS('Leave log'!$A$7:$A$306,Employees!$A$13,'Leave log'!$B$7:$B$306,"&lt;="&amp;DATE($B$3,6,3),'Leave log'!$C$7:$C$306,"&gt;="&amp;DATE($B$3,6,3),'Leave log'!$F$7:$F$306,"Approved")&gt;0,"A",""))="A","A",IF(OR(DATE($B$3,6,3)&gt;EOMONTH(DATE($B$3,6,1),0),NETWORKDAYS.INTL(DATE($B$3,6,3),DATE($B$3,6,3),1,'Non-working days'!$A$6:$A$45)=0),"",IF(COUNTIFS('Leave log'!$A$7:$A$306,Employees!$A$13,'Leave log'!$B$7:$B$306,"&lt;="&amp;DATE($B$3,6,3),'Leave log'!$C$7:$C$306,"&gt;="&amp;DATE($B$3,6,3),'Leave log'!$F$7:$F$306,"Pending")&gt;0,"P",""))))</f>
        <v/>
      </c>
      <c r="E184" s="23" t="str">
        <f>IF(A184="","",IF(IF(OR(DATE($B$3,6,4)&gt;EOMONTH(DATE($B$3,6,1),0),NETWORKDAYS.INTL(DATE($B$3,6,4),DATE($B$3,6,4),1,'Non-working days'!$A$6:$A$45)=0),"",IF(COUNTIFS('Leave log'!$A$7:$A$306,Employees!$A$13,'Leave log'!$B$7:$B$306,"&lt;="&amp;DATE($B$3,6,4),'Leave log'!$C$7:$C$306,"&gt;="&amp;DATE($B$3,6,4),'Leave log'!$F$7:$F$306,"Approved")&gt;0,"A",""))="A","A",IF(OR(DATE($B$3,6,4)&gt;EOMONTH(DATE($B$3,6,1),0),NETWORKDAYS.INTL(DATE($B$3,6,4),DATE($B$3,6,4),1,'Non-working days'!$A$6:$A$45)=0),"",IF(COUNTIFS('Leave log'!$A$7:$A$306,Employees!$A$13,'Leave log'!$B$7:$B$306,"&lt;="&amp;DATE($B$3,6,4),'Leave log'!$C$7:$C$306,"&gt;="&amp;DATE($B$3,6,4),'Leave log'!$F$7:$F$306,"Pending")&gt;0,"P",""))))</f>
        <v/>
      </c>
      <c r="F184" s="23" t="str">
        <f>IF(A184="","",IF(IF(OR(DATE($B$3,6,5)&gt;EOMONTH(DATE($B$3,6,1),0),NETWORKDAYS.INTL(DATE($B$3,6,5),DATE($B$3,6,5),1,'Non-working days'!$A$6:$A$45)=0),"",IF(COUNTIFS('Leave log'!$A$7:$A$306,Employees!$A$13,'Leave log'!$B$7:$B$306,"&lt;="&amp;DATE($B$3,6,5),'Leave log'!$C$7:$C$306,"&gt;="&amp;DATE($B$3,6,5),'Leave log'!$F$7:$F$306,"Approved")&gt;0,"A",""))="A","A",IF(OR(DATE($B$3,6,5)&gt;EOMONTH(DATE($B$3,6,1),0),NETWORKDAYS.INTL(DATE($B$3,6,5),DATE($B$3,6,5),1,'Non-working days'!$A$6:$A$45)=0),"",IF(COUNTIFS('Leave log'!$A$7:$A$306,Employees!$A$13,'Leave log'!$B$7:$B$306,"&lt;="&amp;DATE($B$3,6,5),'Leave log'!$C$7:$C$306,"&gt;="&amp;DATE($B$3,6,5),'Leave log'!$F$7:$F$306,"Pending")&gt;0,"P",""))))</f>
        <v/>
      </c>
      <c r="G184" s="23" t="str">
        <f>IF(A184="","",IF(IF(OR(DATE($B$3,6,6)&gt;EOMONTH(DATE($B$3,6,1),0),NETWORKDAYS.INTL(DATE($B$3,6,6),DATE($B$3,6,6),1,'Non-working days'!$A$6:$A$45)=0),"",IF(COUNTIFS('Leave log'!$A$7:$A$306,Employees!$A$13,'Leave log'!$B$7:$B$306,"&lt;="&amp;DATE($B$3,6,6),'Leave log'!$C$7:$C$306,"&gt;="&amp;DATE($B$3,6,6),'Leave log'!$F$7:$F$306,"Approved")&gt;0,"A",""))="A","A",IF(OR(DATE($B$3,6,6)&gt;EOMONTH(DATE($B$3,6,1),0),NETWORKDAYS.INTL(DATE($B$3,6,6),DATE($B$3,6,6),1,'Non-working days'!$A$6:$A$45)=0),"",IF(COUNTIFS('Leave log'!$A$7:$A$306,Employees!$A$13,'Leave log'!$B$7:$B$306,"&lt;="&amp;DATE($B$3,6,6),'Leave log'!$C$7:$C$306,"&gt;="&amp;DATE($B$3,6,6),'Leave log'!$F$7:$F$306,"Pending")&gt;0,"P",""))))</f>
        <v/>
      </c>
      <c r="H184" s="23" t="str">
        <f>IF(A184="","",IF(IF(OR(DATE($B$3,6,7)&gt;EOMONTH(DATE($B$3,6,1),0),NETWORKDAYS.INTL(DATE($B$3,6,7),DATE($B$3,6,7),1,'Non-working days'!$A$6:$A$45)=0),"",IF(COUNTIFS('Leave log'!$A$7:$A$306,Employees!$A$13,'Leave log'!$B$7:$B$306,"&lt;="&amp;DATE($B$3,6,7),'Leave log'!$C$7:$C$306,"&gt;="&amp;DATE($B$3,6,7),'Leave log'!$F$7:$F$306,"Approved")&gt;0,"A",""))="A","A",IF(OR(DATE($B$3,6,7)&gt;EOMONTH(DATE($B$3,6,1),0),NETWORKDAYS.INTL(DATE($B$3,6,7),DATE($B$3,6,7),1,'Non-working days'!$A$6:$A$45)=0),"",IF(COUNTIFS('Leave log'!$A$7:$A$306,Employees!$A$13,'Leave log'!$B$7:$B$306,"&lt;="&amp;DATE($B$3,6,7),'Leave log'!$C$7:$C$306,"&gt;="&amp;DATE($B$3,6,7),'Leave log'!$F$7:$F$306,"Pending")&gt;0,"P",""))))</f>
        <v/>
      </c>
      <c r="I184" s="23" t="str">
        <f>IF(A184="","",IF(IF(OR(DATE($B$3,6,8)&gt;EOMONTH(DATE($B$3,6,1),0),NETWORKDAYS.INTL(DATE($B$3,6,8),DATE($B$3,6,8),1,'Non-working days'!$A$6:$A$45)=0),"",IF(COUNTIFS('Leave log'!$A$7:$A$306,Employees!$A$13,'Leave log'!$B$7:$B$306,"&lt;="&amp;DATE($B$3,6,8),'Leave log'!$C$7:$C$306,"&gt;="&amp;DATE($B$3,6,8),'Leave log'!$F$7:$F$306,"Approved")&gt;0,"A",""))="A","A",IF(OR(DATE($B$3,6,8)&gt;EOMONTH(DATE($B$3,6,1),0),NETWORKDAYS.INTL(DATE($B$3,6,8),DATE($B$3,6,8),1,'Non-working days'!$A$6:$A$45)=0),"",IF(COUNTIFS('Leave log'!$A$7:$A$306,Employees!$A$13,'Leave log'!$B$7:$B$306,"&lt;="&amp;DATE($B$3,6,8),'Leave log'!$C$7:$C$306,"&gt;="&amp;DATE($B$3,6,8),'Leave log'!$F$7:$F$306,"Pending")&gt;0,"P",""))))</f>
        <v/>
      </c>
      <c r="J184" s="23" t="str">
        <f>IF(A184="","",IF(IF(OR(DATE($B$3,6,9)&gt;EOMONTH(DATE($B$3,6,1),0),NETWORKDAYS.INTL(DATE($B$3,6,9),DATE($B$3,6,9),1,'Non-working days'!$A$6:$A$45)=0),"",IF(COUNTIFS('Leave log'!$A$7:$A$306,Employees!$A$13,'Leave log'!$B$7:$B$306,"&lt;="&amp;DATE($B$3,6,9),'Leave log'!$C$7:$C$306,"&gt;="&amp;DATE($B$3,6,9),'Leave log'!$F$7:$F$306,"Approved")&gt;0,"A",""))="A","A",IF(OR(DATE($B$3,6,9)&gt;EOMONTH(DATE($B$3,6,1),0),NETWORKDAYS.INTL(DATE($B$3,6,9),DATE($B$3,6,9),1,'Non-working days'!$A$6:$A$45)=0),"",IF(COUNTIFS('Leave log'!$A$7:$A$306,Employees!$A$13,'Leave log'!$B$7:$B$306,"&lt;="&amp;DATE($B$3,6,9),'Leave log'!$C$7:$C$306,"&gt;="&amp;DATE($B$3,6,9),'Leave log'!$F$7:$F$306,"Pending")&gt;0,"P",""))))</f>
        <v/>
      </c>
      <c r="K184" s="23" t="str">
        <f>IF(A184="","",IF(IF(OR(DATE($B$3,6,10)&gt;EOMONTH(DATE($B$3,6,1),0),NETWORKDAYS.INTL(DATE($B$3,6,10),DATE($B$3,6,10),1,'Non-working days'!$A$6:$A$45)=0),"",IF(COUNTIFS('Leave log'!$A$7:$A$306,Employees!$A$13,'Leave log'!$B$7:$B$306,"&lt;="&amp;DATE($B$3,6,10),'Leave log'!$C$7:$C$306,"&gt;="&amp;DATE($B$3,6,10),'Leave log'!$F$7:$F$306,"Approved")&gt;0,"A",""))="A","A",IF(OR(DATE($B$3,6,10)&gt;EOMONTH(DATE($B$3,6,1),0),NETWORKDAYS.INTL(DATE($B$3,6,10),DATE($B$3,6,10),1,'Non-working days'!$A$6:$A$45)=0),"",IF(COUNTIFS('Leave log'!$A$7:$A$306,Employees!$A$13,'Leave log'!$B$7:$B$306,"&lt;="&amp;DATE($B$3,6,10),'Leave log'!$C$7:$C$306,"&gt;="&amp;DATE($B$3,6,10),'Leave log'!$F$7:$F$306,"Pending")&gt;0,"P",""))))</f>
        <v/>
      </c>
      <c r="L184" s="23" t="str">
        <f>IF(A184="","",IF(IF(OR(DATE($B$3,6,11)&gt;EOMONTH(DATE($B$3,6,1),0),NETWORKDAYS.INTL(DATE($B$3,6,11),DATE($B$3,6,11),1,'Non-working days'!$A$6:$A$45)=0),"",IF(COUNTIFS('Leave log'!$A$7:$A$306,Employees!$A$13,'Leave log'!$B$7:$B$306,"&lt;="&amp;DATE($B$3,6,11),'Leave log'!$C$7:$C$306,"&gt;="&amp;DATE($B$3,6,11),'Leave log'!$F$7:$F$306,"Approved")&gt;0,"A",""))="A","A",IF(OR(DATE($B$3,6,11)&gt;EOMONTH(DATE($B$3,6,1),0),NETWORKDAYS.INTL(DATE($B$3,6,11),DATE($B$3,6,11),1,'Non-working days'!$A$6:$A$45)=0),"",IF(COUNTIFS('Leave log'!$A$7:$A$306,Employees!$A$13,'Leave log'!$B$7:$B$306,"&lt;="&amp;DATE($B$3,6,11),'Leave log'!$C$7:$C$306,"&gt;="&amp;DATE($B$3,6,11),'Leave log'!$F$7:$F$306,"Pending")&gt;0,"P",""))))</f>
        <v/>
      </c>
      <c r="M184" s="23" t="str">
        <f>IF(A184="","",IF(IF(OR(DATE($B$3,6,12)&gt;EOMONTH(DATE($B$3,6,1),0),NETWORKDAYS.INTL(DATE($B$3,6,12),DATE($B$3,6,12),1,'Non-working days'!$A$6:$A$45)=0),"",IF(COUNTIFS('Leave log'!$A$7:$A$306,Employees!$A$13,'Leave log'!$B$7:$B$306,"&lt;="&amp;DATE($B$3,6,12),'Leave log'!$C$7:$C$306,"&gt;="&amp;DATE($B$3,6,12),'Leave log'!$F$7:$F$306,"Approved")&gt;0,"A",""))="A","A",IF(OR(DATE($B$3,6,12)&gt;EOMONTH(DATE($B$3,6,1),0),NETWORKDAYS.INTL(DATE($B$3,6,12),DATE($B$3,6,12),1,'Non-working days'!$A$6:$A$45)=0),"",IF(COUNTIFS('Leave log'!$A$7:$A$306,Employees!$A$13,'Leave log'!$B$7:$B$306,"&lt;="&amp;DATE($B$3,6,12),'Leave log'!$C$7:$C$306,"&gt;="&amp;DATE($B$3,6,12),'Leave log'!$F$7:$F$306,"Pending")&gt;0,"P",""))))</f>
        <v/>
      </c>
      <c r="N184" s="23" t="str">
        <f>IF(A184="","",IF(IF(OR(DATE($B$3,6,13)&gt;EOMONTH(DATE($B$3,6,1),0),NETWORKDAYS.INTL(DATE($B$3,6,13),DATE($B$3,6,13),1,'Non-working days'!$A$6:$A$45)=0),"",IF(COUNTIFS('Leave log'!$A$7:$A$306,Employees!$A$13,'Leave log'!$B$7:$B$306,"&lt;="&amp;DATE($B$3,6,13),'Leave log'!$C$7:$C$306,"&gt;="&amp;DATE($B$3,6,13),'Leave log'!$F$7:$F$306,"Approved")&gt;0,"A",""))="A","A",IF(OR(DATE($B$3,6,13)&gt;EOMONTH(DATE($B$3,6,1),0),NETWORKDAYS.INTL(DATE($B$3,6,13),DATE($B$3,6,13),1,'Non-working days'!$A$6:$A$45)=0),"",IF(COUNTIFS('Leave log'!$A$7:$A$306,Employees!$A$13,'Leave log'!$B$7:$B$306,"&lt;="&amp;DATE($B$3,6,13),'Leave log'!$C$7:$C$306,"&gt;="&amp;DATE($B$3,6,13),'Leave log'!$F$7:$F$306,"Pending")&gt;0,"P",""))))</f>
        <v/>
      </c>
      <c r="O184" s="23" t="str">
        <f>IF(A184="","",IF(IF(OR(DATE($B$3,6,14)&gt;EOMONTH(DATE($B$3,6,1),0),NETWORKDAYS.INTL(DATE($B$3,6,14),DATE($B$3,6,14),1,'Non-working days'!$A$6:$A$45)=0),"",IF(COUNTIFS('Leave log'!$A$7:$A$306,Employees!$A$13,'Leave log'!$B$7:$B$306,"&lt;="&amp;DATE($B$3,6,14),'Leave log'!$C$7:$C$306,"&gt;="&amp;DATE($B$3,6,14),'Leave log'!$F$7:$F$306,"Approved")&gt;0,"A",""))="A","A",IF(OR(DATE($B$3,6,14)&gt;EOMONTH(DATE($B$3,6,1),0),NETWORKDAYS.INTL(DATE($B$3,6,14),DATE($B$3,6,14),1,'Non-working days'!$A$6:$A$45)=0),"",IF(COUNTIFS('Leave log'!$A$7:$A$306,Employees!$A$13,'Leave log'!$B$7:$B$306,"&lt;="&amp;DATE($B$3,6,14),'Leave log'!$C$7:$C$306,"&gt;="&amp;DATE($B$3,6,14),'Leave log'!$F$7:$F$306,"Pending")&gt;0,"P",""))))</f>
        <v/>
      </c>
      <c r="P184" s="23" t="str">
        <f>IF(A184="","",IF(IF(OR(DATE($B$3,6,15)&gt;EOMONTH(DATE($B$3,6,1),0),NETWORKDAYS.INTL(DATE($B$3,6,15),DATE($B$3,6,15),1,'Non-working days'!$A$6:$A$45)=0),"",IF(COUNTIFS('Leave log'!$A$7:$A$306,Employees!$A$13,'Leave log'!$B$7:$B$306,"&lt;="&amp;DATE($B$3,6,15),'Leave log'!$C$7:$C$306,"&gt;="&amp;DATE($B$3,6,15),'Leave log'!$F$7:$F$306,"Approved")&gt;0,"A",""))="A","A",IF(OR(DATE($B$3,6,15)&gt;EOMONTH(DATE($B$3,6,1),0),NETWORKDAYS.INTL(DATE($B$3,6,15),DATE($B$3,6,15),1,'Non-working days'!$A$6:$A$45)=0),"",IF(COUNTIFS('Leave log'!$A$7:$A$306,Employees!$A$13,'Leave log'!$B$7:$B$306,"&lt;="&amp;DATE($B$3,6,15),'Leave log'!$C$7:$C$306,"&gt;="&amp;DATE($B$3,6,15),'Leave log'!$F$7:$F$306,"Pending")&gt;0,"P",""))))</f>
        <v/>
      </c>
      <c r="Q184" s="23" t="str">
        <f>IF(A184="","",IF(IF(OR(DATE($B$3,6,16)&gt;EOMONTH(DATE($B$3,6,1),0),NETWORKDAYS.INTL(DATE($B$3,6,16),DATE($B$3,6,16),1,'Non-working days'!$A$6:$A$45)=0),"",IF(COUNTIFS('Leave log'!$A$7:$A$306,Employees!$A$13,'Leave log'!$B$7:$B$306,"&lt;="&amp;DATE($B$3,6,16),'Leave log'!$C$7:$C$306,"&gt;="&amp;DATE($B$3,6,16),'Leave log'!$F$7:$F$306,"Approved")&gt;0,"A",""))="A","A",IF(OR(DATE($B$3,6,16)&gt;EOMONTH(DATE($B$3,6,1),0),NETWORKDAYS.INTL(DATE($B$3,6,16),DATE($B$3,6,16),1,'Non-working days'!$A$6:$A$45)=0),"",IF(COUNTIFS('Leave log'!$A$7:$A$306,Employees!$A$13,'Leave log'!$B$7:$B$306,"&lt;="&amp;DATE($B$3,6,16),'Leave log'!$C$7:$C$306,"&gt;="&amp;DATE($B$3,6,16),'Leave log'!$F$7:$F$306,"Pending")&gt;0,"P",""))))</f>
        <v/>
      </c>
      <c r="R184" s="23" t="str">
        <f>IF(A184="","",IF(IF(OR(DATE($B$3,6,17)&gt;EOMONTH(DATE($B$3,6,1),0),NETWORKDAYS.INTL(DATE($B$3,6,17),DATE($B$3,6,17),1,'Non-working days'!$A$6:$A$45)=0),"",IF(COUNTIFS('Leave log'!$A$7:$A$306,Employees!$A$13,'Leave log'!$B$7:$B$306,"&lt;="&amp;DATE($B$3,6,17),'Leave log'!$C$7:$C$306,"&gt;="&amp;DATE($B$3,6,17),'Leave log'!$F$7:$F$306,"Approved")&gt;0,"A",""))="A","A",IF(OR(DATE($B$3,6,17)&gt;EOMONTH(DATE($B$3,6,1),0),NETWORKDAYS.INTL(DATE($B$3,6,17),DATE($B$3,6,17),1,'Non-working days'!$A$6:$A$45)=0),"",IF(COUNTIFS('Leave log'!$A$7:$A$306,Employees!$A$13,'Leave log'!$B$7:$B$306,"&lt;="&amp;DATE($B$3,6,17),'Leave log'!$C$7:$C$306,"&gt;="&amp;DATE($B$3,6,17),'Leave log'!$F$7:$F$306,"Pending")&gt;0,"P",""))))</f>
        <v/>
      </c>
      <c r="S184" s="23" t="str">
        <f>IF(A184="","",IF(IF(OR(DATE($B$3,6,18)&gt;EOMONTH(DATE($B$3,6,1),0),NETWORKDAYS.INTL(DATE($B$3,6,18),DATE($B$3,6,18),1,'Non-working days'!$A$6:$A$45)=0),"",IF(COUNTIFS('Leave log'!$A$7:$A$306,Employees!$A$13,'Leave log'!$B$7:$B$306,"&lt;="&amp;DATE($B$3,6,18),'Leave log'!$C$7:$C$306,"&gt;="&amp;DATE($B$3,6,18),'Leave log'!$F$7:$F$306,"Approved")&gt;0,"A",""))="A","A",IF(OR(DATE($B$3,6,18)&gt;EOMONTH(DATE($B$3,6,1),0),NETWORKDAYS.INTL(DATE($B$3,6,18),DATE($B$3,6,18),1,'Non-working days'!$A$6:$A$45)=0),"",IF(COUNTIFS('Leave log'!$A$7:$A$306,Employees!$A$13,'Leave log'!$B$7:$B$306,"&lt;="&amp;DATE($B$3,6,18),'Leave log'!$C$7:$C$306,"&gt;="&amp;DATE($B$3,6,18),'Leave log'!$F$7:$F$306,"Pending")&gt;0,"P",""))))</f>
        <v/>
      </c>
      <c r="T184" s="23" t="str">
        <f>IF(A184="","",IF(IF(OR(DATE($B$3,6,19)&gt;EOMONTH(DATE($B$3,6,1),0),NETWORKDAYS.INTL(DATE($B$3,6,19),DATE($B$3,6,19),1,'Non-working days'!$A$6:$A$45)=0),"",IF(COUNTIFS('Leave log'!$A$7:$A$306,Employees!$A$13,'Leave log'!$B$7:$B$306,"&lt;="&amp;DATE($B$3,6,19),'Leave log'!$C$7:$C$306,"&gt;="&amp;DATE($B$3,6,19),'Leave log'!$F$7:$F$306,"Approved")&gt;0,"A",""))="A","A",IF(OR(DATE($B$3,6,19)&gt;EOMONTH(DATE($B$3,6,1),0),NETWORKDAYS.INTL(DATE($B$3,6,19),DATE($B$3,6,19),1,'Non-working days'!$A$6:$A$45)=0),"",IF(COUNTIFS('Leave log'!$A$7:$A$306,Employees!$A$13,'Leave log'!$B$7:$B$306,"&lt;="&amp;DATE($B$3,6,19),'Leave log'!$C$7:$C$306,"&gt;="&amp;DATE($B$3,6,19),'Leave log'!$F$7:$F$306,"Pending")&gt;0,"P",""))))</f>
        <v/>
      </c>
      <c r="U184" s="23" t="str">
        <f>IF(A184="","",IF(IF(OR(DATE($B$3,6,20)&gt;EOMONTH(DATE($B$3,6,1),0),NETWORKDAYS.INTL(DATE($B$3,6,20),DATE($B$3,6,20),1,'Non-working days'!$A$6:$A$45)=0),"",IF(COUNTIFS('Leave log'!$A$7:$A$306,Employees!$A$13,'Leave log'!$B$7:$B$306,"&lt;="&amp;DATE($B$3,6,20),'Leave log'!$C$7:$C$306,"&gt;="&amp;DATE($B$3,6,20),'Leave log'!$F$7:$F$306,"Approved")&gt;0,"A",""))="A","A",IF(OR(DATE($B$3,6,20)&gt;EOMONTH(DATE($B$3,6,1),0),NETWORKDAYS.INTL(DATE($B$3,6,20),DATE($B$3,6,20),1,'Non-working days'!$A$6:$A$45)=0),"",IF(COUNTIFS('Leave log'!$A$7:$A$306,Employees!$A$13,'Leave log'!$B$7:$B$306,"&lt;="&amp;DATE($B$3,6,20),'Leave log'!$C$7:$C$306,"&gt;="&amp;DATE($B$3,6,20),'Leave log'!$F$7:$F$306,"Pending")&gt;0,"P",""))))</f>
        <v/>
      </c>
      <c r="V184" s="23" t="str">
        <f>IF(A184="","",IF(IF(OR(DATE($B$3,6,21)&gt;EOMONTH(DATE($B$3,6,1),0),NETWORKDAYS.INTL(DATE($B$3,6,21),DATE($B$3,6,21),1,'Non-working days'!$A$6:$A$45)=0),"",IF(COUNTIFS('Leave log'!$A$7:$A$306,Employees!$A$13,'Leave log'!$B$7:$B$306,"&lt;="&amp;DATE($B$3,6,21),'Leave log'!$C$7:$C$306,"&gt;="&amp;DATE($B$3,6,21),'Leave log'!$F$7:$F$306,"Approved")&gt;0,"A",""))="A","A",IF(OR(DATE($B$3,6,21)&gt;EOMONTH(DATE($B$3,6,1),0),NETWORKDAYS.INTL(DATE($B$3,6,21),DATE($B$3,6,21),1,'Non-working days'!$A$6:$A$45)=0),"",IF(COUNTIFS('Leave log'!$A$7:$A$306,Employees!$A$13,'Leave log'!$B$7:$B$306,"&lt;="&amp;DATE($B$3,6,21),'Leave log'!$C$7:$C$306,"&gt;="&amp;DATE($B$3,6,21),'Leave log'!$F$7:$F$306,"Pending")&gt;0,"P",""))))</f>
        <v/>
      </c>
      <c r="W184" s="23" t="str">
        <f>IF(A184="","",IF(IF(OR(DATE($B$3,6,22)&gt;EOMONTH(DATE($B$3,6,1),0),NETWORKDAYS.INTL(DATE($B$3,6,22),DATE($B$3,6,22),1,'Non-working days'!$A$6:$A$45)=0),"",IF(COUNTIFS('Leave log'!$A$7:$A$306,Employees!$A$13,'Leave log'!$B$7:$B$306,"&lt;="&amp;DATE($B$3,6,22),'Leave log'!$C$7:$C$306,"&gt;="&amp;DATE($B$3,6,22),'Leave log'!$F$7:$F$306,"Approved")&gt;0,"A",""))="A","A",IF(OR(DATE($B$3,6,22)&gt;EOMONTH(DATE($B$3,6,1),0),NETWORKDAYS.INTL(DATE($B$3,6,22),DATE($B$3,6,22),1,'Non-working days'!$A$6:$A$45)=0),"",IF(COUNTIFS('Leave log'!$A$7:$A$306,Employees!$A$13,'Leave log'!$B$7:$B$306,"&lt;="&amp;DATE($B$3,6,22),'Leave log'!$C$7:$C$306,"&gt;="&amp;DATE($B$3,6,22),'Leave log'!$F$7:$F$306,"Pending")&gt;0,"P",""))))</f>
        <v/>
      </c>
      <c r="X184" s="23" t="str">
        <f>IF(A184="","",IF(IF(OR(DATE($B$3,6,23)&gt;EOMONTH(DATE($B$3,6,1),0),NETWORKDAYS.INTL(DATE($B$3,6,23),DATE($B$3,6,23),1,'Non-working days'!$A$6:$A$45)=0),"",IF(COUNTIFS('Leave log'!$A$7:$A$306,Employees!$A$13,'Leave log'!$B$7:$B$306,"&lt;="&amp;DATE($B$3,6,23),'Leave log'!$C$7:$C$306,"&gt;="&amp;DATE($B$3,6,23),'Leave log'!$F$7:$F$306,"Approved")&gt;0,"A",""))="A","A",IF(OR(DATE($B$3,6,23)&gt;EOMONTH(DATE($B$3,6,1),0),NETWORKDAYS.INTL(DATE($B$3,6,23),DATE($B$3,6,23),1,'Non-working days'!$A$6:$A$45)=0),"",IF(COUNTIFS('Leave log'!$A$7:$A$306,Employees!$A$13,'Leave log'!$B$7:$B$306,"&lt;="&amp;DATE($B$3,6,23),'Leave log'!$C$7:$C$306,"&gt;="&amp;DATE($B$3,6,23),'Leave log'!$F$7:$F$306,"Pending")&gt;0,"P",""))))</f>
        <v/>
      </c>
      <c r="Y184" s="23" t="str">
        <f>IF(A184="","",IF(IF(OR(DATE($B$3,6,24)&gt;EOMONTH(DATE($B$3,6,1),0),NETWORKDAYS.INTL(DATE($B$3,6,24),DATE($B$3,6,24),1,'Non-working days'!$A$6:$A$45)=0),"",IF(COUNTIFS('Leave log'!$A$7:$A$306,Employees!$A$13,'Leave log'!$B$7:$B$306,"&lt;="&amp;DATE($B$3,6,24),'Leave log'!$C$7:$C$306,"&gt;="&amp;DATE($B$3,6,24),'Leave log'!$F$7:$F$306,"Approved")&gt;0,"A",""))="A","A",IF(OR(DATE($B$3,6,24)&gt;EOMONTH(DATE($B$3,6,1),0),NETWORKDAYS.INTL(DATE($B$3,6,24),DATE($B$3,6,24),1,'Non-working days'!$A$6:$A$45)=0),"",IF(COUNTIFS('Leave log'!$A$7:$A$306,Employees!$A$13,'Leave log'!$B$7:$B$306,"&lt;="&amp;DATE($B$3,6,24),'Leave log'!$C$7:$C$306,"&gt;="&amp;DATE($B$3,6,24),'Leave log'!$F$7:$F$306,"Pending")&gt;0,"P",""))))</f>
        <v/>
      </c>
      <c r="Z184" s="23" t="str">
        <f>IF(A184="","",IF(IF(OR(DATE($B$3,6,25)&gt;EOMONTH(DATE($B$3,6,1),0),NETWORKDAYS.INTL(DATE($B$3,6,25),DATE($B$3,6,25),1,'Non-working days'!$A$6:$A$45)=0),"",IF(COUNTIFS('Leave log'!$A$7:$A$306,Employees!$A$13,'Leave log'!$B$7:$B$306,"&lt;="&amp;DATE($B$3,6,25),'Leave log'!$C$7:$C$306,"&gt;="&amp;DATE($B$3,6,25),'Leave log'!$F$7:$F$306,"Approved")&gt;0,"A",""))="A","A",IF(OR(DATE($B$3,6,25)&gt;EOMONTH(DATE($B$3,6,1),0),NETWORKDAYS.INTL(DATE($B$3,6,25),DATE($B$3,6,25),1,'Non-working days'!$A$6:$A$45)=0),"",IF(COUNTIFS('Leave log'!$A$7:$A$306,Employees!$A$13,'Leave log'!$B$7:$B$306,"&lt;="&amp;DATE($B$3,6,25),'Leave log'!$C$7:$C$306,"&gt;="&amp;DATE($B$3,6,25),'Leave log'!$F$7:$F$306,"Pending")&gt;0,"P",""))))</f>
        <v/>
      </c>
      <c r="AA184" s="23" t="str">
        <f>IF(A184="","",IF(IF(OR(DATE($B$3,6,26)&gt;EOMONTH(DATE($B$3,6,1),0),NETWORKDAYS.INTL(DATE($B$3,6,26),DATE($B$3,6,26),1,'Non-working days'!$A$6:$A$45)=0),"",IF(COUNTIFS('Leave log'!$A$7:$A$306,Employees!$A$13,'Leave log'!$B$7:$B$306,"&lt;="&amp;DATE($B$3,6,26),'Leave log'!$C$7:$C$306,"&gt;="&amp;DATE($B$3,6,26),'Leave log'!$F$7:$F$306,"Approved")&gt;0,"A",""))="A","A",IF(OR(DATE($B$3,6,26)&gt;EOMONTH(DATE($B$3,6,1),0),NETWORKDAYS.INTL(DATE($B$3,6,26),DATE($B$3,6,26),1,'Non-working days'!$A$6:$A$45)=0),"",IF(COUNTIFS('Leave log'!$A$7:$A$306,Employees!$A$13,'Leave log'!$B$7:$B$306,"&lt;="&amp;DATE($B$3,6,26),'Leave log'!$C$7:$C$306,"&gt;="&amp;DATE($B$3,6,26),'Leave log'!$F$7:$F$306,"Pending")&gt;0,"P",""))))</f>
        <v/>
      </c>
      <c r="AB184" s="23" t="str">
        <f>IF(A184="","",IF(IF(OR(DATE($B$3,6,27)&gt;EOMONTH(DATE($B$3,6,1),0),NETWORKDAYS.INTL(DATE($B$3,6,27),DATE($B$3,6,27),1,'Non-working days'!$A$6:$A$45)=0),"",IF(COUNTIFS('Leave log'!$A$7:$A$306,Employees!$A$13,'Leave log'!$B$7:$B$306,"&lt;="&amp;DATE($B$3,6,27),'Leave log'!$C$7:$C$306,"&gt;="&amp;DATE($B$3,6,27),'Leave log'!$F$7:$F$306,"Approved")&gt;0,"A",""))="A","A",IF(OR(DATE($B$3,6,27)&gt;EOMONTH(DATE($B$3,6,1),0),NETWORKDAYS.INTL(DATE($B$3,6,27),DATE($B$3,6,27),1,'Non-working days'!$A$6:$A$45)=0),"",IF(COUNTIFS('Leave log'!$A$7:$A$306,Employees!$A$13,'Leave log'!$B$7:$B$306,"&lt;="&amp;DATE($B$3,6,27),'Leave log'!$C$7:$C$306,"&gt;="&amp;DATE($B$3,6,27),'Leave log'!$F$7:$F$306,"Pending")&gt;0,"P",""))))</f>
        <v/>
      </c>
      <c r="AC184" s="23" t="str">
        <f>IF(A184="","",IF(IF(OR(DATE($B$3,6,28)&gt;EOMONTH(DATE($B$3,6,1),0),NETWORKDAYS.INTL(DATE($B$3,6,28),DATE($B$3,6,28),1,'Non-working days'!$A$6:$A$45)=0),"",IF(COUNTIFS('Leave log'!$A$7:$A$306,Employees!$A$13,'Leave log'!$B$7:$B$306,"&lt;="&amp;DATE($B$3,6,28),'Leave log'!$C$7:$C$306,"&gt;="&amp;DATE($B$3,6,28),'Leave log'!$F$7:$F$306,"Approved")&gt;0,"A",""))="A","A",IF(OR(DATE($B$3,6,28)&gt;EOMONTH(DATE($B$3,6,1),0),NETWORKDAYS.INTL(DATE($B$3,6,28),DATE($B$3,6,28),1,'Non-working days'!$A$6:$A$45)=0),"",IF(COUNTIFS('Leave log'!$A$7:$A$306,Employees!$A$13,'Leave log'!$B$7:$B$306,"&lt;="&amp;DATE($B$3,6,28),'Leave log'!$C$7:$C$306,"&gt;="&amp;DATE($B$3,6,28),'Leave log'!$F$7:$F$306,"Pending")&gt;0,"P",""))))</f>
        <v/>
      </c>
      <c r="AD184" s="23" t="str">
        <f>IF(A184="","",IF(IF(OR(DATE($B$3,6,29)&gt;EOMONTH(DATE($B$3,6,1),0),NETWORKDAYS.INTL(DATE($B$3,6,29),DATE($B$3,6,29),1,'Non-working days'!$A$6:$A$45)=0),"",IF(COUNTIFS('Leave log'!$A$7:$A$306,Employees!$A$13,'Leave log'!$B$7:$B$306,"&lt;="&amp;DATE($B$3,6,29),'Leave log'!$C$7:$C$306,"&gt;="&amp;DATE($B$3,6,29),'Leave log'!$F$7:$F$306,"Approved")&gt;0,"A",""))="A","A",IF(OR(DATE($B$3,6,29)&gt;EOMONTH(DATE($B$3,6,1),0),NETWORKDAYS.INTL(DATE($B$3,6,29),DATE($B$3,6,29),1,'Non-working days'!$A$6:$A$45)=0),"",IF(COUNTIFS('Leave log'!$A$7:$A$306,Employees!$A$13,'Leave log'!$B$7:$B$306,"&lt;="&amp;DATE($B$3,6,29),'Leave log'!$C$7:$C$306,"&gt;="&amp;DATE($B$3,6,29),'Leave log'!$F$7:$F$306,"Pending")&gt;0,"P",""))))</f>
        <v/>
      </c>
      <c r="AE184" s="23" t="str">
        <f>IF(A184="","",IF(IF(OR(DATE($B$3,6,30)&gt;EOMONTH(DATE($B$3,6,1),0),NETWORKDAYS.INTL(DATE($B$3,6,30),DATE($B$3,6,30),1,'Non-working days'!$A$6:$A$45)=0),"",IF(COUNTIFS('Leave log'!$A$7:$A$306,Employees!$A$13,'Leave log'!$B$7:$B$306,"&lt;="&amp;DATE($B$3,6,30),'Leave log'!$C$7:$C$306,"&gt;="&amp;DATE($B$3,6,30),'Leave log'!$F$7:$F$306,"Approved")&gt;0,"A",""))="A","A",IF(OR(DATE($B$3,6,30)&gt;EOMONTH(DATE($B$3,6,1),0),NETWORKDAYS.INTL(DATE($B$3,6,30),DATE($B$3,6,30),1,'Non-working days'!$A$6:$A$45)=0),"",IF(COUNTIFS('Leave log'!$A$7:$A$306,Employees!$A$13,'Leave log'!$B$7:$B$306,"&lt;="&amp;DATE($B$3,6,30),'Leave log'!$C$7:$C$306,"&gt;="&amp;DATE($B$3,6,30),'Leave log'!$F$7:$F$306,"Pending")&gt;0,"P",""))))</f>
        <v/>
      </c>
      <c r="AF184" s="23" t="str">
        <f>IF(A184="","",IF(IF(OR(DATE($B$3,6,31)&gt;EOMONTH(DATE($B$3,6,1),0),NETWORKDAYS.INTL(DATE($B$3,6,31),DATE($B$3,6,31),1,'Non-working days'!$A$6:$A$45)=0),"",IF(COUNTIFS('Leave log'!$A$7:$A$306,Employees!$A$13,'Leave log'!$B$7:$B$306,"&lt;="&amp;DATE($B$3,6,31),'Leave log'!$C$7:$C$306,"&gt;="&amp;DATE($B$3,6,31),'Leave log'!$F$7:$F$306,"Approved")&gt;0,"A",""))="A","A",IF(OR(DATE($B$3,6,31)&gt;EOMONTH(DATE($B$3,6,1),0),NETWORKDAYS.INTL(DATE($B$3,6,31),DATE($B$3,6,31),1,'Non-working days'!$A$6:$A$45)=0),"",IF(COUNTIFS('Leave log'!$A$7:$A$306,Employees!$A$13,'Leave log'!$B$7:$B$306,"&lt;="&amp;DATE($B$3,6,31),'Leave log'!$C$7:$C$306,"&gt;="&amp;DATE($B$3,6,31),'Leave log'!$F$7:$F$306,"Pending")&gt;0,"P",""))))</f>
        <v/>
      </c>
    </row>
    <row r="185" spans="1:32" ht="18" customHeight="1" x14ac:dyDescent="0.3">
      <c r="A185" s="22" t="str">
        <f>IF(Employees!F14="Yes",Employees!B14,"")</f>
        <v/>
      </c>
      <c r="B185" s="23" t="str">
        <f>IF(A185="","",IF(IF(OR(DATE($B$3,6,1)&gt;EOMONTH(DATE($B$3,6,1),0),NETWORKDAYS.INTL(DATE($B$3,6,1),DATE($B$3,6,1),1,'Non-working days'!$A$6:$A$45)=0),"",IF(COUNTIFS('Leave log'!$A$7:$A$306,Employees!$A$14,'Leave log'!$B$7:$B$306,"&lt;="&amp;DATE($B$3,6,1),'Leave log'!$C$7:$C$306,"&gt;="&amp;DATE($B$3,6,1),'Leave log'!$F$7:$F$306,"Approved")&gt;0,"A",""))="A","A",IF(OR(DATE($B$3,6,1)&gt;EOMONTH(DATE($B$3,6,1),0),NETWORKDAYS.INTL(DATE($B$3,6,1),DATE($B$3,6,1),1,'Non-working days'!$A$6:$A$45)=0),"",IF(COUNTIFS('Leave log'!$A$7:$A$306,Employees!$A$14,'Leave log'!$B$7:$B$306,"&lt;="&amp;DATE($B$3,6,1),'Leave log'!$C$7:$C$306,"&gt;="&amp;DATE($B$3,6,1),'Leave log'!$F$7:$F$306,"Pending")&gt;0,"P",""))))</f>
        <v/>
      </c>
      <c r="C185" s="23" t="str">
        <f>IF(A185="","",IF(IF(OR(DATE($B$3,6,2)&gt;EOMONTH(DATE($B$3,6,1),0),NETWORKDAYS.INTL(DATE($B$3,6,2),DATE($B$3,6,2),1,'Non-working days'!$A$6:$A$45)=0),"",IF(COUNTIFS('Leave log'!$A$7:$A$306,Employees!$A$14,'Leave log'!$B$7:$B$306,"&lt;="&amp;DATE($B$3,6,2),'Leave log'!$C$7:$C$306,"&gt;="&amp;DATE($B$3,6,2),'Leave log'!$F$7:$F$306,"Approved")&gt;0,"A",""))="A","A",IF(OR(DATE($B$3,6,2)&gt;EOMONTH(DATE($B$3,6,1),0),NETWORKDAYS.INTL(DATE($B$3,6,2),DATE($B$3,6,2),1,'Non-working days'!$A$6:$A$45)=0),"",IF(COUNTIFS('Leave log'!$A$7:$A$306,Employees!$A$14,'Leave log'!$B$7:$B$306,"&lt;="&amp;DATE($B$3,6,2),'Leave log'!$C$7:$C$306,"&gt;="&amp;DATE($B$3,6,2),'Leave log'!$F$7:$F$306,"Pending")&gt;0,"P",""))))</f>
        <v/>
      </c>
      <c r="D185" s="23" t="str">
        <f>IF(A185="","",IF(IF(OR(DATE($B$3,6,3)&gt;EOMONTH(DATE($B$3,6,1),0),NETWORKDAYS.INTL(DATE($B$3,6,3),DATE($B$3,6,3),1,'Non-working days'!$A$6:$A$45)=0),"",IF(COUNTIFS('Leave log'!$A$7:$A$306,Employees!$A$14,'Leave log'!$B$7:$B$306,"&lt;="&amp;DATE($B$3,6,3),'Leave log'!$C$7:$C$306,"&gt;="&amp;DATE($B$3,6,3),'Leave log'!$F$7:$F$306,"Approved")&gt;0,"A",""))="A","A",IF(OR(DATE($B$3,6,3)&gt;EOMONTH(DATE($B$3,6,1),0),NETWORKDAYS.INTL(DATE($B$3,6,3),DATE($B$3,6,3),1,'Non-working days'!$A$6:$A$45)=0),"",IF(COUNTIFS('Leave log'!$A$7:$A$306,Employees!$A$14,'Leave log'!$B$7:$B$306,"&lt;="&amp;DATE($B$3,6,3),'Leave log'!$C$7:$C$306,"&gt;="&amp;DATE($B$3,6,3),'Leave log'!$F$7:$F$306,"Pending")&gt;0,"P",""))))</f>
        <v/>
      </c>
      <c r="E185" s="23" t="str">
        <f>IF(A185="","",IF(IF(OR(DATE($B$3,6,4)&gt;EOMONTH(DATE($B$3,6,1),0),NETWORKDAYS.INTL(DATE($B$3,6,4),DATE($B$3,6,4),1,'Non-working days'!$A$6:$A$45)=0),"",IF(COUNTIFS('Leave log'!$A$7:$A$306,Employees!$A$14,'Leave log'!$B$7:$B$306,"&lt;="&amp;DATE($B$3,6,4),'Leave log'!$C$7:$C$306,"&gt;="&amp;DATE($B$3,6,4),'Leave log'!$F$7:$F$306,"Approved")&gt;0,"A",""))="A","A",IF(OR(DATE($B$3,6,4)&gt;EOMONTH(DATE($B$3,6,1),0),NETWORKDAYS.INTL(DATE($B$3,6,4),DATE($B$3,6,4),1,'Non-working days'!$A$6:$A$45)=0),"",IF(COUNTIFS('Leave log'!$A$7:$A$306,Employees!$A$14,'Leave log'!$B$7:$B$306,"&lt;="&amp;DATE($B$3,6,4),'Leave log'!$C$7:$C$306,"&gt;="&amp;DATE($B$3,6,4),'Leave log'!$F$7:$F$306,"Pending")&gt;0,"P",""))))</f>
        <v/>
      </c>
      <c r="F185" s="23" t="str">
        <f>IF(A185="","",IF(IF(OR(DATE($B$3,6,5)&gt;EOMONTH(DATE($B$3,6,1),0),NETWORKDAYS.INTL(DATE($B$3,6,5),DATE($B$3,6,5),1,'Non-working days'!$A$6:$A$45)=0),"",IF(COUNTIFS('Leave log'!$A$7:$A$306,Employees!$A$14,'Leave log'!$B$7:$B$306,"&lt;="&amp;DATE($B$3,6,5),'Leave log'!$C$7:$C$306,"&gt;="&amp;DATE($B$3,6,5),'Leave log'!$F$7:$F$306,"Approved")&gt;0,"A",""))="A","A",IF(OR(DATE($B$3,6,5)&gt;EOMONTH(DATE($B$3,6,1),0),NETWORKDAYS.INTL(DATE($B$3,6,5),DATE($B$3,6,5),1,'Non-working days'!$A$6:$A$45)=0),"",IF(COUNTIFS('Leave log'!$A$7:$A$306,Employees!$A$14,'Leave log'!$B$7:$B$306,"&lt;="&amp;DATE($B$3,6,5),'Leave log'!$C$7:$C$306,"&gt;="&amp;DATE($B$3,6,5),'Leave log'!$F$7:$F$306,"Pending")&gt;0,"P",""))))</f>
        <v/>
      </c>
      <c r="G185" s="23" t="str">
        <f>IF(A185="","",IF(IF(OR(DATE($B$3,6,6)&gt;EOMONTH(DATE($B$3,6,1),0),NETWORKDAYS.INTL(DATE($B$3,6,6),DATE($B$3,6,6),1,'Non-working days'!$A$6:$A$45)=0),"",IF(COUNTIFS('Leave log'!$A$7:$A$306,Employees!$A$14,'Leave log'!$B$7:$B$306,"&lt;="&amp;DATE($B$3,6,6),'Leave log'!$C$7:$C$306,"&gt;="&amp;DATE($B$3,6,6),'Leave log'!$F$7:$F$306,"Approved")&gt;0,"A",""))="A","A",IF(OR(DATE($B$3,6,6)&gt;EOMONTH(DATE($B$3,6,1),0),NETWORKDAYS.INTL(DATE($B$3,6,6),DATE($B$3,6,6),1,'Non-working days'!$A$6:$A$45)=0),"",IF(COUNTIFS('Leave log'!$A$7:$A$306,Employees!$A$14,'Leave log'!$B$7:$B$306,"&lt;="&amp;DATE($B$3,6,6),'Leave log'!$C$7:$C$306,"&gt;="&amp;DATE($B$3,6,6),'Leave log'!$F$7:$F$306,"Pending")&gt;0,"P",""))))</f>
        <v/>
      </c>
      <c r="H185" s="23" t="str">
        <f>IF(A185="","",IF(IF(OR(DATE($B$3,6,7)&gt;EOMONTH(DATE($B$3,6,1),0),NETWORKDAYS.INTL(DATE($B$3,6,7),DATE($B$3,6,7),1,'Non-working days'!$A$6:$A$45)=0),"",IF(COUNTIFS('Leave log'!$A$7:$A$306,Employees!$A$14,'Leave log'!$B$7:$B$306,"&lt;="&amp;DATE($B$3,6,7),'Leave log'!$C$7:$C$306,"&gt;="&amp;DATE($B$3,6,7),'Leave log'!$F$7:$F$306,"Approved")&gt;0,"A",""))="A","A",IF(OR(DATE($B$3,6,7)&gt;EOMONTH(DATE($B$3,6,1),0),NETWORKDAYS.INTL(DATE($B$3,6,7),DATE($B$3,6,7),1,'Non-working days'!$A$6:$A$45)=0),"",IF(COUNTIFS('Leave log'!$A$7:$A$306,Employees!$A$14,'Leave log'!$B$7:$B$306,"&lt;="&amp;DATE($B$3,6,7),'Leave log'!$C$7:$C$306,"&gt;="&amp;DATE($B$3,6,7),'Leave log'!$F$7:$F$306,"Pending")&gt;0,"P",""))))</f>
        <v/>
      </c>
      <c r="I185" s="23" t="str">
        <f>IF(A185="","",IF(IF(OR(DATE($B$3,6,8)&gt;EOMONTH(DATE($B$3,6,1),0),NETWORKDAYS.INTL(DATE($B$3,6,8),DATE($B$3,6,8),1,'Non-working days'!$A$6:$A$45)=0),"",IF(COUNTIFS('Leave log'!$A$7:$A$306,Employees!$A$14,'Leave log'!$B$7:$B$306,"&lt;="&amp;DATE($B$3,6,8),'Leave log'!$C$7:$C$306,"&gt;="&amp;DATE($B$3,6,8),'Leave log'!$F$7:$F$306,"Approved")&gt;0,"A",""))="A","A",IF(OR(DATE($B$3,6,8)&gt;EOMONTH(DATE($B$3,6,1),0),NETWORKDAYS.INTL(DATE($B$3,6,8),DATE($B$3,6,8),1,'Non-working days'!$A$6:$A$45)=0),"",IF(COUNTIFS('Leave log'!$A$7:$A$306,Employees!$A$14,'Leave log'!$B$7:$B$306,"&lt;="&amp;DATE($B$3,6,8),'Leave log'!$C$7:$C$306,"&gt;="&amp;DATE($B$3,6,8),'Leave log'!$F$7:$F$306,"Pending")&gt;0,"P",""))))</f>
        <v/>
      </c>
      <c r="J185" s="23" t="str">
        <f>IF(A185="","",IF(IF(OR(DATE($B$3,6,9)&gt;EOMONTH(DATE($B$3,6,1),0),NETWORKDAYS.INTL(DATE($B$3,6,9),DATE($B$3,6,9),1,'Non-working days'!$A$6:$A$45)=0),"",IF(COUNTIFS('Leave log'!$A$7:$A$306,Employees!$A$14,'Leave log'!$B$7:$B$306,"&lt;="&amp;DATE($B$3,6,9),'Leave log'!$C$7:$C$306,"&gt;="&amp;DATE($B$3,6,9),'Leave log'!$F$7:$F$306,"Approved")&gt;0,"A",""))="A","A",IF(OR(DATE($B$3,6,9)&gt;EOMONTH(DATE($B$3,6,1),0),NETWORKDAYS.INTL(DATE($B$3,6,9),DATE($B$3,6,9),1,'Non-working days'!$A$6:$A$45)=0),"",IF(COUNTIFS('Leave log'!$A$7:$A$306,Employees!$A$14,'Leave log'!$B$7:$B$306,"&lt;="&amp;DATE($B$3,6,9),'Leave log'!$C$7:$C$306,"&gt;="&amp;DATE($B$3,6,9),'Leave log'!$F$7:$F$306,"Pending")&gt;0,"P",""))))</f>
        <v/>
      </c>
      <c r="K185" s="23" t="str">
        <f>IF(A185="","",IF(IF(OR(DATE($B$3,6,10)&gt;EOMONTH(DATE($B$3,6,1),0),NETWORKDAYS.INTL(DATE($B$3,6,10),DATE($B$3,6,10),1,'Non-working days'!$A$6:$A$45)=0),"",IF(COUNTIFS('Leave log'!$A$7:$A$306,Employees!$A$14,'Leave log'!$B$7:$B$306,"&lt;="&amp;DATE($B$3,6,10),'Leave log'!$C$7:$C$306,"&gt;="&amp;DATE($B$3,6,10),'Leave log'!$F$7:$F$306,"Approved")&gt;0,"A",""))="A","A",IF(OR(DATE($B$3,6,10)&gt;EOMONTH(DATE($B$3,6,1),0),NETWORKDAYS.INTL(DATE($B$3,6,10),DATE($B$3,6,10),1,'Non-working days'!$A$6:$A$45)=0),"",IF(COUNTIFS('Leave log'!$A$7:$A$306,Employees!$A$14,'Leave log'!$B$7:$B$306,"&lt;="&amp;DATE($B$3,6,10),'Leave log'!$C$7:$C$306,"&gt;="&amp;DATE($B$3,6,10),'Leave log'!$F$7:$F$306,"Pending")&gt;0,"P",""))))</f>
        <v/>
      </c>
      <c r="L185" s="23" t="str">
        <f>IF(A185="","",IF(IF(OR(DATE($B$3,6,11)&gt;EOMONTH(DATE($B$3,6,1),0),NETWORKDAYS.INTL(DATE($B$3,6,11),DATE($B$3,6,11),1,'Non-working days'!$A$6:$A$45)=0),"",IF(COUNTIFS('Leave log'!$A$7:$A$306,Employees!$A$14,'Leave log'!$B$7:$B$306,"&lt;="&amp;DATE($B$3,6,11),'Leave log'!$C$7:$C$306,"&gt;="&amp;DATE($B$3,6,11),'Leave log'!$F$7:$F$306,"Approved")&gt;0,"A",""))="A","A",IF(OR(DATE($B$3,6,11)&gt;EOMONTH(DATE($B$3,6,1),0),NETWORKDAYS.INTL(DATE($B$3,6,11),DATE($B$3,6,11),1,'Non-working days'!$A$6:$A$45)=0),"",IF(COUNTIFS('Leave log'!$A$7:$A$306,Employees!$A$14,'Leave log'!$B$7:$B$306,"&lt;="&amp;DATE($B$3,6,11),'Leave log'!$C$7:$C$306,"&gt;="&amp;DATE($B$3,6,11),'Leave log'!$F$7:$F$306,"Pending")&gt;0,"P",""))))</f>
        <v/>
      </c>
      <c r="M185" s="23" t="str">
        <f>IF(A185="","",IF(IF(OR(DATE($B$3,6,12)&gt;EOMONTH(DATE($B$3,6,1),0),NETWORKDAYS.INTL(DATE($B$3,6,12),DATE($B$3,6,12),1,'Non-working days'!$A$6:$A$45)=0),"",IF(COUNTIFS('Leave log'!$A$7:$A$306,Employees!$A$14,'Leave log'!$B$7:$B$306,"&lt;="&amp;DATE($B$3,6,12),'Leave log'!$C$7:$C$306,"&gt;="&amp;DATE($B$3,6,12),'Leave log'!$F$7:$F$306,"Approved")&gt;0,"A",""))="A","A",IF(OR(DATE($B$3,6,12)&gt;EOMONTH(DATE($B$3,6,1),0),NETWORKDAYS.INTL(DATE($B$3,6,12),DATE($B$3,6,12),1,'Non-working days'!$A$6:$A$45)=0),"",IF(COUNTIFS('Leave log'!$A$7:$A$306,Employees!$A$14,'Leave log'!$B$7:$B$306,"&lt;="&amp;DATE($B$3,6,12),'Leave log'!$C$7:$C$306,"&gt;="&amp;DATE($B$3,6,12),'Leave log'!$F$7:$F$306,"Pending")&gt;0,"P",""))))</f>
        <v/>
      </c>
      <c r="N185" s="23" t="str">
        <f>IF(A185="","",IF(IF(OR(DATE($B$3,6,13)&gt;EOMONTH(DATE($B$3,6,1),0),NETWORKDAYS.INTL(DATE($B$3,6,13),DATE($B$3,6,13),1,'Non-working days'!$A$6:$A$45)=0),"",IF(COUNTIFS('Leave log'!$A$7:$A$306,Employees!$A$14,'Leave log'!$B$7:$B$306,"&lt;="&amp;DATE($B$3,6,13),'Leave log'!$C$7:$C$306,"&gt;="&amp;DATE($B$3,6,13),'Leave log'!$F$7:$F$306,"Approved")&gt;0,"A",""))="A","A",IF(OR(DATE($B$3,6,13)&gt;EOMONTH(DATE($B$3,6,1),0),NETWORKDAYS.INTL(DATE($B$3,6,13),DATE($B$3,6,13),1,'Non-working days'!$A$6:$A$45)=0),"",IF(COUNTIFS('Leave log'!$A$7:$A$306,Employees!$A$14,'Leave log'!$B$7:$B$306,"&lt;="&amp;DATE($B$3,6,13),'Leave log'!$C$7:$C$306,"&gt;="&amp;DATE($B$3,6,13),'Leave log'!$F$7:$F$306,"Pending")&gt;0,"P",""))))</f>
        <v/>
      </c>
      <c r="O185" s="23" t="str">
        <f>IF(A185="","",IF(IF(OR(DATE($B$3,6,14)&gt;EOMONTH(DATE($B$3,6,1),0),NETWORKDAYS.INTL(DATE($B$3,6,14),DATE($B$3,6,14),1,'Non-working days'!$A$6:$A$45)=0),"",IF(COUNTIFS('Leave log'!$A$7:$A$306,Employees!$A$14,'Leave log'!$B$7:$B$306,"&lt;="&amp;DATE($B$3,6,14),'Leave log'!$C$7:$C$306,"&gt;="&amp;DATE($B$3,6,14),'Leave log'!$F$7:$F$306,"Approved")&gt;0,"A",""))="A","A",IF(OR(DATE($B$3,6,14)&gt;EOMONTH(DATE($B$3,6,1),0),NETWORKDAYS.INTL(DATE($B$3,6,14),DATE($B$3,6,14),1,'Non-working days'!$A$6:$A$45)=0),"",IF(COUNTIFS('Leave log'!$A$7:$A$306,Employees!$A$14,'Leave log'!$B$7:$B$306,"&lt;="&amp;DATE($B$3,6,14),'Leave log'!$C$7:$C$306,"&gt;="&amp;DATE($B$3,6,14),'Leave log'!$F$7:$F$306,"Pending")&gt;0,"P",""))))</f>
        <v/>
      </c>
      <c r="P185" s="23" t="str">
        <f>IF(A185="","",IF(IF(OR(DATE($B$3,6,15)&gt;EOMONTH(DATE($B$3,6,1),0),NETWORKDAYS.INTL(DATE($B$3,6,15),DATE($B$3,6,15),1,'Non-working days'!$A$6:$A$45)=0),"",IF(COUNTIFS('Leave log'!$A$7:$A$306,Employees!$A$14,'Leave log'!$B$7:$B$306,"&lt;="&amp;DATE($B$3,6,15),'Leave log'!$C$7:$C$306,"&gt;="&amp;DATE($B$3,6,15),'Leave log'!$F$7:$F$306,"Approved")&gt;0,"A",""))="A","A",IF(OR(DATE($B$3,6,15)&gt;EOMONTH(DATE($B$3,6,1),0),NETWORKDAYS.INTL(DATE($B$3,6,15),DATE($B$3,6,15),1,'Non-working days'!$A$6:$A$45)=0),"",IF(COUNTIFS('Leave log'!$A$7:$A$306,Employees!$A$14,'Leave log'!$B$7:$B$306,"&lt;="&amp;DATE($B$3,6,15),'Leave log'!$C$7:$C$306,"&gt;="&amp;DATE($B$3,6,15),'Leave log'!$F$7:$F$306,"Pending")&gt;0,"P",""))))</f>
        <v/>
      </c>
      <c r="Q185" s="23" t="str">
        <f>IF(A185="","",IF(IF(OR(DATE($B$3,6,16)&gt;EOMONTH(DATE($B$3,6,1),0),NETWORKDAYS.INTL(DATE($B$3,6,16),DATE($B$3,6,16),1,'Non-working days'!$A$6:$A$45)=0),"",IF(COUNTIFS('Leave log'!$A$7:$A$306,Employees!$A$14,'Leave log'!$B$7:$B$306,"&lt;="&amp;DATE($B$3,6,16),'Leave log'!$C$7:$C$306,"&gt;="&amp;DATE($B$3,6,16),'Leave log'!$F$7:$F$306,"Approved")&gt;0,"A",""))="A","A",IF(OR(DATE($B$3,6,16)&gt;EOMONTH(DATE($B$3,6,1),0),NETWORKDAYS.INTL(DATE($B$3,6,16),DATE($B$3,6,16),1,'Non-working days'!$A$6:$A$45)=0),"",IF(COUNTIFS('Leave log'!$A$7:$A$306,Employees!$A$14,'Leave log'!$B$7:$B$306,"&lt;="&amp;DATE($B$3,6,16),'Leave log'!$C$7:$C$306,"&gt;="&amp;DATE($B$3,6,16),'Leave log'!$F$7:$F$306,"Pending")&gt;0,"P",""))))</f>
        <v/>
      </c>
      <c r="R185" s="23" t="str">
        <f>IF(A185="","",IF(IF(OR(DATE($B$3,6,17)&gt;EOMONTH(DATE($B$3,6,1),0),NETWORKDAYS.INTL(DATE($B$3,6,17),DATE($B$3,6,17),1,'Non-working days'!$A$6:$A$45)=0),"",IF(COUNTIFS('Leave log'!$A$7:$A$306,Employees!$A$14,'Leave log'!$B$7:$B$306,"&lt;="&amp;DATE($B$3,6,17),'Leave log'!$C$7:$C$306,"&gt;="&amp;DATE($B$3,6,17),'Leave log'!$F$7:$F$306,"Approved")&gt;0,"A",""))="A","A",IF(OR(DATE($B$3,6,17)&gt;EOMONTH(DATE($B$3,6,1),0),NETWORKDAYS.INTL(DATE($B$3,6,17),DATE($B$3,6,17),1,'Non-working days'!$A$6:$A$45)=0),"",IF(COUNTIFS('Leave log'!$A$7:$A$306,Employees!$A$14,'Leave log'!$B$7:$B$306,"&lt;="&amp;DATE($B$3,6,17),'Leave log'!$C$7:$C$306,"&gt;="&amp;DATE($B$3,6,17),'Leave log'!$F$7:$F$306,"Pending")&gt;0,"P",""))))</f>
        <v/>
      </c>
      <c r="S185" s="23" t="str">
        <f>IF(A185="","",IF(IF(OR(DATE($B$3,6,18)&gt;EOMONTH(DATE($B$3,6,1),0),NETWORKDAYS.INTL(DATE($B$3,6,18),DATE($B$3,6,18),1,'Non-working days'!$A$6:$A$45)=0),"",IF(COUNTIFS('Leave log'!$A$7:$A$306,Employees!$A$14,'Leave log'!$B$7:$B$306,"&lt;="&amp;DATE($B$3,6,18),'Leave log'!$C$7:$C$306,"&gt;="&amp;DATE($B$3,6,18),'Leave log'!$F$7:$F$306,"Approved")&gt;0,"A",""))="A","A",IF(OR(DATE($B$3,6,18)&gt;EOMONTH(DATE($B$3,6,1),0),NETWORKDAYS.INTL(DATE($B$3,6,18),DATE($B$3,6,18),1,'Non-working days'!$A$6:$A$45)=0),"",IF(COUNTIFS('Leave log'!$A$7:$A$306,Employees!$A$14,'Leave log'!$B$7:$B$306,"&lt;="&amp;DATE($B$3,6,18),'Leave log'!$C$7:$C$306,"&gt;="&amp;DATE($B$3,6,18),'Leave log'!$F$7:$F$306,"Pending")&gt;0,"P",""))))</f>
        <v/>
      </c>
      <c r="T185" s="23" t="str">
        <f>IF(A185="","",IF(IF(OR(DATE($B$3,6,19)&gt;EOMONTH(DATE($B$3,6,1),0),NETWORKDAYS.INTL(DATE($B$3,6,19),DATE($B$3,6,19),1,'Non-working days'!$A$6:$A$45)=0),"",IF(COUNTIFS('Leave log'!$A$7:$A$306,Employees!$A$14,'Leave log'!$B$7:$B$306,"&lt;="&amp;DATE($B$3,6,19),'Leave log'!$C$7:$C$306,"&gt;="&amp;DATE($B$3,6,19),'Leave log'!$F$7:$F$306,"Approved")&gt;0,"A",""))="A","A",IF(OR(DATE($B$3,6,19)&gt;EOMONTH(DATE($B$3,6,1),0),NETWORKDAYS.INTL(DATE($B$3,6,19),DATE($B$3,6,19),1,'Non-working days'!$A$6:$A$45)=0),"",IF(COUNTIFS('Leave log'!$A$7:$A$306,Employees!$A$14,'Leave log'!$B$7:$B$306,"&lt;="&amp;DATE($B$3,6,19),'Leave log'!$C$7:$C$306,"&gt;="&amp;DATE($B$3,6,19),'Leave log'!$F$7:$F$306,"Pending")&gt;0,"P",""))))</f>
        <v/>
      </c>
      <c r="U185" s="23" t="str">
        <f>IF(A185="","",IF(IF(OR(DATE($B$3,6,20)&gt;EOMONTH(DATE($B$3,6,1),0),NETWORKDAYS.INTL(DATE($B$3,6,20),DATE($B$3,6,20),1,'Non-working days'!$A$6:$A$45)=0),"",IF(COUNTIFS('Leave log'!$A$7:$A$306,Employees!$A$14,'Leave log'!$B$7:$B$306,"&lt;="&amp;DATE($B$3,6,20),'Leave log'!$C$7:$C$306,"&gt;="&amp;DATE($B$3,6,20),'Leave log'!$F$7:$F$306,"Approved")&gt;0,"A",""))="A","A",IF(OR(DATE($B$3,6,20)&gt;EOMONTH(DATE($B$3,6,1),0),NETWORKDAYS.INTL(DATE($B$3,6,20),DATE($B$3,6,20),1,'Non-working days'!$A$6:$A$45)=0),"",IF(COUNTIFS('Leave log'!$A$7:$A$306,Employees!$A$14,'Leave log'!$B$7:$B$306,"&lt;="&amp;DATE($B$3,6,20),'Leave log'!$C$7:$C$306,"&gt;="&amp;DATE($B$3,6,20),'Leave log'!$F$7:$F$306,"Pending")&gt;0,"P",""))))</f>
        <v/>
      </c>
      <c r="V185" s="23" t="str">
        <f>IF(A185="","",IF(IF(OR(DATE($B$3,6,21)&gt;EOMONTH(DATE($B$3,6,1),0),NETWORKDAYS.INTL(DATE($B$3,6,21),DATE($B$3,6,21),1,'Non-working days'!$A$6:$A$45)=0),"",IF(COUNTIFS('Leave log'!$A$7:$A$306,Employees!$A$14,'Leave log'!$B$7:$B$306,"&lt;="&amp;DATE($B$3,6,21),'Leave log'!$C$7:$C$306,"&gt;="&amp;DATE($B$3,6,21),'Leave log'!$F$7:$F$306,"Approved")&gt;0,"A",""))="A","A",IF(OR(DATE($B$3,6,21)&gt;EOMONTH(DATE($B$3,6,1),0),NETWORKDAYS.INTL(DATE($B$3,6,21),DATE($B$3,6,21),1,'Non-working days'!$A$6:$A$45)=0),"",IF(COUNTIFS('Leave log'!$A$7:$A$306,Employees!$A$14,'Leave log'!$B$7:$B$306,"&lt;="&amp;DATE($B$3,6,21),'Leave log'!$C$7:$C$306,"&gt;="&amp;DATE($B$3,6,21),'Leave log'!$F$7:$F$306,"Pending")&gt;0,"P",""))))</f>
        <v/>
      </c>
      <c r="W185" s="23" t="str">
        <f>IF(A185="","",IF(IF(OR(DATE($B$3,6,22)&gt;EOMONTH(DATE($B$3,6,1),0),NETWORKDAYS.INTL(DATE($B$3,6,22),DATE($B$3,6,22),1,'Non-working days'!$A$6:$A$45)=0),"",IF(COUNTIFS('Leave log'!$A$7:$A$306,Employees!$A$14,'Leave log'!$B$7:$B$306,"&lt;="&amp;DATE($B$3,6,22),'Leave log'!$C$7:$C$306,"&gt;="&amp;DATE($B$3,6,22),'Leave log'!$F$7:$F$306,"Approved")&gt;0,"A",""))="A","A",IF(OR(DATE($B$3,6,22)&gt;EOMONTH(DATE($B$3,6,1),0),NETWORKDAYS.INTL(DATE($B$3,6,22),DATE($B$3,6,22),1,'Non-working days'!$A$6:$A$45)=0),"",IF(COUNTIFS('Leave log'!$A$7:$A$306,Employees!$A$14,'Leave log'!$B$7:$B$306,"&lt;="&amp;DATE($B$3,6,22),'Leave log'!$C$7:$C$306,"&gt;="&amp;DATE($B$3,6,22),'Leave log'!$F$7:$F$306,"Pending")&gt;0,"P",""))))</f>
        <v/>
      </c>
      <c r="X185" s="23" t="str">
        <f>IF(A185="","",IF(IF(OR(DATE($B$3,6,23)&gt;EOMONTH(DATE($B$3,6,1),0),NETWORKDAYS.INTL(DATE($B$3,6,23),DATE($B$3,6,23),1,'Non-working days'!$A$6:$A$45)=0),"",IF(COUNTIFS('Leave log'!$A$7:$A$306,Employees!$A$14,'Leave log'!$B$7:$B$306,"&lt;="&amp;DATE($B$3,6,23),'Leave log'!$C$7:$C$306,"&gt;="&amp;DATE($B$3,6,23),'Leave log'!$F$7:$F$306,"Approved")&gt;0,"A",""))="A","A",IF(OR(DATE($B$3,6,23)&gt;EOMONTH(DATE($B$3,6,1),0),NETWORKDAYS.INTL(DATE($B$3,6,23),DATE($B$3,6,23),1,'Non-working days'!$A$6:$A$45)=0),"",IF(COUNTIFS('Leave log'!$A$7:$A$306,Employees!$A$14,'Leave log'!$B$7:$B$306,"&lt;="&amp;DATE($B$3,6,23),'Leave log'!$C$7:$C$306,"&gt;="&amp;DATE($B$3,6,23),'Leave log'!$F$7:$F$306,"Pending")&gt;0,"P",""))))</f>
        <v/>
      </c>
      <c r="Y185" s="23" t="str">
        <f>IF(A185="","",IF(IF(OR(DATE($B$3,6,24)&gt;EOMONTH(DATE($B$3,6,1),0),NETWORKDAYS.INTL(DATE($B$3,6,24),DATE($B$3,6,24),1,'Non-working days'!$A$6:$A$45)=0),"",IF(COUNTIFS('Leave log'!$A$7:$A$306,Employees!$A$14,'Leave log'!$B$7:$B$306,"&lt;="&amp;DATE($B$3,6,24),'Leave log'!$C$7:$C$306,"&gt;="&amp;DATE($B$3,6,24),'Leave log'!$F$7:$F$306,"Approved")&gt;0,"A",""))="A","A",IF(OR(DATE($B$3,6,24)&gt;EOMONTH(DATE($B$3,6,1),0),NETWORKDAYS.INTL(DATE($B$3,6,24),DATE($B$3,6,24),1,'Non-working days'!$A$6:$A$45)=0),"",IF(COUNTIFS('Leave log'!$A$7:$A$306,Employees!$A$14,'Leave log'!$B$7:$B$306,"&lt;="&amp;DATE($B$3,6,24),'Leave log'!$C$7:$C$306,"&gt;="&amp;DATE($B$3,6,24),'Leave log'!$F$7:$F$306,"Pending")&gt;0,"P",""))))</f>
        <v/>
      </c>
      <c r="Z185" s="23" t="str">
        <f>IF(A185="","",IF(IF(OR(DATE($B$3,6,25)&gt;EOMONTH(DATE($B$3,6,1),0),NETWORKDAYS.INTL(DATE($B$3,6,25),DATE($B$3,6,25),1,'Non-working days'!$A$6:$A$45)=0),"",IF(COUNTIFS('Leave log'!$A$7:$A$306,Employees!$A$14,'Leave log'!$B$7:$B$306,"&lt;="&amp;DATE($B$3,6,25),'Leave log'!$C$7:$C$306,"&gt;="&amp;DATE($B$3,6,25),'Leave log'!$F$7:$F$306,"Approved")&gt;0,"A",""))="A","A",IF(OR(DATE($B$3,6,25)&gt;EOMONTH(DATE($B$3,6,1),0),NETWORKDAYS.INTL(DATE($B$3,6,25),DATE($B$3,6,25),1,'Non-working days'!$A$6:$A$45)=0),"",IF(COUNTIFS('Leave log'!$A$7:$A$306,Employees!$A$14,'Leave log'!$B$7:$B$306,"&lt;="&amp;DATE($B$3,6,25),'Leave log'!$C$7:$C$306,"&gt;="&amp;DATE($B$3,6,25),'Leave log'!$F$7:$F$306,"Pending")&gt;0,"P",""))))</f>
        <v/>
      </c>
      <c r="AA185" s="23" t="str">
        <f>IF(A185="","",IF(IF(OR(DATE($B$3,6,26)&gt;EOMONTH(DATE($B$3,6,1),0),NETWORKDAYS.INTL(DATE($B$3,6,26),DATE($B$3,6,26),1,'Non-working days'!$A$6:$A$45)=0),"",IF(COUNTIFS('Leave log'!$A$7:$A$306,Employees!$A$14,'Leave log'!$B$7:$B$306,"&lt;="&amp;DATE($B$3,6,26),'Leave log'!$C$7:$C$306,"&gt;="&amp;DATE($B$3,6,26),'Leave log'!$F$7:$F$306,"Approved")&gt;0,"A",""))="A","A",IF(OR(DATE($B$3,6,26)&gt;EOMONTH(DATE($B$3,6,1),0),NETWORKDAYS.INTL(DATE($B$3,6,26),DATE($B$3,6,26),1,'Non-working days'!$A$6:$A$45)=0),"",IF(COUNTIFS('Leave log'!$A$7:$A$306,Employees!$A$14,'Leave log'!$B$7:$B$306,"&lt;="&amp;DATE($B$3,6,26),'Leave log'!$C$7:$C$306,"&gt;="&amp;DATE($B$3,6,26),'Leave log'!$F$7:$F$306,"Pending")&gt;0,"P",""))))</f>
        <v/>
      </c>
      <c r="AB185" s="23" t="str">
        <f>IF(A185="","",IF(IF(OR(DATE($B$3,6,27)&gt;EOMONTH(DATE($B$3,6,1),0),NETWORKDAYS.INTL(DATE($B$3,6,27),DATE($B$3,6,27),1,'Non-working days'!$A$6:$A$45)=0),"",IF(COUNTIFS('Leave log'!$A$7:$A$306,Employees!$A$14,'Leave log'!$B$7:$B$306,"&lt;="&amp;DATE($B$3,6,27),'Leave log'!$C$7:$C$306,"&gt;="&amp;DATE($B$3,6,27),'Leave log'!$F$7:$F$306,"Approved")&gt;0,"A",""))="A","A",IF(OR(DATE($B$3,6,27)&gt;EOMONTH(DATE($B$3,6,1),0),NETWORKDAYS.INTL(DATE($B$3,6,27),DATE($B$3,6,27),1,'Non-working days'!$A$6:$A$45)=0),"",IF(COUNTIFS('Leave log'!$A$7:$A$306,Employees!$A$14,'Leave log'!$B$7:$B$306,"&lt;="&amp;DATE($B$3,6,27),'Leave log'!$C$7:$C$306,"&gt;="&amp;DATE($B$3,6,27),'Leave log'!$F$7:$F$306,"Pending")&gt;0,"P",""))))</f>
        <v/>
      </c>
      <c r="AC185" s="23" t="str">
        <f>IF(A185="","",IF(IF(OR(DATE($B$3,6,28)&gt;EOMONTH(DATE($B$3,6,1),0),NETWORKDAYS.INTL(DATE($B$3,6,28),DATE($B$3,6,28),1,'Non-working days'!$A$6:$A$45)=0),"",IF(COUNTIFS('Leave log'!$A$7:$A$306,Employees!$A$14,'Leave log'!$B$7:$B$306,"&lt;="&amp;DATE($B$3,6,28),'Leave log'!$C$7:$C$306,"&gt;="&amp;DATE($B$3,6,28),'Leave log'!$F$7:$F$306,"Approved")&gt;0,"A",""))="A","A",IF(OR(DATE($B$3,6,28)&gt;EOMONTH(DATE($B$3,6,1),0),NETWORKDAYS.INTL(DATE($B$3,6,28),DATE($B$3,6,28),1,'Non-working days'!$A$6:$A$45)=0),"",IF(COUNTIFS('Leave log'!$A$7:$A$306,Employees!$A$14,'Leave log'!$B$7:$B$306,"&lt;="&amp;DATE($B$3,6,28),'Leave log'!$C$7:$C$306,"&gt;="&amp;DATE($B$3,6,28),'Leave log'!$F$7:$F$306,"Pending")&gt;0,"P",""))))</f>
        <v/>
      </c>
      <c r="AD185" s="23" t="str">
        <f>IF(A185="","",IF(IF(OR(DATE($B$3,6,29)&gt;EOMONTH(DATE($B$3,6,1),0),NETWORKDAYS.INTL(DATE($B$3,6,29),DATE($B$3,6,29),1,'Non-working days'!$A$6:$A$45)=0),"",IF(COUNTIFS('Leave log'!$A$7:$A$306,Employees!$A$14,'Leave log'!$B$7:$B$306,"&lt;="&amp;DATE($B$3,6,29),'Leave log'!$C$7:$C$306,"&gt;="&amp;DATE($B$3,6,29),'Leave log'!$F$7:$F$306,"Approved")&gt;0,"A",""))="A","A",IF(OR(DATE($B$3,6,29)&gt;EOMONTH(DATE($B$3,6,1),0),NETWORKDAYS.INTL(DATE($B$3,6,29),DATE($B$3,6,29),1,'Non-working days'!$A$6:$A$45)=0),"",IF(COUNTIFS('Leave log'!$A$7:$A$306,Employees!$A$14,'Leave log'!$B$7:$B$306,"&lt;="&amp;DATE($B$3,6,29),'Leave log'!$C$7:$C$306,"&gt;="&amp;DATE($B$3,6,29),'Leave log'!$F$7:$F$306,"Pending")&gt;0,"P",""))))</f>
        <v/>
      </c>
      <c r="AE185" s="23" t="str">
        <f>IF(A185="","",IF(IF(OR(DATE($B$3,6,30)&gt;EOMONTH(DATE($B$3,6,1),0),NETWORKDAYS.INTL(DATE($B$3,6,30),DATE($B$3,6,30),1,'Non-working days'!$A$6:$A$45)=0),"",IF(COUNTIFS('Leave log'!$A$7:$A$306,Employees!$A$14,'Leave log'!$B$7:$B$306,"&lt;="&amp;DATE($B$3,6,30),'Leave log'!$C$7:$C$306,"&gt;="&amp;DATE($B$3,6,30),'Leave log'!$F$7:$F$306,"Approved")&gt;0,"A",""))="A","A",IF(OR(DATE($B$3,6,30)&gt;EOMONTH(DATE($B$3,6,1),0),NETWORKDAYS.INTL(DATE($B$3,6,30),DATE($B$3,6,30),1,'Non-working days'!$A$6:$A$45)=0),"",IF(COUNTIFS('Leave log'!$A$7:$A$306,Employees!$A$14,'Leave log'!$B$7:$B$306,"&lt;="&amp;DATE($B$3,6,30),'Leave log'!$C$7:$C$306,"&gt;="&amp;DATE($B$3,6,30),'Leave log'!$F$7:$F$306,"Pending")&gt;0,"P",""))))</f>
        <v/>
      </c>
      <c r="AF185" s="23" t="str">
        <f>IF(A185="","",IF(IF(OR(DATE($B$3,6,31)&gt;EOMONTH(DATE($B$3,6,1),0),NETWORKDAYS.INTL(DATE($B$3,6,31),DATE($B$3,6,31),1,'Non-working days'!$A$6:$A$45)=0),"",IF(COUNTIFS('Leave log'!$A$7:$A$306,Employees!$A$14,'Leave log'!$B$7:$B$306,"&lt;="&amp;DATE($B$3,6,31),'Leave log'!$C$7:$C$306,"&gt;="&amp;DATE($B$3,6,31),'Leave log'!$F$7:$F$306,"Approved")&gt;0,"A",""))="A","A",IF(OR(DATE($B$3,6,31)&gt;EOMONTH(DATE($B$3,6,1),0),NETWORKDAYS.INTL(DATE($B$3,6,31),DATE($B$3,6,31),1,'Non-working days'!$A$6:$A$45)=0),"",IF(COUNTIFS('Leave log'!$A$7:$A$306,Employees!$A$14,'Leave log'!$B$7:$B$306,"&lt;="&amp;DATE($B$3,6,31),'Leave log'!$C$7:$C$306,"&gt;="&amp;DATE($B$3,6,31),'Leave log'!$F$7:$F$306,"Pending")&gt;0,"P",""))))</f>
        <v/>
      </c>
    </row>
    <row r="186" spans="1:32" ht="18" customHeight="1" x14ac:dyDescent="0.3">
      <c r="A186" s="22" t="str">
        <f>IF(Employees!F15="Yes",Employees!B15,"")</f>
        <v/>
      </c>
      <c r="B186" s="23" t="str">
        <f>IF(A186="","",IF(IF(OR(DATE($B$3,6,1)&gt;EOMONTH(DATE($B$3,6,1),0),NETWORKDAYS.INTL(DATE($B$3,6,1),DATE($B$3,6,1),1,'Non-working days'!$A$6:$A$45)=0),"",IF(COUNTIFS('Leave log'!$A$7:$A$306,Employees!$A$15,'Leave log'!$B$7:$B$306,"&lt;="&amp;DATE($B$3,6,1),'Leave log'!$C$7:$C$306,"&gt;="&amp;DATE($B$3,6,1),'Leave log'!$F$7:$F$306,"Approved")&gt;0,"A",""))="A","A",IF(OR(DATE($B$3,6,1)&gt;EOMONTH(DATE($B$3,6,1),0),NETWORKDAYS.INTL(DATE($B$3,6,1),DATE($B$3,6,1),1,'Non-working days'!$A$6:$A$45)=0),"",IF(COUNTIFS('Leave log'!$A$7:$A$306,Employees!$A$15,'Leave log'!$B$7:$B$306,"&lt;="&amp;DATE($B$3,6,1),'Leave log'!$C$7:$C$306,"&gt;="&amp;DATE($B$3,6,1),'Leave log'!$F$7:$F$306,"Pending")&gt;0,"P",""))))</f>
        <v/>
      </c>
      <c r="C186" s="23" t="str">
        <f>IF(A186="","",IF(IF(OR(DATE($B$3,6,2)&gt;EOMONTH(DATE($B$3,6,1),0),NETWORKDAYS.INTL(DATE($B$3,6,2),DATE($B$3,6,2),1,'Non-working days'!$A$6:$A$45)=0),"",IF(COUNTIFS('Leave log'!$A$7:$A$306,Employees!$A$15,'Leave log'!$B$7:$B$306,"&lt;="&amp;DATE($B$3,6,2),'Leave log'!$C$7:$C$306,"&gt;="&amp;DATE($B$3,6,2),'Leave log'!$F$7:$F$306,"Approved")&gt;0,"A",""))="A","A",IF(OR(DATE($B$3,6,2)&gt;EOMONTH(DATE($B$3,6,1),0),NETWORKDAYS.INTL(DATE($B$3,6,2),DATE($B$3,6,2),1,'Non-working days'!$A$6:$A$45)=0),"",IF(COUNTIFS('Leave log'!$A$7:$A$306,Employees!$A$15,'Leave log'!$B$7:$B$306,"&lt;="&amp;DATE($B$3,6,2),'Leave log'!$C$7:$C$306,"&gt;="&amp;DATE($B$3,6,2),'Leave log'!$F$7:$F$306,"Pending")&gt;0,"P",""))))</f>
        <v/>
      </c>
      <c r="D186" s="23" t="str">
        <f>IF(A186="","",IF(IF(OR(DATE($B$3,6,3)&gt;EOMONTH(DATE($B$3,6,1),0),NETWORKDAYS.INTL(DATE($B$3,6,3),DATE($B$3,6,3),1,'Non-working days'!$A$6:$A$45)=0),"",IF(COUNTIFS('Leave log'!$A$7:$A$306,Employees!$A$15,'Leave log'!$B$7:$B$306,"&lt;="&amp;DATE($B$3,6,3),'Leave log'!$C$7:$C$306,"&gt;="&amp;DATE($B$3,6,3),'Leave log'!$F$7:$F$306,"Approved")&gt;0,"A",""))="A","A",IF(OR(DATE($B$3,6,3)&gt;EOMONTH(DATE($B$3,6,1),0),NETWORKDAYS.INTL(DATE($B$3,6,3),DATE($B$3,6,3),1,'Non-working days'!$A$6:$A$45)=0),"",IF(COUNTIFS('Leave log'!$A$7:$A$306,Employees!$A$15,'Leave log'!$B$7:$B$306,"&lt;="&amp;DATE($B$3,6,3),'Leave log'!$C$7:$C$306,"&gt;="&amp;DATE($B$3,6,3),'Leave log'!$F$7:$F$306,"Pending")&gt;0,"P",""))))</f>
        <v/>
      </c>
      <c r="E186" s="23" t="str">
        <f>IF(A186="","",IF(IF(OR(DATE($B$3,6,4)&gt;EOMONTH(DATE($B$3,6,1),0),NETWORKDAYS.INTL(DATE($B$3,6,4),DATE($B$3,6,4),1,'Non-working days'!$A$6:$A$45)=0),"",IF(COUNTIFS('Leave log'!$A$7:$A$306,Employees!$A$15,'Leave log'!$B$7:$B$306,"&lt;="&amp;DATE($B$3,6,4),'Leave log'!$C$7:$C$306,"&gt;="&amp;DATE($B$3,6,4),'Leave log'!$F$7:$F$306,"Approved")&gt;0,"A",""))="A","A",IF(OR(DATE($B$3,6,4)&gt;EOMONTH(DATE($B$3,6,1),0),NETWORKDAYS.INTL(DATE($B$3,6,4),DATE($B$3,6,4),1,'Non-working days'!$A$6:$A$45)=0),"",IF(COUNTIFS('Leave log'!$A$7:$A$306,Employees!$A$15,'Leave log'!$B$7:$B$306,"&lt;="&amp;DATE($B$3,6,4),'Leave log'!$C$7:$C$306,"&gt;="&amp;DATE($B$3,6,4),'Leave log'!$F$7:$F$306,"Pending")&gt;0,"P",""))))</f>
        <v/>
      </c>
      <c r="F186" s="23" t="str">
        <f>IF(A186="","",IF(IF(OR(DATE($B$3,6,5)&gt;EOMONTH(DATE($B$3,6,1),0),NETWORKDAYS.INTL(DATE($B$3,6,5),DATE($B$3,6,5),1,'Non-working days'!$A$6:$A$45)=0),"",IF(COUNTIFS('Leave log'!$A$7:$A$306,Employees!$A$15,'Leave log'!$B$7:$B$306,"&lt;="&amp;DATE($B$3,6,5),'Leave log'!$C$7:$C$306,"&gt;="&amp;DATE($B$3,6,5),'Leave log'!$F$7:$F$306,"Approved")&gt;0,"A",""))="A","A",IF(OR(DATE($B$3,6,5)&gt;EOMONTH(DATE($B$3,6,1),0),NETWORKDAYS.INTL(DATE($B$3,6,5),DATE($B$3,6,5),1,'Non-working days'!$A$6:$A$45)=0),"",IF(COUNTIFS('Leave log'!$A$7:$A$306,Employees!$A$15,'Leave log'!$B$7:$B$306,"&lt;="&amp;DATE($B$3,6,5),'Leave log'!$C$7:$C$306,"&gt;="&amp;DATE($B$3,6,5),'Leave log'!$F$7:$F$306,"Pending")&gt;0,"P",""))))</f>
        <v/>
      </c>
      <c r="G186" s="23" t="str">
        <f>IF(A186="","",IF(IF(OR(DATE($B$3,6,6)&gt;EOMONTH(DATE($B$3,6,1),0),NETWORKDAYS.INTL(DATE($B$3,6,6),DATE($B$3,6,6),1,'Non-working days'!$A$6:$A$45)=0),"",IF(COUNTIFS('Leave log'!$A$7:$A$306,Employees!$A$15,'Leave log'!$B$7:$B$306,"&lt;="&amp;DATE($B$3,6,6),'Leave log'!$C$7:$C$306,"&gt;="&amp;DATE($B$3,6,6),'Leave log'!$F$7:$F$306,"Approved")&gt;0,"A",""))="A","A",IF(OR(DATE($B$3,6,6)&gt;EOMONTH(DATE($B$3,6,1),0),NETWORKDAYS.INTL(DATE($B$3,6,6),DATE($B$3,6,6),1,'Non-working days'!$A$6:$A$45)=0),"",IF(COUNTIFS('Leave log'!$A$7:$A$306,Employees!$A$15,'Leave log'!$B$7:$B$306,"&lt;="&amp;DATE($B$3,6,6),'Leave log'!$C$7:$C$306,"&gt;="&amp;DATE($B$3,6,6),'Leave log'!$F$7:$F$306,"Pending")&gt;0,"P",""))))</f>
        <v/>
      </c>
      <c r="H186" s="23" t="str">
        <f>IF(A186="","",IF(IF(OR(DATE($B$3,6,7)&gt;EOMONTH(DATE($B$3,6,1),0),NETWORKDAYS.INTL(DATE($B$3,6,7),DATE($B$3,6,7),1,'Non-working days'!$A$6:$A$45)=0),"",IF(COUNTIFS('Leave log'!$A$7:$A$306,Employees!$A$15,'Leave log'!$B$7:$B$306,"&lt;="&amp;DATE($B$3,6,7),'Leave log'!$C$7:$C$306,"&gt;="&amp;DATE($B$3,6,7),'Leave log'!$F$7:$F$306,"Approved")&gt;0,"A",""))="A","A",IF(OR(DATE($B$3,6,7)&gt;EOMONTH(DATE($B$3,6,1),0),NETWORKDAYS.INTL(DATE($B$3,6,7),DATE($B$3,6,7),1,'Non-working days'!$A$6:$A$45)=0),"",IF(COUNTIFS('Leave log'!$A$7:$A$306,Employees!$A$15,'Leave log'!$B$7:$B$306,"&lt;="&amp;DATE($B$3,6,7),'Leave log'!$C$7:$C$306,"&gt;="&amp;DATE($B$3,6,7),'Leave log'!$F$7:$F$306,"Pending")&gt;0,"P",""))))</f>
        <v/>
      </c>
      <c r="I186" s="23" t="str">
        <f>IF(A186="","",IF(IF(OR(DATE($B$3,6,8)&gt;EOMONTH(DATE($B$3,6,1),0),NETWORKDAYS.INTL(DATE($B$3,6,8),DATE($B$3,6,8),1,'Non-working days'!$A$6:$A$45)=0),"",IF(COUNTIFS('Leave log'!$A$7:$A$306,Employees!$A$15,'Leave log'!$B$7:$B$306,"&lt;="&amp;DATE($B$3,6,8),'Leave log'!$C$7:$C$306,"&gt;="&amp;DATE($B$3,6,8),'Leave log'!$F$7:$F$306,"Approved")&gt;0,"A",""))="A","A",IF(OR(DATE($B$3,6,8)&gt;EOMONTH(DATE($B$3,6,1),0),NETWORKDAYS.INTL(DATE($B$3,6,8),DATE($B$3,6,8),1,'Non-working days'!$A$6:$A$45)=0),"",IF(COUNTIFS('Leave log'!$A$7:$A$306,Employees!$A$15,'Leave log'!$B$7:$B$306,"&lt;="&amp;DATE($B$3,6,8),'Leave log'!$C$7:$C$306,"&gt;="&amp;DATE($B$3,6,8),'Leave log'!$F$7:$F$306,"Pending")&gt;0,"P",""))))</f>
        <v/>
      </c>
      <c r="J186" s="23" t="str">
        <f>IF(A186="","",IF(IF(OR(DATE($B$3,6,9)&gt;EOMONTH(DATE($B$3,6,1),0),NETWORKDAYS.INTL(DATE($B$3,6,9),DATE($B$3,6,9),1,'Non-working days'!$A$6:$A$45)=0),"",IF(COUNTIFS('Leave log'!$A$7:$A$306,Employees!$A$15,'Leave log'!$B$7:$B$306,"&lt;="&amp;DATE($B$3,6,9),'Leave log'!$C$7:$C$306,"&gt;="&amp;DATE($B$3,6,9),'Leave log'!$F$7:$F$306,"Approved")&gt;0,"A",""))="A","A",IF(OR(DATE($B$3,6,9)&gt;EOMONTH(DATE($B$3,6,1),0),NETWORKDAYS.INTL(DATE($B$3,6,9),DATE($B$3,6,9),1,'Non-working days'!$A$6:$A$45)=0),"",IF(COUNTIFS('Leave log'!$A$7:$A$306,Employees!$A$15,'Leave log'!$B$7:$B$306,"&lt;="&amp;DATE($B$3,6,9),'Leave log'!$C$7:$C$306,"&gt;="&amp;DATE($B$3,6,9),'Leave log'!$F$7:$F$306,"Pending")&gt;0,"P",""))))</f>
        <v/>
      </c>
      <c r="K186" s="23" t="str">
        <f>IF(A186="","",IF(IF(OR(DATE($B$3,6,10)&gt;EOMONTH(DATE($B$3,6,1),0),NETWORKDAYS.INTL(DATE($B$3,6,10),DATE($B$3,6,10),1,'Non-working days'!$A$6:$A$45)=0),"",IF(COUNTIFS('Leave log'!$A$7:$A$306,Employees!$A$15,'Leave log'!$B$7:$B$306,"&lt;="&amp;DATE($B$3,6,10),'Leave log'!$C$7:$C$306,"&gt;="&amp;DATE($B$3,6,10),'Leave log'!$F$7:$F$306,"Approved")&gt;0,"A",""))="A","A",IF(OR(DATE($B$3,6,10)&gt;EOMONTH(DATE($B$3,6,1),0),NETWORKDAYS.INTL(DATE($B$3,6,10),DATE($B$3,6,10),1,'Non-working days'!$A$6:$A$45)=0),"",IF(COUNTIFS('Leave log'!$A$7:$A$306,Employees!$A$15,'Leave log'!$B$7:$B$306,"&lt;="&amp;DATE($B$3,6,10),'Leave log'!$C$7:$C$306,"&gt;="&amp;DATE($B$3,6,10),'Leave log'!$F$7:$F$306,"Pending")&gt;0,"P",""))))</f>
        <v/>
      </c>
      <c r="L186" s="23" t="str">
        <f>IF(A186="","",IF(IF(OR(DATE($B$3,6,11)&gt;EOMONTH(DATE($B$3,6,1),0),NETWORKDAYS.INTL(DATE($B$3,6,11),DATE($B$3,6,11),1,'Non-working days'!$A$6:$A$45)=0),"",IF(COUNTIFS('Leave log'!$A$7:$A$306,Employees!$A$15,'Leave log'!$B$7:$B$306,"&lt;="&amp;DATE($B$3,6,11),'Leave log'!$C$7:$C$306,"&gt;="&amp;DATE($B$3,6,11),'Leave log'!$F$7:$F$306,"Approved")&gt;0,"A",""))="A","A",IF(OR(DATE($B$3,6,11)&gt;EOMONTH(DATE($B$3,6,1),0),NETWORKDAYS.INTL(DATE($B$3,6,11),DATE($B$3,6,11),1,'Non-working days'!$A$6:$A$45)=0),"",IF(COUNTIFS('Leave log'!$A$7:$A$306,Employees!$A$15,'Leave log'!$B$7:$B$306,"&lt;="&amp;DATE($B$3,6,11),'Leave log'!$C$7:$C$306,"&gt;="&amp;DATE($B$3,6,11),'Leave log'!$F$7:$F$306,"Pending")&gt;0,"P",""))))</f>
        <v/>
      </c>
      <c r="M186" s="23" t="str">
        <f>IF(A186="","",IF(IF(OR(DATE($B$3,6,12)&gt;EOMONTH(DATE($B$3,6,1),0),NETWORKDAYS.INTL(DATE($B$3,6,12),DATE($B$3,6,12),1,'Non-working days'!$A$6:$A$45)=0),"",IF(COUNTIFS('Leave log'!$A$7:$A$306,Employees!$A$15,'Leave log'!$B$7:$B$306,"&lt;="&amp;DATE($B$3,6,12),'Leave log'!$C$7:$C$306,"&gt;="&amp;DATE($B$3,6,12),'Leave log'!$F$7:$F$306,"Approved")&gt;0,"A",""))="A","A",IF(OR(DATE($B$3,6,12)&gt;EOMONTH(DATE($B$3,6,1),0),NETWORKDAYS.INTL(DATE($B$3,6,12),DATE($B$3,6,12),1,'Non-working days'!$A$6:$A$45)=0),"",IF(COUNTIFS('Leave log'!$A$7:$A$306,Employees!$A$15,'Leave log'!$B$7:$B$306,"&lt;="&amp;DATE($B$3,6,12),'Leave log'!$C$7:$C$306,"&gt;="&amp;DATE($B$3,6,12),'Leave log'!$F$7:$F$306,"Pending")&gt;0,"P",""))))</f>
        <v/>
      </c>
      <c r="N186" s="23" t="str">
        <f>IF(A186="","",IF(IF(OR(DATE($B$3,6,13)&gt;EOMONTH(DATE($B$3,6,1),0),NETWORKDAYS.INTL(DATE($B$3,6,13),DATE($B$3,6,13),1,'Non-working days'!$A$6:$A$45)=0),"",IF(COUNTIFS('Leave log'!$A$7:$A$306,Employees!$A$15,'Leave log'!$B$7:$B$306,"&lt;="&amp;DATE($B$3,6,13),'Leave log'!$C$7:$C$306,"&gt;="&amp;DATE($B$3,6,13),'Leave log'!$F$7:$F$306,"Approved")&gt;0,"A",""))="A","A",IF(OR(DATE($B$3,6,13)&gt;EOMONTH(DATE($B$3,6,1),0),NETWORKDAYS.INTL(DATE($B$3,6,13),DATE($B$3,6,13),1,'Non-working days'!$A$6:$A$45)=0),"",IF(COUNTIFS('Leave log'!$A$7:$A$306,Employees!$A$15,'Leave log'!$B$7:$B$306,"&lt;="&amp;DATE($B$3,6,13),'Leave log'!$C$7:$C$306,"&gt;="&amp;DATE($B$3,6,13),'Leave log'!$F$7:$F$306,"Pending")&gt;0,"P",""))))</f>
        <v/>
      </c>
      <c r="O186" s="23" t="str">
        <f>IF(A186="","",IF(IF(OR(DATE($B$3,6,14)&gt;EOMONTH(DATE($B$3,6,1),0),NETWORKDAYS.INTL(DATE($B$3,6,14),DATE($B$3,6,14),1,'Non-working days'!$A$6:$A$45)=0),"",IF(COUNTIFS('Leave log'!$A$7:$A$306,Employees!$A$15,'Leave log'!$B$7:$B$306,"&lt;="&amp;DATE($B$3,6,14),'Leave log'!$C$7:$C$306,"&gt;="&amp;DATE($B$3,6,14),'Leave log'!$F$7:$F$306,"Approved")&gt;0,"A",""))="A","A",IF(OR(DATE($B$3,6,14)&gt;EOMONTH(DATE($B$3,6,1),0),NETWORKDAYS.INTL(DATE($B$3,6,14),DATE($B$3,6,14),1,'Non-working days'!$A$6:$A$45)=0),"",IF(COUNTIFS('Leave log'!$A$7:$A$306,Employees!$A$15,'Leave log'!$B$7:$B$306,"&lt;="&amp;DATE($B$3,6,14),'Leave log'!$C$7:$C$306,"&gt;="&amp;DATE($B$3,6,14),'Leave log'!$F$7:$F$306,"Pending")&gt;0,"P",""))))</f>
        <v/>
      </c>
      <c r="P186" s="23" t="str">
        <f>IF(A186="","",IF(IF(OR(DATE($B$3,6,15)&gt;EOMONTH(DATE($B$3,6,1),0),NETWORKDAYS.INTL(DATE($B$3,6,15),DATE($B$3,6,15),1,'Non-working days'!$A$6:$A$45)=0),"",IF(COUNTIFS('Leave log'!$A$7:$A$306,Employees!$A$15,'Leave log'!$B$7:$B$306,"&lt;="&amp;DATE($B$3,6,15),'Leave log'!$C$7:$C$306,"&gt;="&amp;DATE($B$3,6,15),'Leave log'!$F$7:$F$306,"Approved")&gt;0,"A",""))="A","A",IF(OR(DATE($B$3,6,15)&gt;EOMONTH(DATE($B$3,6,1),0),NETWORKDAYS.INTL(DATE($B$3,6,15),DATE($B$3,6,15),1,'Non-working days'!$A$6:$A$45)=0),"",IF(COUNTIFS('Leave log'!$A$7:$A$306,Employees!$A$15,'Leave log'!$B$7:$B$306,"&lt;="&amp;DATE($B$3,6,15),'Leave log'!$C$7:$C$306,"&gt;="&amp;DATE($B$3,6,15),'Leave log'!$F$7:$F$306,"Pending")&gt;0,"P",""))))</f>
        <v/>
      </c>
      <c r="Q186" s="23" t="str">
        <f>IF(A186="","",IF(IF(OR(DATE($B$3,6,16)&gt;EOMONTH(DATE($B$3,6,1),0),NETWORKDAYS.INTL(DATE($B$3,6,16),DATE($B$3,6,16),1,'Non-working days'!$A$6:$A$45)=0),"",IF(COUNTIFS('Leave log'!$A$7:$A$306,Employees!$A$15,'Leave log'!$B$7:$B$306,"&lt;="&amp;DATE($B$3,6,16),'Leave log'!$C$7:$C$306,"&gt;="&amp;DATE($B$3,6,16),'Leave log'!$F$7:$F$306,"Approved")&gt;0,"A",""))="A","A",IF(OR(DATE($B$3,6,16)&gt;EOMONTH(DATE($B$3,6,1),0),NETWORKDAYS.INTL(DATE($B$3,6,16),DATE($B$3,6,16),1,'Non-working days'!$A$6:$A$45)=0),"",IF(COUNTIFS('Leave log'!$A$7:$A$306,Employees!$A$15,'Leave log'!$B$7:$B$306,"&lt;="&amp;DATE($B$3,6,16),'Leave log'!$C$7:$C$306,"&gt;="&amp;DATE($B$3,6,16),'Leave log'!$F$7:$F$306,"Pending")&gt;0,"P",""))))</f>
        <v/>
      </c>
      <c r="R186" s="23" t="str">
        <f>IF(A186="","",IF(IF(OR(DATE($B$3,6,17)&gt;EOMONTH(DATE($B$3,6,1),0),NETWORKDAYS.INTL(DATE($B$3,6,17),DATE($B$3,6,17),1,'Non-working days'!$A$6:$A$45)=0),"",IF(COUNTIFS('Leave log'!$A$7:$A$306,Employees!$A$15,'Leave log'!$B$7:$B$306,"&lt;="&amp;DATE($B$3,6,17),'Leave log'!$C$7:$C$306,"&gt;="&amp;DATE($B$3,6,17),'Leave log'!$F$7:$F$306,"Approved")&gt;0,"A",""))="A","A",IF(OR(DATE($B$3,6,17)&gt;EOMONTH(DATE($B$3,6,1),0),NETWORKDAYS.INTL(DATE($B$3,6,17),DATE($B$3,6,17),1,'Non-working days'!$A$6:$A$45)=0),"",IF(COUNTIFS('Leave log'!$A$7:$A$306,Employees!$A$15,'Leave log'!$B$7:$B$306,"&lt;="&amp;DATE($B$3,6,17),'Leave log'!$C$7:$C$306,"&gt;="&amp;DATE($B$3,6,17),'Leave log'!$F$7:$F$306,"Pending")&gt;0,"P",""))))</f>
        <v/>
      </c>
      <c r="S186" s="23" t="str">
        <f>IF(A186="","",IF(IF(OR(DATE($B$3,6,18)&gt;EOMONTH(DATE($B$3,6,1),0),NETWORKDAYS.INTL(DATE($B$3,6,18),DATE($B$3,6,18),1,'Non-working days'!$A$6:$A$45)=0),"",IF(COUNTIFS('Leave log'!$A$7:$A$306,Employees!$A$15,'Leave log'!$B$7:$B$306,"&lt;="&amp;DATE($B$3,6,18),'Leave log'!$C$7:$C$306,"&gt;="&amp;DATE($B$3,6,18),'Leave log'!$F$7:$F$306,"Approved")&gt;0,"A",""))="A","A",IF(OR(DATE($B$3,6,18)&gt;EOMONTH(DATE($B$3,6,1),0),NETWORKDAYS.INTL(DATE($B$3,6,18),DATE($B$3,6,18),1,'Non-working days'!$A$6:$A$45)=0),"",IF(COUNTIFS('Leave log'!$A$7:$A$306,Employees!$A$15,'Leave log'!$B$7:$B$306,"&lt;="&amp;DATE($B$3,6,18),'Leave log'!$C$7:$C$306,"&gt;="&amp;DATE($B$3,6,18),'Leave log'!$F$7:$F$306,"Pending")&gt;0,"P",""))))</f>
        <v/>
      </c>
      <c r="T186" s="23" t="str">
        <f>IF(A186="","",IF(IF(OR(DATE($B$3,6,19)&gt;EOMONTH(DATE($B$3,6,1),0),NETWORKDAYS.INTL(DATE($B$3,6,19),DATE($B$3,6,19),1,'Non-working days'!$A$6:$A$45)=0),"",IF(COUNTIFS('Leave log'!$A$7:$A$306,Employees!$A$15,'Leave log'!$B$7:$B$306,"&lt;="&amp;DATE($B$3,6,19),'Leave log'!$C$7:$C$306,"&gt;="&amp;DATE($B$3,6,19),'Leave log'!$F$7:$F$306,"Approved")&gt;0,"A",""))="A","A",IF(OR(DATE($B$3,6,19)&gt;EOMONTH(DATE($B$3,6,1),0),NETWORKDAYS.INTL(DATE($B$3,6,19),DATE($B$3,6,19),1,'Non-working days'!$A$6:$A$45)=0),"",IF(COUNTIFS('Leave log'!$A$7:$A$306,Employees!$A$15,'Leave log'!$B$7:$B$306,"&lt;="&amp;DATE($B$3,6,19),'Leave log'!$C$7:$C$306,"&gt;="&amp;DATE($B$3,6,19),'Leave log'!$F$7:$F$306,"Pending")&gt;0,"P",""))))</f>
        <v/>
      </c>
      <c r="U186" s="23" t="str">
        <f>IF(A186="","",IF(IF(OR(DATE($B$3,6,20)&gt;EOMONTH(DATE($B$3,6,1),0),NETWORKDAYS.INTL(DATE($B$3,6,20),DATE($B$3,6,20),1,'Non-working days'!$A$6:$A$45)=0),"",IF(COUNTIFS('Leave log'!$A$7:$A$306,Employees!$A$15,'Leave log'!$B$7:$B$306,"&lt;="&amp;DATE($B$3,6,20),'Leave log'!$C$7:$C$306,"&gt;="&amp;DATE($B$3,6,20),'Leave log'!$F$7:$F$306,"Approved")&gt;0,"A",""))="A","A",IF(OR(DATE($B$3,6,20)&gt;EOMONTH(DATE($B$3,6,1),0),NETWORKDAYS.INTL(DATE($B$3,6,20),DATE($B$3,6,20),1,'Non-working days'!$A$6:$A$45)=0),"",IF(COUNTIFS('Leave log'!$A$7:$A$306,Employees!$A$15,'Leave log'!$B$7:$B$306,"&lt;="&amp;DATE($B$3,6,20),'Leave log'!$C$7:$C$306,"&gt;="&amp;DATE($B$3,6,20),'Leave log'!$F$7:$F$306,"Pending")&gt;0,"P",""))))</f>
        <v/>
      </c>
      <c r="V186" s="23" t="str">
        <f>IF(A186="","",IF(IF(OR(DATE($B$3,6,21)&gt;EOMONTH(DATE($B$3,6,1),0),NETWORKDAYS.INTL(DATE($B$3,6,21),DATE($B$3,6,21),1,'Non-working days'!$A$6:$A$45)=0),"",IF(COUNTIFS('Leave log'!$A$7:$A$306,Employees!$A$15,'Leave log'!$B$7:$B$306,"&lt;="&amp;DATE($B$3,6,21),'Leave log'!$C$7:$C$306,"&gt;="&amp;DATE($B$3,6,21),'Leave log'!$F$7:$F$306,"Approved")&gt;0,"A",""))="A","A",IF(OR(DATE($B$3,6,21)&gt;EOMONTH(DATE($B$3,6,1),0),NETWORKDAYS.INTL(DATE($B$3,6,21),DATE($B$3,6,21),1,'Non-working days'!$A$6:$A$45)=0),"",IF(COUNTIFS('Leave log'!$A$7:$A$306,Employees!$A$15,'Leave log'!$B$7:$B$306,"&lt;="&amp;DATE($B$3,6,21),'Leave log'!$C$7:$C$306,"&gt;="&amp;DATE($B$3,6,21),'Leave log'!$F$7:$F$306,"Pending")&gt;0,"P",""))))</f>
        <v/>
      </c>
      <c r="W186" s="23" t="str">
        <f>IF(A186="","",IF(IF(OR(DATE($B$3,6,22)&gt;EOMONTH(DATE($B$3,6,1),0),NETWORKDAYS.INTL(DATE($B$3,6,22),DATE($B$3,6,22),1,'Non-working days'!$A$6:$A$45)=0),"",IF(COUNTIFS('Leave log'!$A$7:$A$306,Employees!$A$15,'Leave log'!$B$7:$B$306,"&lt;="&amp;DATE($B$3,6,22),'Leave log'!$C$7:$C$306,"&gt;="&amp;DATE($B$3,6,22),'Leave log'!$F$7:$F$306,"Approved")&gt;0,"A",""))="A","A",IF(OR(DATE($B$3,6,22)&gt;EOMONTH(DATE($B$3,6,1),0),NETWORKDAYS.INTL(DATE($B$3,6,22),DATE($B$3,6,22),1,'Non-working days'!$A$6:$A$45)=0),"",IF(COUNTIFS('Leave log'!$A$7:$A$306,Employees!$A$15,'Leave log'!$B$7:$B$306,"&lt;="&amp;DATE($B$3,6,22),'Leave log'!$C$7:$C$306,"&gt;="&amp;DATE($B$3,6,22),'Leave log'!$F$7:$F$306,"Pending")&gt;0,"P",""))))</f>
        <v/>
      </c>
      <c r="X186" s="23" t="str">
        <f>IF(A186="","",IF(IF(OR(DATE($B$3,6,23)&gt;EOMONTH(DATE($B$3,6,1),0),NETWORKDAYS.INTL(DATE($B$3,6,23),DATE($B$3,6,23),1,'Non-working days'!$A$6:$A$45)=0),"",IF(COUNTIFS('Leave log'!$A$7:$A$306,Employees!$A$15,'Leave log'!$B$7:$B$306,"&lt;="&amp;DATE($B$3,6,23),'Leave log'!$C$7:$C$306,"&gt;="&amp;DATE($B$3,6,23),'Leave log'!$F$7:$F$306,"Approved")&gt;0,"A",""))="A","A",IF(OR(DATE($B$3,6,23)&gt;EOMONTH(DATE($B$3,6,1),0),NETWORKDAYS.INTL(DATE($B$3,6,23),DATE($B$3,6,23),1,'Non-working days'!$A$6:$A$45)=0),"",IF(COUNTIFS('Leave log'!$A$7:$A$306,Employees!$A$15,'Leave log'!$B$7:$B$306,"&lt;="&amp;DATE($B$3,6,23),'Leave log'!$C$7:$C$306,"&gt;="&amp;DATE($B$3,6,23),'Leave log'!$F$7:$F$306,"Pending")&gt;0,"P",""))))</f>
        <v/>
      </c>
      <c r="Y186" s="23" t="str">
        <f>IF(A186="","",IF(IF(OR(DATE($B$3,6,24)&gt;EOMONTH(DATE($B$3,6,1),0),NETWORKDAYS.INTL(DATE($B$3,6,24),DATE($B$3,6,24),1,'Non-working days'!$A$6:$A$45)=0),"",IF(COUNTIFS('Leave log'!$A$7:$A$306,Employees!$A$15,'Leave log'!$B$7:$B$306,"&lt;="&amp;DATE($B$3,6,24),'Leave log'!$C$7:$C$306,"&gt;="&amp;DATE($B$3,6,24),'Leave log'!$F$7:$F$306,"Approved")&gt;0,"A",""))="A","A",IF(OR(DATE($B$3,6,24)&gt;EOMONTH(DATE($B$3,6,1),0),NETWORKDAYS.INTL(DATE($B$3,6,24),DATE($B$3,6,24),1,'Non-working days'!$A$6:$A$45)=0),"",IF(COUNTIFS('Leave log'!$A$7:$A$306,Employees!$A$15,'Leave log'!$B$7:$B$306,"&lt;="&amp;DATE($B$3,6,24),'Leave log'!$C$7:$C$306,"&gt;="&amp;DATE($B$3,6,24),'Leave log'!$F$7:$F$306,"Pending")&gt;0,"P",""))))</f>
        <v/>
      </c>
      <c r="Z186" s="23" t="str">
        <f>IF(A186="","",IF(IF(OR(DATE($B$3,6,25)&gt;EOMONTH(DATE($B$3,6,1),0),NETWORKDAYS.INTL(DATE($B$3,6,25),DATE($B$3,6,25),1,'Non-working days'!$A$6:$A$45)=0),"",IF(COUNTIFS('Leave log'!$A$7:$A$306,Employees!$A$15,'Leave log'!$B$7:$B$306,"&lt;="&amp;DATE($B$3,6,25),'Leave log'!$C$7:$C$306,"&gt;="&amp;DATE($B$3,6,25),'Leave log'!$F$7:$F$306,"Approved")&gt;0,"A",""))="A","A",IF(OR(DATE($B$3,6,25)&gt;EOMONTH(DATE($B$3,6,1),0),NETWORKDAYS.INTL(DATE($B$3,6,25),DATE($B$3,6,25),1,'Non-working days'!$A$6:$A$45)=0),"",IF(COUNTIFS('Leave log'!$A$7:$A$306,Employees!$A$15,'Leave log'!$B$7:$B$306,"&lt;="&amp;DATE($B$3,6,25),'Leave log'!$C$7:$C$306,"&gt;="&amp;DATE($B$3,6,25),'Leave log'!$F$7:$F$306,"Pending")&gt;0,"P",""))))</f>
        <v/>
      </c>
      <c r="AA186" s="23" t="str">
        <f>IF(A186="","",IF(IF(OR(DATE($B$3,6,26)&gt;EOMONTH(DATE($B$3,6,1),0),NETWORKDAYS.INTL(DATE($B$3,6,26),DATE($B$3,6,26),1,'Non-working days'!$A$6:$A$45)=0),"",IF(COUNTIFS('Leave log'!$A$7:$A$306,Employees!$A$15,'Leave log'!$B$7:$B$306,"&lt;="&amp;DATE($B$3,6,26),'Leave log'!$C$7:$C$306,"&gt;="&amp;DATE($B$3,6,26),'Leave log'!$F$7:$F$306,"Approved")&gt;0,"A",""))="A","A",IF(OR(DATE($B$3,6,26)&gt;EOMONTH(DATE($B$3,6,1),0),NETWORKDAYS.INTL(DATE($B$3,6,26),DATE($B$3,6,26),1,'Non-working days'!$A$6:$A$45)=0),"",IF(COUNTIFS('Leave log'!$A$7:$A$306,Employees!$A$15,'Leave log'!$B$7:$B$306,"&lt;="&amp;DATE($B$3,6,26),'Leave log'!$C$7:$C$306,"&gt;="&amp;DATE($B$3,6,26),'Leave log'!$F$7:$F$306,"Pending")&gt;0,"P",""))))</f>
        <v/>
      </c>
      <c r="AB186" s="23" t="str">
        <f>IF(A186="","",IF(IF(OR(DATE($B$3,6,27)&gt;EOMONTH(DATE($B$3,6,1),0),NETWORKDAYS.INTL(DATE($B$3,6,27),DATE($B$3,6,27),1,'Non-working days'!$A$6:$A$45)=0),"",IF(COUNTIFS('Leave log'!$A$7:$A$306,Employees!$A$15,'Leave log'!$B$7:$B$306,"&lt;="&amp;DATE($B$3,6,27),'Leave log'!$C$7:$C$306,"&gt;="&amp;DATE($B$3,6,27),'Leave log'!$F$7:$F$306,"Approved")&gt;0,"A",""))="A","A",IF(OR(DATE($B$3,6,27)&gt;EOMONTH(DATE($B$3,6,1),0),NETWORKDAYS.INTL(DATE($B$3,6,27),DATE($B$3,6,27),1,'Non-working days'!$A$6:$A$45)=0),"",IF(COUNTIFS('Leave log'!$A$7:$A$306,Employees!$A$15,'Leave log'!$B$7:$B$306,"&lt;="&amp;DATE($B$3,6,27),'Leave log'!$C$7:$C$306,"&gt;="&amp;DATE($B$3,6,27),'Leave log'!$F$7:$F$306,"Pending")&gt;0,"P",""))))</f>
        <v/>
      </c>
      <c r="AC186" s="23" t="str">
        <f>IF(A186="","",IF(IF(OR(DATE($B$3,6,28)&gt;EOMONTH(DATE($B$3,6,1),0),NETWORKDAYS.INTL(DATE($B$3,6,28),DATE($B$3,6,28),1,'Non-working days'!$A$6:$A$45)=0),"",IF(COUNTIFS('Leave log'!$A$7:$A$306,Employees!$A$15,'Leave log'!$B$7:$B$306,"&lt;="&amp;DATE($B$3,6,28),'Leave log'!$C$7:$C$306,"&gt;="&amp;DATE($B$3,6,28),'Leave log'!$F$7:$F$306,"Approved")&gt;0,"A",""))="A","A",IF(OR(DATE($B$3,6,28)&gt;EOMONTH(DATE($B$3,6,1),0),NETWORKDAYS.INTL(DATE($B$3,6,28),DATE($B$3,6,28),1,'Non-working days'!$A$6:$A$45)=0),"",IF(COUNTIFS('Leave log'!$A$7:$A$306,Employees!$A$15,'Leave log'!$B$7:$B$306,"&lt;="&amp;DATE($B$3,6,28),'Leave log'!$C$7:$C$306,"&gt;="&amp;DATE($B$3,6,28),'Leave log'!$F$7:$F$306,"Pending")&gt;0,"P",""))))</f>
        <v/>
      </c>
      <c r="AD186" s="23" t="str">
        <f>IF(A186="","",IF(IF(OR(DATE($B$3,6,29)&gt;EOMONTH(DATE($B$3,6,1),0),NETWORKDAYS.INTL(DATE($B$3,6,29),DATE($B$3,6,29),1,'Non-working days'!$A$6:$A$45)=0),"",IF(COUNTIFS('Leave log'!$A$7:$A$306,Employees!$A$15,'Leave log'!$B$7:$B$306,"&lt;="&amp;DATE($B$3,6,29),'Leave log'!$C$7:$C$306,"&gt;="&amp;DATE($B$3,6,29),'Leave log'!$F$7:$F$306,"Approved")&gt;0,"A",""))="A","A",IF(OR(DATE($B$3,6,29)&gt;EOMONTH(DATE($B$3,6,1),0),NETWORKDAYS.INTL(DATE($B$3,6,29),DATE($B$3,6,29),1,'Non-working days'!$A$6:$A$45)=0),"",IF(COUNTIFS('Leave log'!$A$7:$A$306,Employees!$A$15,'Leave log'!$B$7:$B$306,"&lt;="&amp;DATE($B$3,6,29),'Leave log'!$C$7:$C$306,"&gt;="&amp;DATE($B$3,6,29),'Leave log'!$F$7:$F$306,"Pending")&gt;0,"P",""))))</f>
        <v/>
      </c>
      <c r="AE186" s="23" t="str">
        <f>IF(A186="","",IF(IF(OR(DATE($B$3,6,30)&gt;EOMONTH(DATE($B$3,6,1),0),NETWORKDAYS.INTL(DATE($B$3,6,30),DATE($B$3,6,30),1,'Non-working days'!$A$6:$A$45)=0),"",IF(COUNTIFS('Leave log'!$A$7:$A$306,Employees!$A$15,'Leave log'!$B$7:$B$306,"&lt;="&amp;DATE($B$3,6,30),'Leave log'!$C$7:$C$306,"&gt;="&amp;DATE($B$3,6,30),'Leave log'!$F$7:$F$306,"Approved")&gt;0,"A",""))="A","A",IF(OR(DATE($B$3,6,30)&gt;EOMONTH(DATE($B$3,6,1),0),NETWORKDAYS.INTL(DATE($B$3,6,30),DATE($B$3,6,30),1,'Non-working days'!$A$6:$A$45)=0),"",IF(COUNTIFS('Leave log'!$A$7:$A$306,Employees!$A$15,'Leave log'!$B$7:$B$306,"&lt;="&amp;DATE($B$3,6,30),'Leave log'!$C$7:$C$306,"&gt;="&amp;DATE($B$3,6,30),'Leave log'!$F$7:$F$306,"Pending")&gt;0,"P",""))))</f>
        <v/>
      </c>
      <c r="AF186" s="23" t="str">
        <f>IF(A186="","",IF(IF(OR(DATE($B$3,6,31)&gt;EOMONTH(DATE($B$3,6,1),0),NETWORKDAYS.INTL(DATE($B$3,6,31),DATE($B$3,6,31),1,'Non-working days'!$A$6:$A$45)=0),"",IF(COUNTIFS('Leave log'!$A$7:$A$306,Employees!$A$15,'Leave log'!$B$7:$B$306,"&lt;="&amp;DATE($B$3,6,31),'Leave log'!$C$7:$C$306,"&gt;="&amp;DATE($B$3,6,31),'Leave log'!$F$7:$F$306,"Approved")&gt;0,"A",""))="A","A",IF(OR(DATE($B$3,6,31)&gt;EOMONTH(DATE($B$3,6,1),0),NETWORKDAYS.INTL(DATE($B$3,6,31),DATE($B$3,6,31),1,'Non-working days'!$A$6:$A$45)=0),"",IF(COUNTIFS('Leave log'!$A$7:$A$306,Employees!$A$15,'Leave log'!$B$7:$B$306,"&lt;="&amp;DATE($B$3,6,31),'Leave log'!$C$7:$C$306,"&gt;="&amp;DATE($B$3,6,31),'Leave log'!$F$7:$F$306,"Pending")&gt;0,"P",""))))</f>
        <v/>
      </c>
    </row>
    <row r="187" spans="1:32" ht="18" customHeight="1" x14ac:dyDescent="0.3">
      <c r="A187" s="22" t="str">
        <f>IF(Employees!F16="Yes",Employees!B16,"")</f>
        <v/>
      </c>
      <c r="B187" s="23" t="str">
        <f>IF(A187="","",IF(IF(OR(DATE($B$3,6,1)&gt;EOMONTH(DATE($B$3,6,1),0),NETWORKDAYS.INTL(DATE($B$3,6,1),DATE($B$3,6,1),1,'Non-working days'!$A$6:$A$45)=0),"",IF(COUNTIFS('Leave log'!$A$7:$A$306,Employees!$A$16,'Leave log'!$B$7:$B$306,"&lt;="&amp;DATE($B$3,6,1),'Leave log'!$C$7:$C$306,"&gt;="&amp;DATE($B$3,6,1),'Leave log'!$F$7:$F$306,"Approved")&gt;0,"A",""))="A","A",IF(OR(DATE($B$3,6,1)&gt;EOMONTH(DATE($B$3,6,1),0),NETWORKDAYS.INTL(DATE($B$3,6,1),DATE($B$3,6,1),1,'Non-working days'!$A$6:$A$45)=0),"",IF(COUNTIFS('Leave log'!$A$7:$A$306,Employees!$A$16,'Leave log'!$B$7:$B$306,"&lt;="&amp;DATE($B$3,6,1),'Leave log'!$C$7:$C$306,"&gt;="&amp;DATE($B$3,6,1),'Leave log'!$F$7:$F$306,"Pending")&gt;0,"P",""))))</f>
        <v/>
      </c>
      <c r="C187" s="23" t="str">
        <f>IF(A187="","",IF(IF(OR(DATE($B$3,6,2)&gt;EOMONTH(DATE($B$3,6,1),0),NETWORKDAYS.INTL(DATE($B$3,6,2),DATE($B$3,6,2),1,'Non-working days'!$A$6:$A$45)=0),"",IF(COUNTIFS('Leave log'!$A$7:$A$306,Employees!$A$16,'Leave log'!$B$7:$B$306,"&lt;="&amp;DATE($B$3,6,2),'Leave log'!$C$7:$C$306,"&gt;="&amp;DATE($B$3,6,2),'Leave log'!$F$7:$F$306,"Approved")&gt;0,"A",""))="A","A",IF(OR(DATE($B$3,6,2)&gt;EOMONTH(DATE($B$3,6,1),0),NETWORKDAYS.INTL(DATE($B$3,6,2),DATE($B$3,6,2),1,'Non-working days'!$A$6:$A$45)=0),"",IF(COUNTIFS('Leave log'!$A$7:$A$306,Employees!$A$16,'Leave log'!$B$7:$B$306,"&lt;="&amp;DATE($B$3,6,2),'Leave log'!$C$7:$C$306,"&gt;="&amp;DATE($B$3,6,2),'Leave log'!$F$7:$F$306,"Pending")&gt;0,"P",""))))</f>
        <v/>
      </c>
      <c r="D187" s="23" t="str">
        <f>IF(A187="","",IF(IF(OR(DATE($B$3,6,3)&gt;EOMONTH(DATE($B$3,6,1),0),NETWORKDAYS.INTL(DATE($B$3,6,3),DATE($B$3,6,3),1,'Non-working days'!$A$6:$A$45)=0),"",IF(COUNTIFS('Leave log'!$A$7:$A$306,Employees!$A$16,'Leave log'!$B$7:$B$306,"&lt;="&amp;DATE($B$3,6,3),'Leave log'!$C$7:$C$306,"&gt;="&amp;DATE($B$3,6,3),'Leave log'!$F$7:$F$306,"Approved")&gt;0,"A",""))="A","A",IF(OR(DATE($B$3,6,3)&gt;EOMONTH(DATE($B$3,6,1),0),NETWORKDAYS.INTL(DATE($B$3,6,3),DATE($B$3,6,3),1,'Non-working days'!$A$6:$A$45)=0),"",IF(COUNTIFS('Leave log'!$A$7:$A$306,Employees!$A$16,'Leave log'!$B$7:$B$306,"&lt;="&amp;DATE($B$3,6,3),'Leave log'!$C$7:$C$306,"&gt;="&amp;DATE($B$3,6,3),'Leave log'!$F$7:$F$306,"Pending")&gt;0,"P",""))))</f>
        <v/>
      </c>
      <c r="E187" s="23" t="str">
        <f>IF(A187="","",IF(IF(OR(DATE($B$3,6,4)&gt;EOMONTH(DATE($B$3,6,1),0),NETWORKDAYS.INTL(DATE($B$3,6,4),DATE($B$3,6,4),1,'Non-working days'!$A$6:$A$45)=0),"",IF(COUNTIFS('Leave log'!$A$7:$A$306,Employees!$A$16,'Leave log'!$B$7:$B$306,"&lt;="&amp;DATE($B$3,6,4),'Leave log'!$C$7:$C$306,"&gt;="&amp;DATE($B$3,6,4),'Leave log'!$F$7:$F$306,"Approved")&gt;0,"A",""))="A","A",IF(OR(DATE($B$3,6,4)&gt;EOMONTH(DATE($B$3,6,1),0),NETWORKDAYS.INTL(DATE($B$3,6,4),DATE($B$3,6,4),1,'Non-working days'!$A$6:$A$45)=0),"",IF(COUNTIFS('Leave log'!$A$7:$A$306,Employees!$A$16,'Leave log'!$B$7:$B$306,"&lt;="&amp;DATE($B$3,6,4),'Leave log'!$C$7:$C$306,"&gt;="&amp;DATE($B$3,6,4),'Leave log'!$F$7:$F$306,"Pending")&gt;0,"P",""))))</f>
        <v/>
      </c>
      <c r="F187" s="23" t="str">
        <f>IF(A187="","",IF(IF(OR(DATE($B$3,6,5)&gt;EOMONTH(DATE($B$3,6,1),0),NETWORKDAYS.INTL(DATE($B$3,6,5),DATE($B$3,6,5),1,'Non-working days'!$A$6:$A$45)=0),"",IF(COUNTIFS('Leave log'!$A$7:$A$306,Employees!$A$16,'Leave log'!$B$7:$B$306,"&lt;="&amp;DATE($B$3,6,5),'Leave log'!$C$7:$C$306,"&gt;="&amp;DATE($B$3,6,5),'Leave log'!$F$7:$F$306,"Approved")&gt;0,"A",""))="A","A",IF(OR(DATE($B$3,6,5)&gt;EOMONTH(DATE($B$3,6,1),0),NETWORKDAYS.INTL(DATE($B$3,6,5),DATE($B$3,6,5),1,'Non-working days'!$A$6:$A$45)=0),"",IF(COUNTIFS('Leave log'!$A$7:$A$306,Employees!$A$16,'Leave log'!$B$7:$B$306,"&lt;="&amp;DATE($B$3,6,5),'Leave log'!$C$7:$C$306,"&gt;="&amp;DATE($B$3,6,5),'Leave log'!$F$7:$F$306,"Pending")&gt;0,"P",""))))</f>
        <v/>
      </c>
      <c r="G187" s="23" t="str">
        <f>IF(A187="","",IF(IF(OR(DATE($B$3,6,6)&gt;EOMONTH(DATE($B$3,6,1),0),NETWORKDAYS.INTL(DATE($B$3,6,6),DATE($B$3,6,6),1,'Non-working days'!$A$6:$A$45)=0),"",IF(COUNTIFS('Leave log'!$A$7:$A$306,Employees!$A$16,'Leave log'!$B$7:$B$306,"&lt;="&amp;DATE($B$3,6,6),'Leave log'!$C$7:$C$306,"&gt;="&amp;DATE($B$3,6,6),'Leave log'!$F$7:$F$306,"Approved")&gt;0,"A",""))="A","A",IF(OR(DATE($B$3,6,6)&gt;EOMONTH(DATE($B$3,6,1),0),NETWORKDAYS.INTL(DATE($B$3,6,6),DATE($B$3,6,6),1,'Non-working days'!$A$6:$A$45)=0),"",IF(COUNTIFS('Leave log'!$A$7:$A$306,Employees!$A$16,'Leave log'!$B$7:$B$306,"&lt;="&amp;DATE($B$3,6,6),'Leave log'!$C$7:$C$306,"&gt;="&amp;DATE($B$3,6,6),'Leave log'!$F$7:$F$306,"Pending")&gt;0,"P",""))))</f>
        <v/>
      </c>
      <c r="H187" s="23" t="str">
        <f>IF(A187="","",IF(IF(OR(DATE($B$3,6,7)&gt;EOMONTH(DATE($B$3,6,1),0),NETWORKDAYS.INTL(DATE($B$3,6,7),DATE($B$3,6,7),1,'Non-working days'!$A$6:$A$45)=0),"",IF(COUNTIFS('Leave log'!$A$7:$A$306,Employees!$A$16,'Leave log'!$B$7:$B$306,"&lt;="&amp;DATE($B$3,6,7),'Leave log'!$C$7:$C$306,"&gt;="&amp;DATE($B$3,6,7),'Leave log'!$F$7:$F$306,"Approved")&gt;0,"A",""))="A","A",IF(OR(DATE($B$3,6,7)&gt;EOMONTH(DATE($B$3,6,1),0),NETWORKDAYS.INTL(DATE($B$3,6,7),DATE($B$3,6,7),1,'Non-working days'!$A$6:$A$45)=0),"",IF(COUNTIFS('Leave log'!$A$7:$A$306,Employees!$A$16,'Leave log'!$B$7:$B$306,"&lt;="&amp;DATE($B$3,6,7),'Leave log'!$C$7:$C$306,"&gt;="&amp;DATE($B$3,6,7),'Leave log'!$F$7:$F$306,"Pending")&gt;0,"P",""))))</f>
        <v/>
      </c>
      <c r="I187" s="23" t="str">
        <f>IF(A187="","",IF(IF(OR(DATE($B$3,6,8)&gt;EOMONTH(DATE($B$3,6,1),0),NETWORKDAYS.INTL(DATE($B$3,6,8),DATE($B$3,6,8),1,'Non-working days'!$A$6:$A$45)=0),"",IF(COUNTIFS('Leave log'!$A$7:$A$306,Employees!$A$16,'Leave log'!$B$7:$B$306,"&lt;="&amp;DATE($B$3,6,8),'Leave log'!$C$7:$C$306,"&gt;="&amp;DATE($B$3,6,8),'Leave log'!$F$7:$F$306,"Approved")&gt;0,"A",""))="A","A",IF(OR(DATE($B$3,6,8)&gt;EOMONTH(DATE($B$3,6,1),0),NETWORKDAYS.INTL(DATE($B$3,6,8),DATE($B$3,6,8),1,'Non-working days'!$A$6:$A$45)=0),"",IF(COUNTIFS('Leave log'!$A$7:$A$306,Employees!$A$16,'Leave log'!$B$7:$B$306,"&lt;="&amp;DATE($B$3,6,8),'Leave log'!$C$7:$C$306,"&gt;="&amp;DATE($B$3,6,8),'Leave log'!$F$7:$F$306,"Pending")&gt;0,"P",""))))</f>
        <v/>
      </c>
      <c r="J187" s="23" t="str">
        <f>IF(A187="","",IF(IF(OR(DATE($B$3,6,9)&gt;EOMONTH(DATE($B$3,6,1),0),NETWORKDAYS.INTL(DATE($B$3,6,9),DATE($B$3,6,9),1,'Non-working days'!$A$6:$A$45)=0),"",IF(COUNTIFS('Leave log'!$A$7:$A$306,Employees!$A$16,'Leave log'!$B$7:$B$306,"&lt;="&amp;DATE($B$3,6,9),'Leave log'!$C$7:$C$306,"&gt;="&amp;DATE($B$3,6,9),'Leave log'!$F$7:$F$306,"Approved")&gt;0,"A",""))="A","A",IF(OR(DATE($B$3,6,9)&gt;EOMONTH(DATE($B$3,6,1),0),NETWORKDAYS.INTL(DATE($B$3,6,9),DATE($B$3,6,9),1,'Non-working days'!$A$6:$A$45)=0),"",IF(COUNTIFS('Leave log'!$A$7:$A$306,Employees!$A$16,'Leave log'!$B$7:$B$306,"&lt;="&amp;DATE($B$3,6,9),'Leave log'!$C$7:$C$306,"&gt;="&amp;DATE($B$3,6,9),'Leave log'!$F$7:$F$306,"Pending")&gt;0,"P",""))))</f>
        <v/>
      </c>
      <c r="K187" s="23" t="str">
        <f>IF(A187="","",IF(IF(OR(DATE($B$3,6,10)&gt;EOMONTH(DATE($B$3,6,1),0),NETWORKDAYS.INTL(DATE($B$3,6,10),DATE($B$3,6,10),1,'Non-working days'!$A$6:$A$45)=0),"",IF(COUNTIFS('Leave log'!$A$7:$A$306,Employees!$A$16,'Leave log'!$B$7:$B$306,"&lt;="&amp;DATE($B$3,6,10),'Leave log'!$C$7:$C$306,"&gt;="&amp;DATE($B$3,6,10),'Leave log'!$F$7:$F$306,"Approved")&gt;0,"A",""))="A","A",IF(OR(DATE($B$3,6,10)&gt;EOMONTH(DATE($B$3,6,1),0),NETWORKDAYS.INTL(DATE($B$3,6,10),DATE($B$3,6,10),1,'Non-working days'!$A$6:$A$45)=0),"",IF(COUNTIFS('Leave log'!$A$7:$A$306,Employees!$A$16,'Leave log'!$B$7:$B$306,"&lt;="&amp;DATE($B$3,6,10),'Leave log'!$C$7:$C$306,"&gt;="&amp;DATE($B$3,6,10),'Leave log'!$F$7:$F$306,"Pending")&gt;0,"P",""))))</f>
        <v/>
      </c>
      <c r="L187" s="23" t="str">
        <f>IF(A187="","",IF(IF(OR(DATE($B$3,6,11)&gt;EOMONTH(DATE($B$3,6,1),0),NETWORKDAYS.INTL(DATE($B$3,6,11),DATE($B$3,6,11),1,'Non-working days'!$A$6:$A$45)=0),"",IF(COUNTIFS('Leave log'!$A$7:$A$306,Employees!$A$16,'Leave log'!$B$7:$B$306,"&lt;="&amp;DATE($B$3,6,11),'Leave log'!$C$7:$C$306,"&gt;="&amp;DATE($B$3,6,11),'Leave log'!$F$7:$F$306,"Approved")&gt;0,"A",""))="A","A",IF(OR(DATE($B$3,6,11)&gt;EOMONTH(DATE($B$3,6,1),0),NETWORKDAYS.INTL(DATE($B$3,6,11),DATE($B$3,6,11),1,'Non-working days'!$A$6:$A$45)=0),"",IF(COUNTIFS('Leave log'!$A$7:$A$306,Employees!$A$16,'Leave log'!$B$7:$B$306,"&lt;="&amp;DATE($B$3,6,11),'Leave log'!$C$7:$C$306,"&gt;="&amp;DATE($B$3,6,11),'Leave log'!$F$7:$F$306,"Pending")&gt;0,"P",""))))</f>
        <v/>
      </c>
      <c r="M187" s="23" t="str">
        <f>IF(A187="","",IF(IF(OR(DATE($B$3,6,12)&gt;EOMONTH(DATE($B$3,6,1),0),NETWORKDAYS.INTL(DATE($B$3,6,12),DATE($B$3,6,12),1,'Non-working days'!$A$6:$A$45)=0),"",IF(COUNTIFS('Leave log'!$A$7:$A$306,Employees!$A$16,'Leave log'!$B$7:$B$306,"&lt;="&amp;DATE($B$3,6,12),'Leave log'!$C$7:$C$306,"&gt;="&amp;DATE($B$3,6,12),'Leave log'!$F$7:$F$306,"Approved")&gt;0,"A",""))="A","A",IF(OR(DATE($B$3,6,12)&gt;EOMONTH(DATE($B$3,6,1),0),NETWORKDAYS.INTL(DATE($B$3,6,12),DATE($B$3,6,12),1,'Non-working days'!$A$6:$A$45)=0),"",IF(COUNTIFS('Leave log'!$A$7:$A$306,Employees!$A$16,'Leave log'!$B$7:$B$306,"&lt;="&amp;DATE($B$3,6,12),'Leave log'!$C$7:$C$306,"&gt;="&amp;DATE($B$3,6,12),'Leave log'!$F$7:$F$306,"Pending")&gt;0,"P",""))))</f>
        <v/>
      </c>
      <c r="N187" s="23" t="str">
        <f>IF(A187="","",IF(IF(OR(DATE($B$3,6,13)&gt;EOMONTH(DATE($B$3,6,1),0),NETWORKDAYS.INTL(DATE($B$3,6,13),DATE($B$3,6,13),1,'Non-working days'!$A$6:$A$45)=0),"",IF(COUNTIFS('Leave log'!$A$7:$A$306,Employees!$A$16,'Leave log'!$B$7:$B$306,"&lt;="&amp;DATE($B$3,6,13),'Leave log'!$C$7:$C$306,"&gt;="&amp;DATE($B$3,6,13),'Leave log'!$F$7:$F$306,"Approved")&gt;0,"A",""))="A","A",IF(OR(DATE($B$3,6,13)&gt;EOMONTH(DATE($B$3,6,1),0),NETWORKDAYS.INTL(DATE($B$3,6,13),DATE($B$3,6,13),1,'Non-working days'!$A$6:$A$45)=0),"",IF(COUNTIFS('Leave log'!$A$7:$A$306,Employees!$A$16,'Leave log'!$B$7:$B$306,"&lt;="&amp;DATE($B$3,6,13),'Leave log'!$C$7:$C$306,"&gt;="&amp;DATE($B$3,6,13),'Leave log'!$F$7:$F$306,"Pending")&gt;0,"P",""))))</f>
        <v/>
      </c>
      <c r="O187" s="23" t="str">
        <f>IF(A187="","",IF(IF(OR(DATE($B$3,6,14)&gt;EOMONTH(DATE($B$3,6,1),0),NETWORKDAYS.INTL(DATE($B$3,6,14),DATE($B$3,6,14),1,'Non-working days'!$A$6:$A$45)=0),"",IF(COUNTIFS('Leave log'!$A$7:$A$306,Employees!$A$16,'Leave log'!$B$7:$B$306,"&lt;="&amp;DATE($B$3,6,14),'Leave log'!$C$7:$C$306,"&gt;="&amp;DATE($B$3,6,14),'Leave log'!$F$7:$F$306,"Approved")&gt;0,"A",""))="A","A",IF(OR(DATE($B$3,6,14)&gt;EOMONTH(DATE($B$3,6,1),0),NETWORKDAYS.INTL(DATE($B$3,6,14),DATE($B$3,6,14),1,'Non-working days'!$A$6:$A$45)=0),"",IF(COUNTIFS('Leave log'!$A$7:$A$306,Employees!$A$16,'Leave log'!$B$7:$B$306,"&lt;="&amp;DATE($B$3,6,14),'Leave log'!$C$7:$C$306,"&gt;="&amp;DATE($B$3,6,14),'Leave log'!$F$7:$F$306,"Pending")&gt;0,"P",""))))</f>
        <v/>
      </c>
      <c r="P187" s="23" t="str">
        <f>IF(A187="","",IF(IF(OR(DATE($B$3,6,15)&gt;EOMONTH(DATE($B$3,6,1),0),NETWORKDAYS.INTL(DATE($B$3,6,15),DATE($B$3,6,15),1,'Non-working days'!$A$6:$A$45)=0),"",IF(COUNTIFS('Leave log'!$A$7:$A$306,Employees!$A$16,'Leave log'!$B$7:$B$306,"&lt;="&amp;DATE($B$3,6,15),'Leave log'!$C$7:$C$306,"&gt;="&amp;DATE($B$3,6,15),'Leave log'!$F$7:$F$306,"Approved")&gt;0,"A",""))="A","A",IF(OR(DATE($B$3,6,15)&gt;EOMONTH(DATE($B$3,6,1),0),NETWORKDAYS.INTL(DATE($B$3,6,15),DATE($B$3,6,15),1,'Non-working days'!$A$6:$A$45)=0),"",IF(COUNTIFS('Leave log'!$A$7:$A$306,Employees!$A$16,'Leave log'!$B$7:$B$306,"&lt;="&amp;DATE($B$3,6,15),'Leave log'!$C$7:$C$306,"&gt;="&amp;DATE($B$3,6,15),'Leave log'!$F$7:$F$306,"Pending")&gt;0,"P",""))))</f>
        <v/>
      </c>
      <c r="Q187" s="23" t="str">
        <f>IF(A187="","",IF(IF(OR(DATE($B$3,6,16)&gt;EOMONTH(DATE($B$3,6,1),0),NETWORKDAYS.INTL(DATE($B$3,6,16),DATE($B$3,6,16),1,'Non-working days'!$A$6:$A$45)=0),"",IF(COUNTIFS('Leave log'!$A$7:$A$306,Employees!$A$16,'Leave log'!$B$7:$B$306,"&lt;="&amp;DATE($B$3,6,16),'Leave log'!$C$7:$C$306,"&gt;="&amp;DATE($B$3,6,16),'Leave log'!$F$7:$F$306,"Approved")&gt;0,"A",""))="A","A",IF(OR(DATE($B$3,6,16)&gt;EOMONTH(DATE($B$3,6,1),0),NETWORKDAYS.INTL(DATE($B$3,6,16),DATE($B$3,6,16),1,'Non-working days'!$A$6:$A$45)=0),"",IF(COUNTIFS('Leave log'!$A$7:$A$306,Employees!$A$16,'Leave log'!$B$7:$B$306,"&lt;="&amp;DATE($B$3,6,16),'Leave log'!$C$7:$C$306,"&gt;="&amp;DATE($B$3,6,16),'Leave log'!$F$7:$F$306,"Pending")&gt;0,"P",""))))</f>
        <v/>
      </c>
      <c r="R187" s="23" t="str">
        <f>IF(A187="","",IF(IF(OR(DATE($B$3,6,17)&gt;EOMONTH(DATE($B$3,6,1),0),NETWORKDAYS.INTL(DATE($B$3,6,17),DATE($B$3,6,17),1,'Non-working days'!$A$6:$A$45)=0),"",IF(COUNTIFS('Leave log'!$A$7:$A$306,Employees!$A$16,'Leave log'!$B$7:$B$306,"&lt;="&amp;DATE($B$3,6,17),'Leave log'!$C$7:$C$306,"&gt;="&amp;DATE($B$3,6,17),'Leave log'!$F$7:$F$306,"Approved")&gt;0,"A",""))="A","A",IF(OR(DATE($B$3,6,17)&gt;EOMONTH(DATE($B$3,6,1),0),NETWORKDAYS.INTL(DATE($B$3,6,17),DATE($B$3,6,17),1,'Non-working days'!$A$6:$A$45)=0),"",IF(COUNTIFS('Leave log'!$A$7:$A$306,Employees!$A$16,'Leave log'!$B$7:$B$306,"&lt;="&amp;DATE($B$3,6,17),'Leave log'!$C$7:$C$306,"&gt;="&amp;DATE($B$3,6,17),'Leave log'!$F$7:$F$306,"Pending")&gt;0,"P",""))))</f>
        <v/>
      </c>
      <c r="S187" s="23" t="str">
        <f>IF(A187="","",IF(IF(OR(DATE($B$3,6,18)&gt;EOMONTH(DATE($B$3,6,1),0),NETWORKDAYS.INTL(DATE($B$3,6,18),DATE($B$3,6,18),1,'Non-working days'!$A$6:$A$45)=0),"",IF(COUNTIFS('Leave log'!$A$7:$A$306,Employees!$A$16,'Leave log'!$B$7:$B$306,"&lt;="&amp;DATE($B$3,6,18),'Leave log'!$C$7:$C$306,"&gt;="&amp;DATE($B$3,6,18),'Leave log'!$F$7:$F$306,"Approved")&gt;0,"A",""))="A","A",IF(OR(DATE($B$3,6,18)&gt;EOMONTH(DATE($B$3,6,1),0),NETWORKDAYS.INTL(DATE($B$3,6,18),DATE($B$3,6,18),1,'Non-working days'!$A$6:$A$45)=0),"",IF(COUNTIFS('Leave log'!$A$7:$A$306,Employees!$A$16,'Leave log'!$B$7:$B$306,"&lt;="&amp;DATE($B$3,6,18),'Leave log'!$C$7:$C$306,"&gt;="&amp;DATE($B$3,6,18),'Leave log'!$F$7:$F$306,"Pending")&gt;0,"P",""))))</f>
        <v/>
      </c>
      <c r="T187" s="23" t="str">
        <f>IF(A187="","",IF(IF(OR(DATE($B$3,6,19)&gt;EOMONTH(DATE($B$3,6,1),0),NETWORKDAYS.INTL(DATE($B$3,6,19),DATE($B$3,6,19),1,'Non-working days'!$A$6:$A$45)=0),"",IF(COUNTIFS('Leave log'!$A$7:$A$306,Employees!$A$16,'Leave log'!$B$7:$B$306,"&lt;="&amp;DATE($B$3,6,19),'Leave log'!$C$7:$C$306,"&gt;="&amp;DATE($B$3,6,19),'Leave log'!$F$7:$F$306,"Approved")&gt;0,"A",""))="A","A",IF(OR(DATE($B$3,6,19)&gt;EOMONTH(DATE($B$3,6,1),0),NETWORKDAYS.INTL(DATE($B$3,6,19),DATE($B$3,6,19),1,'Non-working days'!$A$6:$A$45)=0),"",IF(COUNTIFS('Leave log'!$A$7:$A$306,Employees!$A$16,'Leave log'!$B$7:$B$306,"&lt;="&amp;DATE($B$3,6,19),'Leave log'!$C$7:$C$306,"&gt;="&amp;DATE($B$3,6,19),'Leave log'!$F$7:$F$306,"Pending")&gt;0,"P",""))))</f>
        <v/>
      </c>
      <c r="U187" s="23" t="str">
        <f>IF(A187="","",IF(IF(OR(DATE($B$3,6,20)&gt;EOMONTH(DATE($B$3,6,1),0),NETWORKDAYS.INTL(DATE($B$3,6,20),DATE($B$3,6,20),1,'Non-working days'!$A$6:$A$45)=0),"",IF(COUNTIFS('Leave log'!$A$7:$A$306,Employees!$A$16,'Leave log'!$B$7:$B$306,"&lt;="&amp;DATE($B$3,6,20),'Leave log'!$C$7:$C$306,"&gt;="&amp;DATE($B$3,6,20),'Leave log'!$F$7:$F$306,"Approved")&gt;0,"A",""))="A","A",IF(OR(DATE($B$3,6,20)&gt;EOMONTH(DATE($B$3,6,1),0),NETWORKDAYS.INTL(DATE($B$3,6,20),DATE($B$3,6,20),1,'Non-working days'!$A$6:$A$45)=0),"",IF(COUNTIFS('Leave log'!$A$7:$A$306,Employees!$A$16,'Leave log'!$B$7:$B$306,"&lt;="&amp;DATE($B$3,6,20),'Leave log'!$C$7:$C$306,"&gt;="&amp;DATE($B$3,6,20),'Leave log'!$F$7:$F$306,"Pending")&gt;0,"P",""))))</f>
        <v/>
      </c>
      <c r="V187" s="23" t="str">
        <f>IF(A187="","",IF(IF(OR(DATE($B$3,6,21)&gt;EOMONTH(DATE($B$3,6,1),0),NETWORKDAYS.INTL(DATE($B$3,6,21),DATE($B$3,6,21),1,'Non-working days'!$A$6:$A$45)=0),"",IF(COUNTIFS('Leave log'!$A$7:$A$306,Employees!$A$16,'Leave log'!$B$7:$B$306,"&lt;="&amp;DATE($B$3,6,21),'Leave log'!$C$7:$C$306,"&gt;="&amp;DATE($B$3,6,21),'Leave log'!$F$7:$F$306,"Approved")&gt;0,"A",""))="A","A",IF(OR(DATE($B$3,6,21)&gt;EOMONTH(DATE($B$3,6,1),0),NETWORKDAYS.INTL(DATE($B$3,6,21),DATE($B$3,6,21),1,'Non-working days'!$A$6:$A$45)=0),"",IF(COUNTIFS('Leave log'!$A$7:$A$306,Employees!$A$16,'Leave log'!$B$7:$B$306,"&lt;="&amp;DATE($B$3,6,21),'Leave log'!$C$7:$C$306,"&gt;="&amp;DATE($B$3,6,21),'Leave log'!$F$7:$F$306,"Pending")&gt;0,"P",""))))</f>
        <v/>
      </c>
      <c r="W187" s="23" t="str">
        <f>IF(A187="","",IF(IF(OR(DATE($B$3,6,22)&gt;EOMONTH(DATE($B$3,6,1),0),NETWORKDAYS.INTL(DATE($B$3,6,22),DATE($B$3,6,22),1,'Non-working days'!$A$6:$A$45)=0),"",IF(COUNTIFS('Leave log'!$A$7:$A$306,Employees!$A$16,'Leave log'!$B$7:$B$306,"&lt;="&amp;DATE($B$3,6,22),'Leave log'!$C$7:$C$306,"&gt;="&amp;DATE($B$3,6,22),'Leave log'!$F$7:$F$306,"Approved")&gt;0,"A",""))="A","A",IF(OR(DATE($B$3,6,22)&gt;EOMONTH(DATE($B$3,6,1),0),NETWORKDAYS.INTL(DATE($B$3,6,22),DATE($B$3,6,22),1,'Non-working days'!$A$6:$A$45)=0),"",IF(COUNTIFS('Leave log'!$A$7:$A$306,Employees!$A$16,'Leave log'!$B$7:$B$306,"&lt;="&amp;DATE($B$3,6,22),'Leave log'!$C$7:$C$306,"&gt;="&amp;DATE($B$3,6,22),'Leave log'!$F$7:$F$306,"Pending")&gt;0,"P",""))))</f>
        <v/>
      </c>
      <c r="X187" s="23" t="str">
        <f>IF(A187="","",IF(IF(OR(DATE($B$3,6,23)&gt;EOMONTH(DATE($B$3,6,1),0),NETWORKDAYS.INTL(DATE($B$3,6,23),DATE($B$3,6,23),1,'Non-working days'!$A$6:$A$45)=0),"",IF(COUNTIFS('Leave log'!$A$7:$A$306,Employees!$A$16,'Leave log'!$B$7:$B$306,"&lt;="&amp;DATE($B$3,6,23),'Leave log'!$C$7:$C$306,"&gt;="&amp;DATE($B$3,6,23),'Leave log'!$F$7:$F$306,"Approved")&gt;0,"A",""))="A","A",IF(OR(DATE($B$3,6,23)&gt;EOMONTH(DATE($B$3,6,1),0),NETWORKDAYS.INTL(DATE($B$3,6,23),DATE($B$3,6,23),1,'Non-working days'!$A$6:$A$45)=0),"",IF(COUNTIFS('Leave log'!$A$7:$A$306,Employees!$A$16,'Leave log'!$B$7:$B$306,"&lt;="&amp;DATE($B$3,6,23),'Leave log'!$C$7:$C$306,"&gt;="&amp;DATE($B$3,6,23),'Leave log'!$F$7:$F$306,"Pending")&gt;0,"P",""))))</f>
        <v/>
      </c>
      <c r="Y187" s="23" t="str">
        <f>IF(A187="","",IF(IF(OR(DATE($B$3,6,24)&gt;EOMONTH(DATE($B$3,6,1),0),NETWORKDAYS.INTL(DATE($B$3,6,24),DATE($B$3,6,24),1,'Non-working days'!$A$6:$A$45)=0),"",IF(COUNTIFS('Leave log'!$A$7:$A$306,Employees!$A$16,'Leave log'!$B$7:$B$306,"&lt;="&amp;DATE($B$3,6,24),'Leave log'!$C$7:$C$306,"&gt;="&amp;DATE($B$3,6,24),'Leave log'!$F$7:$F$306,"Approved")&gt;0,"A",""))="A","A",IF(OR(DATE($B$3,6,24)&gt;EOMONTH(DATE($B$3,6,1),0),NETWORKDAYS.INTL(DATE($B$3,6,24),DATE($B$3,6,24),1,'Non-working days'!$A$6:$A$45)=0),"",IF(COUNTIFS('Leave log'!$A$7:$A$306,Employees!$A$16,'Leave log'!$B$7:$B$306,"&lt;="&amp;DATE($B$3,6,24),'Leave log'!$C$7:$C$306,"&gt;="&amp;DATE($B$3,6,24),'Leave log'!$F$7:$F$306,"Pending")&gt;0,"P",""))))</f>
        <v/>
      </c>
      <c r="Z187" s="23" t="str">
        <f>IF(A187="","",IF(IF(OR(DATE($B$3,6,25)&gt;EOMONTH(DATE($B$3,6,1),0),NETWORKDAYS.INTL(DATE($B$3,6,25),DATE($B$3,6,25),1,'Non-working days'!$A$6:$A$45)=0),"",IF(COUNTIFS('Leave log'!$A$7:$A$306,Employees!$A$16,'Leave log'!$B$7:$B$306,"&lt;="&amp;DATE($B$3,6,25),'Leave log'!$C$7:$C$306,"&gt;="&amp;DATE($B$3,6,25),'Leave log'!$F$7:$F$306,"Approved")&gt;0,"A",""))="A","A",IF(OR(DATE($B$3,6,25)&gt;EOMONTH(DATE($B$3,6,1),0),NETWORKDAYS.INTL(DATE($B$3,6,25),DATE($B$3,6,25),1,'Non-working days'!$A$6:$A$45)=0),"",IF(COUNTIFS('Leave log'!$A$7:$A$306,Employees!$A$16,'Leave log'!$B$7:$B$306,"&lt;="&amp;DATE($B$3,6,25),'Leave log'!$C$7:$C$306,"&gt;="&amp;DATE($B$3,6,25),'Leave log'!$F$7:$F$306,"Pending")&gt;0,"P",""))))</f>
        <v/>
      </c>
      <c r="AA187" s="23" t="str">
        <f>IF(A187="","",IF(IF(OR(DATE($B$3,6,26)&gt;EOMONTH(DATE($B$3,6,1),0),NETWORKDAYS.INTL(DATE($B$3,6,26),DATE($B$3,6,26),1,'Non-working days'!$A$6:$A$45)=0),"",IF(COUNTIFS('Leave log'!$A$7:$A$306,Employees!$A$16,'Leave log'!$B$7:$B$306,"&lt;="&amp;DATE($B$3,6,26),'Leave log'!$C$7:$C$306,"&gt;="&amp;DATE($B$3,6,26),'Leave log'!$F$7:$F$306,"Approved")&gt;0,"A",""))="A","A",IF(OR(DATE($B$3,6,26)&gt;EOMONTH(DATE($B$3,6,1),0),NETWORKDAYS.INTL(DATE($B$3,6,26),DATE($B$3,6,26),1,'Non-working days'!$A$6:$A$45)=0),"",IF(COUNTIFS('Leave log'!$A$7:$A$306,Employees!$A$16,'Leave log'!$B$7:$B$306,"&lt;="&amp;DATE($B$3,6,26),'Leave log'!$C$7:$C$306,"&gt;="&amp;DATE($B$3,6,26),'Leave log'!$F$7:$F$306,"Pending")&gt;0,"P",""))))</f>
        <v/>
      </c>
      <c r="AB187" s="23" t="str">
        <f>IF(A187="","",IF(IF(OR(DATE($B$3,6,27)&gt;EOMONTH(DATE($B$3,6,1),0),NETWORKDAYS.INTL(DATE($B$3,6,27),DATE($B$3,6,27),1,'Non-working days'!$A$6:$A$45)=0),"",IF(COUNTIFS('Leave log'!$A$7:$A$306,Employees!$A$16,'Leave log'!$B$7:$B$306,"&lt;="&amp;DATE($B$3,6,27),'Leave log'!$C$7:$C$306,"&gt;="&amp;DATE($B$3,6,27),'Leave log'!$F$7:$F$306,"Approved")&gt;0,"A",""))="A","A",IF(OR(DATE($B$3,6,27)&gt;EOMONTH(DATE($B$3,6,1),0),NETWORKDAYS.INTL(DATE($B$3,6,27),DATE($B$3,6,27),1,'Non-working days'!$A$6:$A$45)=0),"",IF(COUNTIFS('Leave log'!$A$7:$A$306,Employees!$A$16,'Leave log'!$B$7:$B$306,"&lt;="&amp;DATE($B$3,6,27),'Leave log'!$C$7:$C$306,"&gt;="&amp;DATE($B$3,6,27),'Leave log'!$F$7:$F$306,"Pending")&gt;0,"P",""))))</f>
        <v/>
      </c>
      <c r="AC187" s="23" t="str">
        <f>IF(A187="","",IF(IF(OR(DATE($B$3,6,28)&gt;EOMONTH(DATE($B$3,6,1),0),NETWORKDAYS.INTL(DATE($B$3,6,28),DATE($B$3,6,28),1,'Non-working days'!$A$6:$A$45)=0),"",IF(COUNTIFS('Leave log'!$A$7:$A$306,Employees!$A$16,'Leave log'!$B$7:$B$306,"&lt;="&amp;DATE($B$3,6,28),'Leave log'!$C$7:$C$306,"&gt;="&amp;DATE($B$3,6,28),'Leave log'!$F$7:$F$306,"Approved")&gt;0,"A",""))="A","A",IF(OR(DATE($B$3,6,28)&gt;EOMONTH(DATE($B$3,6,1),0),NETWORKDAYS.INTL(DATE($B$3,6,28),DATE($B$3,6,28),1,'Non-working days'!$A$6:$A$45)=0),"",IF(COUNTIFS('Leave log'!$A$7:$A$306,Employees!$A$16,'Leave log'!$B$7:$B$306,"&lt;="&amp;DATE($B$3,6,28),'Leave log'!$C$7:$C$306,"&gt;="&amp;DATE($B$3,6,28),'Leave log'!$F$7:$F$306,"Pending")&gt;0,"P",""))))</f>
        <v/>
      </c>
      <c r="AD187" s="23" t="str">
        <f>IF(A187="","",IF(IF(OR(DATE($B$3,6,29)&gt;EOMONTH(DATE($B$3,6,1),0),NETWORKDAYS.INTL(DATE($B$3,6,29),DATE($B$3,6,29),1,'Non-working days'!$A$6:$A$45)=0),"",IF(COUNTIFS('Leave log'!$A$7:$A$306,Employees!$A$16,'Leave log'!$B$7:$B$306,"&lt;="&amp;DATE($B$3,6,29),'Leave log'!$C$7:$C$306,"&gt;="&amp;DATE($B$3,6,29),'Leave log'!$F$7:$F$306,"Approved")&gt;0,"A",""))="A","A",IF(OR(DATE($B$3,6,29)&gt;EOMONTH(DATE($B$3,6,1),0),NETWORKDAYS.INTL(DATE($B$3,6,29),DATE($B$3,6,29),1,'Non-working days'!$A$6:$A$45)=0),"",IF(COUNTIFS('Leave log'!$A$7:$A$306,Employees!$A$16,'Leave log'!$B$7:$B$306,"&lt;="&amp;DATE($B$3,6,29),'Leave log'!$C$7:$C$306,"&gt;="&amp;DATE($B$3,6,29),'Leave log'!$F$7:$F$306,"Pending")&gt;0,"P",""))))</f>
        <v/>
      </c>
      <c r="AE187" s="23" t="str">
        <f>IF(A187="","",IF(IF(OR(DATE($B$3,6,30)&gt;EOMONTH(DATE($B$3,6,1),0),NETWORKDAYS.INTL(DATE($B$3,6,30),DATE($B$3,6,30),1,'Non-working days'!$A$6:$A$45)=0),"",IF(COUNTIFS('Leave log'!$A$7:$A$306,Employees!$A$16,'Leave log'!$B$7:$B$306,"&lt;="&amp;DATE($B$3,6,30),'Leave log'!$C$7:$C$306,"&gt;="&amp;DATE($B$3,6,30),'Leave log'!$F$7:$F$306,"Approved")&gt;0,"A",""))="A","A",IF(OR(DATE($B$3,6,30)&gt;EOMONTH(DATE($B$3,6,1),0),NETWORKDAYS.INTL(DATE($B$3,6,30),DATE($B$3,6,30),1,'Non-working days'!$A$6:$A$45)=0),"",IF(COUNTIFS('Leave log'!$A$7:$A$306,Employees!$A$16,'Leave log'!$B$7:$B$306,"&lt;="&amp;DATE($B$3,6,30),'Leave log'!$C$7:$C$306,"&gt;="&amp;DATE($B$3,6,30),'Leave log'!$F$7:$F$306,"Pending")&gt;0,"P",""))))</f>
        <v/>
      </c>
      <c r="AF187" s="23" t="str">
        <f>IF(A187="","",IF(IF(OR(DATE($B$3,6,31)&gt;EOMONTH(DATE($B$3,6,1),0),NETWORKDAYS.INTL(DATE($B$3,6,31),DATE($B$3,6,31),1,'Non-working days'!$A$6:$A$45)=0),"",IF(COUNTIFS('Leave log'!$A$7:$A$306,Employees!$A$16,'Leave log'!$B$7:$B$306,"&lt;="&amp;DATE($B$3,6,31),'Leave log'!$C$7:$C$306,"&gt;="&amp;DATE($B$3,6,31),'Leave log'!$F$7:$F$306,"Approved")&gt;0,"A",""))="A","A",IF(OR(DATE($B$3,6,31)&gt;EOMONTH(DATE($B$3,6,1),0),NETWORKDAYS.INTL(DATE($B$3,6,31),DATE($B$3,6,31),1,'Non-working days'!$A$6:$A$45)=0),"",IF(COUNTIFS('Leave log'!$A$7:$A$306,Employees!$A$16,'Leave log'!$B$7:$B$306,"&lt;="&amp;DATE($B$3,6,31),'Leave log'!$C$7:$C$306,"&gt;="&amp;DATE($B$3,6,31),'Leave log'!$F$7:$F$306,"Pending")&gt;0,"P",""))))</f>
        <v/>
      </c>
    </row>
    <row r="188" spans="1:32" ht="18" customHeight="1" x14ac:dyDescent="0.3">
      <c r="A188" s="22" t="str">
        <f>IF(Employees!F17="Yes",Employees!B17,"")</f>
        <v/>
      </c>
      <c r="B188" s="23" t="str">
        <f>IF(A188="","",IF(IF(OR(DATE($B$3,6,1)&gt;EOMONTH(DATE($B$3,6,1),0),NETWORKDAYS.INTL(DATE($B$3,6,1),DATE($B$3,6,1),1,'Non-working days'!$A$6:$A$45)=0),"",IF(COUNTIFS('Leave log'!$A$7:$A$306,Employees!$A$17,'Leave log'!$B$7:$B$306,"&lt;="&amp;DATE($B$3,6,1),'Leave log'!$C$7:$C$306,"&gt;="&amp;DATE($B$3,6,1),'Leave log'!$F$7:$F$306,"Approved")&gt;0,"A",""))="A","A",IF(OR(DATE($B$3,6,1)&gt;EOMONTH(DATE($B$3,6,1),0),NETWORKDAYS.INTL(DATE($B$3,6,1),DATE($B$3,6,1),1,'Non-working days'!$A$6:$A$45)=0),"",IF(COUNTIFS('Leave log'!$A$7:$A$306,Employees!$A$17,'Leave log'!$B$7:$B$306,"&lt;="&amp;DATE($B$3,6,1),'Leave log'!$C$7:$C$306,"&gt;="&amp;DATE($B$3,6,1),'Leave log'!$F$7:$F$306,"Pending")&gt;0,"P",""))))</f>
        <v/>
      </c>
      <c r="C188" s="23" t="str">
        <f>IF(A188="","",IF(IF(OR(DATE($B$3,6,2)&gt;EOMONTH(DATE($B$3,6,1),0),NETWORKDAYS.INTL(DATE($B$3,6,2),DATE($B$3,6,2),1,'Non-working days'!$A$6:$A$45)=0),"",IF(COUNTIFS('Leave log'!$A$7:$A$306,Employees!$A$17,'Leave log'!$B$7:$B$306,"&lt;="&amp;DATE($B$3,6,2),'Leave log'!$C$7:$C$306,"&gt;="&amp;DATE($B$3,6,2),'Leave log'!$F$7:$F$306,"Approved")&gt;0,"A",""))="A","A",IF(OR(DATE($B$3,6,2)&gt;EOMONTH(DATE($B$3,6,1),0),NETWORKDAYS.INTL(DATE($B$3,6,2),DATE($B$3,6,2),1,'Non-working days'!$A$6:$A$45)=0),"",IF(COUNTIFS('Leave log'!$A$7:$A$306,Employees!$A$17,'Leave log'!$B$7:$B$306,"&lt;="&amp;DATE($B$3,6,2),'Leave log'!$C$7:$C$306,"&gt;="&amp;DATE($B$3,6,2),'Leave log'!$F$7:$F$306,"Pending")&gt;0,"P",""))))</f>
        <v/>
      </c>
      <c r="D188" s="23" t="str">
        <f>IF(A188="","",IF(IF(OR(DATE($B$3,6,3)&gt;EOMONTH(DATE($B$3,6,1),0),NETWORKDAYS.INTL(DATE($B$3,6,3),DATE($B$3,6,3),1,'Non-working days'!$A$6:$A$45)=0),"",IF(COUNTIFS('Leave log'!$A$7:$A$306,Employees!$A$17,'Leave log'!$B$7:$B$306,"&lt;="&amp;DATE($B$3,6,3),'Leave log'!$C$7:$C$306,"&gt;="&amp;DATE($B$3,6,3),'Leave log'!$F$7:$F$306,"Approved")&gt;0,"A",""))="A","A",IF(OR(DATE($B$3,6,3)&gt;EOMONTH(DATE($B$3,6,1),0),NETWORKDAYS.INTL(DATE($B$3,6,3),DATE($B$3,6,3),1,'Non-working days'!$A$6:$A$45)=0),"",IF(COUNTIFS('Leave log'!$A$7:$A$306,Employees!$A$17,'Leave log'!$B$7:$B$306,"&lt;="&amp;DATE($B$3,6,3),'Leave log'!$C$7:$C$306,"&gt;="&amp;DATE($B$3,6,3),'Leave log'!$F$7:$F$306,"Pending")&gt;0,"P",""))))</f>
        <v/>
      </c>
      <c r="E188" s="23" t="str">
        <f>IF(A188="","",IF(IF(OR(DATE($B$3,6,4)&gt;EOMONTH(DATE($B$3,6,1),0),NETWORKDAYS.INTL(DATE($B$3,6,4),DATE($B$3,6,4),1,'Non-working days'!$A$6:$A$45)=0),"",IF(COUNTIFS('Leave log'!$A$7:$A$306,Employees!$A$17,'Leave log'!$B$7:$B$306,"&lt;="&amp;DATE($B$3,6,4),'Leave log'!$C$7:$C$306,"&gt;="&amp;DATE($B$3,6,4),'Leave log'!$F$7:$F$306,"Approved")&gt;0,"A",""))="A","A",IF(OR(DATE($B$3,6,4)&gt;EOMONTH(DATE($B$3,6,1),0),NETWORKDAYS.INTL(DATE($B$3,6,4),DATE($B$3,6,4),1,'Non-working days'!$A$6:$A$45)=0),"",IF(COUNTIFS('Leave log'!$A$7:$A$306,Employees!$A$17,'Leave log'!$B$7:$B$306,"&lt;="&amp;DATE($B$3,6,4),'Leave log'!$C$7:$C$306,"&gt;="&amp;DATE($B$3,6,4),'Leave log'!$F$7:$F$306,"Pending")&gt;0,"P",""))))</f>
        <v/>
      </c>
      <c r="F188" s="23" t="str">
        <f>IF(A188="","",IF(IF(OR(DATE($B$3,6,5)&gt;EOMONTH(DATE($B$3,6,1),0),NETWORKDAYS.INTL(DATE($B$3,6,5),DATE($B$3,6,5),1,'Non-working days'!$A$6:$A$45)=0),"",IF(COUNTIFS('Leave log'!$A$7:$A$306,Employees!$A$17,'Leave log'!$B$7:$B$306,"&lt;="&amp;DATE($B$3,6,5),'Leave log'!$C$7:$C$306,"&gt;="&amp;DATE($B$3,6,5),'Leave log'!$F$7:$F$306,"Approved")&gt;0,"A",""))="A","A",IF(OR(DATE($B$3,6,5)&gt;EOMONTH(DATE($B$3,6,1),0),NETWORKDAYS.INTL(DATE($B$3,6,5),DATE($B$3,6,5),1,'Non-working days'!$A$6:$A$45)=0),"",IF(COUNTIFS('Leave log'!$A$7:$A$306,Employees!$A$17,'Leave log'!$B$7:$B$306,"&lt;="&amp;DATE($B$3,6,5),'Leave log'!$C$7:$C$306,"&gt;="&amp;DATE($B$3,6,5),'Leave log'!$F$7:$F$306,"Pending")&gt;0,"P",""))))</f>
        <v/>
      </c>
      <c r="G188" s="23" t="str">
        <f>IF(A188="","",IF(IF(OR(DATE($B$3,6,6)&gt;EOMONTH(DATE($B$3,6,1),0),NETWORKDAYS.INTL(DATE($B$3,6,6),DATE($B$3,6,6),1,'Non-working days'!$A$6:$A$45)=0),"",IF(COUNTIFS('Leave log'!$A$7:$A$306,Employees!$A$17,'Leave log'!$B$7:$B$306,"&lt;="&amp;DATE($B$3,6,6),'Leave log'!$C$7:$C$306,"&gt;="&amp;DATE($B$3,6,6),'Leave log'!$F$7:$F$306,"Approved")&gt;0,"A",""))="A","A",IF(OR(DATE($B$3,6,6)&gt;EOMONTH(DATE($B$3,6,1),0),NETWORKDAYS.INTL(DATE($B$3,6,6),DATE($B$3,6,6),1,'Non-working days'!$A$6:$A$45)=0),"",IF(COUNTIFS('Leave log'!$A$7:$A$306,Employees!$A$17,'Leave log'!$B$7:$B$306,"&lt;="&amp;DATE($B$3,6,6),'Leave log'!$C$7:$C$306,"&gt;="&amp;DATE($B$3,6,6),'Leave log'!$F$7:$F$306,"Pending")&gt;0,"P",""))))</f>
        <v/>
      </c>
      <c r="H188" s="23" t="str">
        <f>IF(A188="","",IF(IF(OR(DATE($B$3,6,7)&gt;EOMONTH(DATE($B$3,6,1),0),NETWORKDAYS.INTL(DATE($B$3,6,7),DATE($B$3,6,7),1,'Non-working days'!$A$6:$A$45)=0),"",IF(COUNTIFS('Leave log'!$A$7:$A$306,Employees!$A$17,'Leave log'!$B$7:$B$306,"&lt;="&amp;DATE($B$3,6,7),'Leave log'!$C$7:$C$306,"&gt;="&amp;DATE($B$3,6,7),'Leave log'!$F$7:$F$306,"Approved")&gt;0,"A",""))="A","A",IF(OR(DATE($B$3,6,7)&gt;EOMONTH(DATE($B$3,6,1),0),NETWORKDAYS.INTL(DATE($B$3,6,7),DATE($B$3,6,7),1,'Non-working days'!$A$6:$A$45)=0),"",IF(COUNTIFS('Leave log'!$A$7:$A$306,Employees!$A$17,'Leave log'!$B$7:$B$306,"&lt;="&amp;DATE($B$3,6,7),'Leave log'!$C$7:$C$306,"&gt;="&amp;DATE($B$3,6,7),'Leave log'!$F$7:$F$306,"Pending")&gt;0,"P",""))))</f>
        <v/>
      </c>
      <c r="I188" s="23" t="str">
        <f>IF(A188="","",IF(IF(OR(DATE($B$3,6,8)&gt;EOMONTH(DATE($B$3,6,1),0),NETWORKDAYS.INTL(DATE($B$3,6,8),DATE($B$3,6,8),1,'Non-working days'!$A$6:$A$45)=0),"",IF(COUNTIFS('Leave log'!$A$7:$A$306,Employees!$A$17,'Leave log'!$B$7:$B$306,"&lt;="&amp;DATE($B$3,6,8),'Leave log'!$C$7:$C$306,"&gt;="&amp;DATE($B$3,6,8),'Leave log'!$F$7:$F$306,"Approved")&gt;0,"A",""))="A","A",IF(OR(DATE($B$3,6,8)&gt;EOMONTH(DATE($B$3,6,1),0),NETWORKDAYS.INTL(DATE($B$3,6,8),DATE($B$3,6,8),1,'Non-working days'!$A$6:$A$45)=0),"",IF(COUNTIFS('Leave log'!$A$7:$A$306,Employees!$A$17,'Leave log'!$B$7:$B$306,"&lt;="&amp;DATE($B$3,6,8),'Leave log'!$C$7:$C$306,"&gt;="&amp;DATE($B$3,6,8),'Leave log'!$F$7:$F$306,"Pending")&gt;0,"P",""))))</f>
        <v/>
      </c>
      <c r="J188" s="23" t="str">
        <f>IF(A188="","",IF(IF(OR(DATE($B$3,6,9)&gt;EOMONTH(DATE($B$3,6,1),0),NETWORKDAYS.INTL(DATE($B$3,6,9),DATE($B$3,6,9),1,'Non-working days'!$A$6:$A$45)=0),"",IF(COUNTIFS('Leave log'!$A$7:$A$306,Employees!$A$17,'Leave log'!$B$7:$B$306,"&lt;="&amp;DATE($B$3,6,9),'Leave log'!$C$7:$C$306,"&gt;="&amp;DATE($B$3,6,9),'Leave log'!$F$7:$F$306,"Approved")&gt;0,"A",""))="A","A",IF(OR(DATE($B$3,6,9)&gt;EOMONTH(DATE($B$3,6,1),0),NETWORKDAYS.INTL(DATE($B$3,6,9),DATE($B$3,6,9),1,'Non-working days'!$A$6:$A$45)=0),"",IF(COUNTIFS('Leave log'!$A$7:$A$306,Employees!$A$17,'Leave log'!$B$7:$B$306,"&lt;="&amp;DATE($B$3,6,9),'Leave log'!$C$7:$C$306,"&gt;="&amp;DATE($B$3,6,9),'Leave log'!$F$7:$F$306,"Pending")&gt;0,"P",""))))</f>
        <v/>
      </c>
      <c r="K188" s="23" t="str">
        <f>IF(A188="","",IF(IF(OR(DATE($B$3,6,10)&gt;EOMONTH(DATE($B$3,6,1),0),NETWORKDAYS.INTL(DATE($B$3,6,10),DATE($B$3,6,10),1,'Non-working days'!$A$6:$A$45)=0),"",IF(COUNTIFS('Leave log'!$A$7:$A$306,Employees!$A$17,'Leave log'!$B$7:$B$306,"&lt;="&amp;DATE($B$3,6,10),'Leave log'!$C$7:$C$306,"&gt;="&amp;DATE($B$3,6,10),'Leave log'!$F$7:$F$306,"Approved")&gt;0,"A",""))="A","A",IF(OR(DATE($B$3,6,10)&gt;EOMONTH(DATE($B$3,6,1),0),NETWORKDAYS.INTL(DATE($B$3,6,10),DATE($B$3,6,10),1,'Non-working days'!$A$6:$A$45)=0),"",IF(COUNTIFS('Leave log'!$A$7:$A$306,Employees!$A$17,'Leave log'!$B$7:$B$306,"&lt;="&amp;DATE($B$3,6,10),'Leave log'!$C$7:$C$306,"&gt;="&amp;DATE($B$3,6,10),'Leave log'!$F$7:$F$306,"Pending")&gt;0,"P",""))))</f>
        <v/>
      </c>
      <c r="L188" s="23" t="str">
        <f>IF(A188="","",IF(IF(OR(DATE($B$3,6,11)&gt;EOMONTH(DATE($B$3,6,1),0),NETWORKDAYS.INTL(DATE($B$3,6,11),DATE($B$3,6,11),1,'Non-working days'!$A$6:$A$45)=0),"",IF(COUNTIFS('Leave log'!$A$7:$A$306,Employees!$A$17,'Leave log'!$B$7:$B$306,"&lt;="&amp;DATE($B$3,6,11),'Leave log'!$C$7:$C$306,"&gt;="&amp;DATE($B$3,6,11),'Leave log'!$F$7:$F$306,"Approved")&gt;0,"A",""))="A","A",IF(OR(DATE($B$3,6,11)&gt;EOMONTH(DATE($B$3,6,1),0),NETWORKDAYS.INTL(DATE($B$3,6,11),DATE($B$3,6,11),1,'Non-working days'!$A$6:$A$45)=0),"",IF(COUNTIFS('Leave log'!$A$7:$A$306,Employees!$A$17,'Leave log'!$B$7:$B$306,"&lt;="&amp;DATE($B$3,6,11),'Leave log'!$C$7:$C$306,"&gt;="&amp;DATE($B$3,6,11),'Leave log'!$F$7:$F$306,"Pending")&gt;0,"P",""))))</f>
        <v/>
      </c>
      <c r="M188" s="23" t="str">
        <f>IF(A188="","",IF(IF(OR(DATE($B$3,6,12)&gt;EOMONTH(DATE($B$3,6,1),0),NETWORKDAYS.INTL(DATE($B$3,6,12),DATE($B$3,6,12),1,'Non-working days'!$A$6:$A$45)=0),"",IF(COUNTIFS('Leave log'!$A$7:$A$306,Employees!$A$17,'Leave log'!$B$7:$B$306,"&lt;="&amp;DATE($B$3,6,12),'Leave log'!$C$7:$C$306,"&gt;="&amp;DATE($B$3,6,12),'Leave log'!$F$7:$F$306,"Approved")&gt;0,"A",""))="A","A",IF(OR(DATE($B$3,6,12)&gt;EOMONTH(DATE($B$3,6,1),0),NETWORKDAYS.INTL(DATE($B$3,6,12),DATE($B$3,6,12),1,'Non-working days'!$A$6:$A$45)=0),"",IF(COUNTIFS('Leave log'!$A$7:$A$306,Employees!$A$17,'Leave log'!$B$7:$B$306,"&lt;="&amp;DATE($B$3,6,12),'Leave log'!$C$7:$C$306,"&gt;="&amp;DATE($B$3,6,12),'Leave log'!$F$7:$F$306,"Pending")&gt;0,"P",""))))</f>
        <v/>
      </c>
      <c r="N188" s="23" t="str">
        <f>IF(A188="","",IF(IF(OR(DATE($B$3,6,13)&gt;EOMONTH(DATE($B$3,6,1),0),NETWORKDAYS.INTL(DATE($B$3,6,13),DATE($B$3,6,13),1,'Non-working days'!$A$6:$A$45)=0),"",IF(COUNTIFS('Leave log'!$A$7:$A$306,Employees!$A$17,'Leave log'!$B$7:$B$306,"&lt;="&amp;DATE($B$3,6,13),'Leave log'!$C$7:$C$306,"&gt;="&amp;DATE($B$3,6,13),'Leave log'!$F$7:$F$306,"Approved")&gt;0,"A",""))="A","A",IF(OR(DATE($B$3,6,13)&gt;EOMONTH(DATE($B$3,6,1),0),NETWORKDAYS.INTL(DATE($B$3,6,13),DATE($B$3,6,13),1,'Non-working days'!$A$6:$A$45)=0),"",IF(COUNTIFS('Leave log'!$A$7:$A$306,Employees!$A$17,'Leave log'!$B$7:$B$306,"&lt;="&amp;DATE($B$3,6,13),'Leave log'!$C$7:$C$306,"&gt;="&amp;DATE($B$3,6,13),'Leave log'!$F$7:$F$306,"Pending")&gt;0,"P",""))))</f>
        <v/>
      </c>
      <c r="O188" s="23" t="str">
        <f>IF(A188="","",IF(IF(OR(DATE($B$3,6,14)&gt;EOMONTH(DATE($B$3,6,1),0),NETWORKDAYS.INTL(DATE($B$3,6,14),DATE($B$3,6,14),1,'Non-working days'!$A$6:$A$45)=0),"",IF(COUNTIFS('Leave log'!$A$7:$A$306,Employees!$A$17,'Leave log'!$B$7:$B$306,"&lt;="&amp;DATE($B$3,6,14),'Leave log'!$C$7:$C$306,"&gt;="&amp;DATE($B$3,6,14),'Leave log'!$F$7:$F$306,"Approved")&gt;0,"A",""))="A","A",IF(OR(DATE($B$3,6,14)&gt;EOMONTH(DATE($B$3,6,1),0),NETWORKDAYS.INTL(DATE($B$3,6,14),DATE($B$3,6,14),1,'Non-working days'!$A$6:$A$45)=0),"",IF(COUNTIFS('Leave log'!$A$7:$A$306,Employees!$A$17,'Leave log'!$B$7:$B$306,"&lt;="&amp;DATE($B$3,6,14),'Leave log'!$C$7:$C$306,"&gt;="&amp;DATE($B$3,6,14),'Leave log'!$F$7:$F$306,"Pending")&gt;0,"P",""))))</f>
        <v/>
      </c>
      <c r="P188" s="23" t="str">
        <f>IF(A188="","",IF(IF(OR(DATE($B$3,6,15)&gt;EOMONTH(DATE($B$3,6,1),0),NETWORKDAYS.INTL(DATE($B$3,6,15),DATE($B$3,6,15),1,'Non-working days'!$A$6:$A$45)=0),"",IF(COUNTIFS('Leave log'!$A$7:$A$306,Employees!$A$17,'Leave log'!$B$7:$B$306,"&lt;="&amp;DATE($B$3,6,15),'Leave log'!$C$7:$C$306,"&gt;="&amp;DATE($B$3,6,15),'Leave log'!$F$7:$F$306,"Approved")&gt;0,"A",""))="A","A",IF(OR(DATE($B$3,6,15)&gt;EOMONTH(DATE($B$3,6,1),0),NETWORKDAYS.INTL(DATE($B$3,6,15),DATE($B$3,6,15),1,'Non-working days'!$A$6:$A$45)=0),"",IF(COUNTIFS('Leave log'!$A$7:$A$306,Employees!$A$17,'Leave log'!$B$7:$B$306,"&lt;="&amp;DATE($B$3,6,15),'Leave log'!$C$7:$C$306,"&gt;="&amp;DATE($B$3,6,15),'Leave log'!$F$7:$F$306,"Pending")&gt;0,"P",""))))</f>
        <v/>
      </c>
      <c r="Q188" s="23" t="str">
        <f>IF(A188="","",IF(IF(OR(DATE($B$3,6,16)&gt;EOMONTH(DATE($B$3,6,1),0),NETWORKDAYS.INTL(DATE($B$3,6,16),DATE($B$3,6,16),1,'Non-working days'!$A$6:$A$45)=0),"",IF(COUNTIFS('Leave log'!$A$7:$A$306,Employees!$A$17,'Leave log'!$B$7:$B$306,"&lt;="&amp;DATE($B$3,6,16),'Leave log'!$C$7:$C$306,"&gt;="&amp;DATE($B$3,6,16),'Leave log'!$F$7:$F$306,"Approved")&gt;0,"A",""))="A","A",IF(OR(DATE($B$3,6,16)&gt;EOMONTH(DATE($B$3,6,1),0),NETWORKDAYS.INTL(DATE($B$3,6,16),DATE($B$3,6,16),1,'Non-working days'!$A$6:$A$45)=0),"",IF(COUNTIFS('Leave log'!$A$7:$A$306,Employees!$A$17,'Leave log'!$B$7:$B$306,"&lt;="&amp;DATE($B$3,6,16),'Leave log'!$C$7:$C$306,"&gt;="&amp;DATE($B$3,6,16),'Leave log'!$F$7:$F$306,"Pending")&gt;0,"P",""))))</f>
        <v/>
      </c>
      <c r="R188" s="23" t="str">
        <f>IF(A188="","",IF(IF(OR(DATE($B$3,6,17)&gt;EOMONTH(DATE($B$3,6,1),0),NETWORKDAYS.INTL(DATE($B$3,6,17),DATE($B$3,6,17),1,'Non-working days'!$A$6:$A$45)=0),"",IF(COUNTIFS('Leave log'!$A$7:$A$306,Employees!$A$17,'Leave log'!$B$7:$B$306,"&lt;="&amp;DATE($B$3,6,17),'Leave log'!$C$7:$C$306,"&gt;="&amp;DATE($B$3,6,17),'Leave log'!$F$7:$F$306,"Approved")&gt;0,"A",""))="A","A",IF(OR(DATE($B$3,6,17)&gt;EOMONTH(DATE($B$3,6,1),0),NETWORKDAYS.INTL(DATE($B$3,6,17),DATE($B$3,6,17),1,'Non-working days'!$A$6:$A$45)=0),"",IF(COUNTIFS('Leave log'!$A$7:$A$306,Employees!$A$17,'Leave log'!$B$7:$B$306,"&lt;="&amp;DATE($B$3,6,17),'Leave log'!$C$7:$C$306,"&gt;="&amp;DATE($B$3,6,17),'Leave log'!$F$7:$F$306,"Pending")&gt;0,"P",""))))</f>
        <v/>
      </c>
      <c r="S188" s="23" t="str">
        <f>IF(A188="","",IF(IF(OR(DATE($B$3,6,18)&gt;EOMONTH(DATE($B$3,6,1),0),NETWORKDAYS.INTL(DATE($B$3,6,18),DATE($B$3,6,18),1,'Non-working days'!$A$6:$A$45)=0),"",IF(COUNTIFS('Leave log'!$A$7:$A$306,Employees!$A$17,'Leave log'!$B$7:$B$306,"&lt;="&amp;DATE($B$3,6,18),'Leave log'!$C$7:$C$306,"&gt;="&amp;DATE($B$3,6,18),'Leave log'!$F$7:$F$306,"Approved")&gt;0,"A",""))="A","A",IF(OR(DATE($B$3,6,18)&gt;EOMONTH(DATE($B$3,6,1),0),NETWORKDAYS.INTL(DATE($B$3,6,18),DATE($B$3,6,18),1,'Non-working days'!$A$6:$A$45)=0),"",IF(COUNTIFS('Leave log'!$A$7:$A$306,Employees!$A$17,'Leave log'!$B$7:$B$306,"&lt;="&amp;DATE($B$3,6,18),'Leave log'!$C$7:$C$306,"&gt;="&amp;DATE($B$3,6,18),'Leave log'!$F$7:$F$306,"Pending")&gt;0,"P",""))))</f>
        <v/>
      </c>
      <c r="T188" s="23" t="str">
        <f>IF(A188="","",IF(IF(OR(DATE($B$3,6,19)&gt;EOMONTH(DATE($B$3,6,1),0),NETWORKDAYS.INTL(DATE($B$3,6,19),DATE($B$3,6,19),1,'Non-working days'!$A$6:$A$45)=0),"",IF(COUNTIFS('Leave log'!$A$7:$A$306,Employees!$A$17,'Leave log'!$B$7:$B$306,"&lt;="&amp;DATE($B$3,6,19),'Leave log'!$C$7:$C$306,"&gt;="&amp;DATE($B$3,6,19),'Leave log'!$F$7:$F$306,"Approved")&gt;0,"A",""))="A","A",IF(OR(DATE($B$3,6,19)&gt;EOMONTH(DATE($B$3,6,1),0),NETWORKDAYS.INTL(DATE($B$3,6,19),DATE($B$3,6,19),1,'Non-working days'!$A$6:$A$45)=0),"",IF(COUNTIFS('Leave log'!$A$7:$A$306,Employees!$A$17,'Leave log'!$B$7:$B$306,"&lt;="&amp;DATE($B$3,6,19),'Leave log'!$C$7:$C$306,"&gt;="&amp;DATE($B$3,6,19),'Leave log'!$F$7:$F$306,"Pending")&gt;0,"P",""))))</f>
        <v/>
      </c>
      <c r="U188" s="23" t="str">
        <f>IF(A188="","",IF(IF(OR(DATE($B$3,6,20)&gt;EOMONTH(DATE($B$3,6,1),0),NETWORKDAYS.INTL(DATE($B$3,6,20),DATE($B$3,6,20),1,'Non-working days'!$A$6:$A$45)=0),"",IF(COUNTIFS('Leave log'!$A$7:$A$306,Employees!$A$17,'Leave log'!$B$7:$B$306,"&lt;="&amp;DATE($B$3,6,20),'Leave log'!$C$7:$C$306,"&gt;="&amp;DATE($B$3,6,20),'Leave log'!$F$7:$F$306,"Approved")&gt;0,"A",""))="A","A",IF(OR(DATE($B$3,6,20)&gt;EOMONTH(DATE($B$3,6,1),0),NETWORKDAYS.INTL(DATE($B$3,6,20),DATE($B$3,6,20),1,'Non-working days'!$A$6:$A$45)=0),"",IF(COUNTIFS('Leave log'!$A$7:$A$306,Employees!$A$17,'Leave log'!$B$7:$B$306,"&lt;="&amp;DATE($B$3,6,20),'Leave log'!$C$7:$C$306,"&gt;="&amp;DATE($B$3,6,20),'Leave log'!$F$7:$F$306,"Pending")&gt;0,"P",""))))</f>
        <v/>
      </c>
      <c r="V188" s="23" t="str">
        <f>IF(A188="","",IF(IF(OR(DATE($B$3,6,21)&gt;EOMONTH(DATE($B$3,6,1),0),NETWORKDAYS.INTL(DATE($B$3,6,21),DATE($B$3,6,21),1,'Non-working days'!$A$6:$A$45)=0),"",IF(COUNTIFS('Leave log'!$A$7:$A$306,Employees!$A$17,'Leave log'!$B$7:$B$306,"&lt;="&amp;DATE($B$3,6,21),'Leave log'!$C$7:$C$306,"&gt;="&amp;DATE($B$3,6,21),'Leave log'!$F$7:$F$306,"Approved")&gt;0,"A",""))="A","A",IF(OR(DATE($B$3,6,21)&gt;EOMONTH(DATE($B$3,6,1),0),NETWORKDAYS.INTL(DATE($B$3,6,21),DATE($B$3,6,21),1,'Non-working days'!$A$6:$A$45)=0),"",IF(COUNTIFS('Leave log'!$A$7:$A$306,Employees!$A$17,'Leave log'!$B$7:$B$306,"&lt;="&amp;DATE($B$3,6,21),'Leave log'!$C$7:$C$306,"&gt;="&amp;DATE($B$3,6,21),'Leave log'!$F$7:$F$306,"Pending")&gt;0,"P",""))))</f>
        <v/>
      </c>
      <c r="W188" s="23" t="str">
        <f>IF(A188="","",IF(IF(OR(DATE($B$3,6,22)&gt;EOMONTH(DATE($B$3,6,1),0),NETWORKDAYS.INTL(DATE($B$3,6,22),DATE($B$3,6,22),1,'Non-working days'!$A$6:$A$45)=0),"",IF(COUNTIFS('Leave log'!$A$7:$A$306,Employees!$A$17,'Leave log'!$B$7:$B$306,"&lt;="&amp;DATE($B$3,6,22),'Leave log'!$C$7:$C$306,"&gt;="&amp;DATE($B$3,6,22),'Leave log'!$F$7:$F$306,"Approved")&gt;0,"A",""))="A","A",IF(OR(DATE($B$3,6,22)&gt;EOMONTH(DATE($B$3,6,1),0),NETWORKDAYS.INTL(DATE($B$3,6,22),DATE($B$3,6,22),1,'Non-working days'!$A$6:$A$45)=0),"",IF(COUNTIFS('Leave log'!$A$7:$A$306,Employees!$A$17,'Leave log'!$B$7:$B$306,"&lt;="&amp;DATE($B$3,6,22),'Leave log'!$C$7:$C$306,"&gt;="&amp;DATE($B$3,6,22),'Leave log'!$F$7:$F$306,"Pending")&gt;0,"P",""))))</f>
        <v/>
      </c>
      <c r="X188" s="23" t="str">
        <f>IF(A188="","",IF(IF(OR(DATE($B$3,6,23)&gt;EOMONTH(DATE($B$3,6,1),0),NETWORKDAYS.INTL(DATE($B$3,6,23),DATE($B$3,6,23),1,'Non-working days'!$A$6:$A$45)=0),"",IF(COUNTIFS('Leave log'!$A$7:$A$306,Employees!$A$17,'Leave log'!$B$7:$B$306,"&lt;="&amp;DATE($B$3,6,23),'Leave log'!$C$7:$C$306,"&gt;="&amp;DATE($B$3,6,23),'Leave log'!$F$7:$F$306,"Approved")&gt;0,"A",""))="A","A",IF(OR(DATE($B$3,6,23)&gt;EOMONTH(DATE($B$3,6,1),0),NETWORKDAYS.INTL(DATE($B$3,6,23),DATE($B$3,6,23),1,'Non-working days'!$A$6:$A$45)=0),"",IF(COUNTIFS('Leave log'!$A$7:$A$306,Employees!$A$17,'Leave log'!$B$7:$B$306,"&lt;="&amp;DATE($B$3,6,23),'Leave log'!$C$7:$C$306,"&gt;="&amp;DATE($B$3,6,23),'Leave log'!$F$7:$F$306,"Pending")&gt;0,"P",""))))</f>
        <v/>
      </c>
      <c r="Y188" s="23" t="str">
        <f>IF(A188="","",IF(IF(OR(DATE($B$3,6,24)&gt;EOMONTH(DATE($B$3,6,1),0),NETWORKDAYS.INTL(DATE($B$3,6,24),DATE($B$3,6,24),1,'Non-working days'!$A$6:$A$45)=0),"",IF(COUNTIFS('Leave log'!$A$7:$A$306,Employees!$A$17,'Leave log'!$B$7:$B$306,"&lt;="&amp;DATE($B$3,6,24),'Leave log'!$C$7:$C$306,"&gt;="&amp;DATE($B$3,6,24),'Leave log'!$F$7:$F$306,"Approved")&gt;0,"A",""))="A","A",IF(OR(DATE($B$3,6,24)&gt;EOMONTH(DATE($B$3,6,1),0),NETWORKDAYS.INTL(DATE($B$3,6,24),DATE($B$3,6,24),1,'Non-working days'!$A$6:$A$45)=0),"",IF(COUNTIFS('Leave log'!$A$7:$A$306,Employees!$A$17,'Leave log'!$B$7:$B$306,"&lt;="&amp;DATE($B$3,6,24),'Leave log'!$C$7:$C$306,"&gt;="&amp;DATE($B$3,6,24),'Leave log'!$F$7:$F$306,"Pending")&gt;0,"P",""))))</f>
        <v/>
      </c>
      <c r="Z188" s="23" t="str">
        <f>IF(A188="","",IF(IF(OR(DATE($B$3,6,25)&gt;EOMONTH(DATE($B$3,6,1),0),NETWORKDAYS.INTL(DATE($B$3,6,25),DATE($B$3,6,25),1,'Non-working days'!$A$6:$A$45)=0),"",IF(COUNTIFS('Leave log'!$A$7:$A$306,Employees!$A$17,'Leave log'!$B$7:$B$306,"&lt;="&amp;DATE($B$3,6,25),'Leave log'!$C$7:$C$306,"&gt;="&amp;DATE($B$3,6,25),'Leave log'!$F$7:$F$306,"Approved")&gt;0,"A",""))="A","A",IF(OR(DATE($B$3,6,25)&gt;EOMONTH(DATE($B$3,6,1),0),NETWORKDAYS.INTL(DATE($B$3,6,25),DATE($B$3,6,25),1,'Non-working days'!$A$6:$A$45)=0),"",IF(COUNTIFS('Leave log'!$A$7:$A$306,Employees!$A$17,'Leave log'!$B$7:$B$306,"&lt;="&amp;DATE($B$3,6,25),'Leave log'!$C$7:$C$306,"&gt;="&amp;DATE($B$3,6,25),'Leave log'!$F$7:$F$306,"Pending")&gt;0,"P",""))))</f>
        <v/>
      </c>
      <c r="AA188" s="23" t="str">
        <f>IF(A188="","",IF(IF(OR(DATE($B$3,6,26)&gt;EOMONTH(DATE($B$3,6,1),0),NETWORKDAYS.INTL(DATE($B$3,6,26),DATE($B$3,6,26),1,'Non-working days'!$A$6:$A$45)=0),"",IF(COUNTIFS('Leave log'!$A$7:$A$306,Employees!$A$17,'Leave log'!$B$7:$B$306,"&lt;="&amp;DATE($B$3,6,26),'Leave log'!$C$7:$C$306,"&gt;="&amp;DATE($B$3,6,26),'Leave log'!$F$7:$F$306,"Approved")&gt;0,"A",""))="A","A",IF(OR(DATE($B$3,6,26)&gt;EOMONTH(DATE($B$3,6,1),0),NETWORKDAYS.INTL(DATE($B$3,6,26),DATE($B$3,6,26),1,'Non-working days'!$A$6:$A$45)=0),"",IF(COUNTIFS('Leave log'!$A$7:$A$306,Employees!$A$17,'Leave log'!$B$7:$B$306,"&lt;="&amp;DATE($B$3,6,26),'Leave log'!$C$7:$C$306,"&gt;="&amp;DATE($B$3,6,26),'Leave log'!$F$7:$F$306,"Pending")&gt;0,"P",""))))</f>
        <v/>
      </c>
      <c r="AB188" s="23" t="str">
        <f>IF(A188="","",IF(IF(OR(DATE($B$3,6,27)&gt;EOMONTH(DATE($B$3,6,1),0),NETWORKDAYS.INTL(DATE($B$3,6,27),DATE($B$3,6,27),1,'Non-working days'!$A$6:$A$45)=0),"",IF(COUNTIFS('Leave log'!$A$7:$A$306,Employees!$A$17,'Leave log'!$B$7:$B$306,"&lt;="&amp;DATE($B$3,6,27),'Leave log'!$C$7:$C$306,"&gt;="&amp;DATE($B$3,6,27),'Leave log'!$F$7:$F$306,"Approved")&gt;0,"A",""))="A","A",IF(OR(DATE($B$3,6,27)&gt;EOMONTH(DATE($B$3,6,1),0),NETWORKDAYS.INTL(DATE($B$3,6,27),DATE($B$3,6,27),1,'Non-working days'!$A$6:$A$45)=0),"",IF(COUNTIFS('Leave log'!$A$7:$A$306,Employees!$A$17,'Leave log'!$B$7:$B$306,"&lt;="&amp;DATE($B$3,6,27),'Leave log'!$C$7:$C$306,"&gt;="&amp;DATE($B$3,6,27),'Leave log'!$F$7:$F$306,"Pending")&gt;0,"P",""))))</f>
        <v/>
      </c>
      <c r="AC188" s="23" t="str">
        <f>IF(A188="","",IF(IF(OR(DATE($B$3,6,28)&gt;EOMONTH(DATE($B$3,6,1),0),NETWORKDAYS.INTL(DATE($B$3,6,28),DATE($B$3,6,28),1,'Non-working days'!$A$6:$A$45)=0),"",IF(COUNTIFS('Leave log'!$A$7:$A$306,Employees!$A$17,'Leave log'!$B$7:$B$306,"&lt;="&amp;DATE($B$3,6,28),'Leave log'!$C$7:$C$306,"&gt;="&amp;DATE($B$3,6,28),'Leave log'!$F$7:$F$306,"Approved")&gt;0,"A",""))="A","A",IF(OR(DATE($B$3,6,28)&gt;EOMONTH(DATE($B$3,6,1),0),NETWORKDAYS.INTL(DATE($B$3,6,28),DATE($B$3,6,28),1,'Non-working days'!$A$6:$A$45)=0),"",IF(COUNTIFS('Leave log'!$A$7:$A$306,Employees!$A$17,'Leave log'!$B$7:$B$306,"&lt;="&amp;DATE($B$3,6,28),'Leave log'!$C$7:$C$306,"&gt;="&amp;DATE($B$3,6,28),'Leave log'!$F$7:$F$306,"Pending")&gt;0,"P",""))))</f>
        <v/>
      </c>
      <c r="AD188" s="23" t="str">
        <f>IF(A188="","",IF(IF(OR(DATE($B$3,6,29)&gt;EOMONTH(DATE($B$3,6,1),0),NETWORKDAYS.INTL(DATE($B$3,6,29),DATE($B$3,6,29),1,'Non-working days'!$A$6:$A$45)=0),"",IF(COUNTIFS('Leave log'!$A$7:$A$306,Employees!$A$17,'Leave log'!$B$7:$B$306,"&lt;="&amp;DATE($B$3,6,29),'Leave log'!$C$7:$C$306,"&gt;="&amp;DATE($B$3,6,29),'Leave log'!$F$7:$F$306,"Approved")&gt;0,"A",""))="A","A",IF(OR(DATE($B$3,6,29)&gt;EOMONTH(DATE($B$3,6,1),0),NETWORKDAYS.INTL(DATE($B$3,6,29),DATE($B$3,6,29),1,'Non-working days'!$A$6:$A$45)=0),"",IF(COUNTIFS('Leave log'!$A$7:$A$306,Employees!$A$17,'Leave log'!$B$7:$B$306,"&lt;="&amp;DATE($B$3,6,29),'Leave log'!$C$7:$C$306,"&gt;="&amp;DATE($B$3,6,29),'Leave log'!$F$7:$F$306,"Pending")&gt;0,"P",""))))</f>
        <v/>
      </c>
      <c r="AE188" s="23" t="str">
        <f>IF(A188="","",IF(IF(OR(DATE($B$3,6,30)&gt;EOMONTH(DATE($B$3,6,1),0),NETWORKDAYS.INTL(DATE($B$3,6,30),DATE($B$3,6,30),1,'Non-working days'!$A$6:$A$45)=0),"",IF(COUNTIFS('Leave log'!$A$7:$A$306,Employees!$A$17,'Leave log'!$B$7:$B$306,"&lt;="&amp;DATE($B$3,6,30),'Leave log'!$C$7:$C$306,"&gt;="&amp;DATE($B$3,6,30),'Leave log'!$F$7:$F$306,"Approved")&gt;0,"A",""))="A","A",IF(OR(DATE($B$3,6,30)&gt;EOMONTH(DATE($B$3,6,1),0),NETWORKDAYS.INTL(DATE($B$3,6,30),DATE($B$3,6,30),1,'Non-working days'!$A$6:$A$45)=0),"",IF(COUNTIFS('Leave log'!$A$7:$A$306,Employees!$A$17,'Leave log'!$B$7:$B$306,"&lt;="&amp;DATE($B$3,6,30),'Leave log'!$C$7:$C$306,"&gt;="&amp;DATE($B$3,6,30),'Leave log'!$F$7:$F$306,"Pending")&gt;0,"P",""))))</f>
        <v/>
      </c>
      <c r="AF188" s="23" t="str">
        <f>IF(A188="","",IF(IF(OR(DATE($B$3,6,31)&gt;EOMONTH(DATE($B$3,6,1),0),NETWORKDAYS.INTL(DATE($B$3,6,31),DATE($B$3,6,31),1,'Non-working days'!$A$6:$A$45)=0),"",IF(COUNTIFS('Leave log'!$A$7:$A$306,Employees!$A$17,'Leave log'!$B$7:$B$306,"&lt;="&amp;DATE($B$3,6,31),'Leave log'!$C$7:$C$306,"&gt;="&amp;DATE($B$3,6,31),'Leave log'!$F$7:$F$306,"Approved")&gt;0,"A",""))="A","A",IF(OR(DATE($B$3,6,31)&gt;EOMONTH(DATE($B$3,6,1),0),NETWORKDAYS.INTL(DATE($B$3,6,31),DATE($B$3,6,31),1,'Non-working days'!$A$6:$A$45)=0),"",IF(COUNTIFS('Leave log'!$A$7:$A$306,Employees!$A$17,'Leave log'!$B$7:$B$306,"&lt;="&amp;DATE($B$3,6,31),'Leave log'!$C$7:$C$306,"&gt;="&amp;DATE($B$3,6,31),'Leave log'!$F$7:$F$306,"Pending")&gt;0,"P",""))))</f>
        <v/>
      </c>
    </row>
    <row r="189" spans="1:32" ht="18" customHeight="1" x14ac:dyDescent="0.3">
      <c r="A189" s="22" t="str">
        <f>IF(Employees!F18="Yes",Employees!B18,"")</f>
        <v/>
      </c>
      <c r="B189" s="23" t="str">
        <f>IF(A189="","",IF(IF(OR(DATE($B$3,6,1)&gt;EOMONTH(DATE($B$3,6,1),0),NETWORKDAYS.INTL(DATE($B$3,6,1),DATE($B$3,6,1),1,'Non-working days'!$A$6:$A$45)=0),"",IF(COUNTIFS('Leave log'!$A$7:$A$306,Employees!$A$18,'Leave log'!$B$7:$B$306,"&lt;="&amp;DATE($B$3,6,1),'Leave log'!$C$7:$C$306,"&gt;="&amp;DATE($B$3,6,1),'Leave log'!$F$7:$F$306,"Approved")&gt;0,"A",""))="A","A",IF(OR(DATE($B$3,6,1)&gt;EOMONTH(DATE($B$3,6,1),0),NETWORKDAYS.INTL(DATE($B$3,6,1),DATE($B$3,6,1),1,'Non-working days'!$A$6:$A$45)=0),"",IF(COUNTIFS('Leave log'!$A$7:$A$306,Employees!$A$18,'Leave log'!$B$7:$B$306,"&lt;="&amp;DATE($B$3,6,1),'Leave log'!$C$7:$C$306,"&gt;="&amp;DATE($B$3,6,1),'Leave log'!$F$7:$F$306,"Pending")&gt;0,"P",""))))</f>
        <v/>
      </c>
      <c r="C189" s="23" t="str">
        <f>IF(A189="","",IF(IF(OR(DATE($B$3,6,2)&gt;EOMONTH(DATE($B$3,6,1),0),NETWORKDAYS.INTL(DATE($B$3,6,2),DATE($B$3,6,2),1,'Non-working days'!$A$6:$A$45)=0),"",IF(COUNTIFS('Leave log'!$A$7:$A$306,Employees!$A$18,'Leave log'!$B$7:$B$306,"&lt;="&amp;DATE($B$3,6,2),'Leave log'!$C$7:$C$306,"&gt;="&amp;DATE($B$3,6,2),'Leave log'!$F$7:$F$306,"Approved")&gt;0,"A",""))="A","A",IF(OR(DATE($B$3,6,2)&gt;EOMONTH(DATE($B$3,6,1),0),NETWORKDAYS.INTL(DATE($B$3,6,2),DATE($B$3,6,2),1,'Non-working days'!$A$6:$A$45)=0),"",IF(COUNTIFS('Leave log'!$A$7:$A$306,Employees!$A$18,'Leave log'!$B$7:$B$306,"&lt;="&amp;DATE($B$3,6,2),'Leave log'!$C$7:$C$306,"&gt;="&amp;DATE($B$3,6,2),'Leave log'!$F$7:$F$306,"Pending")&gt;0,"P",""))))</f>
        <v/>
      </c>
      <c r="D189" s="23" t="str">
        <f>IF(A189="","",IF(IF(OR(DATE($B$3,6,3)&gt;EOMONTH(DATE($B$3,6,1),0),NETWORKDAYS.INTL(DATE($B$3,6,3),DATE($B$3,6,3),1,'Non-working days'!$A$6:$A$45)=0),"",IF(COUNTIFS('Leave log'!$A$7:$A$306,Employees!$A$18,'Leave log'!$B$7:$B$306,"&lt;="&amp;DATE($B$3,6,3),'Leave log'!$C$7:$C$306,"&gt;="&amp;DATE($B$3,6,3),'Leave log'!$F$7:$F$306,"Approved")&gt;0,"A",""))="A","A",IF(OR(DATE($B$3,6,3)&gt;EOMONTH(DATE($B$3,6,1),0),NETWORKDAYS.INTL(DATE($B$3,6,3),DATE($B$3,6,3),1,'Non-working days'!$A$6:$A$45)=0),"",IF(COUNTIFS('Leave log'!$A$7:$A$306,Employees!$A$18,'Leave log'!$B$7:$B$306,"&lt;="&amp;DATE($B$3,6,3),'Leave log'!$C$7:$C$306,"&gt;="&amp;DATE($B$3,6,3),'Leave log'!$F$7:$F$306,"Pending")&gt;0,"P",""))))</f>
        <v/>
      </c>
      <c r="E189" s="23" t="str">
        <f>IF(A189="","",IF(IF(OR(DATE($B$3,6,4)&gt;EOMONTH(DATE($B$3,6,1),0),NETWORKDAYS.INTL(DATE($B$3,6,4),DATE($B$3,6,4),1,'Non-working days'!$A$6:$A$45)=0),"",IF(COUNTIFS('Leave log'!$A$7:$A$306,Employees!$A$18,'Leave log'!$B$7:$B$306,"&lt;="&amp;DATE($B$3,6,4),'Leave log'!$C$7:$C$306,"&gt;="&amp;DATE($B$3,6,4),'Leave log'!$F$7:$F$306,"Approved")&gt;0,"A",""))="A","A",IF(OR(DATE($B$3,6,4)&gt;EOMONTH(DATE($B$3,6,1),0),NETWORKDAYS.INTL(DATE($B$3,6,4),DATE($B$3,6,4),1,'Non-working days'!$A$6:$A$45)=0),"",IF(COUNTIFS('Leave log'!$A$7:$A$306,Employees!$A$18,'Leave log'!$B$7:$B$306,"&lt;="&amp;DATE($B$3,6,4),'Leave log'!$C$7:$C$306,"&gt;="&amp;DATE($B$3,6,4),'Leave log'!$F$7:$F$306,"Pending")&gt;0,"P",""))))</f>
        <v/>
      </c>
      <c r="F189" s="23" t="str">
        <f>IF(A189="","",IF(IF(OR(DATE($B$3,6,5)&gt;EOMONTH(DATE($B$3,6,1),0),NETWORKDAYS.INTL(DATE($B$3,6,5),DATE($B$3,6,5),1,'Non-working days'!$A$6:$A$45)=0),"",IF(COUNTIFS('Leave log'!$A$7:$A$306,Employees!$A$18,'Leave log'!$B$7:$B$306,"&lt;="&amp;DATE($B$3,6,5),'Leave log'!$C$7:$C$306,"&gt;="&amp;DATE($B$3,6,5),'Leave log'!$F$7:$F$306,"Approved")&gt;0,"A",""))="A","A",IF(OR(DATE($B$3,6,5)&gt;EOMONTH(DATE($B$3,6,1),0),NETWORKDAYS.INTL(DATE($B$3,6,5),DATE($B$3,6,5),1,'Non-working days'!$A$6:$A$45)=0),"",IF(COUNTIFS('Leave log'!$A$7:$A$306,Employees!$A$18,'Leave log'!$B$7:$B$306,"&lt;="&amp;DATE($B$3,6,5),'Leave log'!$C$7:$C$306,"&gt;="&amp;DATE($B$3,6,5),'Leave log'!$F$7:$F$306,"Pending")&gt;0,"P",""))))</f>
        <v/>
      </c>
      <c r="G189" s="23" t="str">
        <f>IF(A189="","",IF(IF(OR(DATE($B$3,6,6)&gt;EOMONTH(DATE($B$3,6,1),0),NETWORKDAYS.INTL(DATE($B$3,6,6),DATE($B$3,6,6),1,'Non-working days'!$A$6:$A$45)=0),"",IF(COUNTIFS('Leave log'!$A$7:$A$306,Employees!$A$18,'Leave log'!$B$7:$B$306,"&lt;="&amp;DATE($B$3,6,6),'Leave log'!$C$7:$C$306,"&gt;="&amp;DATE($B$3,6,6),'Leave log'!$F$7:$F$306,"Approved")&gt;0,"A",""))="A","A",IF(OR(DATE($B$3,6,6)&gt;EOMONTH(DATE($B$3,6,1),0),NETWORKDAYS.INTL(DATE($B$3,6,6),DATE($B$3,6,6),1,'Non-working days'!$A$6:$A$45)=0),"",IF(COUNTIFS('Leave log'!$A$7:$A$306,Employees!$A$18,'Leave log'!$B$7:$B$306,"&lt;="&amp;DATE($B$3,6,6),'Leave log'!$C$7:$C$306,"&gt;="&amp;DATE($B$3,6,6),'Leave log'!$F$7:$F$306,"Pending")&gt;0,"P",""))))</f>
        <v/>
      </c>
      <c r="H189" s="23" t="str">
        <f>IF(A189="","",IF(IF(OR(DATE($B$3,6,7)&gt;EOMONTH(DATE($B$3,6,1),0),NETWORKDAYS.INTL(DATE($B$3,6,7),DATE($B$3,6,7),1,'Non-working days'!$A$6:$A$45)=0),"",IF(COUNTIFS('Leave log'!$A$7:$A$306,Employees!$A$18,'Leave log'!$B$7:$B$306,"&lt;="&amp;DATE($B$3,6,7),'Leave log'!$C$7:$C$306,"&gt;="&amp;DATE($B$3,6,7),'Leave log'!$F$7:$F$306,"Approved")&gt;0,"A",""))="A","A",IF(OR(DATE($B$3,6,7)&gt;EOMONTH(DATE($B$3,6,1),0),NETWORKDAYS.INTL(DATE($B$3,6,7),DATE($B$3,6,7),1,'Non-working days'!$A$6:$A$45)=0),"",IF(COUNTIFS('Leave log'!$A$7:$A$306,Employees!$A$18,'Leave log'!$B$7:$B$306,"&lt;="&amp;DATE($B$3,6,7),'Leave log'!$C$7:$C$306,"&gt;="&amp;DATE($B$3,6,7),'Leave log'!$F$7:$F$306,"Pending")&gt;0,"P",""))))</f>
        <v/>
      </c>
      <c r="I189" s="23" t="str">
        <f>IF(A189="","",IF(IF(OR(DATE($B$3,6,8)&gt;EOMONTH(DATE($B$3,6,1),0),NETWORKDAYS.INTL(DATE($B$3,6,8),DATE($B$3,6,8),1,'Non-working days'!$A$6:$A$45)=0),"",IF(COUNTIFS('Leave log'!$A$7:$A$306,Employees!$A$18,'Leave log'!$B$7:$B$306,"&lt;="&amp;DATE($B$3,6,8),'Leave log'!$C$7:$C$306,"&gt;="&amp;DATE($B$3,6,8),'Leave log'!$F$7:$F$306,"Approved")&gt;0,"A",""))="A","A",IF(OR(DATE($B$3,6,8)&gt;EOMONTH(DATE($B$3,6,1),0),NETWORKDAYS.INTL(DATE($B$3,6,8),DATE($B$3,6,8),1,'Non-working days'!$A$6:$A$45)=0),"",IF(COUNTIFS('Leave log'!$A$7:$A$306,Employees!$A$18,'Leave log'!$B$7:$B$306,"&lt;="&amp;DATE($B$3,6,8),'Leave log'!$C$7:$C$306,"&gt;="&amp;DATE($B$3,6,8),'Leave log'!$F$7:$F$306,"Pending")&gt;0,"P",""))))</f>
        <v/>
      </c>
      <c r="J189" s="23" t="str">
        <f>IF(A189="","",IF(IF(OR(DATE($B$3,6,9)&gt;EOMONTH(DATE($B$3,6,1),0),NETWORKDAYS.INTL(DATE($B$3,6,9),DATE($B$3,6,9),1,'Non-working days'!$A$6:$A$45)=0),"",IF(COUNTIFS('Leave log'!$A$7:$A$306,Employees!$A$18,'Leave log'!$B$7:$B$306,"&lt;="&amp;DATE($B$3,6,9),'Leave log'!$C$7:$C$306,"&gt;="&amp;DATE($B$3,6,9),'Leave log'!$F$7:$F$306,"Approved")&gt;0,"A",""))="A","A",IF(OR(DATE($B$3,6,9)&gt;EOMONTH(DATE($B$3,6,1),0),NETWORKDAYS.INTL(DATE($B$3,6,9),DATE($B$3,6,9),1,'Non-working days'!$A$6:$A$45)=0),"",IF(COUNTIFS('Leave log'!$A$7:$A$306,Employees!$A$18,'Leave log'!$B$7:$B$306,"&lt;="&amp;DATE($B$3,6,9),'Leave log'!$C$7:$C$306,"&gt;="&amp;DATE($B$3,6,9),'Leave log'!$F$7:$F$306,"Pending")&gt;0,"P",""))))</f>
        <v/>
      </c>
      <c r="K189" s="23" t="str">
        <f>IF(A189="","",IF(IF(OR(DATE($B$3,6,10)&gt;EOMONTH(DATE($B$3,6,1),0),NETWORKDAYS.INTL(DATE($B$3,6,10),DATE($B$3,6,10),1,'Non-working days'!$A$6:$A$45)=0),"",IF(COUNTIFS('Leave log'!$A$7:$A$306,Employees!$A$18,'Leave log'!$B$7:$B$306,"&lt;="&amp;DATE($B$3,6,10),'Leave log'!$C$7:$C$306,"&gt;="&amp;DATE($B$3,6,10),'Leave log'!$F$7:$F$306,"Approved")&gt;0,"A",""))="A","A",IF(OR(DATE($B$3,6,10)&gt;EOMONTH(DATE($B$3,6,1),0),NETWORKDAYS.INTL(DATE($B$3,6,10),DATE($B$3,6,10),1,'Non-working days'!$A$6:$A$45)=0),"",IF(COUNTIFS('Leave log'!$A$7:$A$306,Employees!$A$18,'Leave log'!$B$7:$B$306,"&lt;="&amp;DATE($B$3,6,10),'Leave log'!$C$7:$C$306,"&gt;="&amp;DATE($B$3,6,10),'Leave log'!$F$7:$F$306,"Pending")&gt;0,"P",""))))</f>
        <v/>
      </c>
      <c r="L189" s="23" t="str">
        <f>IF(A189="","",IF(IF(OR(DATE($B$3,6,11)&gt;EOMONTH(DATE($B$3,6,1),0),NETWORKDAYS.INTL(DATE($B$3,6,11),DATE($B$3,6,11),1,'Non-working days'!$A$6:$A$45)=0),"",IF(COUNTIFS('Leave log'!$A$7:$A$306,Employees!$A$18,'Leave log'!$B$7:$B$306,"&lt;="&amp;DATE($B$3,6,11),'Leave log'!$C$7:$C$306,"&gt;="&amp;DATE($B$3,6,11),'Leave log'!$F$7:$F$306,"Approved")&gt;0,"A",""))="A","A",IF(OR(DATE($B$3,6,11)&gt;EOMONTH(DATE($B$3,6,1),0),NETWORKDAYS.INTL(DATE($B$3,6,11),DATE($B$3,6,11),1,'Non-working days'!$A$6:$A$45)=0),"",IF(COUNTIFS('Leave log'!$A$7:$A$306,Employees!$A$18,'Leave log'!$B$7:$B$306,"&lt;="&amp;DATE($B$3,6,11),'Leave log'!$C$7:$C$306,"&gt;="&amp;DATE($B$3,6,11),'Leave log'!$F$7:$F$306,"Pending")&gt;0,"P",""))))</f>
        <v/>
      </c>
      <c r="M189" s="23" t="str">
        <f>IF(A189="","",IF(IF(OR(DATE($B$3,6,12)&gt;EOMONTH(DATE($B$3,6,1),0),NETWORKDAYS.INTL(DATE($B$3,6,12),DATE($B$3,6,12),1,'Non-working days'!$A$6:$A$45)=0),"",IF(COUNTIFS('Leave log'!$A$7:$A$306,Employees!$A$18,'Leave log'!$B$7:$B$306,"&lt;="&amp;DATE($B$3,6,12),'Leave log'!$C$7:$C$306,"&gt;="&amp;DATE($B$3,6,12),'Leave log'!$F$7:$F$306,"Approved")&gt;0,"A",""))="A","A",IF(OR(DATE($B$3,6,12)&gt;EOMONTH(DATE($B$3,6,1),0),NETWORKDAYS.INTL(DATE($B$3,6,12),DATE($B$3,6,12),1,'Non-working days'!$A$6:$A$45)=0),"",IF(COUNTIFS('Leave log'!$A$7:$A$306,Employees!$A$18,'Leave log'!$B$7:$B$306,"&lt;="&amp;DATE($B$3,6,12),'Leave log'!$C$7:$C$306,"&gt;="&amp;DATE($B$3,6,12),'Leave log'!$F$7:$F$306,"Pending")&gt;0,"P",""))))</f>
        <v/>
      </c>
      <c r="N189" s="23" t="str">
        <f>IF(A189="","",IF(IF(OR(DATE($B$3,6,13)&gt;EOMONTH(DATE($B$3,6,1),0),NETWORKDAYS.INTL(DATE($B$3,6,13),DATE($B$3,6,13),1,'Non-working days'!$A$6:$A$45)=0),"",IF(COUNTIFS('Leave log'!$A$7:$A$306,Employees!$A$18,'Leave log'!$B$7:$B$306,"&lt;="&amp;DATE($B$3,6,13),'Leave log'!$C$7:$C$306,"&gt;="&amp;DATE($B$3,6,13),'Leave log'!$F$7:$F$306,"Approved")&gt;0,"A",""))="A","A",IF(OR(DATE($B$3,6,13)&gt;EOMONTH(DATE($B$3,6,1),0),NETWORKDAYS.INTL(DATE($B$3,6,13),DATE($B$3,6,13),1,'Non-working days'!$A$6:$A$45)=0),"",IF(COUNTIFS('Leave log'!$A$7:$A$306,Employees!$A$18,'Leave log'!$B$7:$B$306,"&lt;="&amp;DATE($B$3,6,13),'Leave log'!$C$7:$C$306,"&gt;="&amp;DATE($B$3,6,13),'Leave log'!$F$7:$F$306,"Pending")&gt;0,"P",""))))</f>
        <v/>
      </c>
      <c r="O189" s="23" t="str">
        <f>IF(A189="","",IF(IF(OR(DATE($B$3,6,14)&gt;EOMONTH(DATE($B$3,6,1),0),NETWORKDAYS.INTL(DATE($B$3,6,14),DATE($B$3,6,14),1,'Non-working days'!$A$6:$A$45)=0),"",IF(COUNTIFS('Leave log'!$A$7:$A$306,Employees!$A$18,'Leave log'!$B$7:$B$306,"&lt;="&amp;DATE($B$3,6,14),'Leave log'!$C$7:$C$306,"&gt;="&amp;DATE($B$3,6,14),'Leave log'!$F$7:$F$306,"Approved")&gt;0,"A",""))="A","A",IF(OR(DATE($B$3,6,14)&gt;EOMONTH(DATE($B$3,6,1),0),NETWORKDAYS.INTL(DATE($B$3,6,14),DATE($B$3,6,14),1,'Non-working days'!$A$6:$A$45)=0),"",IF(COUNTIFS('Leave log'!$A$7:$A$306,Employees!$A$18,'Leave log'!$B$7:$B$306,"&lt;="&amp;DATE($B$3,6,14),'Leave log'!$C$7:$C$306,"&gt;="&amp;DATE($B$3,6,14),'Leave log'!$F$7:$F$306,"Pending")&gt;0,"P",""))))</f>
        <v/>
      </c>
      <c r="P189" s="23" t="str">
        <f>IF(A189="","",IF(IF(OR(DATE($B$3,6,15)&gt;EOMONTH(DATE($B$3,6,1),0),NETWORKDAYS.INTL(DATE($B$3,6,15),DATE($B$3,6,15),1,'Non-working days'!$A$6:$A$45)=0),"",IF(COUNTIFS('Leave log'!$A$7:$A$306,Employees!$A$18,'Leave log'!$B$7:$B$306,"&lt;="&amp;DATE($B$3,6,15),'Leave log'!$C$7:$C$306,"&gt;="&amp;DATE($B$3,6,15),'Leave log'!$F$7:$F$306,"Approved")&gt;0,"A",""))="A","A",IF(OR(DATE($B$3,6,15)&gt;EOMONTH(DATE($B$3,6,1),0),NETWORKDAYS.INTL(DATE($B$3,6,15),DATE($B$3,6,15),1,'Non-working days'!$A$6:$A$45)=0),"",IF(COUNTIFS('Leave log'!$A$7:$A$306,Employees!$A$18,'Leave log'!$B$7:$B$306,"&lt;="&amp;DATE($B$3,6,15),'Leave log'!$C$7:$C$306,"&gt;="&amp;DATE($B$3,6,15),'Leave log'!$F$7:$F$306,"Pending")&gt;0,"P",""))))</f>
        <v/>
      </c>
      <c r="Q189" s="23" t="str">
        <f>IF(A189="","",IF(IF(OR(DATE($B$3,6,16)&gt;EOMONTH(DATE($B$3,6,1),0),NETWORKDAYS.INTL(DATE($B$3,6,16),DATE($B$3,6,16),1,'Non-working days'!$A$6:$A$45)=0),"",IF(COUNTIFS('Leave log'!$A$7:$A$306,Employees!$A$18,'Leave log'!$B$7:$B$306,"&lt;="&amp;DATE($B$3,6,16),'Leave log'!$C$7:$C$306,"&gt;="&amp;DATE($B$3,6,16),'Leave log'!$F$7:$F$306,"Approved")&gt;0,"A",""))="A","A",IF(OR(DATE($B$3,6,16)&gt;EOMONTH(DATE($B$3,6,1),0),NETWORKDAYS.INTL(DATE($B$3,6,16),DATE($B$3,6,16),1,'Non-working days'!$A$6:$A$45)=0),"",IF(COUNTIFS('Leave log'!$A$7:$A$306,Employees!$A$18,'Leave log'!$B$7:$B$306,"&lt;="&amp;DATE($B$3,6,16),'Leave log'!$C$7:$C$306,"&gt;="&amp;DATE($B$3,6,16),'Leave log'!$F$7:$F$306,"Pending")&gt;0,"P",""))))</f>
        <v/>
      </c>
      <c r="R189" s="23" t="str">
        <f>IF(A189="","",IF(IF(OR(DATE($B$3,6,17)&gt;EOMONTH(DATE($B$3,6,1),0),NETWORKDAYS.INTL(DATE($B$3,6,17),DATE($B$3,6,17),1,'Non-working days'!$A$6:$A$45)=0),"",IF(COUNTIFS('Leave log'!$A$7:$A$306,Employees!$A$18,'Leave log'!$B$7:$B$306,"&lt;="&amp;DATE($B$3,6,17),'Leave log'!$C$7:$C$306,"&gt;="&amp;DATE($B$3,6,17),'Leave log'!$F$7:$F$306,"Approved")&gt;0,"A",""))="A","A",IF(OR(DATE($B$3,6,17)&gt;EOMONTH(DATE($B$3,6,1),0),NETWORKDAYS.INTL(DATE($B$3,6,17),DATE($B$3,6,17),1,'Non-working days'!$A$6:$A$45)=0),"",IF(COUNTIFS('Leave log'!$A$7:$A$306,Employees!$A$18,'Leave log'!$B$7:$B$306,"&lt;="&amp;DATE($B$3,6,17),'Leave log'!$C$7:$C$306,"&gt;="&amp;DATE($B$3,6,17),'Leave log'!$F$7:$F$306,"Pending")&gt;0,"P",""))))</f>
        <v/>
      </c>
      <c r="S189" s="23" t="str">
        <f>IF(A189="","",IF(IF(OR(DATE($B$3,6,18)&gt;EOMONTH(DATE($B$3,6,1),0),NETWORKDAYS.INTL(DATE($B$3,6,18),DATE($B$3,6,18),1,'Non-working days'!$A$6:$A$45)=0),"",IF(COUNTIFS('Leave log'!$A$7:$A$306,Employees!$A$18,'Leave log'!$B$7:$B$306,"&lt;="&amp;DATE($B$3,6,18),'Leave log'!$C$7:$C$306,"&gt;="&amp;DATE($B$3,6,18),'Leave log'!$F$7:$F$306,"Approved")&gt;0,"A",""))="A","A",IF(OR(DATE($B$3,6,18)&gt;EOMONTH(DATE($B$3,6,1),0),NETWORKDAYS.INTL(DATE($B$3,6,18),DATE($B$3,6,18),1,'Non-working days'!$A$6:$A$45)=0),"",IF(COUNTIFS('Leave log'!$A$7:$A$306,Employees!$A$18,'Leave log'!$B$7:$B$306,"&lt;="&amp;DATE($B$3,6,18),'Leave log'!$C$7:$C$306,"&gt;="&amp;DATE($B$3,6,18),'Leave log'!$F$7:$F$306,"Pending")&gt;0,"P",""))))</f>
        <v/>
      </c>
      <c r="T189" s="23" t="str">
        <f>IF(A189="","",IF(IF(OR(DATE($B$3,6,19)&gt;EOMONTH(DATE($B$3,6,1),0),NETWORKDAYS.INTL(DATE($B$3,6,19),DATE($B$3,6,19),1,'Non-working days'!$A$6:$A$45)=0),"",IF(COUNTIFS('Leave log'!$A$7:$A$306,Employees!$A$18,'Leave log'!$B$7:$B$306,"&lt;="&amp;DATE($B$3,6,19),'Leave log'!$C$7:$C$306,"&gt;="&amp;DATE($B$3,6,19),'Leave log'!$F$7:$F$306,"Approved")&gt;0,"A",""))="A","A",IF(OR(DATE($B$3,6,19)&gt;EOMONTH(DATE($B$3,6,1),0),NETWORKDAYS.INTL(DATE($B$3,6,19),DATE($B$3,6,19),1,'Non-working days'!$A$6:$A$45)=0),"",IF(COUNTIFS('Leave log'!$A$7:$A$306,Employees!$A$18,'Leave log'!$B$7:$B$306,"&lt;="&amp;DATE($B$3,6,19),'Leave log'!$C$7:$C$306,"&gt;="&amp;DATE($B$3,6,19),'Leave log'!$F$7:$F$306,"Pending")&gt;0,"P",""))))</f>
        <v/>
      </c>
      <c r="U189" s="23" t="str">
        <f>IF(A189="","",IF(IF(OR(DATE($B$3,6,20)&gt;EOMONTH(DATE($B$3,6,1),0),NETWORKDAYS.INTL(DATE($B$3,6,20),DATE($B$3,6,20),1,'Non-working days'!$A$6:$A$45)=0),"",IF(COUNTIFS('Leave log'!$A$7:$A$306,Employees!$A$18,'Leave log'!$B$7:$B$306,"&lt;="&amp;DATE($B$3,6,20),'Leave log'!$C$7:$C$306,"&gt;="&amp;DATE($B$3,6,20),'Leave log'!$F$7:$F$306,"Approved")&gt;0,"A",""))="A","A",IF(OR(DATE($B$3,6,20)&gt;EOMONTH(DATE($B$3,6,1),0),NETWORKDAYS.INTL(DATE($B$3,6,20),DATE($B$3,6,20),1,'Non-working days'!$A$6:$A$45)=0),"",IF(COUNTIFS('Leave log'!$A$7:$A$306,Employees!$A$18,'Leave log'!$B$7:$B$306,"&lt;="&amp;DATE($B$3,6,20),'Leave log'!$C$7:$C$306,"&gt;="&amp;DATE($B$3,6,20),'Leave log'!$F$7:$F$306,"Pending")&gt;0,"P",""))))</f>
        <v/>
      </c>
      <c r="V189" s="23" t="str">
        <f>IF(A189="","",IF(IF(OR(DATE($B$3,6,21)&gt;EOMONTH(DATE($B$3,6,1),0),NETWORKDAYS.INTL(DATE($B$3,6,21),DATE($B$3,6,21),1,'Non-working days'!$A$6:$A$45)=0),"",IF(COUNTIFS('Leave log'!$A$7:$A$306,Employees!$A$18,'Leave log'!$B$7:$B$306,"&lt;="&amp;DATE($B$3,6,21),'Leave log'!$C$7:$C$306,"&gt;="&amp;DATE($B$3,6,21),'Leave log'!$F$7:$F$306,"Approved")&gt;0,"A",""))="A","A",IF(OR(DATE($B$3,6,21)&gt;EOMONTH(DATE($B$3,6,1),0),NETWORKDAYS.INTL(DATE($B$3,6,21),DATE($B$3,6,21),1,'Non-working days'!$A$6:$A$45)=0),"",IF(COUNTIFS('Leave log'!$A$7:$A$306,Employees!$A$18,'Leave log'!$B$7:$B$306,"&lt;="&amp;DATE($B$3,6,21),'Leave log'!$C$7:$C$306,"&gt;="&amp;DATE($B$3,6,21),'Leave log'!$F$7:$F$306,"Pending")&gt;0,"P",""))))</f>
        <v/>
      </c>
      <c r="W189" s="23" t="str">
        <f>IF(A189="","",IF(IF(OR(DATE($B$3,6,22)&gt;EOMONTH(DATE($B$3,6,1),0),NETWORKDAYS.INTL(DATE($B$3,6,22),DATE($B$3,6,22),1,'Non-working days'!$A$6:$A$45)=0),"",IF(COUNTIFS('Leave log'!$A$7:$A$306,Employees!$A$18,'Leave log'!$B$7:$B$306,"&lt;="&amp;DATE($B$3,6,22),'Leave log'!$C$7:$C$306,"&gt;="&amp;DATE($B$3,6,22),'Leave log'!$F$7:$F$306,"Approved")&gt;0,"A",""))="A","A",IF(OR(DATE($B$3,6,22)&gt;EOMONTH(DATE($B$3,6,1),0),NETWORKDAYS.INTL(DATE($B$3,6,22),DATE($B$3,6,22),1,'Non-working days'!$A$6:$A$45)=0),"",IF(COUNTIFS('Leave log'!$A$7:$A$306,Employees!$A$18,'Leave log'!$B$7:$B$306,"&lt;="&amp;DATE($B$3,6,22),'Leave log'!$C$7:$C$306,"&gt;="&amp;DATE($B$3,6,22),'Leave log'!$F$7:$F$306,"Pending")&gt;0,"P",""))))</f>
        <v/>
      </c>
      <c r="X189" s="23" t="str">
        <f>IF(A189="","",IF(IF(OR(DATE($B$3,6,23)&gt;EOMONTH(DATE($B$3,6,1),0),NETWORKDAYS.INTL(DATE($B$3,6,23),DATE($B$3,6,23),1,'Non-working days'!$A$6:$A$45)=0),"",IF(COUNTIFS('Leave log'!$A$7:$A$306,Employees!$A$18,'Leave log'!$B$7:$B$306,"&lt;="&amp;DATE($B$3,6,23),'Leave log'!$C$7:$C$306,"&gt;="&amp;DATE($B$3,6,23),'Leave log'!$F$7:$F$306,"Approved")&gt;0,"A",""))="A","A",IF(OR(DATE($B$3,6,23)&gt;EOMONTH(DATE($B$3,6,1),0),NETWORKDAYS.INTL(DATE($B$3,6,23),DATE($B$3,6,23),1,'Non-working days'!$A$6:$A$45)=0),"",IF(COUNTIFS('Leave log'!$A$7:$A$306,Employees!$A$18,'Leave log'!$B$7:$B$306,"&lt;="&amp;DATE($B$3,6,23),'Leave log'!$C$7:$C$306,"&gt;="&amp;DATE($B$3,6,23),'Leave log'!$F$7:$F$306,"Pending")&gt;0,"P",""))))</f>
        <v/>
      </c>
      <c r="Y189" s="23" t="str">
        <f>IF(A189="","",IF(IF(OR(DATE($B$3,6,24)&gt;EOMONTH(DATE($B$3,6,1),0),NETWORKDAYS.INTL(DATE($B$3,6,24),DATE($B$3,6,24),1,'Non-working days'!$A$6:$A$45)=0),"",IF(COUNTIFS('Leave log'!$A$7:$A$306,Employees!$A$18,'Leave log'!$B$7:$B$306,"&lt;="&amp;DATE($B$3,6,24),'Leave log'!$C$7:$C$306,"&gt;="&amp;DATE($B$3,6,24),'Leave log'!$F$7:$F$306,"Approved")&gt;0,"A",""))="A","A",IF(OR(DATE($B$3,6,24)&gt;EOMONTH(DATE($B$3,6,1),0),NETWORKDAYS.INTL(DATE($B$3,6,24),DATE($B$3,6,24),1,'Non-working days'!$A$6:$A$45)=0),"",IF(COUNTIFS('Leave log'!$A$7:$A$306,Employees!$A$18,'Leave log'!$B$7:$B$306,"&lt;="&amp;DATE($B$3,6,24),'Leave log'!$C$7:$C$306,"&gt;="&amp;DATE($B$3,6,24),'Leave log'!$F$7:$F$306,"Pending")&gt;0,"P",""))))</f>
        <v/>
      </c>
      <c r="Z189" s="23" t="str">
        <f>IF(A189="","",IF(IF(OR(DATE($B$3,6,25)&gt;EOMONTH(DATE($B$3,6,1),0),NETWORKDAYS.INTL(DATE($B$3,6,25),DATE($B$3,6,25),1,'Non-working days'!$A$6:$A$45)=0),"",IF(COUNTIFS('Leave log'!$A$7:$A$306,Employees!$A$18,'Leave log'!$B$7:$B$306,"&lt;="&amp;DATE($B$3,6,25),'Leave log'!$C$7:$C$306,"&gt;="&amp;DATE($B$3,6,25),'Leave log'!$F$7:$F$306,"Approved")&gt;0,"A",""))="A","A",IF(OR(DATE($B$3,6,25)&gt;EOMONTH(DATE($B$3,6,1),0),NETWORKDAYS.INTL(DATE($B$3,6,25),DATE($B$3,6,25),1,'Non-working days'!$A$6:$A$45)=0),"",IF(COUNTIFS('Leave log'!$A$7:$A$306,Employees!$A$18,'Leave log'!$B$7:$B$306,"&lt;="&amp;DATE($B$3,6,25),'Leave log'!$C$7:$C$306,"&gt;="&amp;DATE($B$3,6,25),'Leave log'!$F$7:$F$306,"Pending")&gt;0,"P",""))))</f>
        <v/>
      </c>
      <c r="AA189" s="23" t="str">
        <f>IF(A189="","",IF(IF(OR(DATE($B$3,6,26)&gt;EOMONTH(DATE($B$3,6,1),0),NETWORKDAYS.INTL(DATE($B$3,6,26),DATE($B$3,6,26),1,'Non-working days'!$A$6:$A$45)=0),"",IF(COUNTIFS('Leave log'!$A$7:$A$306,Employees!$A$18,'Leave log'!$B$7:$B$306,"&lt;="&amp;DATE($B$3,6,26),'Leave log'!$C$7:$C$306,"&gt;="&amp;DATE($B$3,6,26),'Leave log'!$F$7:$F$306,"Approved")&gt;0,"A",""))="A","A",IF(OR(DATE($B$3,6,26)&gt;EOMONTH(DATE($B$3,6,1),0),NETWORKDAYS.INTL(DATE($B$3,6,26),DATE($B$3,6,26),1,'Non-working days'!$A$6:$A$45)=0),"",IF(COUNTIFS('Leave log'!$A$7:$A$306,Employees!$A$18,'Leave log'!$B$7:$B$306,"&lt;="&amp;DATE($B$3,6,26),'Leave log'!$C$7:$C$306,"&gt;="&amp;DATE($B$3,6,26),'Leave log'!$F$7:$F$306,"Pending")&gt;0,"P",""))))</f>
        <v/>
      </c>
      <c r="AB189" s="23" t="str">
        <f>IF(A189="","",IF(IF(OR(DATE($B$3,6,27)&gt;EOMONTH(DATE($B$3,6,1),0),NETWORKDAYS.INTL(DATE($B$3,6,27),DATE($B$3,6,27),1,'Non-working days'!$A$6:$A$45)=0),"",IF(COUNTIFS('Leave log'!$A$7:$A$306,Employees!$A$18,'Leave log'!$B$7:$B$306,"&lt;="&amp;DATE($B$3,6,27),'Leave log'!$C$7:$C$306,"&gt;="&amp;DATE($B$3,6,27),'Leave log'!$F$7:$F$306,"Approved")&gt;0,"A",""))="A","A",IF(OR(DATE($B$3,6,27)&gt;EOMONTH(DATE($B$3,6,1),0),NETWORKDAYS.INTL(DATE($B$3,6,27),DATE($B$3,6,27),1,'Non-working days'!$A$6:$A$45)=0),"",IF(COUNTIFS('Leave log'!$A$7:$A$306,Employees!$A$18,'Leave log'!$B$7:$B$306,"&lt;="&amp;DATE($B$3,6,27),'Leave log'!$C$7:$C$306,"&gt;="&amp;DATE($B$3,6,27),'Leave log'!$F$7:$F$306,"Pending")&gt;0,"P",""))))</f>
        <v/>
      </c>
      <c r="AC189" s="23" t="str">
        <f>IF(A189="","",IF(IF(OR(DATE($B$3,6,28)&gt;EOMONTH(DATE($B$3,6,1),0),NETWORKDAYS.INTL(DATE($B$3,6,28),DATE($B$3,6,28),1,'Non-working days'!$A$6:$A$45)=0),"",IF(COUNTIFS('Leave log'!$A$7:$A$306,Employees!$A$18,'Leave log'!$B$7:$B$306,"&lt;="&amp;DATE($B$3,6,28),'Leave log'!$C$7:$C$306,"&gt;="&amp;DATE($B$3,6,28),'Leave log'!$F$7:$F$306,"Approved")&gt;0,"A",""))="A","A",IF(OR(DATE($B$3,6,28)&gt;EOMONTH(DATE($B$3,6,1),0),NETWORKDAYS.INTL(DATE($B$3,6,28),DATE($B$3,6,28),1,'Non-working days'!$A$6:$A$45)=0),"",IF(COUNTIFS('Leave log'!$A$7:$A$306,Employees!$A$18,'Leave log'!$B$7:$B$306,"&lt;="&amp;DATE($B$3,6,28),'Leave log'!$C$7:$C$306,"&gt;="&amp;DATE($B$3,6,28),'Leave log'!$F$7:$F$306,"Pending")&gt;0,"P",""))))</f>
        <v/>
      </c>
      <c r="AD189" s="23" t="str">
        <f>IF(A189="","",IF(IF(OR(DATE($B$3,6,29)&gt;EOMONTH(DATE($B$3,6,1),0),NETWORKDAYS.INTL(DATE($B$3,6,29),DATE($B$3,6,29),1,'Non-working days'!$A$6:$A$45)=0),"",IF(COUNTIFS('Leave log'!$A$7:$A$306,Employees!$A$18,'Leave log'!$B$7:$B$306,"&lt;="&amp;DATE($B$3,6,29),'Leave log'!$C$7:$C$306,"&gt;="&amp;DATE($B$3,6,29),'Leave log'!$F$7:$F$306,"Approved")&gt;0,"A",""))="A","A",IF(OR(DATE($B$3,6,29)&gt;EOMONTH(DATE($B$3,6,1),0),NETWORKDAYS.INTL(DATE($B$3,6,29),DATE($B$3,6,29),1,'Non-working days'!$A$6:$A$45)=0),"",IF(COUNTIFS('Leave log'!$A$7:$A$306,Employees!$A$18,'Leave log'!$B$7:$B$306,"&lt;="&amp;DATE($B$3,6,29),'Leave log'!$C$7:$C$306,"&gt;="&amp;DATE($B$3,6,29),'Leave log'!$F$7:$F$306,"Pending")&gt;0,"P",""))))</f>
        <v/>
      </c>
      <c r="AE189" s="23" t="str">
        <f>IF(A189="","",IF(IF(OR(DATE($B$3,6,30)&gt;EOMONTH(DATE($B$3,6,1),0),NETWORKDAYS.INTL(DATE($B$3,6,30),DATE($B$3,6,30),1,'Non-working days'!$A$6:$A$45)=0),"",IF(COUNTIFS('Leave log'!$A$7:$A$306,Employees!$A$18,'Leave log'!$B$7:$B$306,"&lt;="&amp;DATE($B$3,6,30),'Leave log'!$C$7:$C$306,"&gt;="&amp;DATE($B$3,6,30),'Leave log'!$F$7:$F$306,"Approved")&gt;0,"A",""))="A","A",IF(OR(DATE($B$3,6,30)&gt;EOMONTH(DATE($B$3,6,1),0),NETWORKDAYS.INTL(DATE($B$3,6,30),DATE($B$3,6,30),1,'Non-working days'!$A$6:$A$45)=0),"",IF(COUNTIFS('Leave log'!$A$7:$A$306,Employees!$A$18,'Leave log'!$B$7:$B$306,"&lt;="&amp;DATE($B$3,6,30),'Leave log'!$C$7:$C$306,"&gt;="&amp;DATE($B$3,6,30),'Leave log'!$F$7:$F$306,"Pending")&gt;0,"P",""))))</f>
        <v/>
      </c>
      <c r="AF189" s="23" t="str">
        <f>IF(A189="","",IF(IF(OR(DATE($B$3,6,31)&gt;EOMONTH(DATE($B$3,6,1),0),NETWORKDAYS.INTL(DATE($B$3,6,31),DATE($B$3,6,31),1,'Non-working days'!$A$6:$A$45)=0),"",IF(COUNTIFS('Leave log'!$A$7:$A$306,Employees!$A$18,'Leave log'!$B$7:$B$306,"&lt;="&amp;DATE($B$3,6,31),'Leave log'!$C$7:$C$306,"&gt;="&amp;DATE($B$3,6,31),'Leave log'!$F$7:$F$306,"Approved")&gt;0,"A",""))="A","A",IF(OR(DATE($B$3,6,31)&gt;EOMONTH(DATE($B$3,6,1),0),NETWORKDAYS.INTL(DATE($B$3,6,31),DATE($B$3,6,31),1,'Non-working days'!$A$6:$A$45)=0),"",IF(COUNTIFS('Leave log'!$A$7:$A$306,Employees!$A$18,'Leave log'!$B$7:$B$306,"&lt;="&amp;DATE($B$3,6,31),'Leave log'!$C$7:$C$306,"&gt;="&amp;DATE($B$3,6,31),'Leave log'!$F$7:$F$306,"Pending")&gt;0,"P",""))))</f>
        <v/>
      </c>
    </row>
    <row r="190" spans="1:32" ht="18" customHeight="1" x14ac:dyDescent="0.3">
      <c r="A190" s="22" t="str">
        <f>IF(Employees!F19="Yes",Employees!B19,"")</f>
        <v/>
      </c>
      <c r="B190" s="23" t="str">
        <f>IF(A190="","",IF(IF(OR(DATE($B$3,6,1)&gt;EOMONTH(DATE($B$3,6,1),0),NETWORKDAYS.INTL(DATE($B$3,6,1),DATE($B$3,6,1),1,'Non-working days'!$A$6:$A$45)=0),"",IF(COUNTIFS('Leave log'!$A$7:$A$306,Employees!$A$19,'Leave log'!$B$7:$B$306,"&lt;="&amp;DATE($B$3,6,1),'Leave log'!$C$7:$C$306,"&gt;="&amp;DATE($B$3,6,1),'Leave log'!$F$7:$F$306,"Approved")&gt;0,"A",""))="A","A",IF(OR(DATE($B$3,6,1)&gt;EOMONTH(DATE($B$3,6,1),0),NETWORKDAYS.INTL(DATE($B$3,6,1),DATE($B$3,6,1),1,'Non-working days'!$A$6:$A$45)=0),"",IF(COUNTIFS('Leave log'!$A$7:$A$306,Employees!$A$19,'Leave log'!$B$7:$B$306,"&lt;="&amp;DATE($B$3,6,1),'Leave log'!$C$7:$C$306,"&gt;="&amp;DATE($B$3,6,1),'Leave log'!$F$7:$F$306,"Pending")&gt;0,"P",""))))</f>
        <v/>
      </c>
      <c r="C190" s="23" t="str">
        <f>IF(A190="","",IF(IF(OR(DATE($B$3,6,2)&gt;EOMONTH(DATE($B$3,6,1),0),NETWORKDAYS.INTL(DATE($B$3,6,2),DATE($B$3,6,2),1,'Non-working days'!$A$6:$A$45)=0),"",IF(COUNTIFS('Leave log'!$A$7:$A$306,Employees!$A$19,'Leave log'!$B$7:$B$306,"&lt;="&amp;DATE($B$3,6,2),'Leave log'!$C$7:$C$306,"&gt;="&amp;DATE($B$3,6,2),'Leave log'!$F$7:$F$306,"Approved")&gt;0,"A",""))="A","A",IF(OR(DATE($B$3,6,2)&gt;EOMONTH(DATE($B$3,6,1),0),NETWORKDAYS.INTL(DATE($B$3,6,2),DATE($B$3,6,2),1,'Non-working days'!$A$6:$A$45)=0),"",IF(COUNTIFS('Leave log'!$A$7:$A$306,Employees!$A$19,'Leave log'!$B$7:$B$306,"&lt;="&amp;DATE($B$3,6,2),'Leave log'!$C$7:$C$306,"&gt;="&amp;DATE($B$3,6,2),'Leave log'!$F$7:$F$306,"Pending")&gt;0,"P",""))))</f>
        <v/>
      </c>
      <c r="D190" s="23" t="str">
        <f>IF(A190="","",IF(IF(OR(DATE($B$3,6,3)&gt;EOMONTH(DATE($B$3,6,1),0),NETWORKDAYS.INTL(DATE($B$3,6,3),DATE($B$3,6,3),1,'Non-working days'!$A$6:$A$45)=0),"",IF(COUNTIFS('Leave log'!$A$7:$A$306,Employees!$A$19,'Leave log'!$B$7:$B$306,"&lt;="&amp;DATE($B$3,6,3),'Leave log'!$C$7:$C$306,"&gt;="&amp;DATE($B$3,6,3),'Leave log'!$F$7:$F$306,"Approved")&gt;0,"A",""))="A","A",IF(OR(DATE($B$3,6,3)&gt;EOMONTH(DATE($B$3,6,1),0),NETWORKDAYS.INTL(DATE($B$3,6,3),DATE($B$3,6,3),1,'Non-working days'!$A$6:$A$45)=0),"",IF(COUNTIFS('Leave log'!$A$7:$A$306,Employees!$A$19,'Leave log'!$B$7:$B$306,"&lt;="&amp;DATE($B$3,6,3),'Leave log'!$C$7:$C$306,"&gt;="&amp;DATE($B$3,6,3),'Leave log'!$F$7:$F$306,"Pending")&gt;0,"P",""))))</f>
        <v/>
      </c>
      <c r="E190" s="23" t="str">
        <f>IF(A190="","",IF(IF(OR(DATE($B$3,6,4)&gt;EOMONTH(DATE($B$3,6,1),0),NETWORKDAYS.INTL(DATE($B$3,6,4),DATE($B$3,6,4),1,'Non-working days'!$A$6:$A$45)=0),"",IF(COUNTIFS('Leave log'!$A$7:$A$306,Employees!$A$19,'Leave log'!$B$7:$B$306,"&lt;="&amp;DATE($B$3,6,4),'Leave log'!$C$7:$C$306,"&gt;="&amp;DATE($B$3,6,4),'Leave log'!$F$7:$F$306,"Approved")&gt;0,"A",""))="A","A",IF(OR(DATE($B$3,6,4)&gt;EOMONTH(DATE($B$3,6,1),0),NETWORKDAYS.INTL(DATE($B$3,6,4),DATE($B$3,6,4),1,'Non-working days'!$A$6:$A$45)=0),"",IF(COUNTIFS('Leave log'!$A$7:$A$306,Employees!$A$19,'Leave log'!$B$7:$B$306,"&lt;="&amp;DATE($B$3,6,4),'Leave log'!$C$7:$C$306,"&gt;="&amp;DATE($B$3,6,4),'Leave log'!$F$7:$F$306,"Pending")&gt;0,"P",""))))</f>
        <v/>
      </c>
      <c r="F190" s="23" t="str">
        <f>IF(A190="","",IF(IF(OR(DATE($B$3,6,5)&gt;EOMONTH(DATE($B$3,6,1),0),NETWORKDAYS.INTL(DATE($B$3,6,5),DATE($B$3,6,5),1,'Non-working days'!$A$6:$A$45)=0),"",IF(COUNTIFS('Leave log'!$A$7:$A$306,Employees!$A$19,'Leave log'!$B$7:$B$306,"&lt;="&amp;DATE($B$3,6,5),'Leave log'!$C$7:$C$306,"&gt;="&amp;DATE($B$3,6,5),'Leave log'!$F$7:$F$306,"Approved")&gt;0,"A",""))="A","A",IF(OR(DATE($B$3,6,5)&gt;EOMONTH(DATE($B$3,6,1),0),NETWORKDAYS.INTL(DATE($B$3,6,5),DATE($B$3,6,5),1,'Non-working days'!$A$6:$A$45)=0),"",IF(COUNTIFS('Leave log'!$A$7:$A$306,Employees!$A$19,'Leave log'!$B$7:$B$306,"&lt;="&amp;DATE($B$3,6,5),'Leave log'!$C$7:$C$306,"&gt;="&amp;DATE($B$3,6,5),'Leave log'!$F$7:$F$306,"Pending")&gt;0,"P",""))))</f>
        <v/>
      </c>
      <c r="G190" s="23" t="str">
        <f>IF(A190="","",IF(IF(OR(DATE($B$3,6,6)&gt;EOMONTH(DATE($B$3,6,1),0),NETWORKDAYS.INTL(DATE($B$3,6,6),DATE($B$3,6,6),1,'Non-working days'!$A$6:$A$45)=0),"",IF(COUNTIFS('Leave log'!$A$7:$A$306,Employees!$A$19,'Leave log'!$B$7:$B$306,"&lt;="&amp;DATE($B$3,6,6),'Leave log'!$C$7:$C$306,"&gt;="&amp;DATE($B$3,6,6),'Leave log'!$F$7:$F$306,"Approved")&gt;0,"A",""))="A","A",IF(OR(DATE($B$3,6,6)&gt;EOMONTH(DATE($B$3,6,1),0),NETWORKDAYS.INTL(DATE($B$3,6,6),DATE($B$3,6,6),1,'Non-working days'!$A$6:$A$45)=0),"",IF(COUNTIFS('Leave log'!$A$7:$A$306,Employees!$A$19,'Leave log'!$B$7:$B$306,"&lt;="&amp;DATE($B$3,6,6),'Leave log'!$C$7:$C$306,"&gt;="&amp;DATE($B$3,6,6),'Leave log'!$F$7:$F$306,"Pending")&gt;0,"P",""))))</f>
        <v/>
      </c>
      <c r="H190" s="23" t="str">
        <f>IF(A190="","",IF(IF(OR(DATE($B$3,6,7)&gt;EOMONTH(DATE($B$3,6,1),0),NETWORKDAYS.INTL(DATE($B$3,6,7),DATE($B$3,6,7),1,'Non-working days'!$A$6:$A$45)=0),"",IF(COUNTIFS('Leave log'!$A$7:$A$306,Employees!$A$19,'Leave log'!$B$7:$B$306,"&lt;="&amp;DATE($B$3,6,7),'Leave log'!$C$7:$C$306,"&gt;="&amp;DATE($B$3,6,7),'Leave log'!$F$7:$F$306,"Approved")&gt;0,"A",""))="A","A",IF(OR(DATE($B$3,6,7)&gt;EOMONTH(DATE($B$3,6,1),0),NETWORKDAYS.INTL(DATE($B$3,6,7),DATE($B$3,6,7),1,'Non-working days'!$A$6:$A$45)=0),"",IF(COUNTIFS('Leave log'!$A$7:$A$306,Employees!$A$19,'Leave log'!$B$7:$B$306,"&lt;="&amp;DATE($B$3,6,7),'Leave log'!$C$7:$C$306,"&gt;="&amp;DATE($B$3,6,7),'Leave log'!$F$7:$F$306,"Pending")&gt;0,"P",""))))</f>
        <v/>
      </c>
      <c r="I190" s="23" t="str">
        <f>IF(A190="","",IF(IF(OR(DATE($B$3,6,8)&gt;EOMONTH(DATE($B$3,6,1),0),NETWORKDAYS.INTL(DATE($B$3,6,8),DATE($B$3,6,8),1,'Non-working days'!$A$6:$A$45)=0),"",IF(COUNTIFS('Leave log'!$A$7:$A$306,Employees!$A$19,'Leave log'!$B$7:$B$306,"&lt;="&amp;DATE($B$3,6,8),'Leave log'!$C$7:$C$306,"&gt;="&amp;DATE($B$3,6,8),'Leave log'!$F$7:$F$306,"Approved")&gt;0,"A",""))="A","A",IF(OR(DATE($B$3,6,8)&gt;EOMONTH(DATE($B$3,6,1),0),NETWORKDAYS.INTL(DATE($B$3,6,8),DATE($B$3,6,8),1,'Non-working days'!$A$6:$A$45)=0),"",IF(COUNTIFS('Leave log'!$A$7:$A$306,Employees!$A$19,'Leave log'!$B$7:$B$306,"&lt;="&amp;DATE($B$3,6,8),'Leave log'!$C$7:$C$306,"&gt;="&amp;DATE($B$3,6,8),'Leave log'!$F$7:$F$306,"Pending")&gt;0,"P",""))))</f>
        <v/>
      </c>
      <c r="J190" s="23" t="str">
        <f>IF(A190="","",IF(IF(OR(DATE($B$3,6,9)&gt;EOMONTH(DATE($B$3,6,1),0),NETWORKDAYS.INTL(DATE($B$3,6,9),DATE($B$3,6,9),1,'Non-working days'!$A$6:$A$45)=0),"",IF(COUNTIFS('Leave log'!$A$7:$A$306,Employees!$A$19,'Leave log'!$B$7:$B$306,"&lt;="&amp;DATE($B$3,6,9),'Leave log'!$C$7:$C$306,"&gt;="&amp;DATE($B$3,6,9),'Leave log'!$F$7:$F$306,"Approved")&gt;0,"A",""))="A","A",IF(OR(DATE($B$3,6,9)&gt;EOMONTH(DATE($B$3,6,1),0),NETWORKDAYS.INTL(DATE($B$3,6,9),DATE($B$3,6,9),1,'Non-working days'!$A$6:$A$45)=0),"",IF(COUNTIFS('Leave log'!$A$7:$A$306,Employees!$A$19,'Leave log'!$B$7:$B$306,"&lt;="&amp;DATE($B$3,6,9),'Leave log'!$C$7:$C$306,"&gt;="&amp;DATE($B$3,6,9),'Leave log'!$F$7:$F$306,"Pending")&gt;0,"P",""))))</f>
        <v/>
      </c>
      <c r="K190" s="23" t="str">
        <f>IF(A190="","",IF(IF(OR(DATE($B$3,6,10)&gt;EOMONTH(DATE($B$3,6,1),0),NETWORKDAYS.INTL(DATE($B$3,6,10),DATE($B$3,6,10),1,'Non-working days'!$A$6:$A$45)=0),"",IF(COUNTIFS('Leave log'!$A$7:$A$306,Employees!$A$19,'Leave log'!$B$7:$B$306,"&lt;="&amp;DATE($B$3,6,10),'Leave log'!$C$7:$C$306,"&gt;="&amp;DATE($B$3,6,10),'Leave log'!$F$7:$F$306,"Approved")&gt;0,"A",""))="A","A",IF(OR(DATE($B$3,6,10)&gt;EOMONTH(DATE($B$3,6,1),0),NETWORKDAYS.INTL(DATE($B$3,6,10),DATE($B$3,6,10),1,'Non-working days'!$A$6:$A$45)=0),"",IF(COUNTIFS('Leave log'!$A$7:$A$306,Employees!$A$19,'Leave log'!$B$7:$B$306,"&lt;="&amp;DATE($B$3,6,10),'Leave log'!$C$7:$C$306,"&gt;="&amp;DATE($B$3,6,10),'Leave log'!$F$7:$F$306,"Pending")&gt;0,"P",""))))</f>
        <v/>
      </c>
      <c r="L190" s="23" t="str">
        <f>IF(A190="","",IF(IF(OR(DATE($B$3,6,11)&gt;EOMONTH(DATE($B$3,6,1),0),NETWORKDAYS.INTL(DATE($B$3,6,11),DATE($B$3,6,11),1,'Non-working days'!$A$6:$A$45)=0),"",IF(COUNTIFS('Leave log'!$A$7:$A$306,Employees!$A$19,'Leave log'!$B$7:$B$306,"&lt;="&amp;DATE($B$3,6,11),'Leave log'!$C$7:$C$306,"&gt;="&amp;DATE($B$3,6,11),'Leave log'!$F$7:$F$306,"Approved")&gt;0,"A",""))="A","A",IF(OR(DATE($B$3,6,11)&gt;EOMONTH(DATE($B$3,6,1),0),NETWORKDAYS.INTL(DATE($B$3,6,11),DATE($B$3,6,11),1,'Non-working days'!$A$6:$A$45)=0),"",IF(COUNTIFS('Leave log'!$A$7:$A$306,Employees!$A$19,'Leave log'!$B$7:$B$306,"&lt;="&amp;DATE($B$3,6,11),'Leave log'!$C$7:$C$306,"&gt;="&amp;DATE($B$3,6,11),'Leave log'!$F$7:$F$306,"Pending")&gt;0,"P",""))))</f>
        <v/>
      </c>
      <c r="M190" s="23" t="str">
        <f>IF(A190="","",IF(IF(OR(DATE($B$3,6,12)&gt;EOMONTH(DATE($B$3,6,1),0),NETWORKDAYS.INTL(DATE($B$3,6,12),DATE($B$3,6,12),1,'Non-working days'!$A$6:$A$45)=0),"",IF(COUNTIFS('Leave log'!$A$7:$A$306,Employees!$A$19,'Leave log'!$B$7:$B$306,"&lt;="&amp;DATE($B$3,6,12),'Leave log'!$C$7:$C$306,"&gt;="&amp;DATE($B$3,6,12),'Leave log'!$F$7:$F$306,"Approved")&gt;0,"A",""))="A","A",IF(OR(DATE($B$3,6,12)&gt;EOMONTH(DATE($B$3,6,1),0),NETWORKDAYS.INTL(DATE($B$3,6,12),DATE($B$3,6,12),1,'Non-working days'!$A$6:$A$45)=0),"",IF(COUNTIFS('Leave log'!$A$7:$A$306,Employees!$A$19,'Leave log'!$B$7:$B$306,"&lt;="&amp;DATE($B$3,6,12),'Leave log'!$C$7:$C$306,"&gt;="&amp;DATE($B$3,6,12),'Leave log'!$F$7:$F$306,"Pending")&gt;0,"P",""))))</f>
        <v/>
      </c>
      <c r="N190" s="23" t="str">
        <f>IF(A190="","",IF(IF(OR(DATE($B$3,6,13)&gt;EOMONTH(DATE($B$3,6,1),0),NETWORKDAYS.INTL(DATE($B$3,6,13),DATE($B$3,6,13),1,'Non-working days'!$A$6:$A$45)=0),"",IF(COUNTIFS('Leave log'!$A$7:$A$306,Employees!$A$19,'Leave log'!$B$7:$B$306,"&lt;="&amp;DATE($B$3,6,13),'Leave log'!$C$7:$C$306,"&gt;="&amp;DATE($B$3,6,13),'Leave log'!$F$7:$F$306,"Approved")&gt;0,"A",""))="A","A",IF(OR(DATE($B$3,6,13)&gt;EOMONTH(DATE($B$3,6,1),0),NETWORKDAYS.INTL(DATE($B$3,6,13),DATE($B$3,6,13),1,'Non-working days'!$A$6:$A$45)=0),"",IF(COUNTIFS('Leave log'!$A$7:$A$306,Employees!$A$19,'Leave log'!$B$7:$B$306,"&lt;="&amp;DATE($B$3,6,13),'Leave log'!$C$7:$C$306,"&gt;="&amp;DATE($B$3,6,13),'Leave log'!$F$7:$F$306,"Pending")&gt;0,"P",""))))</f>
        <v/>
      </c>
      <c r="O190" s="23" t="str">
        <f>IF(A190="","",IF(IF(OR(DATE($B$3,6,14)&gt;EOMONTH(DATE($B$3,6,1),0),NETWORKDAYS.INTL(DATE($B$3,6,14),DATE($B$3,6,14),1,'Non-working days'!$A$6:$A$45)=0),"",IF(COUNTIFS('Leave log'!$A$7:$A$306,Employees!$A$19,'Leave log'!$B$7:$B$306,"&lt;="&amp;DATE($B$3,6,14),'Leave log'!$C$7:$C$306,"&gt;="&amp;DATE($B$3,6,14),'Leave log'!$F$7:$F$306,"Approved")&gt;0,"A",""))="A","A",IF(OR(DATE($B$3,6,14)&gt;EOMONTH(DATE($B$3,6,1),0),NETWORKDAYS.INTL(DATE($B$3,6,14),DATE($B$3,6,14),1,'Non-working days'!$A$6:$A$45)=0),"",IF(COUNTIFS('Leave log'!$A$7:$A$306,Employees!$A$19,'Leave log'!$B$7:$B$306,"&lt;="&amp;DATE($B$3,6,14),'Leave log'!$C$7:$C$306,"&gt;="&amp;DATE($B$3,6,14),'Leave log'!$F$7:$F$306,"Pending")&gt;0,"P",""))))</f>
        <v/>
      </c>
      <c r="P190" s="23" t="str">
        <f>IF(A190="","",IF(IF(OR(DATE($B$3,6,15)&gt;EOMONTH(DATE($B$3,6,1),0),NETWORKDAYS.INTL(DATE($B$3,6,15),DATE($B$3,6,15),1,'Non-working days'!$A$6:$A$45)=0),"",IF(COUNTIFS('Leave log'!$A$7:$A$306,Employees!$A$19,'Leave log'!$B$7:$B$306,"&lt;="&amp;DATE($B$3,6,15),'Leave log'!$C$7:$C$306,"&gt;="&amp;DATE($B$3,6,15),'Leave log'!$F$7:$F$306,"Approved")&gt;0,"A",""))="A","A",IF(OR(DATE($B$3,6,15)&gt;EOMONTH(DATE($B$3,6,1),0),NETWORKDAYS.INTL(DATE($B$3,6,15),DATE($B$3,6,15),1,'Non-working days'!$A$6:$A$45)=0),"",IF(COUNTIFS('Leave log'!$A$7:$A$306,Employees!$A$19,'Leave log'!$B$7:$B$306,"&lt;="&amp;DATE($B$3,6,15),'Leave log'!$C$7:$C$306,"&gt;="&amp;DATE($B$3,6,15),'Leave log'!$F$7:$F$306,"Pending")&gt;0,"P",""))))</f>
        <v/>
      </c>
      <c r="Q190" s="23" t="str">
        <f>IF(A190="","",IF(IF(OR(DATE($B$3,6,16)&gt;EOMONTH(DATE($B$3,6,1),0),NETWORKDAYS.INTL(DATE($B$3,6,16),DATE($B$3,6,16),1,'Non-working days'!$A$6:$A$45)=0),"",IF(COUNTIFS('Leave log'!$A$7:$A$306,Employees!$A$19,'Leave log'!$B$7:$B$306,"&lt;="&amp;DATE($B$3,6,16),'Leave log'!$C$7:$C$306,"&gt;="&amp;DATE($B$3,6,16),'Leave log'!$F$7:$F$306,"Approved")&gt;0,"A",""))="A","A",IF(OR(DATE($B$3,6,16)&gt;EOMONTH(DATE($B$3,6,1),0),NETWORKDAYS.INTL(DATE($B$3,6,16),DATE($B$3,6,16),1,'Non-working days'!$A$6:$A$45)=0),"",IF(COUNTIFS('Leave log'!$A$7:$A$306,Employees!$A$19,'Leave log'!$B$7:$B$306,"&lt;="&amp;DATE($B$3,6,16),'Leave log'!$C$7:$C$306,"&gt;="&amp;DATE($B$3,6,16),'Leave log'!$F$7:$F$306,"Pending")&gt;0,"P",""))))</f>
        <v/>
      </c>
      <c r="R190" s="23" t="str">
        <f>IF(A190="","",IF(IF(OR(DATE($B$3,6,17)&gt;EOMONTH(DATE($B$3,6,1),0),NETWORKDAYS.INTL(DATE($B$3,6,17),DATE($B$3,6,17),1,'Non-working days'!$A$6:$A$45)=0),"",IF(COUNTIFS('Leave log'!$A$7:$A$306,Employees!$A$19,'Leave log'!$B$7:$B$306,"&lt;="&amp;DATE($B$3,6,17),'Leave log'!$C$7:$C$306,"&gt;="&amp;DATE($B$3,6,17),'Leave log'!$F$7:$F$306,"Approved")&gt;0,"A",""))="A","A",IF(OR(DATE($B$3,6,17)&gt;EOMONTH(DATE($B$3,6,1),0),NETWORKDAYS.INTL(DATE($B$3,6,17),DATE($B$3,6,17),1,'Non-working days'!$A$6:$A$45)=0),"",IF(COUNTIFS('Leave log'!$A$7:$A$306,Employees!$A$19,'Leave log'!$B$7:$B$306,"&lt;="&amp;DATE($B$3,6,17),'Leave log'!$C$7:$C$306,"&gt;="&amp;DATE($B$3,6,17),'Leave log'!$F$7:$F$306,"Pending")&gt;0,"P",""))))</f>
        <v/>
      </c>
      <c r="S190" s="23" t="str">
        <f>IF(A190="","",IF(IF(OR(DATE($B$3,6,18)&gt;EOMONTH(DATE($B$3,6,1),0),NETWORKDAYS.INTL(DATE($B$3,6,18),DATE($B$3,6,18),1,'Non-working days'!$A$6:$A$45)=0),"",IF(COUNTIFS('Leave log'!$A$7:$A$306,Employees!$A$19,'Leave log'!$B$7:$B$306,"&lt;="&amp;DATE($B$3,6,18),'Leave log'!$C$7:$C$306,"&gt;="&amp;DATE($B$3,6,18),'Leave log'!$F$7:$F$306,"Approved")&gt;0,"A",""))="A","A",IF(OR(DATE($B$3,6,18)&gt;EOMONTH(DATE($B$3,6,1),0),NETWORKDAYS.INTL(DATE($B$3,6,18),DATE($B$3,6,18),1,'Non-working days'!$A$6:$A$45)=0),"",IF(COUNTIFS('Leave log'!$A$7:$A$306,Employees!$A$19,'Leave log'!$B$7:$B$306,"&lt;="&amp;DATE($B$3,6,18),'Leave log'!$C$7:$C$306,"&gt;="&amp;DATE($B$3,6,18),'Leave log'!$F$7:$F$306,"Pending")&gt;0,"P",""))))</f>
        <v/>
      </c>
      <c r="T190" s="23" t="str">
        <f>IF(A190="","",IF(IF(OR(DATE($B$3,6,19)&gt;EOMONTH(DATE($B$3,6,1),0),NETWORKDAYS.INTL(DATE($B$3,6,19),DATE($B$3,6,19),1,'Non-working days'!$A$6:$A$45)=0),"",IF(COUNTIFS('Leave log'!$A$7:$A$306,Employees!$A$19,'Leave log'!$B$7:$B$306,"&lt;="&amp;DATE($B$3,6,19),'Leave log'!$C$7:$C$306,"&gt;="&amp;DATE($B$3,6,19),'Leave log'!$F$7:$F$306,"Approved")&gt;0,"A",""))="A","A",IF(OR(DATE($B$3,6,19)&gt;EOMONTH(DATE($B$3,6,1),0),NETWORKDAYS.INTL(DATE($B$3,6,19),DATE($B$3,6,19),1,'Non-working days'!$A$6:$A$45)=0),"",IF(COUNTIFS('Leave log'!$A$7:$A$306,Employees!$A$19,'Leave log'!$B$7:$B$306,"&lt;="&amp;DATE($B$3,6,19),'Leave log'!$C$7:$C$306,"&gt;="&amp;DATE($B$3,6,19),'Leave log'!$F$7:$F$306,"Pending")&gt;0,"P",""))))</f>
        <v/>
      </c>
      <c r="U190" s="23" t="str">
        <f>IF(A190="","",IF(IF(OR(DATE($B$3,6,20)&gt;EOMONTH(DATE($B$3,6,1),0),NETWORKDAYS.INTL(DATE($B$3,6,20),DATE($B$3,6,20),1,'Non-working days'!$A$6:$A$45)=0),"",IF(COUNTIFS('Leave log'!$A$7:$A$306,Employees!$A$19,'Leave log'!$B$7:$B$306,"&lt;="&amp;DATE($B$3,6,20),'Leave log'!$C$7:$C$306,"&gt;="&amp;DATE($B$3,6,20),'Leave log'!$F$7:$F$306,"Approved")&gt;0,"A",""))="A","A",IF(OR(DATE($B$3,6,20)&gt;EOMONTH(DATE($B$3,6,1),0),NETWORKDAYS.INTL(DATE($B$3,6,20),DATE($B$3,6,20),1,'Non-working days'!$A$6:$A$45)=0),"",IF(COUNTIFS('Leave log'!$A$7:$A$306,Employees!$A$19,'Leave log'!$B$7:$B$306,"&lt;="&amp;DATE($B$3,6,20),'Leave log'!$C$7:$C$306,"&gt;="&amp;DATE($B$3,6,20),'Leave log'!$F$7:$F$306,"Pending")&gt;0,"P",""))))</f>
        <v/>
      </c>
      <c r="V190" s="23" t="str">
        <f>IF(A190="","",IF(IF(OR(DATE($B$3,6,21)&gt;EOMONTH(DATE($B$3,6,1),0),NETWORKDAYS.INTL(DATE($B$3,6,21),DATE($B$3,6,21),1,'Non-working days'!$A$6:$A$45)=0),"",IF(COUNTIFS('Leave log'!$A$7:$A$306,Employees!$A$19,'Leave log'!$B$7:$B$306,"&lt;="&amp;DATE($B$3,6,21),'Leave log'!$C$7:$C$306,"&gt;="&amp;DATE($B$3,6,21),'Leave log'!$F$7:$F$306,"Approved")&gt;0,"A",""))="A","A",IF(OR(DATE($B$3,6,21)&gt;EOMONTH(DATE($B$3,6,1),0),NETWORKDAYS.INTL(DATE($B$3,6,21),DATE($B$3,6,21),1,'Non-working days'!$A$6:$A$45)=0),"",IF(COUNTIFS('Leave log'!$A$7:$A$306,Employees!$A$19,'Leave log'!$B$7:$B$306,"&lt;="&amp;DATE($B$3,6,21),'Leave log'!$C$7:$C$306,"&gt;="&amp;DATE($B$3,6,21),'Leave log'!$F$7:$F$306,"Pending")&gt;0,"P",""))))</f>
        <v/>
      </c>
      <c r="W190" s="23" t="str">
        <f>IF(A190="","",IF(IF(OR(DATE($B$3,6,22)&gt;EOMONTH(DATE($B$3,6,1),0),NETWORKDAYS.INTL(DATE($B$3,6,22),DATE($B$3,6,22),1,'Non-working days'!$A$6:$A$45)=0),"",IF(COUNTIFS('Leave log'!$A$7:$A$306,Employees!$A$19,'Leave log'!$B$7:$B$306,"&lt;="&amp;DATE($B$3,6,22),'Leave log'!$C$7:$C$306,"&gt;="&amp;DATE($B$3,6,22),'Leave log'!$F$7:$F$306,"Approved")&gt;0,"A",""))="A","A",IF(OR(DATE($B$3,6,22)&gt;EOMONTH(DATE($B$3,6,1),0),NETWORKDAYS.INTL(DATE($B$3,6,22),DATE($B$3,6,22),1,'Non-working days'!$A$6:$A$45)=0),"",IF(COUNTIFS('Leave log'!$A$7:$A$306,Employees!$A$19,'Leave log'!$B$7:$B$306,"&lt;="&amp;DATE($B$3,6,22),'Leave log'!$C$7:$C$306,"&gt;="&amp;DATE($B$3,6,22),'Leave log'!$F$7:$F$306,"Pending")&gt;0,"P",""))))</f>
        <v/>
      </c>
      <c r="X190" s="23" t="str">
        <f>IF(A190="","",IF(IF(OR(DATE($B$3,6,23)&gt;EOMONTH(DATE($B$3,6,1),0),NETWORKDAYS.INTL(DATE($B$3,6,23),DATE($B$3,6,23),1,'Non-working days'!$A$6:$A$45)=0),"",IF(COUNTIFS('Leave log'!$A$7:$A$306,Employees!$A$19,'Leave log'!$B$7:$B$306,"&lt;="&amp;DATE($B$3,6,23),'Leave log'!$C$7:$C$306,"&gt;="&amp;DATE($B$3,6,23),'Leave log'!$F$7:$F$306,"Approved")&gt;0,"A",""))="A","A",IF(OR(DATE($B$3,6,23)&gt;EOMONTH(DATE($B$3,6,1),0),NETWORKDAYS.INTL(DATE($B$3,6,23),DATE($B$3,6,23),1,'Non-working days'!$A$6:$A$45)=0),"",IF(COUNTIFS('Leave log'!$A$7:$A$306,Employees!$A$19,'Leave log'!$B$7:$B$306,"&lt;="&amp;DATE($B$3,6,23),'Leave log'!$C$7:$C$306,"&gt;="&amp;DATE($B$3,6,23),'Leave log'!$F$7:$F$306,"Pending")&gt;0,"P",""))))</f>
        <v/>
      </c>
      <c r="Y190" s="23" t="str">
        <f>IF(A190="","",IF(IF(OR(DATE($B$3,6,24)&gt;EOMONTH(DATE($B$3,6,1),0),NETWORKDAYS.INTL(DATE($B$3,6,24),DATE($B$3,6,24),1,'Non-working days'!$A$6:$A$45)=0),"",IF(COUNTIFS('Leave log'!$A$7:$A$306,Employees!$A$19,'Leave log'!$B$7:$B$306,"&lt;="&amp;DATE($B$3,6,24),'Leave log'!$C$7:$C$306,"&gt;="&amp;DATE($B$3,6,24),'Leave log'!$F$7:$F$306,"Approved")&gt;0,"A",""))="A","A",IF(OR(DATE($B$3,6,24)&gt;EOMONTH(DATE($B$3,6,1),0),NETWORKDAYS.INTL(DATE($B$3,6,24),DATE($B$3,6,24),1,'Non-working days'!$A$6:$A$45)=0),"",IF(COUNTIFS('Leave log'!$A$7:$A$306,Employees!$A$19,'Leave log'!$B$7:$B$306,"&lt;="&amp;DATE($B$3,6,24),'Leave log'!$C$7:$C$306,"&gt;="&amp;DATE($B$3,6,24),'Leave log'!$F$7:$F$306,"Pending")&gt;0,"P",""))))</f>
        <v/>
      </c>
      <c r="Z190" s="23" t="str">
        <f>IF(A190="","",IF(IF(OR(DATE($B$3,6,25)&gt;EOMONTH(DATE($B$3,6,1),0),NETWORKDAYS.INTL(DATE($B$3,6,25),DATE($B$3,6,25),1,'Non-working days'!$A$6:$A$45)=0),"",IF(COUNTIFS('Leave log'!$A$7:$A$306,Employees!$A$19,'Leave log'!$B$7:$B$306,"&lt;="&amp;DATE($B$3,6,25),'Leave log'!$C$7:$C$306,"&gt;="&amp;DATE($B$3,6,25),'Leave log'!$F$7:$F$306,"Approved")&gt;0,"A",""))="A","A",IF(OR(DATE($B$3,6,25)&gt;EOMONTH(DATE($B$3,6,1),0),NETWORKDAYS.INTL(DATE($B$3,6,25),DATE($B$3,6,25),1,'Non-working days'!$A$6:$A$45)=0),"",IF(COUNTIFS('Leave log'!$A$7:$A$306,Employees!$A$19,'Leave log'!$B$7:$B$306,"&lt;="&amp;DATE($B$3,6,25),'Leave log'!$C$7:$C$306,"&gt;="&amp;DATE($B$3,6,25),'Leave log'!$F$7:$F$306,"Pending")&gt;0,"P",""))))</f>
        <v/>
      </c>
      <c r="AA190" s="23" t="str">
        <f>IF(A190="","",IF(IF(OR(DATE($B$3,6,26)&gt;EOMONTH(DATE($B$3,6,1),0),NETWORKDAYS.INTL(DATE($B$3,6,26),DATE($B$3,6,26),1,'Non-working days'!$A$6:$A$45)=0),"",IF(COUNTIFS('Leave log'!$A$7:$A$306,Employees!$A$19,'Leave log'!$B$7:$B$306,"&lt;="&amp;DATE($B$3,6,26),'Leave log'!$C$7:$C$306,"&gt;="&amp;DATE($B$3,6,26),'Leave log'!$F$7:$F$306,"Approved")&gt;0,"A",""))="A","A",IF(OR(DATE($B$3,6,26)&gt;EOMONTH(DATE($B$3,6,1),0),NETWORKDAYS.INTL(DATE($B$3,6,26),DATE($B$3,6,26),1,'Non-working days'!$A$6:$A$45)=0),"",IF(COUNTIFS('Leave log'!$A$7:$A$306,Employees!$A$19,'Leave log'!$B$7:$B$306,"&lt;="&amp;DATE($B$3,6,26),'Leave log'!$C$7:$C$306,"&gt;="&amp;DATE($B$3,6,26),'Leave log'!$F$7:$F$306,"Pending")&gt;0,"P",""))))</f>
        <v/>
      </c>
      <c r="AB190" s="23" t="str">
        <f>IF(A190="","",IF(IF(OR(DATE($B$3,6,27)&gt;EOMONTH(DATE($B$3,6,1),0),NETWORKDAYS.INTL(DATE($B$3,6,27),DATE($B$3,6,27),1,'Non-working days'!$A$6:$A$45)=0),"",IF(COUNTIFS('Leave log'!$A$7:$A$306,Employees!$A$19,'Leave log'!$B$7:$B$306,"&lt;="&amp;DATE($B$3,6,27),'Leave log'!$C$7:$C$306,"&gt;="&amp;DATE($B$3,6,27),'Leave log'!$F$7:$F$306,"Approved")&gt;0,"A",""))="A","A",IF(OR(DATE($B$3,6,27)&gt;EOMONTH(DATE($B$3,6,1),0),NETWORKDAYS.INTL(DATE($B$3,6,27),DATE($B$3,6,27),1,'Non-working days'!$A$6:$A$45)=0),"",IF(COUNTIFS('Leave log'!$A$7:$A$306,Employees!$A$19,'Leave log'!$B$7:$B$306,"&lt;="&amp;DATE($B$3,6,27),'Leave log'!$C$7:$C$306,"&gt;="&amp;DATE($B$3,6,27),'Leave log'!$F$7:$F$306,"Pending")&gt;0,"P",""))))</f>
        <v/>
      </c>
      <c r="AC190" s="23" t="str">
        <f>IF(A190="","",IF(IF(OR(DATE($B$3,6,28)&gt;EOMONTH(DATE($B$3,6,1),0),NETWORKDAYS.INTL(DATE($B$3,6,28),DATE($B$3,6,28),1,'Non-working days'!$A$6:$A$45)=0),"",IF(COUNTIFS('Leave log'!$A$7:$A$306,Employees!$A$19,'Leave log'!$B$7:$B$306,"&lt;="&amp;DATE($B$3,6,28),'Leave log'!$C$7:$C$306,"&gt;="&amp;DATE($B$3,6,28),'Leave log'!$F$7:$F$306,"Approved")&gt;0,"A",""))="A","A",IF(OR(DATE($B$3,6,28)&gt;EOMONTH(DATE($B$3,6,1),0),NETWORKDAYS.INTL(DATE($B$3,6,28),DATE($B$3,6,28),1,'Non-working days'!$A$6:$A$45)=0),"",IF(COUNTIFS('Leave log'!$A$7:$A$306,Employees!$A$19,'Leave log'!$B$7:$B$306,"&lt;="&amp;DATE($B$3,6,28),'Leave log'!$C$7:$C$306,"&gt;="&amp;DATE($B$3,6,28),'Leave log'!$F$7:$F$306,"Pending")&gt;0,"P",""))))</f>
        <v/>
      </c>
      <c r="AD190" s="23" t="str">
        <f>IF(A190="","",IF(IF(OR(DATE($B$3,6,29)&gt;EOMONTH(DATE($B$3,6,1),0),NETWORKDAYS.INTL(DATE($B$3,6,29),DATE($B$3,6,29),1,'Non-working days'!$A$6:$A$45)=0),"",IF(COUNTIFS('Leave log'!$A$7:$A$306,Employees!$A$19,'Leave log'!$B$7:$B$306,"&lt;="&amp;DATE($B$3,6,29),'Leave log'!$C$7:$C$306,"&gt;="&amp;DATE($B$3,6,29),'Leave log'!$F$7:$F$306,"Approved")&gt;0,"A",""))="A","A",IF(OR(DATE($B$3,6,29)&gt;EOMONTH(DATE($B$3,6,1),0),NETWORKDAYS.INTL(DATE($B$3,6,29),DATE($B$3,6,29),1,'Non-working days'!$A$6:$A$45)=0),"",IF(COUNTIFS('Leave log'!$A$7:$A$306,Employees!$A$19,'Leave log'!$B$7:$B$306,"&lt;="&amp;DATE($B$3,6,29),'Leave log'!$C$7:$C$306,"&gt;="&amp;DATE($B$3,6,29),'Leave log'!$F$7:$F$306,"Pending")&gt;0,"P",""))))</f>
        <v/>
      </c>
      <c r="AE190" s="23" t="str">
        <f>IF(A190="","",IF(IF(OR(DATE($B$3,6,30)&gt;EOMONTH(DATE($B$3,6,1),0),NETWORKDAYS.INTL(DATE($B$3,6,30),DATE($B$3,6,30),1,'Non-working days'!$A$6:$A$45)=0),"",IF(COUNTIFS('Leave log'!$A$7:$A$306,Employees!$A$19,'Leave log'!$B$7:$B$306,"&lt;="&amp;DATE($B$3,6,30),'Leave log'!$C$7:$C$306,"&gt;="&amp;DATE($B$3,6,30),'Leave log'!$F$7:$F$306,"Approved")&gt;0,"A",""))="A","A",IF(OR(DATE($B$3,6,30)&gt;EOMONTH(DATE($B$3,6,1),0),NETWORKDAYS.INTL(DATE($B$3,6,30),DATE($B$3,6,30),1,'Non-working days'!$A$6:$A$45)=0),"",IF(COUNTIFS('Leave log'!$A$7:$A$306,Employees!$A$19,'Leave log'!$B$7:$B$306,"&lt;="&amp;DATE($B$3,6,30),'Leave log'!$C$7:$C$306,"&gt;="&amp;DATE($B$3,6,30),'Leave log'!$F$7:$F$306,"Pending")&gt;0,"P",""))))</f>
        <v/>
      </c>
      <c r="AF190" s="23" t="str">
        <f>IF(A190="","",IF(IF(OR(DATE($B$3,6,31)&gt;EOMONTH(DATE($B$3,6,1),0),NETWORKDAYS.INTL(DATE($B$3,6,31),DATE($B$3,6,31),1,'Non-working days'!$A$6:$A$45)=0),"",IF(COUNTIFS('Leave log'!$A$7:$A$306,Employees!$A$19,'Leave log'!$B$7:$B$306,"&lt;="&amp;DATE($B$3,6,31),'Leave log'!$C$7:$C$306,"&gt;="&amp;DATE($B$3,6,31),'Leave log'!$F$7:$F$306,"Approved")&gt;0,"A",""))="A","A",IF(OR(DATE($B$3,6,31)&gt;EOMONTH(DATE($B$3,6,1),0),NETWORKDAYS.INTL(DATE($B$3,6,31),DATE($B$3,6,31),1,'Non-working days'!$A$6:$A$45)=0),"",IF(COUNTIFS('Leave log'!$A$7:$A$306,Employees!$A$19,'Leave log'!$B$7:$B$306,"&lt;="&amp;DATE($B$3,6,31),'Leave log'!$C$7:$C$306,"&gt;="&amp;DATE($B$3,6,31),'Leave log'!$F$7:$F$306,"Pending")&gt;0,"P",""))))</f>
        <v/>
      </c>
    </row>
    <row r="191" spans="1:32" ht="18" customHeight="1" x14ac:dyDescent="0.3">
      <c r="A191" s="22" t="str">
        <f>IF(Employees!F20="Yes",Employees!B20,"")</f>
        <v/>
      </c>
      <c r="B191" s="23" t="str">
        <f>IF(A191="","",IF(IF(OR(DATE($B$3,6,1)&gt;EOMONTH(DATE($B$3,6,1),0),NETWORKDAYS.INTL(DATE($B$3,6,1),DATE($B$3,6,1),1,'Non-working days'!$A$6:$A$45)=0),"",IF(COUNTIFS('Leave log'!$A$7:$A$306,Employees!$A$20,'Leave log'!$B$7:$B$306,"&lt;="&amp;DATE($B$3,6,1),'Leave log'!$C$7:$C$306,"&gt;="&amp;DATE($B$3,6,1),'Leave log'!$F$7:$F$306,"Approved")&gt;0,"A",""))="A","A",IF(OR(DATE($B$3,6,1)&gt;EOMONTH(DATE($B$3,6,1),0),NETWORKDAYS.INTL(DATE($B$3,6,1),DATE($B$3,6,1),1,'Non-working days'!$A$6:$A$45)=0),"",IF(COUNTIFS('Leave log'!$A$7:$A$306,Employees!$A$20,'Leave log'!$B$7:$B$306,"&lt;="&amp;DATE($B$3,6,1),'Leave log'!$C$7:$C$306,"&gt;="&amp;DATE($B$3,6,1),'Leave log'!$F$7:$F$306,"Pending")&gt;0,"P",""))))</f>
        <v/>
      </c>
      <c r="C191" s="23" t="str">
        <f>IF(A191="","",IF(IF(OR(DATE($B$3,6,2)&gt;EOMONTH(DATE($B$3,6,1),0),NETWORKDAYS.INTL(DATE($B$3,6,2),DATE($B$3,6,2),1,'Non-working days'!$A$6:$A$45)=0),"",IF(COUNTIFS('Leave log'!$A$7:$A$306,Employees!$A$20,'Leave log'!$B$7:$B$306,"&lt;="&amp;DATE($B$3,6,2),'Leave log'!$C$7:$C$306,"&gt;="&amp;DATE($B$3,6,2),'Leave log'!$F$7:$F$306,"Approved")&gt;0,"A",""))="A","A",IF(OR(DATE($B$3,6,2)&gt;EOMONTH(DATE($B$3,6,1),0),NETWORKDAYS.INTL(DATE($B$3,6,2),DATE($B$3,6,2),1,'Non-working days'!$A$6:$A$45)=0),"",IF(COUNTIFS('Leave log'!$A$7:$A$306,Employees!$A$20,'Leave log'!$B$7:$B$306,"&lt;="&amp;DATE($B$3,6,2),'Leave log'!$C$7:$C$306,"&gt;="&amp;DATE($B$3,6,2),'Leave log'!$F$7:$F$306,"Pending")&gt;0,"P",""))))</f>
        <v/>
      </c>
      <c r="D191" s="23" t="str">
        <f>IF(A191="","",IF(IF(OR(DATE($B$3,6,3)&gt;EOMONTH(DATE($B$3,6,1),0),NETWORKDAYS.INTL(DATE($B$3,6,3),DATE($B$3,6,3),1,'Non-working days'!$A$6:$A$45)=0),"",IF(COUNTIFS('Leave log'!$A$7:$A$306,Employees!$A$20,'Leave log'!$B$7:$B$306,"&lt;="&amp;DATE($B$3,6,3),'Leave log'!$C$7:$C$306,"&gt;="&amp;DATE($B$3,6,3),'Leave log'!$F$7:$F$306,"Approved")&gt;0,"A",""))="A","A",IF(OR(DATE($B$3,6,3)&gt;EOMONTH(DATE($B$3,6,1),0),NETWORKDAYS.INTL(DATE($B$3,6,3),DATE($B$3,6,3),1,'Non-working days'!$A$6:$A$45)=0),"",IF(COUNTIFS('Leave log'!$A$7:$A$306,Employees!$A$20,'Leave log'!$B$7:$B$306,"&lt;="&amp;DATE($B$3,6,3),'Leave log'!$C$7:$C$306,"&gt;="&amp;DATE($B$3,6,3),'Leave log'!$F$7:$F$306,"Pending")&gt;0,"P",""))))</f>
        <v/>
      </c>
      <c r="E191" s="23" t="str">
        <f>IF(A191="","",IF(IF(OR(DATE($B$3,6,4)&gt;EOMONTH(DATE($B$3,6,1),0),NETWORKDAYS.INTL(DATE($B$3,6,4),DATE($B$3,6,4),1,'Non-working days'!$A$6:$A$45)=0),"",IF(COUNTIFS('Leave log'!$A$7:$A$306,Employees!$A$20,'Leave log'!$B$7:$B$306,"&lt;="&amp;DATE($B$3,6,4),'Leave log'!$C$7:$C$306,"&gt;="&amp;DATE($B$3,6,4),'Leave log'!$F$7:$F$306,"Approved")&gt;0,"A",""))="A","A",IF(OR(DATE($B$3,6,4)&gt;EOMONTH(DATE($B$3,6,1),0),NETWORKDAYS.INTL(DATE($B$3,6,4),DATE($B$3,6,4),1,'Non-working days'!$A$6:$A$45)=0),"",IF(COUNTIFS('Leave log'!$A$7:$A$306,Employees!$A$20,'Leave log'!$B$7:$B$306,"&lt;="&amp;DATE($B$3,6,4),'Leave log'!$C$7:$C$306,"&gt;="&amp;DATE($B$3,6,4),'Leave log'!$F$7:$F$306,"Pending")&gt;0,"P",""))))</f>
        <v/>
      </c>
      <c r="F191" s="23" t="str">
        <f>IF(A191="","",IF(IF(OR(DATE($B$3,6,5)&gt;EOMONTH(DATE($B$3,6,1),0),NETWORKDAYS.INTL(DATE($B$3,6,5),DATE($B$3,6,5),1,'Non-working days'!$A$6:$A$45)=0),"",IF(COUNTIFS('Leave log'!$A$7:$A$306,Employees!$A$20,'Leave log'!$B$7:$B$306,"&lt;="&amp;DATE($B$3,6,5),'Leave log'!$C$7:$C$306,"&gt;="&amp;DATE($B$3,6,5),'Leave log'!$F$7:$F$306,"Approved")&gt;0,"A",""))="A","A",IF(OR(DATE($B$3,6,5)&gt;EOMONTH(DATE($B$3,6,1),0),NETWORKDAYS.INTL(DATE($B$3,6,5),DATE($B$3,6,5),1,'Non-working days'!$A$6:$A$45)=0),"",IF(COUNTIFS('Leave log'!$A$7:$A$306,Employees!$A$20,'Leave log'!$B$7:$B$306,"&lt;="&amp;DATE($B$3,6,5),'Leave log'!$C$7:$C$306,"&gt;="&amp;DATE($B$3,6,5),'Leave log'!$F$7:$F$306,"Pending")&gt;0,"P",""))))</f>
        <v/>
      </c>
      <c r="G191" s="23" t="str">
        <f>IF(A191="","",IF(IF(OR(DATE($B$3,6,6)&gt;EOMONTH(DATE($B$3,6,1),0),NETWORKDAYS.INTL(DATE($B$3,6,6),DATE($B$3,6,6),1,'Non-working days'!$A$6:$A$45)=0),"",IF(COUNTIFS('Leave log'!$A$7:$A$306,Employees!$A$20,'Leave log'!$B$7:$B$306,"&lt;="&amp;DATE($B$3,6,6),'Leave log'!$C$7:$C$306,"&gt;="&amp;DATE($B$3,6,6),'Leave log'!$F$7:$F$306,"Approved")&gt;0,"A",""))="A","A",IF(OR(DATE($B$3,6,6)&gt;EOMONTH(DATE($B$3,6,1),0),NETWORKDAYS.INTL(DATE($B$3,6,6),DATE($B$3,6,6),1,'Non-working days'!$A$6:$A$45)=0),"",IF(COUNTIFS('Leave log'!$A$7:$A$306,Employees!$A$20,'Leave log'!$B$7:$B$306,"&lt;="&amp;DATE($B$3,6,6),'Leave log'!$C$7:$C$306,"&gt;="&amp;DATE($B$3,6,6),'Leave log'!$F$7:$F$306,"Pending")&gt;0,"P",""))))</f>
        <v/>
      </c>
      <c r="H191" s="23" t="str">
        <f>IF(A191="","",IF(IF(OR(DATE($B$3,6,7)&gt;EOMONTH(DATE($B$3,6,1),0),NETWORKDAYS.INTL(DATE($B$3,6,7),DATE($B$3,6,7),1,'Non-working days'!$A$6:$A$45)=0),"",IF(COUNTIFS('Leave log'!$A$7:$A$306,Employees!$A$20,'Leave log'!$B$7:$B$306,"&lt;="&amp;DATE($B$3,6,7),'Leave log'!$C$7:$C$306,"&gt;="&amp;DATE($B$3,6,7),'Leave log'!$F$7:$F$306,"Approved")&gt;0,"A",""))="A","A",IF(OR(DATE($B$3,6,7)&gt;EOMONTH(DATE($B$3,6,1),0),NETWORKDAYS.INTL(DATE($B$3,6,7),DATE($B$3,6,7),1,'Non-working days'!$A$6:$A$45)=0),"",IF(COUNTIFS('Leave log'!$A$7:$A$306,Employees!$A$20,'Leave log'!$B$7:$B$306,"&lt;="&amp;DATE($B$3,6,7),'Leave log'!$C$7:$C$306,"&gt;="&amp;DATE($B$3,6,7),'Leave log'!$F$7:$F$306,"Pending")&gt;0,"P",""))))</f>
        <v/>
      </c>
      <c r="I191" s="23" t="str">
        <f>IF(A191="","",IF(IF(OR(DATE($B$3,6,8)&gt;EOMONTH(DATE($B$3,6,1),0),NETWORKDAYS.INTL(DATE($B$3,6,8),DATE($B$3,6,8),1,'Non-working days'!$A$6:$A$45)=0),"",IF(COUNTIFS('Leave log'!$A$7:$A$306,Employees!$A$20,'Leave log'!$B$7:$B$306,"&lt;="&amp;DATE($B$3,6,8),'Leave log'!$C$7:$C$306,"&gt;="&amp;DATE($B$3,6,8),'Leave log'!$F$7:$F$306,"Approved")&gt;0,"A",""))="A","A",IF(OR(DATE($B$3,6,8)&gt;EOMONTH(DATE($B$3,6,1),0),NETWORKDAYS.INTL(DATE($B$3,6,8),DATE($B$3,6,8),1,'Non-working days'!$A$6:$A$45)=0),"",IF(COUNTIFS('Leave log'!$A$7:$A$306,Employees!$A$20,'Leave log'!$B$7:$B$306,"&lt;="&amp;DATE($B$3,6,8),'Leave log'!$C$7:$C$306,"&gt;="&amp;DATE($B$3,6,8),'Leave log'!$F$7:$F$306,"Pending")&gt;0,"P",""))))</f>
        <v/>
      </c>
      <c r="J191" s="23" t="str">
        <f>IF(A191="","",IF(IF(OR(DATE($B$3,6,9)&gt;EOMONTH(DATE($B$3,6,1),0),NETWORKDAYS.INTL(DATE($B$3,6,9),DATE($B$3,6,9),1,'Non-working days'!$A$6:$A$45)=0),"",IF(COUNTIFS('Leave log'!$A$7:$A$306,Employees!$A$20,'Leave log'!$B$7:$B$306,"&lt;="&amp;DATE($B$3,6,9),'Leave log'!$C$7:$C$306,"&gt;="&amp;DATE($B$3,6,9),'Leave log'!$F$7:$F$306,"Approved")&gt;0,"A",""))="A","A",IF(OR(DATE($B$3,6,9)&gt;EOMONTH(DATE($B$3,6,1),0),NETWORKDAYS.INTL(DATE($B$3,6,9),DATE($B$3,6,9),1,'Non-working days'!$A$6:$A$45)=0),"",IF(COUNTIFS('Leave log'!$A$7:$A$306,Employees!$A$20,'Leave log'!$B$7:$B$306,"&lt;="&amp;DATE($B$3,6,9),'Leave log'!$C$7:$C$306,"&gt;="&amp;DATE($B$3,6,9),'Leave log'!$F$7:$F$306,"Pending")&gt;0,"P",""))))</f>
        <v/>
      </c>
      <c r="K191" s="23" t="str">
        <f>IF(A191="","",IF(IF(OR(DATE($B$3,6,10)&gt;EOMONTH(DATE($B$3,6,1),0),NETWORKDAYS.INTL(DATE($B$3,6,10),DATE($B$3,6,10),1,'Non-working days'!$A$6:$A$45)=0),"",IF(COUNTIFS('Leave log'!$A$7:$A$306,Employees!$A$20,'Leave log'!$B$7:$B$306,"&lt;="&amp;DATE($B$3,6,10),'Leave log'!$C$7:$C$306,"&gt;="&amp;DATE($B$3,6,10),'Leave log'!$F$7:$F$306,"Approved")&gt;0,"A",""))="A","A",IF(OR(DATE($B$3,6,10)&gt;EOMONTH(DATE($B$3,6,1),0),NETWORKDAYS.INTL(DATE($B$3,6,10),DATE($B$3,6,10),1,'Non-working days'!$A$6:$A$45)=0),"",IF(COUNTIFS('Leave log'!$A$7:$A$306,Employees!$A$20,'Leave log'!$B$7:$B$306,"&lt;="&amp;DATE($B$3,6,10),'Leave log'!$C$7:$C$306,"&gt;="&amp;DATE($B$3,6,10),'Leave log'!$F$7:$F$306,"Pending")&gt;0,"P",""))))</f>
        <v/>
      </c>
      <c r="L191" s="23" t="str">
        <f>IF(A191="","",IF(IF(OR(DATE($B$3,6,11)&gt;EOMONTH(DATE($B$3,6,1),0),NETWORKDAYS.INTL(DATE($B$3,6,11),DATE($B$3,6,11),1,'Non-working days'!$A$6:$A$45)=0),"",IF(COUNTIFS('Leave log'!$A$7:$A$306,Employees!$A$20,'Leave log'!$B$7:$B$306,"&lt;="&amp;DATE($B$3,6,11),'Leave log'!$C$7:$C$306,"&gt;="&amp;DATE($B$3,6,11),'Leave log'!$F$7:$F$306,"Approved")&gt;0,"A",""))="A","A",IF(OR(DATE($B$3,6,11)&gt;EOMONTH(DATE($B$3,6,1),0),NETWORKDAYS.INTL(DATE($B$3,6,11),DATE($B$3,6,11),1,'Non-working days'!$A$6:$A$45)=0),"",IF(COUNTIFS('Leave log'!$A$7:$A$306,Employees!$A$20,'Leave log'!$B$7:$B$306,"&lt;="&amp;DATE($B$3,6,11),'Leave log'!$C$7:$C$306,"&gt;="&amp;DATE($B$3,6,11),'Leave log'!$F$7:$F$306,"Pending")&gt;0,"P",""))))</f>
        <v/>
      </c>
      <c r="M191" s="23" t="str">
        <f>IF(A191="","",IF(IF(OR(DATE($B$3,6,12)&gt;EOMONTH(DATE($B$3,6,1),0),NETWORKDAYS.INTL(DATE($B$3,6,12),DATE($B$3,6,12),1,'Non-working days'!$A$6:$A$45)=0),"",IF(COUNTIFS('Leave log'!$A$7:$A$306,Employees!$A$20,'Leave log'!$B$7:$B$306,"&lt;="&amp;DATE($B$3,6,12),'Leave log'!$C$7:$C$306,"&gt;="&amp;DATE($B$3,6,12),'Leave log'!$F$7:$F$306,"Approved")&gt;0,"A",""))="A","A",IF(OR(DATE($B$3,6,12)&gt;EOMONTH(DATE($B$3,6,1),0),NETWORKDAYS.INTL(DATE($B$3,6,12),DATE($B$3,6,12),1,'Non-working days'!$A$6:$A$45)=0),"",IF(COUNTIFS('Leave log'!$A$7:$A$306,Employees!$A$20,'Leave log'!$B$7:$B$306,"&lt;="&amp;DATE($B$3,6,12),'Leave log'!$C$7:$C$306,"&gt;="&amp;DATE($B$3,6,12),'Leave log'!$F$7:$F$306,"Pending")&gt;0,"P",""))))</f>
        <v/>
      </c>
      <c r="N191" s="23" t="str">
        <f>IF(A191="","",IF(IF(OR(DATE($B$3,6,13)&gt;EOMONTH(DATE($B$3,6,1),0),NETWORKDAYS.INTL(DATE($B$3,6,13),DATE($B$3,6,13),1,'Non-working days'!$A$6:$A$45)=0),"",IF(COUNTIFS('Leave log'!$A$7:$A$306,Employees!$A$20,'Leave log'!$B$7:$B$306,"&lt;="&amp;DATE($B$3,6,13),'Leave log'!$C$7:$C$306,"&gt;="&amp;DATE($B$3,6,13),'Leave log'!$F$7:$F$306,"Approved")&gt;0,"A",""))="A","A",IF(OR(DATE($B$3,6,13)&gt;EOMONTH(DATE($B$3,6,1),0),NETWORKDAYS.INTL(DATE($B$3,6,13),DATE($B$3,6,13),1,'Non-working days'!$A$6:$A$45)=0),"",IF(COUNTIFS('Leave log'!$A$7:$A$306,Employees!$A$20,'Leave log'!$B$7:$B$306,"&lt;="&amp;DATE($B$3,6,13),'Leave log'!$C$7:$C$306,"&gt;="&amp;DATE($B$3,6,13),'Leave log'!$F$7:$F$306,"Pending")&gt;0,"P",""))))</f>
        <v/>
      </c>
      <c r="O191" s="23" t="str">
        <f>IF(A191="","",IF(IF(OR(DATE($B$3,6,14)&gt;EOMONTH(DATE($B$3,6,1),0),NETWORKDAYS.INTL(DATE($B$3,6,14),DATE($B$3,6,14),1,'Non-working days'!$A$6:$A$45)=0),"",IF(COUNTIFS('Leave log'!$A$7:$A$306,Employees!$A$20,'Leave log'!$B$7:$B$306,"&lt;="&amp;DATE($B$3,6,14),'Leave log'!$C$7:$C$306,"&gt;="&amp;DATE($B$3,6,14),'Leave log'!$F$7:$F$306,"Approved")&gt;0,"A",""))="A","A",IF(OR(DATE($B$3,6,14)&gt;EOMONTH(DATE($B$3,6,1),0),NETWORKDAYS.INTL(DATE($B$3,6,14),DATE($B$3,6,14),1,'Non-working days'!$A$6:$A$45)=0),"",IF(COUNTIFS('Leave log'!$A$7:$A$306,Employees!$A$20,'Leave log'!$B$7:$B$306,"&lt;="&amp;DATE($B$3,6,14),'Leave log'!$C$7:$C$306,"&gt;="&amp;DATE($B$3,6,14),'Leave log'!$F$7:$F$306,"Pending")&gt;0,"P",""))))</f>
        <v/>
      </c>
      <c r="P191" s="23" t="str">
        <f>IF(A191="","",IF(IF(OR(DATE($B$3,6,15)&gt;EOMONTH(DATE($B$3,6,1),0),NETWORKDAYS.INTL(DATE($B$3,6,15),DATE($B$3,6,15),1,'Non-working days'!$A$6:$A$45)=0),"",IF(COUNTIFS('Leave log'!$A$7:$A$306,Employees!$A$20,'Leave log'!$B$7:$B$306,"&lt;="&amp;DATE($B$3,6,15),'Leave log'!$C$7:$C$306,"&gt;="&amp;DATE($B$3,6,15),'Leave log'!$F$7:$F$306,"Approved")&gt;0,"A",""))="A","A",IF(OR(DATE($B$3,6,15)&gt;EOMONTH(DATE($B$3,6,1),0),NETWORKDAYS.INTL(DATE($B$3,6,15),DATE($B$3,6,15),1,'Non-working days'!$A$6:$A$45)=0),"",IF(COUNTIFS('Leave log'!$A$7:$A$306,Employees!$A$20,'Leave log'!$B$7:$B$306,"&lt;="&amp;DATE($B$3,6,15),'Leave log'!$C$7:$C$306,"&gt;="&amp;DATE($B$3,6,15),'Leave log'!$F$7:$F$306,"Pending")&gt;0,"P",""))))</f>
        <v/>
      </c>
      <c r="Q191" s="23" t="str">
        <f>IF(A191="","",IF(IF(OR(DATE($B$3,6,16)&gt;EOMONTH(DATE($B$3,6,1),0),NETWORKDAYS.INTL(DATE($B$3,6,16),DATE($B$3,6,16),1,'Non-working days'!$A$6:$A$45)=0),"",IF(COUNTIFS('Leave log'!$A$7:$A$306,Employees!$A$20,'Leave log'!$B$7:$B$306,"&lt;="&amp;DATE($B$3,6,16),'Leave log'!$C$7:$C$306,"&gt;="&amp;DATE($B$3,6,16),'Leave log'!$F$7:$F$306,"Approved")&gt;0,"A",""))="A","A",IF(OR(DATE($B$3,6,16)&gt;EOMONTH(DATE($B$3,6,1),0),NETWORKDAYS.INTL(DATE($B$3,6,16),DATE($B$3,6,16),1,'Non-working days'!$A$6:$A$45)=0),"",IF(COUNTIFS('Leave log'!$A$7:$A$306,Employees!$A$20,'Leave log'!$B$7:$B$306,"&lt;="&amp;DATE($B$3,6,16),'Leave log'!$C$7:$C$306,"&gt;="&amp;DATE($B$3,6,16),'Leave log'!$F$7:$F$306,"Pending")&gt;0,"P",""))))</f>
        <v/>
      </c>
      <c r="R191" s="23" t="str">
        <f>IF(A191="","",IF(IF(OR(DATE($B$3,6,17)&gt;EOMONTH(DATE($B$3,6,1),0),NETWORKDAYS.INTL(DATE($B$3,6,17),DATE($B$3,6,17),1,'Non-working days'!$A$6:$A$45)=0),"",IF(COUNTIFS('Leave log'!$A$7:$A$306,Employees!$A$20,'Leave log'!$B$7:$B$306,"&lt;="&amp;DATE($B$3,6,17),'Leave log'!$C$7:$C$306,"&gt;="&amp;DATE($B$3,6,17),'Leave log'!$F$7:$F$306,"Approved")&gt;0,"A",""))="A","A",IF(OR(DATE($B$3,6,17)&gt;EOMONTH(DATE($B$3,6,1),0),NETWORKDAYS.INTL(DATE($B$3,6,17),DATE($B$3,6,17),1,'Non-working days'!$A$6:$A$45)=0),"",IF(COUNTIFS('Leave log'!$A$7:$A$306,Employees!$A$20,'Leave log'!$B$7:$B$306,"&lt;="&amp;DATE($B$3,6,17),'Leave log'!$C$7:$C$306,"&gt;="&amp;DATE($B$3,6,17),'Leave log'!$F$7:$F$306,"Pending")&gt;0,"P",""))))</f>
        <v/>
      </c>
      <c r="S191" s="23" t="str">
        <f>IF(A191="","",IF(IF(OR(DATE($B$3,6,18)&gt;EOMONTH(DATE($B$3,6,1),0),NETWORKDAYS.INTL(DATE($B$3,6,18),DATE($B$3,6,18),1,'Non-working days'!$A$6:$A$45)=0),"",IF(COUNTIFS('Leave log'!$A$7:$A$306,Employees!$A$20,'Leave log'!$B$7:$B$306,"&lt;="&amp;DATE($B$3,6,18),'Leave log'!$C$7:$C$306,"&gt;="&amp;DATE($B$3,6,18),'Leave log'!$F$7:$F$306,"Approved")&gt;0,"A",""))="A","A",IF(OR(DATE($B$3,6,18)&gt;EOMONTH(DATE($B$3,6,1),0),NETWORKDAYS.INTL(DATE($B$3,6,18),DATE($B$3,6,18),1,'Non-working days'!$A$6:$A$45)=0),"",IF(COUNTIFS('Leave log'!$A$7:$A$306,Employees!$A$20,'Leave log'!$B$7:$B$306,"&lt;="&amp;DATE($B$3,6,18),'Leave log'!$C$7:$C$306,"&gt;="&amp;DATE($B$3,6,18),'Leave log'!$F$7:$F$306,"Pending")&gt;0,"P",""))))</f>
        <v/>
      </c>
      <c r="T191" s="23" t="str">
        <f>IF(A191="","",IF(IF(OR(DATE($B$3,6,19)&gt;EOMONTH(DATE($B$3,6,1),0),NETWORKDAYS.INTL(DATE($B$3,6,19),DATE($B$3,6,19),1,'Non-working days'!$A$6:$A$45)=0),"",IF(COUNTIFS('Leave log'!$A$7:$A$306,Employees!$A$20,'Leave log'!$B$7:$B$306,"&lt;="&amp;DATE($B$3,6,19),'Leave log'!$C$7:$C$306,"&gt;="&amp;DATE($B$3,6,19),'Leave log'!$F$7:$F$306,"Approved")&gt;0,"A",""))="A","A",IF(OR(DATE($B$3,6,19)&gt;EOMONTH(DATE($B$3,6,1),0),NETWORKDAYS.INTL(DATE($B$3,6,19),DATE($B$3,6,19),1,'Non-working days'!$A$6:$A$45)=0),"",IF(COUNTIFS('Leave log'!$A$7:$A$306,Employees!$A$20,'Leave log'!$B$7:$B$306,"&lt;="&amp;DATE($B$3,6,19),'Leave log'!$C$7:$C$306,"&gt;="&amp;DATE($B$3,6,19),'Leave log'!$F$7:$F$306,"Pending")&gt;0,"P",""))))</f>
        <v/>
      </c>
      <c r="U191" s="23" t="str">
        <f>IF(A191="","",IF(IF(OR(DATE($B$3,6,20)&gt;EOMONTH(DATE($B$3,6,1),0),NETWORKDAYS.INTL(DATE($B$3,6,20),DATE($B$3,6,20),1,'Non-working days'!$A$6:$A$45)=0),"",IF(COUNTIFS('Leave log'!$A$7:$A$306,Employees!$A$20,'Leave log'!$B$7:$B$306,"&lt;="&amp;DATE($B$3,6,20),'Leave log'!$C$7:$C$306,"&gt;="&amp;DATE($B$3,6,20),'Leave log'!$F$7:$F$306,"Approved")&gt;0,"A",""))="A","A",IF(OR(DATE($B$3,6,20)&gt;EOMONTH(DATE($B$3,6,1),0),NETWORKDAYS.INTL(DATE($B$3,6,20),DATE($B$3,6,20),1,'Non-working days'!$A$6:$A$45)=0),"",IF(COUNTIFS('Leave log'!$A$7:$A$306,Employees!$A$20,'Leave log'!$B$7:$B$306,"&lt;="&amp;DATE($B$3,6,20),'Leave log'!$C$7:$C$306,"&gt;="&amp;DATE($B$3,6,20),'Leave log'!$F$7:$F$306,"Pending")&gt;0,"P",""))))</f>
        <v/>
      </c>
      <c r="V191" s="23" t="str">
        <f>IF(A191="","",IF(IF(OR(DATE($B$3,6,21)&gt;EOMONTH(DATE($B$3,6,1),0),NETWORKDAYS.INTL(DATE($B$3,6,21),DATE($B$3,6,21),1,'Non-working days'!$A$6:$A$45)=0),"",IF(COUNTIFS('Leave log'!$A$7:$A$306,Employees!$A$20,'Leave log'!$B$7:$B$306,"&lt;="&amp;DATE($B$3,6,21),'Leave log'!$C$7:$C$306,"&gt;="&amp;DATE($B$3,6,21),'Leave log'!$F$7:$F$306,"Approved")&gt;0,"A",""))="A","A",IF(OR(DATE($B$3,6,21)&gt;EOMONTH(DATE($B$3,6,1),0),NETWORKDAYS.INTL(DATE($B$3,6,21),DATE($B$3,6,21),1,'Non-working days'!$A$6:$A$45)=0),"",IF(COUNTIFS('Leave log'!$A$7:$A$306,Employees!$A$20,'Leave log'!$B$7:$B$306,"&lt;="&amp;DATE($B$3,6,21),'Leave log'!$C$7:$C$306,"&gt;="&amp;DATE($B$3,6,21),'Leave log'!$F$7:$F$306,"Pending")&gt;0,"P",""))))</f>
        <v/>
      </c>
      <c r="W191" s="23" t="str">
        <f>IF(A191="","",IF(IF(OR(DATE($B$3,6,22)&gt;EOMONTH(DATE($B$3,6,1),0),NETWORKDAYS.INTL(DATE($B$3,6,22),DATE($B$3,6,22),1,'Non-working days'!$A$6:$A$45)=0),"",IF(COUNTIFS('Leave log'!$A$7:$A$306,Employees!$A$20,'Leave log'!$B$7:$B$306,"&lt;="&amp;DATE($B$3,6,22),'Leave log'!$C$7:$C$306,"&gt;="&amp;DATE($B$3,6,22),'Leave log'!$F$7:$F$306,"Approved")&gt;0,"A",""))="A","A",IF(OR(DATE($B$3,6,22)&gt;EOMONTH(DATE($B$3,6,1),0),NETWORKDAYS.INTL(DATE($B$3,6,22),DATE($B$3,6,22),1,'Non-working days'!$A$6:$A$45)=0),"",IF(COUNTIFS('Leave log'!$A$7:$A$306,Employees!$A$20,'Leave log'!$B$7:$B$306,"&lt;="&amp;DATE($B$3,6,22),'Leave log'!$C$7:$C$306,"&gt;="&amp;DATE($B$3,6,22),'Leave log'!$F$7:$F$306,"Pending")&gt;0,"P",""))))</f>
        <v/>
      </c>
      <c r="X191" s="23" t="str">
        <f>IF(A191="","",IF(IF(OR(DATE($B$3,6,23)&gt;EOMONTH(DATE($B$3,6,1),0),NETWORKDAYS.INTL(DATE($B$3,6,23),DATE($B$3,6,23),1,'Non-working days'!$A$6:$A$45)=0),"",IF(COUNTIFS('Leave log'!$A$7:$A$306,Employees!$A$20,'Leave log'!$B$7:$B$306,"&lt;="&amp;DATE($B$3,6,23),'Leave log'!$C$7:$C$306,"&gt;="&amp;DATE($B$3,6,23),'Leave log'!$F$7:$F$306,"Approved")&gt;0,"A",""))="A","A",IF(OR(DATE($B$3,6,23)&gt;EOMONTH(DATE($B$3,6,1),0),NETWORKDAYS.INTL(DATE($B$3,6,23),DATE($B$3,6,23),1,'Non-working days'!$A$6:$A$45)=0),"",IF(COUNTIFS('Leave log'!$A$7:$A$306,Employees!$A$20,'Leave log'!$B$7:$B$306,"&lt;="&amp;DATE($B$3,6,23),'Leave log'!$C$7:$C$306,"&gt;="&amp;DATE($B$3,6,23),'Leave log'!$F$7:$F$306,"Pending")&gt;0,"P",""))))</f>
        <v/>
      </c>
      <c r="Y191" s="23" t="str">
        <f>IF(A191="","",IF(IF(OR(DATE($B$3,6,24)&gt;EOMONTH(DATE($B$3,6,1),0),NETWORKDAYS.INTL(DATE($B$3,6,24),DATE($B$3,6,24),1,'Non-working days'!$A$6:$A$45)=0),"",IF(COUNTIFS('Leave log'!$A$7:$A$306,Employees!$A$20,'Leave log'!$B$7:$B$306,"&lt;="&amp;DATE($B$3,6,24),'Leave log'!$C$7:$C$306,"&gt;="&amp;DATE($B$3,6,24),'Leave log'!$F$7:$F$306,"Approved")&gt;0,"A",""))="A","A",IF(OR(DATE($B$3,6,24)&gt;EOMONTH(DATE($B$3,6,1),0),NETWORKDAYS.INTL(DATE($B$3,6,24),DATE($B$3,6,24),1,'Non-working days'!$A$6:$A$45)=0),"",IF(COUNTIFS('Leave log'!$A$7:$A$306,Employees!$A$20,'Leave log'!$B$7:$B$306,"&lt;="&amp;DATE($B$3,6,24),'Leave log'!$C$7:$C$306,"&gt;="&amp;DATE($B$3,6,24),'Leave log'!$F$7:$F$306,"Pending")&gt;0,"P",""))))</f>
        <v/>
      </c>
      <c r="Z191" s="23" t="str">
        <f>IF(A191="","",IF(IF(OR(DATE($B$3,6,25)&gt;EOMONTH(DATE($B$3,6,1),0),NETWORKDAYS.INTL(DATE($B$3,6,25),DATE($B$3,6,25),1,'Non-working days'!$A$6:$A$45)=0),"",IF(COUNTIFS('Leave log'!$A$7:$A$306,Employees!$A$20,'Leave log'!$B$7:$B$306,"&lt;="&amp;DATE($B$3,6,25),'Leave log'!$C$7:$C$306,"&gt;="&amp;DATE($B$3,6,25),'Leave log'!$F$7:$F$306,"Approved")&gt;0,"A",""))="A","A",IF(OR(DATE($B$3,6,25)&gt;EOMONTH(DATE($B$3,6,1),0),NETWORKDAYS.INTL(DATE($B$3,6,25),DATE($B$3,6,25),1,'Non-working days'!$A$6:$A$45)=0),"",IF(COUNTIFS('Leave log'!$A$7:$A$306,Employees!$A$20,'Leave log'!$B$7:$B$306,"&lt;="&amp;DATE($B$3,6,25),'Leave log'!$C$7:$C$306,"&gt;="&amp;DATE($B$3,6,25),'Leave log'!$F$7:$F$306,"Pending")&gt;0,"P",""))))</f>
        <v/>
      </c>
      <c r="AA191" s="23" t="str">
        <f>IF(A191="","",IF(IF(OR(DATE($B$3,6,26)&gt;EOMONTH(DATE($B$3,6,1),0),NETWORKDAYS.INTL(DATE($B$3,6,26),DATE($B$3,6,26),1,'Non-working days'!$A$6:$A$45)=0),"",IF(COUNTIFS('Leave log'!$A$7:$A$306,Employees!$A$20,'Leave log'!$B$7:$B$306,"&lt;="&amp;DATE($B$3,6,26),'Leave log'!$C$7:$C$306,"&gt;="&amp;DATE($B$3,6,26),'Leave log'!$F$7:$F$306,"Approved")&gt;0,"A",""))="A","A",IF(OR(DATE($B$3,6,26)&gt;EOMONTH(DATE($B$3,6,1),0),NETWORKDAYS.INTL(DATE($B$3,6,26),DATE($B$3,6,26),1,'Non-working days'!$A$6:$A$45)=0),"",IF(COUNTIFS('Leave log'!$A$7:$A$306,Employees!$A$20,'Leave log'!$B$7:$B$306,"&lt;="&amp;DATE($B$3,6,26),'Leave log'!$C$7:$C$306,"&gt;="&amp;DATE($B$3,6,26),'Leave log'!$F$7:$F$306,"Pending")&gt;0,"P",""))))</f>
        <v/>
      </c>
      <c r="AB191" s="23" t="str">
        <f>IF(A191="","",IF(IF(OR(DATE($B$3,6,27)&gt;EOMONTH(DATE($B$3,6,1),0),NETWORKDAYS.INTL(DATE($B$3,6,27),DATE($B$3,6,27),1,'Non-working days'!$A$6:$A$45)=0),"",IF(COUNTIFS('Leave log'!$A$7:$A$306,Employees!$A$20,'Leave log'!$B$7:$B$306,"&lt;="&amp;DATE($B$3,6,27),'Leave log'!$C$7:$C$306,"&gt;="&amp;DATE($B$3,6,27),'Leave log'!$F$7:$F$306,"Approved")&gt;0,"A",""))="A","A",IF(OR(DATE($B$3,6,27)&gt;EOMONTH(DATE($B$3,6,1),0),NETWORKDAYS.INTL(DATE($B$3,6,27),DATE($B$3,6,27),1,'Non-working days'!$A$6:$A$45)=0),"",IF(COUNTIFS('Leave log'!$A$7:$A$306,Employees!$A$20,'Leave log'!$B$7:$B$306,"&lt;="&amp;DATE($B$3,6,27),'Leave log'!$C$7:$C$306,"&gt;="&amp;DATE($B$3,6,27),'Leave log'!$F$7:$F$306,"Pending")&gt;0,"P",""))))</f>
        <v/>
      </c>
      <c r="AC191" s="23" t="str">
        <f>IF(A191="","",IF(IF(OR(DATE($B$3,6,28)&gt;EOMONTH(DATE($B$3,6,1),0),NETWORKDAYS.INTL(DATE($B$3,6,28),DATE($B$3,6,28),1,'Non-working days'!$A$6:$A$45)=0),"",IF(COUNTIFS('Leave log'!$A$7:$A$306,Employees!$A$20,'Leave log'!$B$7:$B$306,"&lt;="&amp;DATE($B$3,6,28),'Leave log'!$C$7:$C$306,"&gt;="&amp;DATE($B$3,6,28),'Leave log'!$F$7:$F$306,"Approved")&gt;0,"A",""))="A","A",IF(OR(DATE($B$3,6,28)&gt;EOMONTH(DATE($B$3,6,1),0),NETWORKDAYS.INTL(DATE($B$3,6,28),DATE($B$3,6,28),1,'Non-working days'!$A$6:$A$45)=0),"",IF(COUNTIFS('Leave log'!$A$7:$A$306,Employees!$A$20,'Leave log'!$B$7:$B$306,"&lt;="&amp;DATE($B$3,6,28),'Leave log'!$C$7:$C$306,"&gt;="&amp;DATE($B$3,6,28),'Leave log'!$F$7:$F$306,"Pending")&gt;0,"P",""))))</f>
        <v/>
      </c>
      <c r="AD191" s="23" t="str">
        <f>IF(A191="","",IF(IF(OR(DATE($B$3,6,29)&gt;EOMONTH(DATE($B$3,6,1),0),NETWORKDAYS.INTL(DATE($B$3,6,29),DATE($B$3,6,29),1,'Non-working days'!$A$6:$A$45)=0),"",IF(COUNTIFS('Leave log'!$A$7:$A$306,Employees!$A$20,'Leave log'!$B$7:$B$306,"&lt;="&amp;DATE($B$3,6,29),'Leave log'!$C$7:$C$306,"&gt;="&amp;DATE($B$3,6,29),'Leave log'!$F$7:$F$306,"Approved")&gt;0,"A",""))="A","A",IF(OR(DATE($B$3,6,29)&gt;EOMONTH(DATE($B$3,6,1),0),NETWORKDAYS.INTL(DATE($B$3,6,29),DATE($B$3,6,29),1,'Non-working days'!$A$6:$A$45)=0),"",IF(COUNTIFS('Leave log'!$A$7:$A$306,Employees!$A$20,'Leave log'!$B$7:$B$306,"&lt;="&amp;DATE($B$3,6,29),'Leave log'!$C$7:$C$306,"&gt;="&amp;DATE($B$3,6,29),'Leave log'!$F$7:$F$306,"Pending")&gt;0,"P",""))))</f>
        <v/>
      </c>
      <c r="AE191" s="23" t="str">
        <f>IF(A191="","",IF(IF(OR(DATE($B$3,6,30)&gt;EOMONTH(DATE($B$3,6,1),0),NETWORKDAYS.INTL(DATE($B$3,6,30),DATE($B$3,6,30),1,'Non-working days'!$A$6:$A$45)=0),"",IF(COUNTIFS('Leave log'!$A$7:$A$306,Employees!$A$20,'Leave log'!$B$7:$B$306,"&lt;="&amp;DATE($B$3,6,30),'Leave log'!$C$7:$C$306,"&gt;="&amp;DATE($B$3,6,30),'Leave log'!$F$7:$F$306,"Approved")&gt;0,"A",""))="A","A",IF(OR(DATE($B$3,6,30)&gt;EOMONTH(DATE($B$3,6,1),0),NETWORKDAYS.INTL(DATE($B$3,6,30),DATE($B$3,6,30),1,'Non-working days'!$A$6:$A$45)=0),"",IF(COUNTIFS('Leave log'!$A$7:$A$306,Employees!$A$20,'Leave log'!$B$7:$B$306,"&lt;="&amp;DATE($B$3,6,30),'Leave log'!$C$7:$C$306,"&gt;="&amp;DATE($B$3,6,30),'Leave log'!$F$7:$F$306,"Pending")&gt;0,"P",""))))</f>
        <v/>
      </c>
      <c r="AF191" s="23" t="str">
        <f>IF(A191="","",IF(IF(OR(DATE($B$3,6,31)&gt;EOMONTH(DATE($B$3,6,1),0),NETWORKDAYS.INTL(DATE($B$3,6,31),DATE($B$3,6,31),1,'Non-working days'!$A$6:$A$45)=0),"",IF(COUNTIFS('Leave log'!$A$7:$A$306,Employees!$A$20,'Leave log'!$B$7:$B$306,"&lt;="&amp;DATE($B$3,6,31),'Leave log'!$C$7:$C$306,"&gt;="&amp;DATE($B$3,6,31),'Leave log'!$F$7:$F$306,"Approved")&gt;0,"A",""))="A","A",IF(OR(DATE($B$3,6,31)&gt;EOMONTH(DATE($B$3,6,1),0),NETWORKDAYS.INTL(DATE($B$3,6,31),DATE($B$3,6,31),1,'Non-working days'!$A$6:$A$45)=0),"",IF(COUNTIFS('Leave log'!$A$7:$A$306,Employees!$A$20,'Leave log'!$B$7:$B$306,"&lt;="&amp;DATE($B$3,6,31),'Leave log'!$C$7:$C$306,"&gt;="&amp;DATE($B$3,6,31),'Leave log'!$F$7:$F$306,"Pending")&gt;0,"P",""))))</f>
        <v/>
      </c>
    </row>
    <row r="192" spans="1:32" ht="18" customHeight="1" x14ac:dyDescent="0.3">
      <c r="A192" s="22" t="str">
        <f>IF(Employees!F21="Yes",Employees!B21,"")</f>
        <v/>
      </c>
      <c r="B192" s="23" t="str">
        <f>IF(A192="","",IF(IF(OR(DATE($B$3,6,1)&gt;EOMONTH(DATE($B$3,6,1),0),NETWORKDAYS.INTL(DATE($B$3,6,1),DATE($B$3,6,1),1,'Non-working days'!$A$6:$A$45)=0),"",IF(COUNTIFS('Leave log'!$A$7:$A$306,Employees!$A$21,'Leave log'!$B$7:$B$306,"&lt;="&amp;DATE($B$3,6,1),'Leave log'!$C$7:$C$306,"&gt;="&amp;DATE($B$3,6,1),'Leave log'!$F$7:$F$306,"Approved")&gt;0,"A",""))="A","A",IF(OR(DATE($B$3,6,1)&gt;EOMONTH(DATE($B$3,6,1),0),NETWORKDAYS.INTL(DATE($B$3,6,1),DATE($B$3,6,1),1,'Non-working days'!$A$6:$A$45)=0),"",IF(COUNTIFS('Leave log'!$A$7:$A$306,Employees!$A$21,'Leave log'!$B$7:$B$306,"&lt;="&amp;DATE($B$3,6,1),'Leave log'!$C$7:$C$306,"&gt;="&amp;DATE($B$3,6,1),'Leave log'!$F$7:$F$306,"Pending")&gt;0,"P",""))))</f>
        <v/>
      </c>
      <c r="C192" s="23" t="str">
        <f>IF(A192="","",IF(IF(OR(DATE($B$3,6,2)&gt;EOMONTH(DATE($B$3,6,1),0),NETWORKDAYS.INTL(DATE($B$3,6,2),DATE($B$3,6,2),1,'Non-working days'!$A$6:$A$45)=0),"",IF(COUNTIFS('Leave log'!$A$7:$A$306,Employees!$A$21,'Leave log'!$B$7:$B$306,"&lt;="&amp;DATE($B$3,6,2),'Leave log'!$C$7:$C$306,"&gt;="&amp;DATE($B$3,6,2),'Leave log'!$F$7:$F$306,"Approved")&gt;0,"A",""))="A","A",IF(OR(DATE($B$3,6,2)&gt;EOMONTH(DATE($B$3,6,1),0),NETWORKDAYS.INTL(DATE($B$3,6,2),DATE($B$3,6,2),1,'Non-working days'!$A$6:$A$45)=0),"",IF(COUNTIFS('Leave log'!$A$7:$A$306,Employees!$A$21,'Leave log'!$B$7:$B$306,"&lt;="&amp;DATE($B$3,6,2),'Leave log'!$C$7:$C$306,"&gt;="&amp;DATE($B$3,6,2),'Leave log'!$F$7:$F$306,"Pending")&gt;0,"P",""))))</f>
        <v/>
      </c>
      <c r="D192" s="23" t="str">
        <f>IF(A192="","",IF(IF(OR(DATE($B$3,6,3)&gt;EOMONTH(DATE($B$3,6,1),0),NETWORKDAYS.INTL(DATE($B$3,6,3),DATE($B$3,6,3),1,'Non-working days'!$A$6:$A$45)=0),"",IF(COUNTIFS('Leave log'!$A$7:$A$306,Employees!$A$21,'Leave log'!$B$7:$B$306,"&lt;="&amp;DATE($B$3,6,3),'Leave log'!$C$7:$C$306,"&gt;="&amp;DATE($B$3,6,3),'Leave log'!$F$7:$F$306,"Approved")&gt;0,"A",""))="A","A",IF(OR(DATE($B$3,6,3)&gt;EOMONTH(DATE($B$3,6,1),0),NETWORKDAYS.INTL(DATE($B$3,6,3),DATE($B$3,6,3),1,'Non-working days'!$A$6:$A$45)=0),"",IF(COUNTIFS('Leave log'!$A$7:$A$306,Employees!$A$21,'Leave log'!$B$7:$B$306,"&lt;="&amp;DATE($B$3,6,3),'Leave log'!$C$7:$C$306,"&gt;="&amp;DATE($B$3,6,3),'Leave log'!$F$7:$F$306,"Pending")&gt;0,"P",""))))</f>
        <v/>
      </c>
      <c r="E192" s="23" t="str">
        <f>IF(A192="","",IF(IF(OR(DATE($B$3,6,4)&gt;EOMONTH(DATE($B$3,6,1),0),NETWORKDAYS.INTL(DATE($B$3,6,4),DATE($B$3,6,4),1,'Non-working days'!$A$6:$A$45)=0),"",IF(COUNTIFS('Leave log'!$A$7:$A$306,Employees!$A$21,'Leave log'!$B$7:$B$306,"&lt;="&amp;DATE($B$3,6,4),'Leave log'!$C$7:$C$306,"&gt;="&amp;DATE($B$3,6,4),'Leave log'!$F$7:$F$306,"Approved")&gt;0,"A",""))="A","A",IF(OR(DATE($B$3,6,4)&gt;EOMONTH(DATE($B$3,6,1),0),NETWORKDAYS.INTL(DATE($B$3,6,4),DATE($B$3,6,4),1,'Non-working days'!$A$6:$A$45)=0),"",IF(COUNTIFS('Leave log'!$A$7:$A$306,Employees!$A$21,'Leave log'!$B$7:$B$306,"&lt;="&amp;DATE($B$3,6,4),'Leave log'!$C$7:$C$306,"&gt;="&amp;DATE($B$3,6,4),'Leave log'!$F$7:$F$306,"Pending")&gt;0,"P",""))))</f>
        <v/>
      </c>
      <c r="F192" s="23" t="str">
        <f>IF(A192="","",IF(IF(OR(DATE($B$3,6,5)&gt;EOMONTH(DATE($B$3,6,1),0),NETWORKDAYS.INTL(DATE($B$3,6,5),DATE($B$3,6,5),1,'Non-working days'!$A$6:$A$45)=0),"",IF(COUNTIFS('Leave log'!$A$7:$A$306,Employees!$A$21,'Leave log'!$B$7:$B$306,"&lt;="&amp;DATE($B$3,6,5),'Leave log'!$C$7:$C$306,"&gt;="&amp;DATE($B$3,6,5),'Leave log'!$F$7:$F$306,"Approved")&gt;0,"A",""))="A","A",IF(OR(DATE($B$3,6,5)&gt;EOMONTH(DATE($B$3,6,1),0),NETWORKDAYS.INTL(DATE($B$3,6,5),DATE($B$3,6,5),1,'Non-working days'!$A$6:$A$45)=0),"",IF(COUNTIFS('Leave log'!$A$7:$A$306,Employees!$A$21,'Leave log'!$B$7:$B$306,"&lt;="&amp;DATE($B$3,6,5),'Leave log'!$C$7:$C$306,"&gt;="&amp;DATE($B$3,6,5),'Leave log'!$F$7:$F$306,"Pending")&gt;0,"P",""))))</f>
        <v/>
      </c>
      <c r="G192" s="23" t="str">
        <f>IF(A192="","",IF(IF(OR(DATE($B$3,6,6)&gt;EOMONTH(DATE($B$3,6,1),0),NETWORKDAYS.INTL(DATE($B$3,6,6),DATE($B$3,6,6),1,'Non-working days'!$A$6:$A$45)=0),"",IF(COUNTIFS('Leave log'!$A$7:$A$306,Employees!$A$21,'Leave log'!$B$7:$B$306,"&lt;="&amp;DATE($B$3,6,6),'Leave log'!$C$7:$C$306,"&gt;="&amp;DATE($B$3,6,6),'Leave log'!$F$7:$F$306,"Approved")&gt;0,"A",""))="A","A",IF(OR(DATE($B$3,6,6)&gt;EOMONTH(DATE($B$3,6,1),0),NETWORKDAYS.INTL(DATE($B$3,6,6),DATE($B$3,6,6),1,'Non-working days'!$A$6:$A$45)=0),"",IF(COUNTIFS('Leave log'!$A$7:$A$306,Employees!$A$21,'Leave log'!$B$7:$B$306,"&lt;="&amp;DATE($B$3,6,6),'Leave log'!$C$7:$C$306,"&gt;="&amp;DATE($B$3,6,6),'Leave log'!$F$7:$F$306,"Pending")&gt;0,"P",""))))</f>
        <v/>
      </c>
      <c r="H192" s="23" t="str">
        <f>IF(A192="","",IF(IF(OR(DATE($B$3,6,7)&gt;EOMONTH(DATE($B$3,6,1),0),NETWORKDAYS.INTL(DATE($B$3,6,7),DATE($B$3,6,7),1,'Non-working days'!$A$6:$A$45)=0),"",IF(COUNTIFS('Leave log'!$A$7:$A$306,Employees!$A$21,'Leave log'!$B$7:$B$306,"&lt;="&amp;DATE($B$3,6,7),'Leave log'!$C$7:$C$306,"&gt;="&amp;DATE($B$3,6,7),'Leave log'!$F$7:$F$306,"Approved")&gt;0,"A",""))="A","A",IF(OR(DATE($B$3,6,7)&gt;EOMONTH(DATE($B$3,6,1),0),NETWORKDAYS.INTL(DATE($B$3,6,7),DATE($B$3,6,7),1,'Non-working days'!$A$6:$A$45)=0),"",IF(COUNTIFS('Leave log'!$A$7:$A$306,Employees!$A$21,'Leave log'!$B$7:$B$306,"&lt;="&amp;DATE($B$3,6,7),'Leave log'!$C$7:$C$306,"&gt;="&amp;DATE($B$3,6,7),'Leave log'!$F$7:$F$306,"Pending")&gt;0,"P",""))))</f>
        <v/>
      </c>
      <c r="I192" s="23" t="str">
        <f>IF(A192="","",IF(IF(OR(DATE($B$3,6,8)&gt;EOMONTH(DATE($B$3,6,1),0),NETWORKDAYS.INTL(DATE($B$3,6,8),DATE($B$3,6,8),1,'Non-working days'!$A$6:$A$45)=0),"",IF(COUNTIFS('Leave log'!$A$7:$A$306,Employees!$A$21,'Leave log'!$B$7:$B$306,"&lt;="&amp;DATE($B$3,6,8),'Leave log'!$C$7:$C$306,"&gt;="&amp;DATE($B$3,6,8),'Leave log'!$F$7:$F$306,"Approved")&gt;0,"A",""))="A","A",IF(OR(DATE($B$3,6,8)&gt;EOMONTH(DATE($B$3,6,1),0),NETWORKDAYS.INTL(DATE($B$3,6,8),DATE($B$3,6,8),1,'Non-working days'!$A$6:$A$45)=0),"",IF(COUNTIFS('Leave log'!$A$7:$A$306,Employees!$A$21,'Leave log'!$B$7:$B$306,"&lt;="&amp;DATE($B$3,6,8),'Leave log'!$C$7:$C$306,"&gt;="&amp;DATE($B$3,6,8),'Leave log'!$F$7:$F$306,"Pending")&gt;0,"P",""))))</f>
        <v/>
      </c>
      <c r="J192" s="23" t="str">
        <f>IF(A192="","",IF(IF(OR(DATE($B$3,6,9)&gt;EOMONTH(DATE($B$3,6,1),0),NETWORKDAYS.INTL(DATE($B$3,6,9),DATE($B$3,6,9),1,'Non-working days'!$A$6:$A$45)=0),"",IF(COUNTIFS('Leave log'!$A$7:$A$306,Employees!$A$21,'Leave log'!$B$7:$B$306,"&lt;="&amp;DATE($B$3,6,9),'Leave log'!$C$7:$C$306,"&gt;="&amp;DATE($B$3,6,9),'Leave log'!$F$7:$F$306,"Approved")&gt;0,"A",""))="A","A",IF(OR(DATE($B$3,6,9)&gt;EOMONTH(DATE($B$3,6,1),0),NETWORKDAYS.INTL(DATE($B$3,6,9),DATE($B$3,6,9),1,'Non-working days'!$A$6:$A$45)=0),"",IF(COUNTIFS('Leave log'!$A$7:$A$306,Employees!$A$21,'Leave log'!$B$7:$B$306,"&lt;="&amp;DATE($B$3,6,9),'Leave log'!$C$7:$C$306,"&gt;="&amp;DATE($B$3,6,9),'Leave log'!$F$7:$F$306,"Pending")&gt;0,"P",""))))</f>
        <v/>
      </c>
      <c r="K192" s="23" t="str">
        <f>IF(A192="","",IF(IF(OR(DATE($B$3,6,10)&gt;EOMONTH(DATE($B$3,6,1),0),NETWORKDAYS.INTL(DATE($B$3,6,10),DATE($B$3,6,10),1,'Non-working days'!$A$6:$A$45)=0),"",IF(COUNTIFS('Leave log'!$A$7:$A$306,Employees!$A$21,'Leave log'!$B$7:$B$306,"&lt;="&amp;DATE($B$3,6,10),'Leave log'!$C$7:$C$306,"&gt;="&amp;DATE($B$3,6,10),'Leave log'!$F$7:$F$306,"Approved")&gt;0,"A",""))="A","A",IF(OR(DATE($B$3,6,10)&gt;EOMONTH(DATE($B$3,6,1),0),NETWORKDAYS.INTL(DATE($B$3,6,10),DATE($B$3,6,10),1,'Non-working days'!$A$6:$A$45)=0),"",IF(COUNTIFS('Leave log'!$A$7:$A$306,Employees!$A$21,'Leave log'!$B$7:$B$306,"&lt;="&amp;DATE($B$3,6,10),'Leave log'!$C$7:$C$306,"&gt;="&amp;DATE($B$3,6,10),'Leave log'!$F$7:$F$306,"Pending")&gt;0,"P",""))))</f>
        <v/>
      </c>
      <c r="L192" s="23" t="str">
        <f>IF(A192="","",IF(IF(OR(DATE($B$3,6,11)&gt;EOMONTH(DATE($B$3,6,1),0),NETWORKDAYS.INTL(DATE($B$3,6,11),DATE($B$3,6,11),1,'Non-working days'!$A$6:$A$45)=0),"",IF(COUNTIFS('Leave log'!$A$7:$A$306,Employees!$A$21,'Leave log'!$B$7:$B$306,"&lt;="&amp;DATE($B$3,6,11),'Leave log'!$C$7:$C$306,"&gt;="&amp;DATE($B$3,6,11),'Leave log'!$F$7:$F$306,"Approved")&gt;0,"A",""))="A","A",IF(OR(DATE($B$3,6,11)&gt;EOMONTH(DATE($B$3,6,1),0),NETWORKDAYS.INTL(DATE($B$3,6,11),DATE($B$3,6,11),1,'Non-working days'!$A$6:$A$45)=0),"",IF(COUNTIFS('Leave log'!$A$7:$A$306,Employees!$A$21,'Leave log'!$B$7:$B$306,"&lt;="&amp;DATE($B$3,6,11),'Leave log'!$C$7:$C$306,"&gt;="&amp;DATE($B$3,6,11),'Leave log'!$F$7:$F$306,"Pending")&gt;0,"P",""))))</f>
        <v/>
      </c>
      <c r="M192" s="23" t="str">
        <f>IF(A192="","",IF(IF(OR(DATE($B$3,6,12)&gt;EOMONTH(DATE($B$3,6,1),0),NETWORKDAYS.INTL(DATE($B$3,6,12),DATE($B$3,6,12),1,'Non-working days'!$A$6:$A$45)=0),"",IF(COUNTIFS('Leave log'!$A$7:$A$306,Employees!$A$21,'Leave log'!$B$7:$B$306,"&lt;="&amp;DATE($B$3,6,12),'Leave log'!$C$7:$C$306,"&gt;="&amp;DATE($B$3,6,12),'Leave log'!$F$7:$F$306,"Approved")&gt;0,"A",""))="A","A",IF(OR(DATE($B$3,6,12)&gt;EOMONTH(DATE($B$3,6,1),0),NETWORKDAYS.INTL(DATE($B$3,6,12),DATE($B$3,6,12),1,'Non-working days'!$A$6:$A$45)=0),"",IF(COUNTIFS('Leave log'!$A$7:$A$306,Employees!$A$21,'Leave log'!$B$7:$B$306,"&lt;="&amp;DATE($B$3,6,12),'Leave log'!$C$7:$C$306,"&gt;="&amp;DATE($B$3,6,12),'Leave log'!$F$7:$F$306,"Pending")&gt;0,"P",""))))</f>
        <v/>
      </c>
      <c r="N192" s="23" t="str">
        <f>IF(A192="","",IF(IF(OR(DATE($B$3,6,13)&gt;EOMONTH(DATE($B$3,6,1),0),NETWORKDAYS.INTL(DATE($B$3,6,13),DATE($B$3,6,13),1,'Non-working days'!$A$6:$A$45)=0),"",IF(COUNTIFS('Leave log'!$A$7:$A$306,Employees!$A$21,'Leave log'!$B$7:$B$306,"&lt;="&amp;DATE($B$3,6,13),'Leave log'!$C$7:$C$306,"&gt;="&amp;DATE($B$3,6,13),'Leave log'!$F$7:$F$306,"Approved")&gt;0,"A",""))="A","A",IF(OR(DATE($B$3,6,13)&gt;EOMONTH(DATE($B$3,6,1),0),NETWORKDAYS.INTL(DATE($B$3,6,13),DATE($B$3,6,13),1,'Non-working days'!$A$6:$A$45)=0),"",IF(COUNTIFS('Leave log'!$A$7:$A$306,Employees!$A$21,'Leave log'!$B$7:$B$306,"&lt;="&amp;DATE($B$3,6,13),'Leave log'!$C$7:$C$306,"&gt;="&amp;DATE($B$3,6,13),'Leave log'!$F$7:$F$306,"Pending")&gt;0,"P",""))))</f>
        <v/>
      </c>
      <c r="O192" s="23" t="str">
        <f>IF(A192="","",IF(IF(OR(DATE($B$3,6,14)&gt;EOMONTH(DATE($B$3,6,1),0),NETWORKDAYS.INTL(DATE($B$3,6,14),DATE($B$3,6,14),1,'Non-working days'!$A$6:$A$45)=0),"",IF(COUNTIFS('Leave log'!$A$7:$A$306,Employees!$A$21,'Leave log'!$B$7:$B$306,"&lt;="&amp;DATE($B$3,6,14),'Leave log'!$C$7:$C$306,"&gt;="&amp;DATE($B$3,6,14),'Leave log'!$F$7:$F$306,"Approved")&gt;0,"A",""))="A","A",IF(OR(DATE($B$3,6,14)&gt;EOMONTH(DATE($B$3,6,1),0),NETWORKDAYS.INTL(DATE($B$3,6,14),DATE($B$3,6,14),1,'Non-working days'!$A$6:$A$45)=0),"",IF(COUNTIFS('Leave log'!$A$7:$A$306,Employees!$A$21,'Leave log'!$B$7:$B$306,"&lt;="&amp;DATE($B$3,6,14),'Leave log'!$C$7:$C$306,"&gt;="&amp;DATE($B$3,6,14),'Leave log'!$F$7:$F$306,"Pending")&gt;0,"P",""))))</f>
        <v/>
      </c>
      <c r="P192" s="23" t="str">
        <f>IF(A192="","",IF(IF(OR(DATE($B$3,6,15)&gt;EOMONTH(DATE($B$3,6,1),0),NETWORKDAYS.INTL(DATE($B$3,6,15),DATE($B$3,6,15),1,'Non-working days'!$A$6:$A$45)=0),"",IF(COUNTIFS('Leave log'!$A$7:$A$306,Employees!$A$21,'Leave log'!$B$7:$B$306,"&lt;="&amp;DATE($B$3,6,15),'Leave log'!$C$7:$C$306,"&gt;="&amp;DATE($B$3,6,15),'Leave log'!$F$7:$F$306,"Approved")&gt;0,"A",""))="A","A",IF(OR(DATE($B$3,6,15)&gt;EOMONTH(DATE($B$3,6,1),0),NETWORKDAYS.INTL(DATE($B$3,6,15),DATE($B$3,6,15),1,'Non-working days'!$A$6:$A$45)=0),"",IF(COUNTIFS('Leave log'!$A$7:$A$306,Employees!$A$21,'Leave log'!$B$7:$B$306,"&lt;="&amp;DATE($B$3,6,15),'Leave log'!$C$7:$C$306,"&gt;="&amp;DATE($B$3,6,15),'Leave log'!$F$7:$F$306,"Pending")&gt;0,"P",""))))</f>
        <v/>
      </c>
      <c r="Q192" s="23" t="str">
        <f>IF(A192="","",IF(IF(OR(DATE($B$3,6,16)&gt;EOMONTH(DATE($B$3,6,1),0),NETWORKDAYS.INTL(DATE($B$3,6,16),DATE($B$3,6,16),1,'Non-working days'!$A$6:$A$45)=0),"",IF(COUNTIFS('Leave log'!$A$7:$A$306,Employees!$A$21,'Leave log'!$B$7:$B$306,"&lt;="&amp;DATE($B$3,6,16),'Leave log'!$C$7:$C$306,"&gt;="&amp;DATE($B$3,6,16),'Leave log'!$F$7:$F$306,"Approved")&gt;0,"A",""))="A","A",IF(OR(DATE($B$3,6,16)&gt;EOMONTH(DATE($B$3,6,1),0),NETWORKDAYS.INTL(DATE($B$3,6,16),DATE($B$3,6,16),1,'Non-working days'!$A$6:$A$45)=0),"",IF(COUNTIFS('Leave log'!$A$7:$A$306,Employees!$A$21,'Leave log'!$B$7:$B$306,"&lt;="&amp;DATE($B$3,6,16),'Leave log'!$C$7:$C$306,"&gt;="&amp;DATE($B$3,6,16),'Leave log'!$F$7:$F$306,"Pending")&gt;0,"P",""))))</f>
        <v/>
      </c>
      <c r="R192" s="23" t="str">
        <f>IF(A192="","",IF(IF(OR(DATE($B$3,6,17)&gt;EOMONTH(DATE($B$3,6,1),0),NETWORKDAYS.INTL(DATE($B$3,6,17),DATE($B$3,6,17),1,'Non-working days'!$A$6:$A$45)=0),"",IF(COUNTIFS('Leave log'!$A$7:$A$306,Employees!$A$21,'Leave log'!$B$7:$B$306,"&lt;="&amp;DATE($B$3,6,17),'Leave log'!$C$7:$C$306,"&gt;="&amp;DATE($B$3,6,17),'Leave log'!$F$7:$F$306,"Approved")&gt;0,"A",""))="A","A",IF(OR(DATE($B$3,6,17)&gt;EOMONTH(DATE($B$3,6,1),0),NETWORKDAYS.INTL(DATE($B$3,6,17),DATE($B$3,6,17),1,'Non-working days'!$A$6:$A$45)=0),"",IF(COUNTIFS('Leave log'!$A$7:$A$306,Employees!$A$21,'Leave log'!$B$7:$B$306,"&lt;="&amp;DATE($B$3,6,17),'Leave log'!$C$7:$C$306,"&gt;="&amp;DATE($B$3,6,17),'Leave log'!$F$7:$F$306,"Pending")&gt;0,"P",""))))</f>
        <v/>
      </c>
      <c r="S192" s="23" t="str">
        <f>IF(A192="","",IF(IF(OR(DATE($B$3,6,18)&gt;EOMONTH(DATE($B$3,6,1),0),NETWORKDAYS.INTL(DATE($B$3,6,18),DATE($B$3,6,18),1,'Non-working days'!$A$6:$A$45)=0),"",IF(COUNTIFS('Leave log'!$A$7:$A$306,Employees!$A$21,'Leave log'!$B$7:$B$306,"&lt;="&amp;DATE($B$3,6,18),'Leave log'!$C$7:$C$306,"&gt;="&amp;DATE($B$3,6,18),'Leave log'!$F$7:$F$306,"Approved")&gt;0,"A",""))="A","A",IF(OR(DATE($B$3,6,18)&gt;EOMONTH(DATE($B$3,6,1),0),NETWORKDAYS.INTL(DATE($B$3,6,18),DATE($B$3,6,18),1,'Non-working days'!$A$6:$A$45)=0),"",IF(COUNTIFS('Leave log'!$A$7:$A$306,Employees!$A$21,'Leave log'!$B$7:$B$306,"&lt;="&amp;DATE($B$3,6,18),'Leave log'!$C$7:$C$306,"&gt;="&amp;DATE($B$3,6,18),'Leave log'!$F$7:$F$306,"Pending")&gt;0,"P",""))))</f>
        <v/>
      </c>
      <c r="T192" s="23" t="str">
        <f>IF(A192="","",IF(IF(OR(DATE($B$3,6,19)&gt;EOMONTH(DATE($B$3,6,1),0),NETWORKDAYS.INTL(DATE($B$3,6,19),DATE($B$3,6,19),1,'Non-working days'!$A$6:$A$45)=0),"",IF(COUNTIFS('Leave log'!$A$7:$A$306,Employees!$A$21,'Leave log'!$B$7:$B$306,"&lt;="&amp;DATE($B$3,6,19),'Leave log'!$C$7:$C$306,"&gt;="&amp;DATE($B$3,6,19),'Leave log'!$F$7:$F$306,"Approved")&gt;0,"A",""))="A","A",IF(OR(DATE($B$3,6,19)&gt;EOMONTH(DATE($B$3,6,1),0),NETWORKDAYS.INTL(DATE($B$3,6,19),DATE($B$3,6,19),1,'Non-working days'!$A$6:$A$45)=0),"",IF(COUNTIFS('Leave log'!$A$7:$A$306,Employees!$A$21,'Leave log'!$B$7:$B$306,"&lt;="&amp;DATE($B$3,6,19),'Leave log'!$C$7:$C$306,"&gt;="&amp;DATE($B$3,6,19),'Leave log'!$F$7:$F$306,"Pending")&gt;0,"P",""))))</f>
        <v/>
      </c>
      <c r="U192" s="23" t="str">
        <f>IF(A192="","",IF(IF(OR(DATE($B$3,6,20)&gt;EOMONTH(DATE($B$3,6,1),0),NETWORKDAYS.INTL(DATE($B$3,6,20),DATE($B$3,6,20),1,'Non-working days'!$A$6:$A$45)=0),"",IF(COUNTIFS('Leave log'!$A$7:$A$306,Employees!$A$21,'Leave log'!$B$7:$B$306,"&lt;="&amp;DATE($B$3,6,20),'Leave log'!$C$7:$C$306,"&gt;="&amp;DATE($B$3,6,20),'Leave log'!$F$7:$F$306,"Approved")&gt;0,"A",""))="A","A",IF(OR(DATE($B$3,6,20)&gt;EOMONTH(DATE($B$3,6,1),0),NETWORKDAYS.INTL(DATE($B$3,6,20),DATE($B$3,6,20),1,'Non-working days'!$A$6:$A$45)=0),"",IF(COUNTIFS('Leave log'!$A$7:$A$306,Employees!$A$21,'Leave log'!$B$7:$B$306,"&lt;="&amp;DATE($B$3,6,20),'Leave log'!$C$7:$C$306,"&gt;="&amp;DATE($B$3,6,20),'Leave log'!$F$7:$F$306,"Pending")&gt;0,"P",""))))</f>
        <v/>
      </c>
      <c r="V192" s="23" t="str">
        <f>IF(A192="","",IF(IF(OR(DATE($B$3,6,21)&gt;EOMONTH(DATE($B$3,6,1),0),NETWORKDAYS.INTL(DATE($B$3,6,21),DATE($B$3,6,21),1,'Non-working days'!$A$6:$A$45)=0),"",IF(COUNTIFS('Leave log'!$A$7:$A$306,Employees!$A$21,'Leave log'!$B$7:$B$306,"&lt;="&amp;DATE($B$3,6,21),'Leave log'!$C$7:$C$306,"&gt;="&amp;DATE($B$3,6,21),'Leave log'!$F$7:$F$306,"Approved")&gt;0,"A",""))="A","A",IF(OR(DATE($B$3,6,21)&gt;EOMONTH(DATE($B$3,6,1),0),NETWORKDAYS.INTL(DATE($B$3,6,21),DATE($B$3,6,21),1,'Non-working days'!$A$6:$A$45)=0),"",IF(COUNTIFS('Leave log'!$A$7:$A$306,Employees!$A$21,'Leave log'!$B$7:$B$306,"&lt;="&amp;DATE($B$3,6,21),'Leave log'!$C$7:$C$306,"&gt;="&amp;DATE($B$3,6,21),'Leave log'!$F$7:$F$306,"Pending")&gt;0,"P",""))))</f>
        <v/>
      </c>
      <c r="W192" s="23" t="str">
        <f>IF(A192="","",IF(IF(OR(DATE($B$3,6,22)&gt;EOMONTH(DATE($B$3,6,1),0),NETWORKDAYS.INTL(DATE($B$3,6,22),DATE($B$3,6,22),1,'Non-working days'!$A$6:$A$45)=0),"",IF(COUNTIFS('Leave log'!$A$7:$A$306,Employees!$A$21,'Leave log'!$B$7:$B$306,"&lt;="&amp;DATE($B$3,6,22),'Leave log'!$C$7:$C$306,"&gt;="&amp;DATE($B$3,6,22),'Leave log'!$F$7:$F$306,"Approved")&gt;0,"A",""))="A","A",IF(OR(DATE($B$3,6,22)&gt;EOMONTH(DATE($B$3,6,1),0),NETWORKDAYS.INTL(DATE($B$3,6,22),DATE($B$3,6,22),1,'Non-working days'!$A$6:$A$45)=0),"",IF(COUNTIFS('Leave log'!$A$7:$A$306,Employees!$A$21,'Leave log'!$B$7:$B$306,"&lt;="&amp;DATE($B$3,6,22),'Leave log'!$C$7:$C$306,"&gt;="&amp;DATE($B$3,6,22),'Leave log'!$F$7:$F$306,"Pending")&gt;0,"P",""))))</f>
        <v/>
      </c>
      <c r="X192" s="23" t="str">
        <f>IF(A192="","",IF(IF(OR(DATE($B$3,6,23)&gt;EOMONTH(DATE($B$3,6,1),0),NETWORKDAYS.INTL(DATE($B$3,6,23),DATE($B$3,6,23),1,'Non-working days'!$A$6:$A$45)=0),"",IF(COUNTIFS('Leave log'!$A$7:$A$306,Employees!$A$21,'Leave log'!$B$7:$B$306,"&lt;="&amp;DATE($B$3,6,23),'Leave log'!$C$7:$C$306,"&gt;="&amp;DATE($B$3,6,23),'Leave log'!$F$7:$F$306,"Approved")&gt;0,"A",""))="A","A",IF(OR(DATE($B$3,6,23)&gt;EOMONTH(DATE($B$3,6,1),0),NETWORKDAYS.INTL(DATE($B$3,6,23),DATE($B$3,6,23),1,'Non-working days'!$A$6:$A$45)=0),"",IF(COUNTIFS('Leave log'!$A$7:$A$306,Employees!$A$21,'Leave log'!$B$7:$B$306,"&lt;="&amp;DATE($B$3,6,23),'Leave log'!$C$7:$C$306,"&gt;="&amp;DATE($B$3,6,23),'Leave log'!$F$7:$F$306,"Pending")&gt;0,"P",""))))</f>
        <v/>
      </c>
      <c r="Y192" s="23" t="str">
        <f>IF(A192="","",IF(IF(OR(DATE($B$3,6,24)&gt;EOMONTH(DATE($B$3,6,1),0),NETWORKDAYS.INTL(DATE($B$3,6,24),DATE($B$3,6,24),1,'Non-working days'!$A$6:$A$45)=0),"",IF(COUNTIFS('Leave log'!$A$7:$A$306,Employees!$A$21,'Leave log'!$B$7:$B$306,"&lt;="&amp;DATE($B$3,6,24),'Leave log'!$C$7:$C$306,"&gt;="&amp;DATE($B$3,6,24),'Leave log'!$F$7:$F$306,"Approved")&gt;0,"A",""))="A","A",IF(OR(DATE($B$3,6,24)&gt;EOMONTH(DATE($B$3,6,1),0),NETWORKDAYS.INTL(DATE($B$3,6,24),DATE($B$3,6,24),1,'Non-working days'!$A$6:$A$45)=0),"",IF(COUNTIFS('Leave log'!$A$7:$A$306,Employees!$A$21,'Leave log'!$B$7:$B$306,"&lt;="&amp;DATE($B$3,6,24),'Leave log'!$C$7:$C$306,"&gt;="&amp;DATE($B$3,6,24),'Leave log'!$F$7:$F$306,"Pending")&gt;0,"P",""))))</f>
        <v/>
      </c>
      <c r="Z192" s="23" t="str">
        <f>IF(A192="","",IF(IF(OR(DATE($B$3,6,25)&gt;EOMONTH(DATE($B$3,6,1),0),NETWORKDAYS.INTL(DATE($B$3,6,25),DATE($B$3,6,25),1,'Non-working days'!$A$6:$A$45)=0),"",IF(COUNTIFS('Leave log'!$A$7:$A$306,Employees!$A$21,'Leave log'!$B$7:$B$306,"&lt;="&amp;DATE($B$3,6,25),'Leave log'!$C$7:$C$306,"&gt;="&amp;DATE($B$3,6,25),'Leave log'!$F$7:$F$306,"Approved")&gt;0,"A",""))="A","A",IF(OR(DATE($B$3,6,25)&gt;EOMONTH(DATE($B$3,6,1),0),NETWORKDAYS.INTL(DATE($B$3,6,25),DATE($B$3,6,25),1,'Non-working days'!$A$6:$A$45)=0),"",IF(COUNTIFS('Leave log'!$A$7:$A$306,Employees!$A$21,'Leave log'!$B$7:$B$306,"&lt;="&amp;DATE($B$3,6,25),'Leave log'!$C$7:$C$306,"&gt;="&amp;DATE($B$3,6,25),'Leave log'!$F$7:$F$306,"Pending")&gt;0,"P",""))))</f>
        <v/>
      </c>
      <c r="AA192" s="23" t="str">
        <f>IF(A192="","",IF(IF(OR(DATE($B$3,6,26)&gt;EOMONTH(DATE($B$3,6,1),0),NETWORKDAYS.INTL(DATE($B$3,6,26),DATE($B$3,6,26),1,'Non-working days'!$A$6:$A$45)=0),"",IF(COUNTIFS('Leave log'!$A$7:$A$306,Employees!$A$21,'Leave log'!$B$7:$B$306,"&lt;="&amp;DATE($B$3,6,26),'Leave log'!$C$7:$C$306,"&gt;="&amp;DATE($B$3,6,26),'Leave log'!$F$7:$F$306,"Approved")&gt;0,"A",""))="A","A",IF(OR(DATE($B$3,6,26)&gt;EOMONTH(DATE($B$3,6,1),0),NETWORKDAYS.INTL(DATE($B$3,6,26),DATE($B$3,6,26),1,'Non-working days'!$A$6:$A$45)=0),"",IF(COUNTIFS('Leave log'!$A$7:$A$306,Employees!$A$21,'Leave log'!$B$7:$B$306,"&lt;="&amp;DATE($B$3,6,26),'Leave log'!$C$7:$C$306,"&gt;="&amp;DATE($B$3,6,26),'Leave log'!$F$7:$F$306,"Pending")&gt;0,"P",""))))</f>
        <v/>
      </c>
      <c r="AB192" s="23" t="str">
        <f>IF(A192="","",IF(IF(OR(DATE($B$3,6,27)&gt;EOMONTH(DATE($B$3,6,1),0),NETWORKDAYS.INTL(DATE($B$3,6,27),DATE($B$3,6,27),1,'Non-working days'!$A$6:$A$45)=0),"",IF(COUNTIFS('Leave log'!$A$7:$A$306,Employees!$A$21,'Leave log'!$B$7:$B$306,"&lt;="&amp;DATE($B$3,6,27),'Leave log'!$C$7:$C$306,"&gt;="&amp;DATE($B$3,6,27),'Leave log'!$F$7:$F$306,"Approved")&gt;0,"A",""))="A","A",IF(OR(DATE($B$3,6,27)&gt;EOMONTH(DATE($B$3,6,1),0),NETWORKDAYS.INTL(DATE($B$3,6,27),DATE($B$3,6,27),1,'Non-working days'!$A$6:$A$45)=0),"",IF(COUNTIFS('Leave log'!$A$7:$A$306,Employees!$A$21,'Leave log'!$B$7:$B$306,"&lt;="&amp;DATE($B$3,6,27),'Leave log'!$C$7:$C$306,"&gt;="&amp;DATE($B$3,6,27),'Leave log'!$F$7:$F$306,"Pending")&gt;0,"P",""))))</f>
        <v/>
      </c>
      <c r="AC192" s="23" t="str">
        <f>IF(A192="","",IF(IF(OR(DATE($B$3,6,28)&gt;EOMONTH(DATE($B$3,6,1),0),NETWORKDAYS.INTL(DATE($B$3,6,28),DATE($B$3,6,28),1,'Non-working days'!$A$6:$A$45)=0),"",IF(COUNTIFS('Leave log'!$A$7:$A$306,Employees!$A$21,'Leave log'!$B$7:$B$306,"&lt;="&amp;DATE($B$3,6,28),'Leave log'!$C$7:$C$306,"&gt;="&amp;DATE($B$3,6,28),'Leave log'!$F$7:$F$306,"Approved")&gt;0,"A",""))="A","A",IF(OR(DATE($B$3,6,28)&gt;EOMONTH(DATE($B$3,6,1),0),NETWORKDAYS.INTL(DATE($B$3,6,28),DATE($B$3,6,28),1,'Non-working days'!$A$6:$A$45)=0),"",IF(COUNTIFS('Leave log'!$A$7:$A$306,Employees!$A$21,'Leave log'!$B$7:$B$306,"&lt;="&amp;DATE($B$3,6,28),'Leave log'!$C$7:$C$306,"&gt;="&amp;DATE($B$3,6,28),'Leave log'!$F$7:$F$306,"Pending")&gt;0,"P",""))))</f>
        <v/>
      </c>
      <c r="AD192" s="23" t="str">
        <f>IF(A192="","",IF(IF(OR(DATE($B$3,6,29)&gt;EOMONTH(DATE($B$3,6,1),0),NETWORKDAYS.INTL(DATE($B$3,6,29),DATE($B$3,6,29),1,'Non-working days'!$A$6:$A$45)=0),"",IF(COUNTIFS('Leave log'!$A$7:$A$306,Employees!$A$21,'Leave log'!$B$7:$B$306,"&lt;="&amp;DATE($B$3,6,29),'Leave log'!$C$7:$C$306,"&gt;="&amp;DATE($B$3,6,29),'Leave log'!$F$7:$F$306,"Approved")&gt;0,"A",""))="A","A",IF(OR(DATE($B$3,6,29)&gt;EOMONTH(DATE($B$3,6,1),0),NETWORKDAYS.INTL(DATE($B$3,6,29),DATE($B$3,6,29),1,'Non-working days'!$A$6:$A$45)=0),"",IF(COUNTIFS('Leave log'!$A$7:$A$306,Employees!$A$21,'Leave log'!$B$7:$B$306,"&lt;="&amp;DATE($B$3,6,29),'Leave log'!$C$7:$C$306,"&gt;="&amp;DATE($B$3,6,29),'Leave log'!$F$7:$F$306,"Pending")&gt;0,"P",""))))</f>
        <v/>
      </c>
      <c r="AE192" s="23" t="str">
        <f>IF(A192="","",IF(IF(OR(DATE($B$3,6,30)&gt;EOMONTH(DATE($B$3,6,1),0),NETWORKDAYS.INTL(DATE($B$3,6,30),DATE($B$3,6,30),1,'Non-working days'!$A$6:$A$45)=0),"",IF(COUNTIFS('Leave log'!$A$7:$A$306,Employees!$A$21,'Leave log'!$B$7:$B$306,"&lt;="&amp;DATE($B$3,6,30),'Leave log'!$C$7:$C$306,"&gt;="&amp;DATE($B$3,6,30),'Leave log'!$F$7:$F$306,"Approved")&gt;0,"A",""))="A","A",IF(OR(DATE($B$3,6,30)&gt;EOMONTH(DATE($B$3,6,1),0),NETWORKDAYS.INTL(DATE($B$3,6,30),DATE($B$3,6,30),1,'Non-working days'!$A$6:$A$45)=0),"",IF(COUNTIFS('Leave log'!$A$7:$A$306,Employees!$A$21,'Leave log'!$B$7:$B$306,"&lt;="&amp;DATE($B$3,6,30),'Leave log'!$C$7:$C$306,"&gt;="&amp;DATE($B$3,6,30),'Leave log'!$F$7:$F$306,"Pending")&gt;0,"P",""))))</f>
        <v/>
      </c>
      <c r="AF192" s="23" t="str">
        <f>IF(A192="","",IF(IF(OR(DATE($B$3,6,31)&gt;EOMONTH(DATE($B$3,6,1),0),NETWORKDAYS.INTL(DATE($B$3,6,31),DATE($B$3,6,31),1,'Non-working days'!$A$6:$A$45)=0),"",IF(COUNTIFS('Leave log'!$A$7:$A$306,Employees!$A$21,'Leave log'!$B$7:$B$306,"&lt;="&amp;DATE($B$3,6,31),'Leave log'!$C$7:$C$306,"&gt;="&amp;DATE($B$3,6,31),'Leave log'!$F$7:$F$306,"Approved")&gt;0,"A",""))="A","A",IF(OR(DATE($B$3,6,31)&gt;EOMONTH(DATE($B$3,6,1),0),NETWORKDAYS.INTL(DATE($B$3,6,31),DATE($B$3,6,31),1,'Non-working days'!$A$6:$A$45)=0),"",IF(COUNTIFS('Leave log'!$A$7:$A$306,Employees!$A$21,'Leave log'!$B$7:$B$306,"&lt;="&amp;DATE($B$3,6,31),'Leave log'!$C$7:$C$306,"&gt;="&amp;DATE($B$3,6,31),'Leave log'!$F$7:$F$306,"Pending")&gt;0,"P",""))))</f>
        <v/>
      </c>
    </row>
    <row r="193" spans="1:32" ht="18" customHeight="1" x14ac:dyDescent="0.3">
      <c r="A193" s="22" t="str">
        <f>IF(Employees!F22="Yes",Employees!B22,"")</f>
        <v/>
      </c>
      <c r="B193" s="23" t="str">
        <f>IF(A193="","",IF(IF(OR(DATE($B$3,6,1)&gt;EOMONTH(DATE($B$3,6,1),0),NETWORKDAYS.INTL(DATE($B$3,6,1),DATE($B$3,6,1),1,'Non-working days'!$A$6:$A$45)=0),"",IF(COUNTIFS('Leave log'!$A$7:$A$306,Employees!$A$22,'Leave log'!$B$7:$B$306,"&lt;="&amp;DATE($B$3,6,1),'Leave log'!$C$7:$C$306,"&gt;="&amp;DATE($B$3,6,1),'Leave log'!$F$7:$F$306,"Approved")&gt;0,"A",""))="A","A",IF(OR(DATE($B$3,6,1)&gt;EOMONTH(DATE($B$3,6,1),0),NETWORKDAYS.INTL(DATE($B$3,6,1),DATE($B$3,6,1),1,'Non-working days'!$A$6:$A$45)=0),"",IF(COUNTIFS('Leave log'!$A$7:$A$306,Employees!$A$22,'Leave log'!$B$7:$B$306,"&lt;="&amp;DATE($B$3,6,1),'Leave log'!$C$7:$C$306,"&gt;="&amp;DATE($B$3,6,1),'Leave log'!$F$7:$F$306,"Pending")&gt;0,"P",""))))</f>
        <v/>
      </c>
      <c r="C193" s="23" t="str">
        <f>IF(A193="","",IF(IF(OR(DATE($B$3,6,2)&gt;EOMONTH(DATE($B$3,6,1),0),NETWORKDAYS.INTL(DATE($B$3,6,2),DATE($B$3,6,2),1,'Non-working days'!$A$6:$A$45)=0),"",IF(COUNTIFS('Leave log'!$A$7:$A$306,Employees!$A$22,'Leave log'!$B$7:$B$306,"&lt;="&amp;DATE($B$3,6,2),'Leave log'!$C$7:$C$306,"&gt;="&amp;DATE($B$3,6,2),'Leave log'!$F$7:$F$306,"Approved")&gt;0,"A",""))="A","A",IF(OR(DATE($B$3,6,2)&gt;EOMONTH(DATE($B$3,6,1),0),NETWORKDAYS.INTL(DATE($B$3,6,2),DATE($B$3,6,2),1,'Non-working days'!$A$6:$A$45)=0),"",IF(COUNTIFS('Leave log'!$A$7:$A$306,Employees!$A$22,'Leave log'!$B$7:$B$306,"&lt;="&amp;DATE($B$3,6,2),'Leave log'!$C$7:$C$306,"&gt;="&amp;DATE($B$3,6,2),'Leave log'!$F$7:$F$306,"Pending")&gt;0,"P",""))))</f>
        <v/>
      </c>
      <c r="D193" s="23" t="str">
        <f>IF(A193="","",IF(IF(OR(DATE($B$3,6,3)&gt;EOMONTH(DATE($B$3,6,1),0),NETWORKDAYS.INTL(DATE($B$3,6,3),DATE($B$3,6,3),1,'Non-working days'!$A$6:$A$45)=0),"",IF(COUNTIFS('Leave log'!$A$7:$A$306,Employees!$A$22,'Leave log'!$B$7:$B$306,"&lt;="&amp;DATE($B$3,6,3),'Leave log'!$C$7:$C$306,"&gt;="&amp;DATE($B$3,6,3),'Leave log'!$F$7:$F$306,"Approved")&gt;0,"A",""))="A","A",IF(OR(DATE($B$3,6,3)&gt;EOMONTH(DATE($B$3,6,1),0),NETWORKDAYS.INTL(DATE($B$3,6,3),DATE($B$3,6,3),1,'Non-working days'!$A$6:$A$45)=0),"",IF(COUNTIFS('Leave log'!$A$7:$A$306,Employees!$A$22,'Leave log'!$B$7:$B$306,"&lt;="&amp;DATE($B$3,6,3),'Leave log'!$C$7:$C$306,"&gt;="&amp;DATE($B$3,6,3),'Leave log'!$F$7:$F$306,"Pending")&gt;0,"P",""))))</f>
        <v/>
      </c>
      <c r="E193" s="23" t="str">
        <f>IF(A193="","",IF(IF(OR(DATE($B$3,6,4)&gt;EOMONTH(DATE($B$3,6,1),0),NETWORKDAYS.INTL(DATE($B$3,6,4),DATE($B$3,6,4),1,'Non-working days'!$A$6:$A$45)=0),"",IF(COUNTIFS('Leave log'!$A$7:$A$306,Employees!$A$22,'Leave log'!$B$7:$B$306,"&lt;="&amp;DATE($B$3,6,4),'Leave log'!$C$7:$C$306,"&gt;="&amp;DATE($B$3,6,4),'Leave log'!$F$7:$F$306,"Approved")&gt;0,"A",""))="A","A",IF(OR(DATE($B$3,6,4)&gt;EOMONTH(DATE($B$3,6,1),0),NETWORKDAYS.INTL(DATE($B$3,6,4),DATE($B$3,6,4),1,'Non-working days'!$A$6:$A$45)=0),"",IF(COUNTIFS('Leave log'!$A$7:$A$306,Employees!$A$22,'Leave log'!$B$7:$B$306,"&lt;="&amp;DATE($B$3,6,4),'Leave log'!$C$7:$C$306,"&gt;="&amp;DATE($B$3,6,4),'Leave log'!$F$7:$F$306,"Pending")&gt;0,"P",""))))</f>
        <v/>
      </c>
      <c r="F193" s="23" t="str">
        <f>IF(A193="","",IF(IF(OR(DATE($B$3,6,5)&gt;EOMONTH(DATE($B$3,6,1),0),NETWORKDAYS.INTL(DATE($B$3,6,5),DATE($B$3,6,5),1,'Non-working days'!$A$6:$A$45)=0),"",IF(COUNTIFS('Leave log'!$A$7:$A$306,Employees!$A$22,'Leave log'!$B$7:$B$306,"&lt;="&amp;DATE($B$3,6,5),'Leave log'!$C$7:$C$306,"&gt;="&amp;DATE($B$3,6,5),'Leave log'!$F$7:$F$306,"Approved")&gt;0,"A",""))="A","A",IF(OR(DATE($B$3,6,5)&gt;EOMONTH(DATE($B$3,6,1),0),NETWORKDAYS.INTL(DATE($B$3,6,5),DATE($B$3,6,5),1,'Non-working days'!$A$6:$A$45)=0),"",IF(COUNTIFS('Leave log'!$A$7:$A$306,Employees!$A$22,'Leave log'!$B$7:$B$306,"&lt;="&amp;DATE($B$3,6,5),'Leave log'!$C$7:$C$306,"&gt;="&amp;DATE($B$3,6,5),'Leave log'!$F$7:$F$306,"Pending")&gt;0,"P",""))))</f>
        <v/>
      </c>
      <c r="G193" s="23" t="str">
        <f>IF(A193="","",IF(IF(OR(DATE($B$3,6,6)&gt;EOMONTH(DATE($B$3,6,1),0),NETWORKDAYS.INTL(DATE($B$3,6,6),DATE($B$3,6,6),1,'Non-working days'!$A$6:$A$45)=0),"",IF(COUNTIFS('Leave log'!$A$7:$A$306,Employees!$A$22,'Leave log'!$B$7:$B$306,"&lt;="&amp;DATE($B$3,6,6),'Leave log'!$C$7:$C$306,"&gt;="&amp;DATE($B$3,6,6),'Leave log'!$F$7:$F$306,"Approved")&gt;0,"A",""))="A","A",IF(OR(DATE($B$3,6,6)&gt;EOMONTH(DATE($B$3,6,1),0),NETWORKDAYS.INTL(DATE($B$3,6,6),DATE($B$3,6,6),1,'Non-working days'!$A$6:$A$45)=0),"",IF(COUNTIFS('Leave log'!$A$7:$A$306,Employees!$A$22,'Leave log'!$B$7:$B$306,"&lt;="&amp;DATE($B$3,6,6),'Leave log'!$C$7:$C$306,"&gt;="&amp;DATE($B$3,6,6),'Leave log'!$F$7:$F$306,"Pending")&gt;0,"P",""))))</f>
        <v/>
      </c>
      <c r="H193" s="23" t="str">
        <f>IF(A193="","",IF(IF(OR(DATE($B$3,6,7)&gt;EOMONTH(DATE($B$3,6,1),0),NETWORKDAYS.INTL(DATE($B$3,6,7),DATE($B$3,6,7),1,'Non-working days'!$A$6:$A$45)=0),"",IF(COUNTIFS('Leave log'!$A$7:$A$306,Employees!$A$22,'Leave log'!$B$7:$B$306,"&lt;="&amp;DATE($B$3,6,7),'Leave log'!$C$7:$C$306,"&gt;="&amp;DATE($B$3,6,7),'Leave log'!$F$7:$F$306,"Approved")&gt;0,"A",""))="A","A",IF(OR(DATE($B$3,6,7)&gt;EOMONTH(DATE($B$3,6,1),0),NETWORKDAYS.INTL(DATE($B$3,6,7),DATE($B$3,6,7),1,'Non-working days'!$A$6:$A$45)=0),"",IF(COUNTIFS('Leave log'!$A$7:$A$306,Employees!$A$22,'Leave log'!$B$7:$B$306,"&lt;="&amp;DATE($B$3,6,7),'Leave log'!$C$7:$C$306,"&gt;="&amp;DATE($B$3,6,7),'Leave log'!$F$7:$F$306,"Pending")&gt;0,"P",""))))</f>
        <v/>
      </c>
      <c r="I193" s="23" t="str">
        <f>IF(A193="","",IF(IF(OR(DATE($B$3,6,8)&gt;EOMONTH(DATE($B$3,6,1),0),NETWORKDAYS.INTL(DATE($B$3,6,8),DATE($B$3,6,8),1,'Non-working days'!$A$6:$A$45)=0),"",IF(COUNTIFS('Leave log'!$A$7:$A$306,Employees!$A$22,'Leave log'!$B$7:$B$306,"&lt;="&amp;DATE($B$3,6,8),'Leave log'!$C$7:$C$306,"&gt;="&amp;DATE($B$3,6,8),'Leave log'!$F$7:$F$306,"Approved")&gt;0,"A",""))="A","A",IF(OR(DATE($B$3,6,8)&gt;EOMONTH(DATE($B$3,6,1),0),NETWORKDAYS.INTL(DATE($B$3,6,8),DATE($B$3,6,8),1,'Non-working days'!$A$6:$A$45)=0),"",IF(COUNTIFS('Leave log'!$A$7:$A$306,Employees!$A$22,'Leave log'!$B$7:$B$306,"&lt;="&amp;DATE($B$3,6,8),'Leave log'!$C$7:$C$306,"&gt;="&amp;DATE($B$3,6,8),'Leave log'!$F$7:$F$306,"Pending")&gt;0,"P",""))))</f>
        <v/>
      </c>
      <c r="J193" s="23" t="str">
        <f>IF(A193="","",IF(IF(OR(DATE($B$3,6,9)&gt;EOMONTH(DATE($B$3,6,1),0),NETWORKDAYS.INTL(DATE($B$3,6,9),DATE($B$3,6,9),1,'Non-working days'!$A$6:$A$45)=0),"",IF(COUNTIFS('Leave log'!$A$7:$A$306,Employees!$A$22,'Leave log'!$B$7:$B$306,"&lt;="&amp;DATE($B$3,6,9),'Leave log'!$C$7:$C$306,"&gt;="&amp;DATE($B$3,6,9),'Leave log'!$F$7:$F$306,"Approved")&gt;0,"A",""))="A","A",IF(OR(DATE($B$3,6,9)&gt;EOMONTH(DATE($B$3,6,1),0),NETWORKDAYS.INTL(DATE($B$3,6,9),DATE($B$3,6,9),1,'Non-working days'!$A$6:$A$45)=0),"",IF(COUNTIFS('Leave log'!$A$7:$A$306,Employees!$A$22,'Leave log'!$B$7:$B$306,"&lt;="&amp;DATE($B$3,6,9),'Leave log'!$C$7:$C$306,"&gt;="&amp;DATE($B$3,6,9),'Leave log'!$F$7:$F$306,"Pending")&gt;0,"P",""))))</f>
        <v/>
      </c>
      <c r="K193" s="23" t="str">
        <f>IF(A193="","",IF(IF(OR(DATE($B$3,6,10)&gt;EOMONTH(DATE($B$3,6,1),0),NETWORKDAYS.INTL(DATE($B$3,6,10),DATE($B$3,6,10),1,'Non-working days'!$A$6:$A$45)=0),"",IF(COUNTIFS('Leave log'!$A$7:$A$306,Employees!$A$22,'Leave log'!$B$7:$B$306,"&lt;="&amp;DATE($B$3,6,10),'Leave log'!$C$7:$C$306,"&gt;="&amp;DATE($B$3,6,10),'Leave log'!$F$7:$F$306,"Approved")&gt;0,"A",""))="A","A",IF(OR(DATE($B$3,6,10)&gt;EOMONTH(DATE($B$3,6,1),0),NETWORKDAYS.INTL(DATE($B$3,6,10),DATE($B$3,6,10),1,'Non-working days'!$A$6:$A$45)=0),"",IF(COUNTIFS('Leave log'!$A$7:$A$306,Employees!$A$22,'Leave log'!$B$7:$B$306,"&lt;="&amp;DATE($B$3,6,10),'Leave log'!$C$7:$C$306,"&gt;="&amp;DATE($B$3,6,10),'Leave log'!$F$7:$F$306,"Pending")&gt;0,"P",""))))</f>
        <v/>
      </c>
      <c r="L193" s="23" t="str">
        <f>IF(A193="","",IF(IF(OR(DATE($B$3,6,11)&gt;EOMONTH(DATE($B$3,6,1),0),NETWORKDAYS.INTL(DATE($B$3,6,11),DATE($B$3,6,11),1,'Non-working days'!$A$6:$A$45)=0),"",IF(COUNTIFS('Leave log'!$A$7:$A$306,Employees!$A$22,'Leave log'!$B$7:$B$306,"&lt;="&amp;DATE($B$3,6,11),'Leave log'!$C$7:$C$306,"&gt;="&amp;DATE($B$3,6,11),'Leave log'!$F$7:$F$306,"Approved")&gt;0,"A",""))="A","A",IF(OR(DATE($B$3,6,11)&gt;EOMONTH(DATE($B$3,6,1),0),NETWORKDAYS.INTL(DATE($B$3,6,11),DATE($B$3,6,11),1,'Non-working days'!$A$6:$A$45)=0),"",IF(COUNTIFS('Leave log'!$A$7:$A$306,Employees!$A$22,'Leave log'!$B$7:$B$306,"&lt;="&amp;DATE($B$3,6,11),'Leave log'!$C$7:$C$306,"&gt;="&amp;DATE($B$3,6,11),'Leave log'!$F$7:$F$306,"Pending")&gt;0,"P",""))))</f>
        <v/>
      </c>
      <c r="M193" s="23" t="str">
        <f>IF(A193="","",IF(IF(OR(DATE($B$3,6,12)&gt;EOMONTH(DATE($B$3,6,1),0),NETWORKDAYS.INTL(DATE($B$3,6,12),DATE($B$3,6,12),1,'Non-working days'!$A$6:$A$45)=0),"",IF(COUNTIFS('Leave log'!$A$7:$A$306,Employees!$A$22,'Leave log'!$B$7:$B$306,"&lt;="&amp;DATE($B$3,6,12),'Leave log'!$C$7:$C$306,"&gt;="&amp;DATE($B$3,6,12),'Leave log'!$F$7:$F$306,"Approved")&gt;0,"A",""))="A","A",IF(OR(DATE($B$3,6,12)&gt;EOMONTH(DATE($B$3,6,1),0),NETWORKDAYS.INTL(DATE($B$3,6,12),DATE($B$3,6,12),1,'Non-working days'!$A$6:$A$45)=0),"",IF(COUNTIFS('Leave log'!$A$7:$A$306,Employees!$A$22,'Leave log'!$B$7:$B$306,"&lt;="&amp;DATE($B$3,6,12),'Leave log'!$C$7:$C$306,"&gt;="&amp;DATE($B$3,6,12),'Leave log'!$F$7:$F$306,"Pending")&gt;0,"P",""))))</f>
        <v/>
      </c>
      <c r="N193" s="23" t="str">
        <f>IF(A193="","",IF(IF(OR(DATE($B$3,6,13)&gt;EOMONTH(DATE($B$3,6,1),0),NETWORKDAYS.INTL(DATE($B$3,6,13),DATE($B$3,6,13),1,'Non-working days'!$A$6:$A$45)=0),"",IF(COUNTIFS('Leave log'!$A$7:$A$306,Employees!$A$22,'Leave log'!$B$7:$B$306,"&lt;="&amp;DATE($B$3,6,13),'Leave log'!$C$7:$C$306,"&gt;="&amp;DATE($B$3,6,13),'Leave log'!$F$7:$F$306,"Approved")&gt;0,"A",""))="A","A",IF(OR(DATE($B$3,6,13)&gt;EOMONTH(DATE($B$3,6,1),0),NETWORKDAYS.INTL(DATE($B$3,6,13),DATE($B$3,6,13),1,'Non-working days'!$A$6:$A$45)=0),"",IF(COUNTIFS('Leave log'!$A$7:$A$306,Employees!$A$22,'Leave log'!$B$7:$B$306,"&lt;="&amp;DATE($B$3,6,13),'Leave log'!$C$7:$C$306,"&gt;="&amp;DATE($B$3,6,13),'Leave log'!$F$7:$F$306,"Pending")&gt;0,"P",""))))</f>
        <v/>
      </c>
      <c r="O193" s="23" t="str">
        <f>IF(A193="","",IF(IF(OR(DATE($B$3,6,14)&gt;EOMONTH(DATE($B$3,6,1),0),NETWORKDAYS.INTL(DATE($B$3,6,14),DATE($B$3,6,14),1,'Non-working days'!$A$6:$A$45)=0),"",IF(COUNTIFS('Leave log'!$A$7:$A$306,Employees!$A$22,'Leave log'!$B$7:$B$306,"&lt;="&amp;DATE($B$3,6,14),'Leave log'!$C$7:$C$306,"&gt;="&amp;DATE($B$3,6,14),'Leave log'!$F$7:$F$306,"Approved")&gt;0,"A",""))="A","A",IF(OR(DATE($B$3,6,14)&gt;EOMONTH(DATE($B$3,6,1),0),NETWORKDAYS.INTL(DATE($B$3,6,14),DATE($B$3,6,14),1,'Non-working days'!$A$6:$A$45)=0),"",IF(COUNTIFS('Leave log'!$A$7:$A$306,Employees!$A$22,'Leave log'!$B$7:$B$306,"&lt;="&amp;DATE($B$3,6,14),'Leave log'!$C$7:$C$306,"&gt;="&amp;DATE($B$3,6,14),'Leave log'!$F$7:$F$306,"Pending")&gt;0,"P",""))))</f>
        <v/>
      </c>
      <c r="P193" s="23" t="str">
        <f>IF(A193="","",IF(IF(OR(DATE($B$3,6,15)&gt;EOMONTH(DATE($B$3,6,1),0),NETWORKDAYS.INTL(DATE($B$3,6,15),DATE($B$3,6,15),1,'Non-working days'!$A$6:$A$45)=0),"",IF(COUNTIFS('Leave log'!$A$7:$A$306,Employees!$A$22,'Leave log'!$B$7:$B$306,"&lt;="&amp;DATE($B$3,6,15),'Leave log'!$C$7:$C$306,"&gt;="&amp;DATE($B$3,6,15),'Leave log'!$F$7:$F$306,"Approved")&gt;0,"A",""))="A","A",IF(OR(DATE($B$3,6,15)&gt;EOMONTH(DATE($B$3,6,1),0),NETWORKDAYS.INTL(DATE($B$3,6,15),DATE($B$3,6,15),1,'Non-working days'!$A$6:$A$45)=0),"",IF(COUNTIFS('Leave log'!$A$7:$A$306,Employees!$A$22,'Leave log'!$B$7:$B$306,"&lt;="&amp;DATE($B$3,6,15),'Leave log'!$C$7:$C$306,"&gt;="&amp;DATE($B$3,6,15),'Leave log'!$F$7:$F$306,"Pending")&gt;0,"P",""))))</f>
        <v/>
      </c>
      <c r="Q193" s="23" t="str">
        <f>IF(A193="","",IF(IF(OR(DATE($B$3,6,16)&gt;EOMONTH(DATE($B$3,6,1),0),NETWORKDAYS.INTL(DATE($B$3,6,16),DATE($B$3,6,16),1,'Non-working days'!$A$6:$A$45)=0),"",IF(COUNTIFS('Leave log'!$A$7:$A$306,Employees!$A$22,'Leave log'!$B$7:$B$306,"&lt;="&amp;DATE($B$3,6,16),'Leave log'!$C$7:$C$306,"&gt;="&amp;DATE($B$3,6,16),'Leave log'!$F$7:$F$306,"Approved")&gt;0,"A",""))="A","A",IF(OR(DATE($B$3,6,16)&gt;EOMONTH(DATE($B$3,6,1),0),NETWORKDAYS.INTL(DATE($B$3,6,16),DATE($B$3,6,16),1,'Non-working days'!$A$6:$A$45)=0),"",IF(COUNTIFS('Leave log'!$A$7:$A$306,Employees!$A$22,'Leave log'!$B$7:$B$306,"&lt;="&amp;DATE($B$3,6,16),'Leave log'!$C$7:$C$306,"&gt;="&amp;DATE($B$3,6,16),'Leave log'!$F$7:$F$306,"Pending")&gt;0,"P",""))))</f>
        <v/>
      </c>
      <c r="R193" s="23" t="str">
        <f>IF(A193="","",IF(IF(OR(DATE($B$3,6,17)&gt;EOMONTH(DATE($B$3,6,1),0),NETWORKDAYS.INTL(DATE($B$3,6,17),DATE($B$3,6,17),1,'Non-working days'!$A$6:$A$45)=0),"",IF(COUNTIFS('Leave log'!$A$7:$A$306,Employees!$A$22,'Leave log'!$B$7:$B$306,"&lt;="&amp;DATE($B$3,6,17),'Leave log'!$C$7:$C$306,"&gt;="&amp;DATE($B$3,6,17),'Leave log'!$F$7:$F$306,"Approved")&gt;0,"A",""))="A","A",IF(OR(DATE($B$3,6,17)&gt;EOMONTH(DATE($B$3,6,1),0),NETWORKDAYS.INTL(DATE($B$3,6,17),DATE($B$3,6,17),1,'Non-working days'!$A$6:$A$45)=0),"",IF(COUNTIFS('Leave log'!$A$7:$A$306,Employees!$A$22,'Leave log'!$B$7:$B$306,"&lt;="&amp;DATE($B$3,6,17),'Leave log'!$C$7:$C$306,"&gt;="&amp;DATE($B$3,6,17),'Leave log'!$F$7:$F$306,"Pending")&gt;0,"P",""))))</f>
        <v/>
      </c>
      <c r="S193" s="23" t="str">
        <f>IF(A193="","",IF(IF(OR(DATE($B$3,6,18)&gt;EOMONTH(DATE($B$3,6,1),0),NETWORKDAYS.INTL(DATE($B$3,6,18),DATE($B$3,6,18),1,'Non-working days'!$A$6:$A$45)=0),"",IF(COUNTIFS('Leave log'!$A$7:$A$306,Employees!$A$22,'Leave log'!$B$7:$B$306,"&lt;="&amp;DATE($B$3,6,18),'Leave log'!$C$7:$C$306,"&gt;="&amp;DATE($B$3,6,18),'Leave log'!$F$7:$F$306,"Approved")&gt;0,"A",""))="A","A",IF(OR(DATE($B$3,6,18)&gt;EOMONTH(DATE($B$3,6,1),0),NETWORKDAYS.INTL(DATE($B$3,6,18),DATE($B$3,6,18),1,'Non-working days'!$A$6:$A$45)=0),"",IF(COUNTIFS('Leave log'!$A$7:$A$306,Employees!$A$22,'Leave log'!$B$7:$B$306,"&lt;="&amp;DATE($B$3,6,18),'Leave log'!$C$7:$C$306,"&gt;="&amp;DATE($B$3,6,18),'Leave log'!$F$7:$F$306,"Pending")&gt;0,"P",""))))</f>
        <v/>
      </c>
      <c r="T193" s="23" t="str">
        <f>IF(A193="","",IF(IF(OR(DATE($B$3,6,19)&gt;EOMONTH(DATE($B$3,6,1),0),NETWORKDAYS.INTL(DATE($B$3,6,19),DATE($B$3,6,19),1,'Non-working days'!$A$6:$A$45)=0),"",IF(COUNTIFS('Leave log'!$A$7:$A$306,Employees!$A$22,'Leave log'!$B$7:$B$306,"&lt;="&amp;DATE($B$3,6,19),'Leave log'!$C$7:$C$306,"&gt;="&amp;DATE($B$3,6,19),'Leave log'!$F$7:$F$306,"Approved")&gt;0,"A",""))="A","A",IF(OR(DATE($B$3,6,19)&gt;EOMONTH(DATE($B$3,6,1),0),NETWORKDAYS.INTL(DATE($B$3,6,19),DATE($B$3,6,19),1,'Non-working days'!$A$6:$A$45)=0),"",IF(COUNTIFS('Leave log'!$A$7:$A$306,Employees!$A$22,'Leave log'!$B$7:$B$306,"&lt;="&amp;DATE($B$3,6,19),'Leave log'!$C$7:$C$306,"&gt;="&amp;DATE($B$3,6,19),'Leave log'!$F$7:$F$306,"Pending")&gt;0,"P",""))))</f>
        <v/>
      </c>
      <c r="U193" s="23" t="str">
        <f>IF(A193="","",IF(IF(OR(DATE($B$3,6,20)&gt;EOMONTH(DATE($B$3,6,1),0),NETWORKDAYS.INTL(DATE($B$3,6,20),DATE($B$3,6,20),1,'Non-working days'!$A$6:$A$45)=0),"",IF(COUNTIFS('Leave log'!$A$7:$A$306,Employees!$A$22,'Leave log'!$B$7:$B$306,"&lt;="&amp;DATE($B$3,6,20),'Leave log'!$C$7:$C$306,"&gt;="&amp;DATE($B$3,6,20),'Leave log'!$F$7:$F$306,"Approved")&gt;0,"A",""))="A","A",IF(OR(DATE($B$3,6,20)&gt;EOMONTH(DATE($B$3,6,1),0),NETWORKDAYS.INTL(DATE($B$3,6,20),DATE($B$3,6,20),1,'Non-working days'!$A$6:$A$45)=0),"",IF(COUNTIFS('Leave log'!$A$7:$A$306,Employees!$A$22,'Leave log'!$B$7:$B$306,"&lt;="&amp;DATE($B$3,6,20),'Leave log'!$C$7:$C$306,"&gt;="&amp;DATE($B$3,6,20),'Leave log'!$F$7:$F$306,"Pending")&gt;0,"P",""))))</f>
        <v/>
      </c>
      <c r="V193" s="23" t="str">
        <f>IF(A193="","",IF(IF(OR(DATE($B$3,6,21)&gt;EOMONTH(DATE($B$3,6,1),0),NETWORKDAYS.INTL(DATE($B$3,6,21),DATE($B$3,6,21),1,'Non-working days'!$A$6:$A$45)=0),"",IF(COUNTIFS('Leave log'!$A$7:$A$306,Employees!$A$22,'Leave log'!$B$7:$B$306,"&lt;="&amp;DATE($B$3,6,21),'Leave log'!$C$7:$C$306,"&gt;="&amp;DATE($B$3,6,21),'Leave log'!$F$7:$F$306,"Approved")&gt;0,"A",""))="A","A",IF(OR(DATE($B$3,6,21)&gt;EOMONTH(DATE($B$3,6,1),0),NETWORKDAYS.INTL(DATE($B$3,6,21),DATE($B$3,6,21),1,'Non-working days'!$A$6:$A$45)=0),"",IF(COUNTIFS('Leave log'!$A$7:$A$306,Employees!$A$22,'Leave log'!$B$7:$B$306,"&lt;="&amp;DATE($B$3,6,21),'Leave log'!$C$7:$C$306,"&gt;="&amp;DATE($B$3,6,21),'Leave log'!$F$7:$F$306,"Pending")&gt;0,"P",""))))</f>
        <v/>
      </c>
      <c r="W193" s="23" t="str">
        <f>IF(A193="","",IF(IF(OR(DATE($B$3,6,22)&gt;EOMONTH(DATE($B$3,6,1),0),NETWORKDAYS.INTL(DATE($B$3,6,22),DATE($B$3,6,22),1,'Non-working days'!$A$6:$A$45)=0),"",IF(COUNTIFS('Leave log'!$A$7:$A$306,Employees!$A$22,'Leave log'!$B$7:$B$306,"&lt;="&amp;DATE($B$3,6,22),'Leave log'!$C$7:$C$306,"&gt;="&amp;DATE($B$3,6,22),'Leave log'!$F$7:$F$306,"Approved")&gt;0,"A",""))="A","A",IF(OR(DATE($B$3,6,22)&gt;EOMONTH(DATE($B$3,6,1),0),NETWORKDAYS.INTL(DATE($B$3,6,22),DATE($B$3,6,22),1,'Non-working days'!$A$6:$A$45)=0),"",IF(COUNTIFS('Leave log'!$A$7:$A$306,Employees!$A$22,'Leave log'!$B$7:$B$306,"&lt;="&amp;DATE($B$3,6,22),'Leave log'!$C$7:$C$306,"&gt;="&amp;DATE($B$3,6,22),'Leave log'!$F$7:$F$306,"Pending")&gt;0,"P",""))))</f>
        <v/>
      </c>
      <c r="X193" s="23" t="str">
        <f>IF(A193="","",IF(IF(OR(DATE($B$3,6,23)&gt;EOMONTH(DATE($B$3,6,1),0),NETWORKDAYS.INTL(DATE($B$3,6,23),DATE($B$3,6,23),1,'Non-working days'!$A$6:$A$45)=0),"",IF(COUNTIFS('Leave log'!$A$7:$A$306,Employees!$A$22,'Leave log'!$B$7:$B$306,"&lt;="&amp;DATE($B$3,6,23),'Leave log'!$C$7:$C$306,"&gt;="&amp;DATE($B$3,6,23),'Leave log'!$F$7:$F$306,"Approved")&gt;0,"A",""))="A","A",IF(OR(DATE($B$3,6,23)&gt;EOMONTH(DATE($B$3,6,1),0),NETWORKDAYS.INTL(DATE($B$3,6,23),DATE($B$3,6,23),1,'Non-working days'!$A$6:$A$45)=0),"",IF(COUNTIFS('Leave log'!$A$7:$A$306,Employees!$A$22,'Leave log'!$B$7:$B$306,"&lt;="&amp;DATE($B$3,6,23),'Leave log'!$C$7:$C$306,"&gt;="&amp;DATE($B$3,6,23),'Leave log'!$F$7:$F$306,"Pending")&gt;0,"P",""))))</f>
        <v/>
      </c>
      <c r="Y193" s="23" t="str">
        <f>IF(A193="","",IF(IF(OR(DATE($B$3,6,24)&gt;EOMONTH(DATE($B$3,6,1),0),NETWORKDAYS.INTL(DATE($B$3,6,24),DATE($B$3,6,24),1,'Non-working days'!$A$6:$A$45)=0),"",IF(COUNTIFS('Leave log'!$A$7:$A$306,Employees!$A$22,'Leave log'!$B$7:$B$306,"&lt;="&amp;DATE($B$3,6,24),'Leave log'!$C$7:$C$306,"&gt;="&amp;DATE($B$3,6,24),'Leave log'!$F$7:$F$306,"Approved")&gt;0,"A",""))="A","A",IF(OR(DATE($B$3,6,24)&gt;EOMONTH(DATE($B$3,6,1),0),NETWORKDAYS.INTL(DATE($B$3,6,24),DATE($B$3,6,24),1,'Non-working days'!$A$6:$A$45)=0),"",IF(COUNTIFS('Leave log'!$A$7:$A$306,Employees!$A$22,'Leave log'!$B$7:$B$306,"&lt;="&amp;DATE($B$3,6,24),'Leave log'!$C$7:$C$306,"&gt;="&amp;DATE($B$3,6,24),'Leave log'!$F$7:$F$306,"Pending")&gt;0,"P",""))))</f>
        <v/>
      </c>
      <c r="Z193" s="23" t="str">
        <f>IF(A193="","",IF(IF(OR(DATE($B$3,6,25)&gt;EOMONTH(DATE($B$3,6,1),0),NETWORKDAYS.INTL(DATE($B$3,6,25),DATE($B$3,6,25),1,'Non-working days'!$A$6:$A$45)=0),"",IF(COUNTIFS('Leave log'!$A$7:$A$306,Employees!$A$22,'Leave log'!$B$7:$B$306,"&lt;="&amp;DATE($B$3,6,25),'Leave log'!$C$7:$C$306,"&gt;="&amp;DATE($B$3,6,25),'Leave log'!$F$7:$F$306,"Approved")&gt;0,"A",""))="A","A",IF(OR(DATE($B$3,6,25)&gt;EOMONTH(DATE($B$3,6,1),0),NETWORKDAYS.INTL(DATE($B$3,6,25),DATE($B$3,6,25),1,'Non-working days'!$A$6:$A$45)=0),"",IF(COUNTIFS('Leave log'!$A$7:$A$306,Employees!$A$22,'Leave log'!$B$7:$B$306,"&lt;="&amp;DATE($B$3,6,25),'Leave log'!$C$7:$C$306,"&gt;="&amp;DATE($B$3,6,25),'Leave log'!$F$7:$F$306,"Pending")&gt;0,"P",""))))</f>
        <v/>
      </c>
      <c r="AA193" s="23" t="str">
        <f>IF(A193="","",IF(IF(OR(DATE($B$3,6,26)&gt;EOMONTH(DATE($B$3,6,1),0),NETWORKDAYS.INTL(DATE($B$3,6,26),DATE($B$3,6,26),1,'Non-working days'!$A$6:$A$45)=0),"",IF(COUNTIFS('Leave log'!$A$7:$A$306,Employees!$A$22,'Leave log'!$B$7:$B$306,"&lt;="&amp;DATE($B$3,6,26),'Leave log'!$C$7:$C$306,"&gt;="&amp;DATE($B$3,6,26),'Leave log'!$F$7:$F$306,"Approved")&gt;0,"A",""))="A","A",IF(OR(DATE($B$3,6,26)&gt;EOMONTH(DATE($B$3,6,1),0),NETWORKDAYS.INTL(DATE($B$3,6,26),DATE($B$3,6,26),1,'Non-working days'!$A$6:$A$45)=0),"",IF(COUNTIFS('Leave log'!$A$7:$A$306,Employees!$A$22,'Leave log'!$B$7:$B$306,"&lt;="&amp;DATE($B$3,6,26),'Leave log'!$C$7:$C$306,"&gt;="&amp;DATE($B$3,6,26),'Leave log'!$F$7:$F$306,"Pending")&gt;0,"P",""))))</f>
        <v/>
      </c>
      <c r="AB193" s="23" t="str">
        <f>IF(A193="","",IF(IF(OR(DATE($B$3,6,27)&gt;EOMONTH(DATE($B$3,6,1),0),NETWORKDAYS.INTL(DATE($B$3,6,27),DATE($B$3,6,27),1,'Non-working days'!$A$6:$A$45)=0),"",IF(COUNTIFS('Leave log'!$A$7:$A$306,Employees!$A$22,'Leave log'!$B$7:$B$306,"&lt;="&amp;DATE($B$3,6,27),'Leave log'!$C$7:$C$306,"&gt;="&amp;DATE($B$3,6,27),'Leave log'!$F$7:$F$306,"Approved")&gt;0,"A",""))="A","A",IF(OR(DATE($B$3,6,27)&gt;EOMONTH(DATE($B$3,6,1),0),NETWORKDAYS.INTL(DATE($B$3,6,27),DATE($B$3,6,27),1,'Non-working days'!$A$6:$A$45)=0),"",IF(COUNTIFS('Leave log'!$A$7:$A$306,Employees!$A$22,'Leave log'!$B$7:$B$306,"&lt;="&amp;DATE($B$3,6,27),'Leave log'!$C$7:$C$306,"&gt;="&amp;DATE($B$3,6,27),'Leave log'!$F$7:$F$306,"Pending")&gt;0,"P",""))))</f>
        <v/>
      </c>
      <c r="AC193" s="23" t="str">
        <f>IF(A193="","",IF(IF(OR(DATE($B$3,6,28)&gt;EOMONTH(DATE($B$3,6,1),0),NETWORKDAYS.INTL(DATE($B$3,6,28),DATE($B$3,6,28),1,'Non-working days'!$A$6:$A$45)=0),"",IF(COUNTIFS('Leave log'!$A$7:$A$306,Employees!$A$22,'Leave log'!$B$7:$B$306,"&lt;="&amp;DATE($B$3,6,28),'Leave log'!$C$7:$C$306,"&gt;="&amp;DATE($B$3,6,28),'Leave log'!$F$7:$F$306,"Approved")&gt;0,"A",""))="A","A",IF(OR(DATE($B$3,6,28)&gt;EOMONTH(DATE($B$3,6,1),0),NETWORKDAYS.INTL(DATE($B$3,6,28),DATE($B$3,6,28),1,'Non-working days'!$A$6:$A$45)=0),"",IF(COUNTIFS('Leave log'!$A$7:$A$306,Employees!$A$22,'Leave log'!$B$7:$B$306,"&lt;="&amp;DATE($B$3,6,28),'Leave log'!$C$7:$C$306,"&gt;="&amp;DATE($B$3,6,28),'Leave log'!$F$7:$F$306,"Pending")&gt;0,"P",""))))</f>
        <v/>
      </c>
      <c r="AD193" s="23" t="str">
        <f>IF(A193="","",IF(IF(OR(DATE($B$3,6,29)&gt;EOMONTH(DATE($B$3,6,1),0),NETWORKDAYS.INTL(DATE($B$3,6,29),DATE($B$3,6,29),1,'Non-working days'!$A$6:$A$45)=0),"",IF(COUNTIFS('Leave log'!$A$7:$A$306,Employees!$A$22,'Leave log'!$B$7:$B$306,"&lt;="&amp;DATE($B$3,6,29),'Leave log'!$C$7:$C$306,"&gt;="&amp;DATE($B$3,6,29),'Leave log'!$F$7:$F$306,"Approved")&gt;0,"A",""))="A","A",IF(OR(DATE($B$3,6,29)&gt;EOMONTH(DATE($B$3,6,1),0),NETWORKDAYS.INTL(DATE($B$3,6,29),DATE($B$3,6,29),1,'Non-working days'!$A$6:$A$45)=0),"",IF(COUNTIFS('Leave log'!$A$7:$A$306,Employees!$A$22,'Leave log'!$B$7:$B$306,"&lt;="&amp;DATE($B$3,6,29),'Leave log'!$C$7:$C$306,"&gt;="&amp;DATE($B$3,6,29),'Leave log'!$F$7:$F$306,"Pending")&gt;0,"P",""))))</f>
        <v/>
      </c>
      <c r="AE193" s="23" t="str">
        <f>IF(A193="","",IF(IF(OR(DATE($B$3,6,30)&gt;EOMONTH(DATE($B$3,6,1),0),NETWORKDAYS.INTL(DATE($B$3,6,30),DATE($B$3,6,30),1,'Non-working days'!$A$6:$A$45)=0),"",IF(COUNTIFS('Leave log'!$A$7:$A$306,Employees!$A$22,'Leave log'!$B$7:$B$306,"&lt;="&amp;DATE($B$3,6,30),'Leave log'!$C$7:$C$306,"&gt;="&amp;DATE($B$3,6,30),'Leave log'!$F$7:$F$306,"Approved")&gt;0,"A",""))="A","A",IF(OR(DATE($B$3,6,30)&gt;EOMONTH(DATE($B$3,6,1),0),NETWORKDAYS.INTL(DATE($B$3,6,30),DATE($B$3,6,30),1,'Non-working days'!$A$6:$A$45)=0),"",IF(COUNTIFS('Leave log'!$A$7:$A$306,Employees!$A$22,'Leave log'!$B$7:$B$306,"&lt;="&amp;DATE($B$3,6,30),'Leave log'!$C$7:$C$306,"&gt;="&amp;DATE($B$3,6,30),'Leave log'!$F$7:$F$306,"Pending")&gt;0,"P",""))))</f>
        <v/>
      </c>
      <c r="AF193" s="23" t="str">
        <f>IF(A193="","",IF(IF(OR(DATE($B$3,6,31)&gt;EOMONTH(DATE($B$3,6,1),0),NETWORKDAYS.INTL(DATE($B$3,6,31),DATE($B$3,6,31),1,'Non-working days'!$A$6:$A$45)=0),"",IF(COUNTIFS('Leave log'!$A$7:$A$306,Employees!$A$22,'Leave log'!$B$7:$B$306,"&lt;="&amp;DATE($B$3,6,31),'Leave log'!$C$7:$C$306,"&gt;="&amp;DATE($B$3,6,31),'Leave log'!$F$7:$F$306,"Approved")&gt;0,"A",""))="A","A",IF(OR(DATE($B$3,6,31)&gt;EOMONTH(DATE($B$3,6,1),0),NETWORKDAYS.INTL(DATE($B$3,6,31),DATE($B$3,6,31),1,'Non-working days'!$A$6:$A$45)=0),"",IF(COUNTIFS('Leave log'!$A$7:$A$306,Employees!$A$22,'Leave log'!$B$7:$B$306,"&lt;="&amp;DATE($B$3,6,31),'Leave log'!$C$7:$C$306,"&gt;="&amp;DATE($B$3,6,31),'Leave log'!$F$7:$F$306,"Pending")&gt;0,"P",""))))</f>
        <v/>
      </c>
    </row>
    <row r="194" spans="1:32" ht="18" customHeight="1" x14ac:dyDescent="0.3">
      <c r="A194" s="22" t="str">
        <f>IF(Employees!F23="Yes",Employees!B23,"")</f>
        <v/>
      </c>
      <c r="B194" s="23" t="str">
        <f>IF(A194="","",IF(IF(OR(DATE($B$3,6,1)&gt;EOMONTH(DATE($B$3,6,1),0),NETWORKDAYS.INTL(DATE($B$3,6,1),DATE($B$3,6,1),1,'Non-working days'!$A$6:$A$45)=0),"",IF(COUNTIFS('Leave log'!$A$7:$A$306,Employees!$A$23,'Leave log'!$B$7:$B$306,"&lt;="&amp;DATE($B$3,6,1),'Leave log'!$C$7:$C$306,"&gt;="&amp;DATE($B$3,6,1),'Leave log'!$F$7:$F$306,"Approved")&gt;0,"A",""))="A","A",IF(OR(DATE($B$3,6,1)&gt;EOMONTH(DATE($B$3,6,1),0),NETWORKDAYS.INTL(DATE($B$3,6,1),DATE($B$3,6,1),1,'Non-working days'!$A$6:$A$45)=0),"",IF(COUNTIFS('Leave log'!$A$7:$A$306,Employees!$A$23,'Leave log'!$B$7:$B$306,"&lt;="&amp;DATE($B$3,6,1),'Leave log'!$C$7:$C$306,"&gt;="&amp;DATE($B$3,6,1),'Leave log'!$F$7:$F$306,"Pending")&gt;0,"P",""))))</f>
        <v/>
      </c>
      <c r="C194" s="23" t="str">
        <f>IF(A194="","",IF(IF(OR(DATE($B$3,6,2)&gt;EOMONTH(DATE($B$3,6,1),0),NETWORKDAYS.INTL(DATE($B$3,6,2),DATE($B$3,6,2),1,'Non-working days'!$A$6:$A$45)=0),"",IF(COUNTIFS('Leave log'!$A$7:$A$306,Employees!$A$23,'Leave log'!$B$7:$B$306,"&lt;="&amp;DATE($B$3,6,2),'Leave log'!$C$7:$C$306,"&gt;="&amp;DATE($B$3,6,2),'Leave log'!$F$7:$F$306,"Approved")&gt;0,"A",""))="A","A",IF(OR(DATE($B$3,6,2)&gt;EOMONTH(DATE($B$3,6,1),0),NETWORKDAYS.INTL(DATE($B$3,6,2),DATE($B$3,6,2),1,'Non-working days'!$A$6:$A$45)=0),"",IF(COUNTIFS('Leave log'!$A$7:$A$306,Employees!$A$23,'Leave log'!$B$7:$B$306,"&lt;="&amp;DATE($B$3,6,2),'Leave log'!$C$7:$C$306,"&gt;="&amp;DATE($B$3,6,2),'Leave log'!$F$7:$F$306,"Pending")&gt;0,"P",""))))</f>
        <v/>
      </c>
      <c r="D194" s="23" t="str">
        <f>IF(A194="","",IF(IF(OR(DATE($B$3,6,3)&gt;EOMONTH(DATE($B$3,6,1),0),NETWORKDAYS.INTL(DATE($B$3,6,3),DATE($B$3,6,3),1,'Non-working days'!$A$6:$A$45)=0),"",IF(COUNTIFS('Leave log'!$A$7:$A$306,Employees!$A$23,'Leave log'!$B$7:$B$306,"&lt;="&amp;DATE($B$3,6,3),'Leave log'!$C$7:$C$306,"&gt;="&amp;DATE($B$3,6,3),'Leave log'!$F$7:$F$306,"Approved")&gt;0,"A",""))="A","A",IF(OR(DATE($B$3,6,3)&gt;EOMONTH(DATE($B$3,6,1),0),NETWORKDAYS.INTL(DATE($B$3,6,3),DATE($B$3,6,3),1,'Non-working days'!$A$6:$A$45)=0),"",IF(COUNTIFS('Leave log'!$A$7:$A$306,Employees!$A$23,'Leave log'!$B$7:$B$306,"&lt;="&amp;DATE($B$3,6,3),'Leave log'!$C$7:$C$306,"&gt;="&amp;DATE($B$3,6,3),'Leave log'!$F$7:$F$306,"Pending")&gt;0,"P",""))))</f>
        <v/>
      </c>
      <c r="E194" s="23" t="str">
        <f>IF(A194="","",IF(IF(OR(DATE($B$3,6,4)&gt;EOMONTH(DATE($B$3,6,1),0),NETWORKDAYS.INTL(DATE($B$3,6,4),DATE($B$3,6,4),1,'Non-working days'!$A$6:$A$45)=0),"",IF(COUNTIFS('Leave log'!$A$7:$A$306,Employees!$A$23,'Leave log'!$B$7:$B$306,"&lt;="&amp;DATE($B$3,6,4),'Leave log'!$C$7:$C$306,"&gt;="&amp;DATE($B$3,6,4),'Leave log'!$F$7:$F$306,"Approved")&gt;0,"A",""))="A","A",IF(OR(DATE($B$3,6,4)&gt;EOMONTH(DATE($B$3,6,1),0),NETWORKDAYS.INTL(DATE($B$3,6,4),DATE($B$3,6,4),1,'Non-working days'!$A$6:$A$45)=0),"",IF(COUNTIFS('Leave log'!$A$7:$A$306,Employees!$A$23,'Leave log'!$B$7:$B$306,"&lt;="&amp;DATE($B$3,6,4),'Leave log'!$C$7:$C$306,"&gt;="&amp;DATE($B$3,6,4),'Leave log'!$F$7:$F$306,"Pending")&gt;0,"P",""))))</f>
        <v/>
      </c>
      <c r="F194" s="23" t="str">
        <f>IF(A194="","",IF(IF(OR(DATE($B$3,6,5)&gt;EOMONTH(DATE($B$3,6,1),0),NETWORKDAYS.INTL(DATE($B$3,6,5),DATE($B$3,6,5),1,'Non-working days'!$A$6:$A$45)=0),"",IF(COUNTIFS('Leave log'!$A$7:$A$306,Employees!$A$23,'Leave log'!$B$7:$B$306,"&lt;="&amp;DATE($B$3,6,5),'Leave log'!$C$7:$C$306,"&gt;="&amp;DATE($B$3,6,5),'Leave log'!$F$7:$F$306,"Approved")&gt;0,"A",""))="A","A",IF(OR(DATE($B$3,6,5)&gt;EOMONTH(DATE($B$3,6,1),0),NETWORKDAYS.INTL(DATE($B$3,6,5),DATE($B$3,6,5),1,'Non-working days'!$A$6:$A$45)=0),"",IF(COUNTIFS('Leave log'!$A$7:$A$306,Employees!$A$23,'Leave log'!$B$7:$B$306,"&lt;="&amp;DATE($B$3,6,5),'Leave log'!$C$7:$C$306,"&gt;="&amp;DATE($B$3,6,5),'Leave log'!$F$7:$F$306,"Pending")&gt;0,"P",""))))</f>
        <v/>
      </c>
      <c r="G194" s="23" t="str">
        <f>IF(A194="","",IF(IF(OR(DATE($B$3,6,6)&gt;EOMONTH(DATE($B$3,6,1),0),NETWORKDAYS.INTL(DATE($B$3,6,6),DATE($B$3,6,6),1,'Non-working days'!$A$6:$A$45)=0),"",IF(COUNTIFS('Leave log'!$A$7:$A$306,Employees!$A$23,'Leave log'!$B$7:$B$306,"&lt;="&amp;DATE($B$3,6,6),'Leave log'!$C$7:$C$306,"&gt;="&amp;DATE($B$3,6,6),'Leave log'!$F$7:$F$306,"Approved")&gt;0,"A",""))="A","A",IF(OR(DATE($B$3,6,6)&gt;EOMONTH(DATE($B$3,6,1),0),NETWORKDAYS.INTL(DATE($B$3,6,6),DATE($B$3,6,6),1,'Non-working days'!$A$6:$A$45)=0),"",IF(COUNTIFS('Leave log'!$A$7:$A$306,Employees!$A$23,'Leave log'!$B$7:$B$306,"&lt;="&amp;DATE($B$3,6,6),'Leave log'!$C$7:$C$306,"&gt;="&amp;DATE($B$3,6,6),'Leave log'!$F$7:$F$306,"Pending")&gt;0,"P",""))))</f>
        <v/>
      </c>
      <c r="H194" s="23" t="str">
        <f>IF(A194="","",IF(IF(OR(DATE($B$3,6,7)&gt;EOMONTH(DATE($B$3,6,1),0),NETWORKDAYS.INTL(DATE($B$3,6,7),DATE($B$3,6,7),1,'Non-working days'!$A$6:$A$45)=0),"",IF(COUNTIFS('Leave log'!$A$7:$A$306,Employees!$A$23,'Leave log'!$B$7:$B$306,"&lt;="&amp;DATE($B$3,6,7),'Leave log'!$C$7:$C$306,"&gt;="&amp;DATE($B$3,6,7),'Leave log'!$F$7:$F$306,"Approved")&gt;0,"A",""))="A","A",IF(OR(DATE($B$3,6,7)&gt;EOMONTH(DATE($B$3,6,1),0),NETWORKDAYS.INTL(DATE($B$3,6,7),DATE($B$3,6,7),1,'Non-working days'!$A$6:$A$45)=0),"",IF(COUNTIFS('Leave log'!$A$7:$A$306,Employees!$A$23,'Leave log'!$B$7:$B$306,"&lt;="&amp;DATE($B$3,6,7),'Leave log'!$C$7:$C$306,"&gt;="&amp;DATE($B$3,6,7),'Leave log'!$F$7:$F$306,"Pending")&gt;0,"P",""))))</f>
        <v/>
      </c>
      <c r="I194" s="23" t="str">
        <f>IF(A194="","",IF(IF(OR(DATE($B$3,6,8)&gt;EOMONTH(DATE($B$3,6,1),0),NETWORKDAYS.INTL(DATE($B$3,6,8),DATE($B$3,6,8),1,'Non-working days'!$A$6:$A$45)=0),"",IF(COUNTIFS('Leave log'!$A$7:$A$306,Employees!$A$23,'Leave log'!$B$7:$B$306,"&lt;="&amp;DATE($B$3,6,8),'Leave log'!$C$7:$C$306,"&gt;="&amp;DATE($B$3,6,8),'Leave log'!$F$7:$F$306,"Approved")&gt;0,"A",""))="A","A",IF(OR(DATE($B$3,6,8)&gt;EOMONTH(DATE($B$3,6,1),0),NETWORKDAYS.INTL(DATE($B$3,6,8),DATE($B$3,6,8),1,'Non-working days'!$A$6:$A$45)=0),"",IF(COUNTIFS('Leave log'!$A$7:$A$306,Employees!$A$23,'Leave log'!$B$7:$B$306,"&lt;="&amp;DATE($B$3,6,8),'Leave log'!$C$7:$C$306,"&gt;="&amp;DATE($B$3,6,8),'Leave log'!$F$7:$F$306,"Pending")&gt;0,"P",""))))</f>
        <v/>
      </c>
      <c r="J194" s="23" t="str">
        <f>IF(A194="","",IF(IF(OR(DATE($B$3,6,9)&gt;EOMONTH(DATE($B$3,6,1),0),NETWORKDAYS.INTL(DATE($B$3,6,9),DATE($B$3,6,9),1,'Non-working days'!$A$6:$A$45)=0),"",IF(COUNTIFS('Leave log'!$A$7:$A$306,Employees!$A$23,'Leave log'!$B$7:$B$306,"&lt;="&amp;DATE($B$3,6,9),'Leave log'!$C$7:$C$306,"&gt;="&amp;DATE($B$3,6,9),'Leave log'!$F$7:$F$306,"Approved")&gt;0,"A",""))="A","A",IF(OR(DATE($B$3,6,9)&gt;EOMONTH(DATE($B$3,6,1),0),NETWORKDAYS.INTL(DATE($B$3,6,9),DATE($B$3,6,9),1,'Non-working days'!$A$6:$A$45)=0),"",IF(COUNTIFS('Leave log'!$A$7:$A$306,Employees!$A$23,'Leave log'!$B$7:$B$306,"&lt;="&amp;DATE($B$3,6,9),'Leave log'!$C$7:$C$306,"&gt;="&amp;DATE($B$3,6,9),'Leave log'!$F$7:$F$306,"Pending")&gt;0,"P",""))))</f>
        <v/>
      </c>
      <c r="K194" s="23" t="str">
        <f>IF(A194="","",IF(IF(OR(DATE($B$3,6,10)&gt;EOMONTH(DATE($B$3,6,1),0),NETWORKDAYS.INTL(DATE($B$3,6,10),DATE($B$3,6,10),1,'Non-working days'!$A$6:$A$45)=0),"",IF(COUNTIFS('Leave log'!$A$7:$A$306,Employees!$A$23,'Leave log'!$B$7:$B$306,"&lt;="&amp;DATE($B$3,6,10),'Leave log'!$C$7:$C$306,"&gt;="&amp;DATE($B$3,6,10),'Leave log'!$F$7:$F$306,"Approved")&gt;0,"A",""))="A","A",IF(OR(DATE($B$3,6,10)&gt;EOMONTH(DATE($B$3,6,1),0),NETWORKDAYS.INTL(DATE($B$3,6,10),DATE($B$3,6,10),1,'Non-working days'!$A$6:$A$45)=0),"",IF(COUNTIFS('Leave log'!$A$7:$A$306,Employees!$A$23,'Leave log'!$B$7:$B$306,"&lt;="&amp;DATE($B$3,6,10),'Leave log'!$C$7:$C$306,"&gt;="&amp;DATE($B$3,6,10),'Leave log'!$F$7:$F$306,"Pending")&gt;0,"P",""))))</f>
        <v/>
      </c>
      <c r="L194" s="23" t="str">
        <f>IF(A194="","",IF(IF(OR(DATE($B$3,6,11)&gt;EOMONTH(DATE($B$3,6,1),0),NETWORKDAYS.INTL(DATE($B$3,6,11),DATE($B$3,6,11),1,'Non-working days'!$A$6:$A$45)=0),"",IF(COUNTIFS('Leave log'!$A$7:$A$306,Employees!$A$23,'Leave log'!$B$7:$B$306,"&lt;="&amp;DATE($B$3,6,11),'Leave log'!$C$7:$C$306,"&gt;="&amp;DATE($B$3,6,11),'Leave log'!$F$7:$F$306,"Approved")&gt;0,"A",""))="A","A",IF(OR(DATE($B$3,6,11)&gt;EOMONTH(DATE($B$3,6,1),0),NETWORKDAYS.INTL(DATE($B$3,6,11),DATE($B$3,6,11),1,'Non-working days'!$A$6:$A$45)=0),"",IF(COUNTIFS('Leave log'!$A$7:$A$306,Employees!$A$23,'Leave log'!$B$7:$B$306,"&lt;="&amp;DATE($B$3,6,11),'Leave log'!$C$7:$C$306,"&gt;="&amp;DATE($B$3,6,11),'Leave log'!$F$7:$F$306,"Pending")&gt;0,"P",""))))</f>
        <v/>
      </c>
      <c r="M194" s="23" t="str">
        <f>IF(A194="","",IF(IF(OR(DATE($B$3,6,12)&gt;EOMONTH(DATE($B$3,6,1),0),NETWORKDAYS.INTL(DATE($B$3,6,12),DATE($B$3,6,12),1,'Non-working days'!$A$6:$A$45)=0),"",IF(COUNTIFS('Leave log'!$A$7:$A$306,Employees!$A$23,'Leave log'!$B$7:$B$306,"&lt;="&amp;DATE($B$3,6,12),'Leave log'!$C$7:$C$306,"&gt;="&amp;DATE($B$3,6,12),'Leave log'!$F$7:$F$306,"Approved")&gt;0,"A",""))="A","A",IF(OR(DATE($B$3,6,12)&gt;EOMONTH(DATE($B$3,6,1),0),NETWORKDAYS.INTL(DATE($B$3,6,12),DATE($B$3,6,12),1,'Non-working days'!$A$6:$A$45)=0),"",IF(COUNTIFS('Leave log'!$A$7:$A$306,Employees!$A$23,'Leave log'!$B$7:$B$306,"&lt;="&amp;DATE($B$3,6,12),'Leave log'!$C$7:$C$306,"&gt;="&amp;DATE($B$3,6,12),'Leave log'!$F$7:$F$306,"Pending")&gt;0,"P",""))))</f>
        <v/>
      </c>
      <c r="N194" s="23" t="str">
        <f>IF(A194="","",IF(IF(OR(DATE($B$3,6,13)&gt;EOMONTH(DATE($B$3,6,1),0),NETWORKDAYS.INTL(DATE($B$3,6,13),DATE($B$3,6,13),1,'Non-working days'!$A$6:$A$45)=0),"",IF(COUNTIFS('Leave log'!$A$7:$A$306,Employees!$A$23,'Leave log'!$B$7:$B$306,"&lt;="&amp;DATE($B$3,6,13),'Leave log'!$C$7:$C$306,"&gt;="&amp;DATE($B$3,6,13),'Leave log'!$F$7:$F$306,"Approved")&gt;0,"A",""))="A","A",IF(OR(DATE($B$3,6,13)&gt;EOMONTH(DATE($B$3,6,1),0),NETWORKDAYS.INTL(DATE($B$3,6,13),DATE($B$3,6,13),1,'Non-working days'!$A$6:$A$45)=0),"",IF(COUNTIFS('Leave log'!$A$7:$A$306,Employees!$A$23,'Leave log'!$B$7:$B$306,"&lt;="&amp;DATE($B$3,6,13),'Leave log'!$C$7:$C$306,"&gt;="&amp;DATE($B$3,6,13),'Leave log'!$F$7:$F$306,"Pending")&gt;0,"P",""))))</f>
        <v/>
      </c>
      <c r="O194" s="23" t="str">
        <f>IF(A194="","",IF(IF(OR(DATE($B$3,6,14)&gt;EOMONTH(DATE($B$3,6,1),0),NETWORKDAYS.INTL(DATE($B$3,6,14),DATE($B$3,6,14),1,'Non-working days'!$A$6:$A$45)=0),"",IF(COUNTIFS('Leave log'!$A$7:$A$306,Employees!$A$23,'Leave log'!$B$7:$B$306,"&lt;="&amp;DATE($B$3,6,14),'Leave log'!$C$7:$C$306,"&gt;="&amp;DATE($B$3,6,14),'Leave log'!$F$7:$F$306,"Approved")&gt;0,"A",""))="A","A",IF(OR(DATE($B$3,6,14)&gt;EOMONTH(DATE($B$3,6,1),0),NETWORKDAYS.INTL(DATE($B$3,6,14),DATE($B$3,6,14),1,'Non-working days'!$A$6:$A$45)=0),"",IF(COUNTIFS('Leave log'!$A$7:$A$306,Employees!$A$23,'Leave log'!$B$7:$B$306,"&lt;="&amp;DATE($B$3,6,14),'Leave log'!$C$7:$C$306,"&gt;="&amp;DATE($B$3,6,14),'Leave log'!$F$7:$F$306,"Pending")&gt;0,"P",""))))</f>
        <v/>
      </c>
      <c r="P194" s="23" t="str">
        <f>IF(A194="","",IF(IF(OR(DATE($B$3,6,15)&gt;EOMONTH(DATE($B$3,6,1),0),NETWORKDAYS.INTL(DATE($B$3,6,15),DATE($B$3,6,15),1,'Non-working days'!$A$6:$A$45)=0),"",IF(COUNTIFS('Leave log'!$A$7:$A$306,Employees!$A$23,'Leave log'!$B$7:$B$306,"&lt;="&amp;DATE($B$3,6,15),'Leave log'!$C$7:$C$306,"&gt;="&amp;DATE($B$3,6,15),'Leave log'!$F$7:$F$306,"Approved")&gt;0,"A",""))="A","A",IF(OR(DATE($B$3,6,15)&gt;EOMONTH(DATE($B$3,6,1),0),NETWORKDAYS.INTL(DATE($B$3,6,15),DATE($B$3,6,15),1,'Non-working days'!$A$6:$A$45)=0),"",IF(COUNTIFS('Leave log'!$A$7:$A$306,Employees!$A$23,'Leave log'!$B$7:$B$306,"&lt;="&amp;DATE($B$3,6,15),'Leave log'!$C$7:$C$306,"&gt;="&amp;DATE($B$3,6,15),'Leave log'!$F$7:$F$306,"Pending")&gt;0,"P",""))))</f>
        <v/>
      </c>
      <c r="Q194" s="23" t="str">
        <f>IF(A194="","",IF(IF(OR(DATE($B$3,6,16)&gt;EOMONTH(DATE($B$3,6,1),0),NETWORKDAYS.INTL(DATE($B$3,6,16),DATE($B$3,6,16),1,'Non-working days'!$A$6:$A$45)=0),"",IF(COUNTIFS('Leave log'!$A$7:$A$306,Employees!$A$23,'Leave log'!$B$7:$B$306,"&lt;="&amp;DATE($B$3,6,16),'Leave log'!$C$7:$C$306,"&gt;="&amp;DATE($B$3,6,16),'Leave log'!$F$7:$F$306,"Approved")&gt;0,"A",""))="A","A",IF(OR(DATE($B$3,6,16)&gt;EOMONTH(DATE($B$3,6,1),0),NETWORKDAYS.INTL(DATE($B$3,6,16),DATE($B$3,6,16),1,'Non-working days'!$A$6:$A$45)=0),"",IF(COUNTIFS('Leave log'!$A$7:$A$306,Employees!$A$23,'Leave log'!$B$7:$B$306,"&lt;="&amp;DATE($B$3,6,16),'Leave log'!$C$7:$C$306,"&gt;="&amp;DATE($B$3,6,16),'Leave log'!$F$7:$F$306,"Pending")&gt;0,"P",""))))</f>
        <v/>
      </c>
      <c r="R194" s="23" t="str">
        <f>IF(A194="","",IF(IF(OR(DATE($B$3,6,17)&gt;EOMONTH(DATE($B$3,6,1),0),NETWORKDAYS.INTL(DATE($B$3,6,17),DATE($B$3,6,17),1,'Non-working days'!$A$6:$A$45)=0),"",IF(COUNTIFS('Leave log'!$A$7:$A$306,Employees!$A$23,'Leave log'!$B$7:$B$306,"&lt;="&amp;DATE($B$3,6,17),'Leave log'!$C$7:$C$306,"&gt;="&amp;DATE($B$3,6,17),'Leave log'!$F$7:$F$306,"Approved")&gt;0,"A",""))="A","A",IF(OR(DATE($B$3,6,17)&gt;EOMONTH(DATE($B$3,6,1),0),NETWORKDAYS.INTL(DATE($B$3,6,17),DATE($B$3,6,17),1,'Non-working days'!$A$6:$A$45)=0),"",IF(COUNTIFS('Leave log'!$A$7:$A$306,Employees!$A$23,'Leave log'!$B$7:$B$306,"&lt;="&amp;DATE($B$3,6,17),'Leave log'!$C$7:$C$306,"&gt;="&amp;DATE($B$3,6,17),'Leave log'!$F$7:$F$306,"Pending")&gt;0,"P",""))))</f>
        <v/>
      </c>
      <c r="S194" s="23" t="str">
        <f>IF(A194="","",IF(IF(OR(DATE($B$3,6,18)&gt;EOMONTH(DATE($B$3,6,1),0),NETWORKDAYS.INTL(DATE($B$3,6,18),DATE($B$3,6,18),1,'Non-working days'!$A$6:$A$45)=0),"",IF(COUNTIFS('Leave log'!$A$7:$A$306,Employees!$A$23,'Leave log'!$B$7:$B$306,"&lt;="&amp;DATE($B$3,6,18),'Leave log'!$C$7:$C$306,"&gt;="&amp;DATE($B$3,6,18),'Leave log'!$F$7:$F$306,"Approved")&gt;0,"A",""))="A","A",IF(OR(DATE($B$3,6,18)&gt;EOMONTH(DATE($B$3,6,1),0),NETWORKDAYS.INTL(DATE($B$3,6,18),DATE($B$3,6,18),1,'Non-working days'!$A$6:$A$45)=0),"",IF(COUNTIFS('Leave log'!$A$7:$A$306,Employees!$A$23,'Leave log'!$B$7:$B$306,"&lt;="&amp;DATE($B$3,6,18),'Leave log'!$C$7:$C$306,"&gt;="&amp;DATE($B$3,6,18),'Leave log'!$F$7:$F$306,"Pending")&gt;0,"P",""))))</f>
        <v/>
      </c>
      <c r="T194" s="23" t="str">
        <f>IF(A194="","",IF(IF(OR(DATE($B$3,6,19)&gt;EOMONTH(DATE($B$3,6,1),0),NETWORKDAYS.INTL(DATE($B$3,6,19),DATE($B$3,6,19),1,'Non-working days'!$A$6:$A$45)=0),"",IF(COUNTIFS('Leave log'!$A$7:$A$306,Employees!$A$23,'Leave log'!$B$7:$B$306,"&lt;="&amp;DATE($B$3,6,19),'Leave log'!$C$7:$C$306,"&gt;="&amp;DATE($B$3,6,19),'Leave log'!$F$7:$F$306,"Approved")&gt;0,"A",""))="A","A",IF(OR(DATE($B$3,6,19)&gt;EOMONTH(DATE($B$3,6,1),0),NETWORKDAYS.INTL(DATE($B$3,6,19),DATE($B$3,6,19),1,'Non-working days'!$A$6:$A$45)=0),"",IF(COUNTIFS('Leave log'!$A$7:$A$306,Employees!$A$23,'Leave log'!$B$7:$B$306,"&lt;="&amp;DATE($B$3,6,19),'Leave log'!$C$7:$C$306,"&gt;="&amp;DATE($B$3,6,19),'Leave log'!$F$7:$F$306,"Pending")&gt;0,"P",""))))</f>
        <v/>
      </c>
      <c r="U194" s="23" t="str">
        <f>IF(A194="","",IF(IF(OR(DATE($B$3,6,20)&gt;EOMONTH(DATE($B$3,6,1),0),NETWORKDAYS.INTL(DATE($B$3,6,20),DATE($B$3,6,20),1,'Non-working days'!$A$6:$A$45)=0),"",IF(COUNTIFS('Leave log'!$A$7:$A$306,Employees!$A$23,'Leave log'!$B$7:$B$306,"&lt;="&amp;DATE($B$3,6,20),'Leave log'!$C$7:$C$306,"&gt;="&amp;DATE($B$3,6,20),'Leave log'!$F$7:$F$306,"Approved")&gt;0,"A",""))="A","A",IF(OR(DATE($B$3,6,20)&gt;EOMONTH(DATE($B$3,6,1),0),NETWORKDAYS.INTL(DATE($B$3,6,20),DATE($B$3,6,20),1,'Non-working days'!$A$6:$A$45)=0),"",IF(COUNTIFS('Leave log'!$A$7:$A$306,Employees!$A$23,'Leave log'!$B$7:$B$306,"&lt;="&amp;DATE($B$3,6,20),'Leave log'!$C$7:$C$306,"&gt;="&amp;DATE($B$3,6,20),'Leave log'!$F$7:$F$306,"Pending")&gt;0,"P",""))))</f>
        <v/>
      </c>
      <c r="V194" s="23" t="str">
        <f>IF(A194="","",IF(IF(OR(DATE($B$3,6,21)&gt;EOMONTH(DATE($B$3,6,1),0),NETWORKDAYS.INTL(DATE($B$3,6,21),DATE($B$3,6,21),1,'Non-working days'!$A$6:$A$45)=0),"",IF(COUNTIFS('Leave log'!$A$7:$A$306,Employees!$A$23,'Leave log'!$B$7:$B$306,"&lt;="&amp;DATE($B$3,6,21),'Leave log'!$C$7:$C$306,"&gt;="&amp;DATE($B$3,6,21),'Leave log'!$F$7:$F$306,"Approved")&gt;0,"A",""))="A","A",IF(OR(DATE($B$3,6,21)&gt;EOMONTH(DATE($B$3,6,1),0),NETWORKDAYS.INTL(DATE($B$3,6,21),DATE($B$3,6,21),1,'Non-working days'!$A$6:$A$45)=0),"",IF(COUNTIFS('Leave log'!$A$7:$A$306,Employees!$A$23,'Leave log'!$B$7:$B$306,"&lt;="&amp;DATE($B$3,6,21),'Leave log'!$C$7:$C$306,"&gt;="&amp;DATE($B$3,6,21),'Leave log'!$F$7:$F$306,"Pending")&gt;0,"P",""))))</f>
        <v/>
      </c>
      <c r="W194" s="23" t="str">
        <f>IF(A194="","",IF(IF(OR(DATE($B$3,6,22)&gt;EOMONTH(DATE($B$3,6,1),0),NETWORKDAYS.INTL(DATE($B$3,6,22),DATE($B$3,6,22),1,'Non-working days'!$A$6:$A$45)=0),"",IF(COUNTIFS('Leave log'!$A$7:$A$306,Employees!$A$23,'Leave log'!$B$7:$B$306,"&lt;="&amp;DATE($B$3,6,22),'Leave log'!$C$7:$C$306,"&gt;="&amp;DATE($B$3,6,22),'Leave log'!$F$7:$F$306,"Approved")&gt;0,"A",""))="A","A",IF(OR(DATE($B$3,6,22)&gt;EOMONTH(DATE($B$3,6,1),0),NETWORKDAYS.INTL(DATE($B$3,6,22),DATE($B$3,6,22),1,'Non-working days'!$A$6:$A$45)=0),"",IF(COUNTIFS('Leave log'!$A$7:$A$306,Employees!$A$23,'Leave log'!$B$7:$B$306,"&lt;="&amp;DATE($B$3,6,22),'Leave log'!$C$7:$C$306,"&gt;="&amp;DATE($B$3,6,22),'Leave log'!$F$7:$F$306,"Pending")&gt;0,"P",""))))</f>
        <v/>
      </c>
      <c r="X194" s="23" t="str">
        <f>IF(A194="","",IF(IF(OR(DATE($B$3,6,23)&gt;EOMONTH(DATE($B$3,6,1),0),NETWORKDAYS.INTL(DATE($B$3,6,23),DATE($B$3,6,23),1,'Non-working days'!$A$6:$A$45)=0),"",IF(COUNTIFS('Leave log'!$A$7:$A$306,Employees!$A$23,'Leave log'!$B$7:$B$306,"&lt;="&amp;DATE($B$3,6,23),'Leave log'!$C$7:$C$306,"&gt;="&amp;DATE($B$3,6,23),'Leave log'!$F$7:$F$306,"Approved")&gt;0,"A",""))="A","A",IF(OR(DATE($B$3,6,23)&gt;EOMONTH(DATE($B$3,6,1),0),NETWORKDAYS.INTL(DATE($B$3,6,23),DATE($B$3,6,23),1,'Non-working days'!$A$6:$A$45)=0),"",IF(COUNTIFS('Leave log'!$A$7:$A$306,Employees!$A$23,'Leave log'!$B$7:$B$306,"&lt;="&amp;DATE($B$3,6,23),'Leave log'!$C$7:$C$306,"&gt;="&amp;DATE($B$3,6,23),'Leave log'!$F$7:$F$306,"Pending")&gt;0,"P",""))))</f>
        <v/>
      </c>
      <c r="Y194" s="23" t="str">
        <f>IF(A194="","",IF(IF(OR(DATE($B$3,6,24)&gt;EOMONTH(DATE($B$3,6,1),0),NETWORKDAYS.INTL(DATE($B$3,6,24),DATE($B$3,6,24),1,'Non-working days'!$A$6:$A$45)=0),"",IF(COUNTIFS('Leave log'!$A$7:$A$306,Employees!$A$23,'Leave log'!$B$7:$B$306,"&lt;="&amp;DATE($B$3,6,24),'Leave log'!$C$7:$C$306,"&gt;="&amp;DATE($B$3,6,24),'Leave log'!$F$7:$F$306,"Approved")&gt;0,"A",""))="A","A",IF(OR(DATE($B$3,6,24)&gt;EOMONTH(DATE($B$3,6,1),0),NETWORKDAYS.INTL(DATE($B$3,6,24),DATE($B$3,6,24),1,'Non-working days'!$A$6:$A$45)=0),"",IF(COUNTIFS('Leave log'!$A$7:$A$306,Employees!$A$23,'Leave log'!$B$7:$B$306,"&lt;="&amp;DATE($B$3,6,24),'Leave log'!$C$7:$C$306,"&gt;="&amp;DATE($B$3,6,24),'Leave log'!$F$7:$F$306,"Pending")&gt;0,"P",""))))</f>
        <v/>
      </c>
      <c r="Z194" s="23" t="str">
        <f>IF(A194="","",IF(IF(OR(DATE($B$3,6,25)&gt;EOMONTH(DATE($B$3,6,1),0),NETWORKDAYS.INTL(DATE($B$3,6,25),DATE($B$3,6,25),1,'Non-working days'!$A$6:$A$45)=0),"",IF(COUNTIFS('Leave log'!$A$7:$A$306,Employees!$A$23,'Leave log'!$B$7:$B$306,"&lt;="&amp;DATE($B$3,6,25),'Leave log'!$C$7:$C$306,"&gt;="&amp;DATE($B$3,6,25),'Leave log'!$F$7:$F$306,"Approved")&gt;0,"A",""))="A","A",IF(OR(DATE($B$3,6,25)&gt;EOMONTH(DATE($B$3,6,1),0),NETWORKDAYS.INTL(DATE($B$3,6,25),DATE($B$3,6,25),1,'Non-working days'!$A$6:$A$45)=0),"",IF(COUNTIFS('Leave log'!$A$7:$A$306,Employees!$A$23,'Leave log'!$B$7:$B$306,"&lt;="&amp;DATE($B$3,6,25),'Leave log'!$C$7:$C$306,"&gt;="&amp;DATE($B$3,6,25),'Leave log'!$F$7:$F$306,"Pending")&gt;0,"P",""))))</f>
        <v/>
      </c>
      <c r="AA194" s="23" t="str">
        <f>IF(A194="","",IF(IF(OR(DATE($B$3,6,26)&gt;EOMONTH(DATE($B$3,6,1),0),NETWORKDAYS.INTL(DATE($B$3,6,26),DATE($B$3,6,26),1,'Non-working days'!$A$6:$A$45)=0),"",IF(COUNTIFS('Leave log'!$A$7:$A$306,Employees!$A$23,'Leave log'!$B$7:$B$306,"&lt;="&amp;DATE($B$3,6,26),'Leave log'!$C$7:$C$306,"&gt;="&amp;DATE($B$3,6,26),'Leave log'!$F$7:$F$306,"Approved")&gt;0,"A",""))="A","A",IF(OR(DATE($B$3,6,26)&gt;EOMONTH(DATE($B$3,6,1),0),NETWORKDAYS.INTL(DATE($B$3,6,26),DATE($B$3,6,26),1,'Non-working days'!$A$6:$A$45)=0),"",IF(COUNTIFS('Leave log'!$A$7:$A$306,Employees!$A$23,'Leave log'!$B$7:$B$306,"&lt;="&amp;DATE($B$3,6,26),'Leave log'!$C$7:$C$306,"&gt;="&amp;DATE($B$3,6,26),'Leave log'!$F$7:$F$306,"Pending")&gt;0,"P",""))))</f>
        <v/>
      </c>
      <c r="AB194" s="23" t="str">
        <f>IF(A194="","",IF(IF(OR(DATE($B$3,6,27)&gt;EOMONTH(DATE($B$3,6,1),0),NETWORKDAYS.INTL(DATE($B$3,6,27),DATE($B$3,6,27),1,'Non-working days'!$A$6:$A$45)=0),"",IF(COUNTIFS('Leave log'!$A$7:$A$306,Employees!$A$23,'Leave log'!$B$7:$B$306,"&lt;="&amp;DATE($B$3,6,27),'Leave log'!$C$7:$C$306,"&gt;="&amp;DATE($B$3,6,27),'Leave log'!$F$7:$F$306,"Approved")&gt;0,"A",""))="A","A",IF(OR(DATE($B$3,6,27)&gt;EOMONTH(DATE($B$3,6,1),0),NETWORKDAYS.INTL(DATE($B$3,6,27),DATE($B$3,6,27),1,'Non-working days'!$A$6:$A$45)=0),"",IF(COUNTIFS('Leave log'!$A$7:$A$306,Employees!$A$23,'Leave log'!$B$7:$B$306,"&lt;="&amp;DATE($B$3,6,27),'Leave log'!$C$7:$C$306,"&gt;="&amp;DATE($B$3,6,27),'Leave log'!$F$7:$F$306,"Pending")&gt;0,"P",""))))</f>
        <v/>
      </c>
      <c r="AC194" s="23" t="str">
        <f>IF(A194="","",IF(IF(OR(DATE($B$3,6,28)&gt;EOMONTH(DATE($B$3,6,1),0),NETWORKDAYS.INTL(DATE($B$3,6,28),DATE($B$3,6,28),1,'Non-working days'!$A$6:$A$45)=0),"",IF(COUNTIFS('Leave log'!$A$7:$A$306,Employees!$A$23,'Leave log'!$B$7:$B$306,"&lt;="&amp;DATE($B$3,6,28),'Leave log'!$C$7:$C$306,"&gt;="&amp;DATE($B$3,6,28),'Leave log'!$F$7:$F$306,"Approved")&gt;0,"A",""))="A","A",IF(OR(DATE($B$3,6,28)&gt;EOMONTH(DATE($B$3,6,1),0),NETWORKDAYS.INTL(DATE($B$3,6,28),DATE($B$3,6,28),1,'Non-working days'!$A$6:$A$45)=0),"",IF(COUNTIFS('Leave log'!$A$7:$A$306,Employees!$A$23,'Leave log'!$B$7:$B$306,"&lt;="&amp;DATE($B$3,6,28),'Leave log'!$C$7:$C$306,"&gt;="&amp;DATE($B$3,6,28),'Leave log'!$F$7:$F$306,"Pending")&gt;0,"P",""))))</f>
        <v/>
      </c>
      <c r="AD194" s="23" t="str">
        <f>IF(A194="","",IF(IF(OR(DATE($B$3,6,29)&gt;EOMONTH(DATE($B$3,6,1),0),NETWORKDAYS.INTL(DATE($B$3,6,29),DATE($B$3,6,29),1,'Non-working days'!$A$6:$A$45)=0),"",IF(COUNTIFS('Leave log'!$A$7:$A$306,Employees!$A$23,'Leave log'!$B$7:$B$306,"&lt;="&amp;DATE($B$3,6,29),'Leave log'!$C$7:$C$306,"&gt;="&amp;DATE($B$3,6,29),'Leave log'!$F$7:$F$306,"Approved")&gt;0,"A",""))="A","A",IF(OR(DATE($B$3,6,29)&gt;EOMONTH(DATE($B$3,6,1),0),NETWORKDAYS.INTL(DATE($B$3,6,29),DATE($B$3,6,29),1,'Non-working days'!$A$6:$A$45)=0),"",IF(COUNTIFS('Leave log'!$A$7:$A$306,Employees!$A$23,'Leave log'!$B$7:$B$306,"&lt;="&amp;DATE($B$3,6,29),'Leave log'!$C$7:$C$306,"&gt;="&amp;DATE($B$3,6,29),'Leave log'!$F$7:$F$306,"Pending")&gt;0,"P",""))))</f>
        <v/>
      </c>
      <c r="AE194" s="23" t="str">
        <f>IF(A194="","",IF(IF(OR(DATE($B$3,6,30)&gt;EOMONTH(DATE($B$3,6,1),0),NETWORKDAYS.INTL(DATE($B$3,6,30),DATE($B$3,6,30),1,'Non-working days'!$A$6:$A$45)=0),"",IF(COUNTIFS('Leave log'!$A$7:$A$306,Employees!$A$23,'Leave log'!$B$7:$B$306,"&lt;="&amp;DATE($B$3,6,30),'Leave log'!$C$7:$C$306,"&gt;="&amp;DATE($B$3,6,30),'Leave log'!$F$7:$F$306,"Approved")&gt;0,"A",""))="A","A",IF(OR(DATE($B$3,6,30)&gt;EOMONTH(DATE($B$3,6,1),0),NETWORKDAYS.INTL(DATE($B$3,6,30),DATE($B$3,6,30),1,'Non-working days'!$A$6:$A$45)=0),"",IF(COUNTIFS('Leave log'!$A$7:$A$306,Employees!$A$23,'Leave log'!$B$7:$B$306,"&lt;="&amp;DATE($B$3,6,30),'Leave log'!$C$7:$C$306,"&gt;="&amp;DATE($B$3,6,30),'Leave log'!$F$7:$F$306,"Pending")&gt;0,"P",""))))</f>
        <v/>
      </c>
      <c r="AF194" s="23" t="str">
        <f>IF(A194="","",IF(IF(OR(DATE($B$3,6,31)&gt;EOMONTH(DATE($B$3,6,1),0),NETWORKDAYS.INTL(DATE($B$3,6,31),DATE($B$3,6,31),1,'Non-working days'!$A$6:$A$45)=0),"",IF(COUNTIFS('Leave log'!$A$7:$A$306,Employees!$A$23,'Leave log'!$B$7:$B$306,"&lt;="&amp;DATE($B$3,6,31),'Leave log'!$C$7:$C$306,"&gt;="&amp;DATE($B$3,6,31),'Leave log'!$F$7:$F$306,"Approved")&gt;0,"A",""))="A","A",IF(OR(DATE($B$3,6,31)&gt;EOMONTH(DATE($B$3,6,1),0),NETWORKDAYS.INTL(DATE($B$3,6,31),DATE($B$3,6,31),1,'Non-working days'!$A$6:$A$45)=0),"",IF(COUNTIFS('Leave log'!$A$7:$A$306,Employees!$A$23,'Leave log'!$B$7:$B$306,"&lt;="&amp;DATE($B$3,6,31),'Leave log'!$C$7:$C$306,"&gt;="&amp;DATE($B$3,6,31),'Leave log'!$F$7:$F$306,"Pending")&gt;0,"P",""))))</f>
        <v/>
      </c>
    </row>
    <row r="195" spans="1:32" ht="18" customHeight="1" x14ac:dyDescent="0.3">
      <c r="A195" s="22" t="str">
        <f>IF(Employees!F24="Yes",Employees!B24,"")</f>
        <v/>
      </c>
      <c r="B195" s="23" t="str">
        <f>IF(A195="","",IF(IF(OR(DATE($B$3,6,1)&gt;EOMONTH(DATE($B$3,6,1),0),NETWORKDAYS.INTL(DATE($B$3,6,1),DATE($B$3,6,1),1,'Non-working days'!$A$6:$A$45)=0),"",IF(COUNTIFS('Leave log'!$A$7:$A$306,Employees!$A$24,'Leave log'!$B$7:$B$306,"&lt;="&amp;DATE($B$3,6,1),'Leave log'!$C$7:$C$306,"&gt;="&amp;DATE($B$3,6,1),'Leave log'!$F$7:$F$306,"Approved")&gt;0,"A",""))="A","A",IF(OR(DATE($B$3,6,1)&gt;EOMONTH(DATE($B$3,6,1),0),NETWORKDAYS.INTL(DATE($B$3,6,1),DATE($B$3,6,1),1,'Non-working days'!$A$6:$A$45)=0),"",IF(COUNTIFS('Leave log'!$A$7:$A$306,Employees!$A$24,'Leave log'!$B$7:$B$306,"&lt;="&amp;DATE($B$3,6,1),'Leave log'!$C$7:$C$306,"&gt;="&amp;DATE($B$3,6,1),'Leave log'!$F$7:$F$306,"Pending")&gt;0,"P",""))))</f>
        <v/>
      </c>
      <c r="C195" s="23" t="str">
        <f>IF(A195="","",IF(IF(OR(DATE($B$3,6,2)&gt;EOMONTH(DATE($B$3,6,1),0),NETWORKDAYS.INTL(DATE($B$3,6,2),DATE($B$3,6,2),1,'Non-working days'!$A$6:$A$45)=0),"",IF(COUNTIFS('Leave log'!$A$7:$A$306,Employees!$A$24,'Leave log'!$B$7:$B$306,"&lt;="&amp;DATE($B$3,6,2),'Leave log'!$C$7:$C$306,"&gt;="&amp;DATE($B$3,6,2),'Leave log'!$F$7:$F$306,"Approved")&gt;0,"A",""))="A","A",IF(OR(DATE($B$3,6,2)&gt;EOMONTH(DATE($B$3,6,1),0),NETWORKDAYS.INTL(DATE($B$3,6,2),DATE($B$3,6,2),1,'Non-working days'!$A$6:$A$45)=0),"",IF(COUNTIFS('Leave log'!$A$7:$A$306,Employees!$A$24,'Leave log'!$B$7:$B$306,"&lt;="&amp;DATE($B$3,6,2),'Leave log'!$C$7:$C$306,"&gt;="&amp;DATE($B$3,6,2),'Leave log'!$F$7:$F$306,"Pending")&gt;0,"P",""))))</f>
        <v/>
      </c>
      <c r="D195" s="23" t="str">
        <f>IF(A195="","",IF(IF(OR(DATE($B$3,6,3)&gt;EOMONTH(DATE($B$3,6,1),0),NETWORKDAYS.INTL(DATE($B$3,6,3),DATE($B$3,6,3),1,'Non-working days'!$A$6:$A$45)=0),"",IF(COUNTIFS('Leave log'!$A$7:$A$306,Employees!$A$24,'Leave log'!$B$7:$B$306,"&lt;="&amp;DATE($B$3,6,3),'Leave log'!$C$7:$C$306,"&gt;="&amp;DATE($B$3,6,3),'Leave log'!$F$7:$F$306,"Approved")&gt;0,"A",""))="A","A",IF(OR(DATE($B$3,6,3)&gt;EOMONTH(DATE($B$3,6,1),0),NETWORKDAYS.INTL(DATE($B$3,6,3),DATE($B$3,6,3),1,'Non-working days'!$A$6:$A$45)=0),"",IF(COUNTIFS('Leave log'!$A$7:$A$306,Employees!$A$24,'Leave log'!$B$7:$B$306,"&lt;="&amp;DATE($B$3,6,3),'Leave log'!$C$7:$C$306,"&gt;="&amp;DATE($B$3,6,3),'Leave log'!$F$7:$F$306,"Pending")&gt;0,"P",""))))</f>
        <v/>
      </c>
      <c r="E195" s="23" t="str">
        <f>IF(A195="","",IF(IF(OR(DATE($B$3,6,4)&gt;EOMONTH(DATE($B$3,6,1),0),NETWORKDAYS.INTL(DATE($B$3,6,4),DATE($B$3,6,4),1,'Non-working days'!$A$6:$A$45)=0),"",IF(COUNTIFS('Leave log'!$A$7:$A$306,Employees!$A$24,'Leave log'!$B$7:$B$306,"&lt;="&amp;DATE($B$3,6,4),'Leave log'!$C$7:$C$306,"&gt;="&amp;DATE($B$3,6,4),'Leave log'!$F$7:$F$306,"Approved")&gt;0,"A",""))="A","A",IF(OR(DATE($B$3,6,4)&gt;EOMONTH(DATE($B$3,6,1),0),NETWORKDAYS.INTL(DATE($B$3,6,4),DATE($B$3,6,4),1,'Non-working days'!$A$6:$A$45)=0),"",IF(COUNTIFS('Leave log'!$A$7:$A$306,Employees!$A$24,'Leave log'!$B$7:$B$306,"&lt;="&amp;DATE($B$3,6,4),'Leave log'!$C$7:$C$306,"&gt;="&amp;DATE($B$3,6,4),'Leave log'!$F$7:$F$306,"Pending")&gt;0,"P",""))))</f>
        <v/>
      </c>
      <c r="F195" s="23" t="str">
        <f>IF(A195="","",IF(IF(OR(DATE($B$3,6,5)&gt;EOMONTH(DATE($B$3,6,1),0),NETWORKDAYS.INTL(DATE($B$3,6,5),DATE($B$3,6,5),1,'Non-working days'!$A$6:$A$45)=0),"",IF(COUNTIFS('Leave log'!$A$7:$A$306,Employees!$A$24,'Leave log'!$B$7:$B$306,"&lt;="&amp;DATE($B$3,6,5),'Leave log'!$C$7:$C$306,"&gt;="&amp;DATE($B$3,6,5),'Leave log'!$F$7:$F$306,"Approved")&gt;0,"A",""))="A","A",IF(OR(DATE($B$3,6,5)&gt;EOMONTH(DATE($B$3,6,1),0),NETWORKDAYS.INTL(DATE($B$3,6,5),DATE($B$3,6,5),1,'Non-working days'!$A$6:$A$45)=0),"",IF(COUNTIFS('Leave log'!$A$7:$A$306,Employees!$A$24,'Leave log'!$B$7:$B$306,"&lt;="&amp;DATE($B$3,6,5),'Leave log'!$C$7:$C$306,"&gt;="&amp;DATE($B$3,6,5),'Leave log'!$F$7:$F$306,"Pending")&gt;0,"P",""))))</f>
        <v/>
      </c>
      <c r="G195" s="23" t="str">
        <f>IF(A195="","",IF(IF(OR(DATE($B$3,6,6)&gt;EOMONTH(DATE($B$3,6,1),0),NETWORKDAYS.INTL(DATE($B$3,6,6),DATE($B$3,6,6),1,'Non-working days'!$A$6:$A$45)=0),"",IF(COUNTIFS('Leave log'!$A$7:$A$306,Employees!$A$24,'Leave log'!$B$7:$B$306,"&lt;="&amp;DATE($B$3,6,6),'Leave log'!$C$7:$C$306,"&gt;="&amp;DATE($B$3,6,6),'Leave log'!$F$7:$F$306,"Approved")&gt;0,"A",""))="A","A",IF(OR(DATE($B$3,6,6)&gt;EOMONTH(DATE($B$3,6,1),0),NETWORKDAYS.INTL(DATE($B$3,6,6),DATE($B$3,6,6),1,'Non-working days'!$A$6:$A$45)=0),"",IF(COUNTIFS('Leave log'!$A$7:$A$306,Employees!$A$24,'Leave log'!$B$7:$B$306,"&lt;="&amp;DATE($B$3,6,6),'Leave log'!$C$7:$C$306,"&gt;="&amp;DATE($B$3,6,6),'Leave log'!$F$7:$F$306,"Pending")&gt;0,"P",""))))</f>
        <v/>
      </c>
      <c r="H195" s="23" t="str">
        <f>IF(A195="","",IF(IF(OR(DATE($B$3,6,7)&gt;EOMONTH(DATE($B$3,6,1),0),NETWORKDAYS.INTL(DATE($B$3,6,7),DATE($B$3,6,7),1,'Non-working days'!$A$6:$A$45)=0),"",IF(COUNTIFS('Leave log'!$A$7:$A$306,Employees!$A$24,'Leave log'!$B$7:$B$306,"&lt;="&amp;DATE($B$3,6,7),'Leave log'!$C$7:$C$306,"&gt;="&amp;DATE($B$3,6,7),'Leave log'!$F$7:$F$306,"Approved")&gt;0,"A",""))="A","A",IF(OR(DATE($B$3,6,7)&gt;EOMONTH(DATE($B$3,6,1),0),NETWORKDAYS.INTL(DATE($B$3,6,7),DATE($B$3,6,7),1,'Non-working days'!$A$6:$A$45)=0),"",IF(COUNTIFS('Leave log'!$A$7:$A$306,Employees!$A$24,'Leave log'!$B$7:$B$306,"&lt;="&amp;DATE($B$3,6,7),'Leave log'!$C$7:$C$306,"&gt;="&amp;DATE($B$3,6,7),'Leave log'!$F$7:$F$306,"Pending")&gt;0,"P",""))))</f>
        <v/>
      </c>
      <c r="I195" s="23" t="str">
        <f>IF(A195="","",IF(IF(OR(DATE($B$3,6,8)&gt;EOMONTH(DATE($B$3,6,1),0),NETWORKDAYS.INTL(DATE($B$3,6,8),DATE($B$3,6,8),1,'Non-working days'!$A$6:$A$45)=0),"",IF(COUNTIFS('Leave log'!$A$7:$A$306,Employees!$A$24,'Leave log'!$B$7:$B$306,"&lt;="&amp;DATE($B$3,6,8),'Leave log'!$C$7:$C$306,"&gt;="&amp;DATE($B$3,6,8),'Leave log'!$F$7:$F$306,"Approved")&gt;0,"A",""))="A","A",IF(OR(DATE($B$3,6,8)&gt;EOMONTH(DATE($B$3,6,1),0),NETWORKDAYS.INTL(DATE($B$3,6,8),DATE($B$3,6,8),1,'Non-working days'!$A$6:$A$45)=0),"",IF(COUNTIFS('Leave log'!$A$7:$A$306,Employees!$A$24,'Leave log'!$B$7:$B$306,"&lt;="&amp;DATE($B$3,6,8),'Leave log'!$C$7:$C$306,"&gt;="&amp;DATE($B$3,6,8),'Leave log'!$F$7:$F$306,"Pending")&gt;0,"P",""))))</f>
        <v/>
      </c>
      <c r="J195" s="23" t="str">
        <f>IF(A195="","",IF(IF(OR(DATE($B$3,6,9)&gt;EOMONTH(DATE($B$3,6,1),0),NETWORKDAYS.INTL(DATE($B$3,6,9),DATE($B$3,6,9),1,'Non-working days'!$A$6:$A$45)=0),"",IF(COUNTIFS('Leave log'!$A$7:$A$306,Employees!$A$24,'Leave log'!$B$7:$B$306,"&lt;="&amp;DATE($B$3,6,9),'Leave log'!$C$7:$C$306,"&gt;="&amp;DATE($B$3,6,9),'Leave log'!$F$7:$F$306,"Approved")&gt;0,"A",""))="A","A",IF(OR(DATE($B$3,6,9)&gt;EOMONTH(DATE($B$3,6,1),0),NETWORKDAYS.INTL(DATE($B$3,6,9),DATE($B$3,6,9),1,'Non-working days'!$A$6:$A$45)=0),"",IF(COUNTIFS('Leave log'!$A$7:$A$306,Employees!$A$24,'Leave log'!$B$7:$B$306,"&lt;="&amp;DATE($B$3,6,9),'Leave log'!$C$7:$C$306,"&gt;="&amp;DATE($B$3,6,9),'Leave log'!$F$7:$F$306,"Pending")&gt;0,"P",""))))</f>
        <v/>
      </c>
      <c r="K195" s="23" t="str">
        <f>IF(A195="","",IF(IF(OR(DATE($B$3,6,10)&gt;EOMONTH(DATE($B$3,6,1),0),NETWORKDAYS.INTL(DATE($B$3,6,10),DATE($B$3,6,10),1,'Non-working days'!$A$6:$A$45)=0),"",IF(COUNTIFS('Leave log'!$A$7:$A$306,Employees!$A$24,'Leave log'!$B$7:$B$306,"&lt;="&amp;DATE($B$3,6,10),'Leave log'!$C$7:$C$306,"&gt;="&amp;DATE($B$3,6,10),'Leave log'!$F$7:$F$306,"Approved")&gt;0,"A",""))="A","A",IF(OR(DATE($B$3,6,10)&gt;EOMONTH(DATE($B$3,6,1),0),NETWORKDAYS.INTL(DATE($B$3,6,10),DATE($B$3,6,10),1,'Non-working days'!$A$6:$A$45)=0),"",IF(COUNTIFS('Leave log'!$A$7:$A$306,Employees!$A$24,'Leave log'!$B$7:$B$306,"&lt;="&amp;DATE($B$3,6,10),'Leave log'!$C$7:$C$306,"&gt;="&amp;DATE($B$3,6,10),'Leave log'!$F$7:$F$306,"Pending")&gt;0,"P",""))))</f>
        <v/>
      </c>
      <c r="L195" s="23" t="str">
        <f>IF(A195="","",IF(IF(OR(DATE($B$3,6,11)&gt;EOMONTH(DATE($B$3,6,1),0),NETWORKDAYS.INTL(DATE($B$3,6,11),DATE($B$3,6,11),1,'Non-working days'!$A$6:$A$45)=0),"",IF(COUNTIFS('Leave log'!$A$7:$A$306,Employees!$A$24,'Leave log'!$B$7:$B$306,"&lt;="&amp;DATE($B$3,6,11),'Leave log'!$C$7:$C$306,"&gt;="&amp;DATE($B$3,6,11),'Leave log'!$F$7:$F$306,"Approved")&gt;0,"A",""))="A","A",IF(OR(DATE($B$3,6,11)&gt;EOMONTH(DATE($B$3,6,1),0),NETWORKDAYS.INTL(DATE($B$3,6,11),DATE($B$3,6,11),1,'Non-working days'!$A$6:$A$45)=0),"",IF(COUNTIFS('Leave log'!$A$7:$A$306,Employees!$A$24,'Leave log'!$B$7:$B$306,"&lt;="&amp;DATE($B$3,6,11),'Leave log'!$C$7:$C$306,"&gt;="&amp;DATE($B$3,6,11),'Leave log'!$F$7:$F$306,"Pending")&gt;0,"P",""))))</f>
        <v/>
      </c>
      <c r="M195" s="23" t="str">
        <f>IF(A195="","",IF(IF(OR(DATE($B$3,6,12)&gt;EOMONTH(DATE($B$3,6,1),0),NETWORKDAYS.INTL(DATE($B$3,6,12),DATE($B$3,6,12),1,'Non-working days'!$A$6:$A$45)=0),"",IF(COUNTIFS('Leave log'!$A$7:$A$306,Employees!$A$24,'Leave log'!$B$7:$B$306,"&lt;="&amp;DATE($B$3,6,12),'Leave log'!$C$7:$C$306,"&gt;="&amp;DATE($B$3,6,12),'Leave log'!$F$7:$F$306,"Approved")&gt;0,"A",""))="A","A",IF(OR(DATE($B$3,6,12)&gt;EOMONTH(DATE($B$3,6,1),0),NETWORKDAYS.INTL(DATE($B$3,6,12),DATE($B$3,6,12),1,'Non-working days'!$A$6:$A$45)=0),"",IF(COUNTIFS('Leave log'!$A$7:$A$306,Employees!$A$24,'Leave log'!$B$7:$B$306,"&lt;="&amp;DATE($B$3,6,12),'Leave log'!$C$7:$C$306,"&gt;="&amp;DATE($B$3,6,12),'Leave log'!$F$7:$F$306,"Pending")&gt;0,"P",""))))</f>
        <v/>
      </c>
      <c r="N195" s="23" t="str">
        <f>IF(A195="","",IF(IF(OR(DATE($B$3,6,13)&gt;EOMONTH(DATE($B$3,6,1),0),NETWORKDAYS.INTL(DATE($B$3,6,13),DATE($B$3,6,13),1,'Non-working days'!$A$6:$A$45)=0),"",IF(COUNTIFS('Leave log'!$A$7:$A$306,Employees!$A$24,'Leave log'!$B$7:$B$306,"&lt;="&amp;DATE($B$3,6,13),'Leave log'!$C$7:$C$306,"&gt;="&amp;DATE($B$3,6,13),'Leave log'!$F$7:$F$306,"Approved")&gt;0,"A",""))="A","A",IF(OR(DATE($B$3,6,13)&gt;EOMONTH(DATE($B$3,6,1),0),NETWORKDAYS.INTL(DATE($B$3,6,13),DATE($B$3,6,13),1,'Non-working days'!$A$6:$A$45)=0),"",IF(COUNTIFS('Leave log'!$A$7:$A$306,Employees!$A$24,'Leave log'!$B$7:$B$306,"&lt;="&amp;DATE($B$3,6,13),'Leave log'!$C$7:$C$306,"&gt;="&amp;DATE($B$3,6,13),'Leave log'!$F$7:$F$306,"Pending")&gt;0,"P",""))))</f>
        <v/>
      </c>
      <c r="O195" s="23" t="str">
        <f>IF(A195="","",IF(IF(OR(DATE($B$3,6,14)&gt;EOMONTH(DATE($B$3,6,1),0),NETWORKDAYS.INTL(DATE($B$3,6,14),DATE($B$3,6,14),1,'Non-working days'!$A$6:$A$45)=0),"",IF(COUNTIFS('Leave log'!$A$7:$A$306,Employees!$A$24,'Leave log'!$B$7:$B$306,"&lt;="&amp;DATE($B$3,6,14),'Leave log'!$C$7:$C$306,"&gt;="&amp;DATE($B$3,6,14),'Leave log'!$F$7:$F$306,"Approved")&gt;0,"A",""))="A","A",IF(OR(DATE($B$3,6,14)&gt;EOMONTH(DATE($B$3,6,1),0),NETWORKDAYS.INTL(DATE($B$3,6,14),DATE($B$3,6,14),1,'Non-working days'!$A$6:$A$45)=0),"",IF(COUNTIFS('Leave log'!$A$7:$A$306,Employees!$A$24,'Leave log'!$B$7:$B$306,"&lt;="&amp;DATE($B$3,6,14),'Leave log'!$C$7:$C$306,"&gt;="&amp;DATE($B$3,6,14),'Leave log'!$F$7:$F$306,"Pending")&gt;0,"P",""))))</f>
        <v/>
      </c>
      <c r="P195" s="23" t="str">
        <f>IF(A195="","",IF(IF(OR(DATE($B$3,6,15)&gt;EOMONTH(DATE($B$3,6,1),0),NETWORKDAYS.INTL(DATE($B$3,6,15),DATE($B$3,6,15),1,'Non-working days'!$A$6:$A$45)=0),"",IF(COUNTIFS('Leave log'!$A$7:$A$306,Employees!$A$24,'Leave log'!$B$7:$B$306,"&lt;="&amp;DATE($B$3,6,15),'Leave log'!$C$7:$C$306,"&gt;="&amp;DATE($B$3,6,15),'Leave log'!$F$7:$F$306,"Approved")&gt;0,"A",""))="A","A",IF(OR(DATE($B$3,6,15)&gt;EOMONTH(DATE($B$3,6,1),0),NETWORKDAYS.INTL(DATE($B$3,6,15),DATE($B$3,6,15),1,'Non-working days'!$A$6:$A$45)=0),"",IF(COUNTIFS('Leave log'!$A$7:$A$306,Employees!$A$24,'Leave log'!$B$7:$B$306,"&lt;="&amp;DATE($B$3,6,15),'Leave log'!$C$7:$C$306,"&gt;="&amp;DATE($B$3,6,15),'Leave log'!$F$7:$F$306,"Pending")&gt;0,"P",""))))</f>
        <v/>
      </c>
      <c r="Q195" s="23" t="str">
        <f>IF(A195="","",IF(IF(OR(DATE($B$3,6,16)&gt;EOMONTH(DATE($B$3,6,1),0),NETWORKDAYS.INTL(DATE($B$3,6,16),DATE($B$3,6,16),1,'Non-working days'!$A$6:$A$45)=0),"",IF(COUNTIFS('Leave log'!$A$7:$A$306,Employees!$A$24,'Leave log'!$B$7:$B$306,"&lt;="&amp;DATE($B$3,6,16),'Leave log'!$C$7:$C$306,"&gt;="&amp;DATE($B$3,6,16),'Leave log'!$F$7:$F$306,"Approved")&gt;0,"A",""))="A","A",IF(OR(DATE($B$3,6,16)&gt;EOMONTH(DATE($B$3,6,1),0),NETWORKDAYS.INTL(DATE($B$3,6,16),DATE($B$3,6,16),1,'Non-working days'!$A$6:$A$45)=0),"",IF(COUNTIFS('Leave log'!$A$7:$A$306,Employees!$A$24,'Leave log'!$B$7:$B$306,"&lt;="&amp;DATE($B$3,6,16),'Leave log'!$C$7:$C$306,"&gt;="&amp;DATE($B$3,6,16),'Leave log'!$F$7:$F$306,"Pending")&gt;0,"P",""))))</f>
        <v/>
      </c>
      <c r="R195" s="23" t="str">
        <f>IF(A195="","",IF(IF(OR(DATE($B$3,6,17)&gt;EOMONTH(DATE($B$3,6,1),0),NETWORKDAYS.INTL(DATE($B$3,6,17),DATE($B$3,6,17),1,'Non-working days'!$A$6:$A$45)=0),"",IF(COUNTIFS('Leave log'!$A$7:$A$306,Employees!$A$24,'Leave log'!$B$7:$B$306,"&lt;="&amp;DATE($B$3,6,17),'Leave log'!$C$7:$C$306,"&gt;="&amp;DATE($B$3,6,17),'Leave log'!$F$7:$F$306,"Approved")&gt;0,"A",""))="A","A",IF(OR(DATE($B$3,6,17)&gt;EOMONTH(DATE($B$3,6,1),0),NETWORKDAYS.INTL(DATE($B$3,6,17),DATE($B$3,6,17),1,'Non-working days'!$A$6:$A$45)=0),"",IF(COUNTIFS('Leave log'!$A$7:$A$306,Employees!$A$24,'Leave log'!$B$7:$B$306,"&lt;="&amp;DATE($B$3,6,17),'Leave log'!$C$7:$C$306,"&gt;="&amp;DATE($B$3,6,17),'Leave log'!$F$7:$F$306,"Pending")&gt;0,"P",""))))</f>
        <v/>
      </c>
      <c r="S195" s="23" t="str">
        <f>IF(A195="","",IF(IF(OR(DATE($B$3,6,18)&gt;EOMONTH(DATE($B$3,6,1),0),NETWORKDAYS.INTL(DATE($B$3,6,18),DATE($B$3,6,18),1,'Non-working days'!$A$6:$A$45)=0),"",IF(COUNTIFS('Leave log'!$A$7:$A$306,Employees!$A$24,'Leave log'!$B$7:$B$306,"&lt;="&amp;DATE($B$3,6,18),'Leave log'!$C$7:$C$306,"&gt;="&amp;DATE($B$3,6,18),'Leave log'!$F$7:$F$306,"Approved")&gt;0,"A",""))="A","A",IF(OR(DATE($B$3,6,18)&gt;EOMONTH(DATE($B$3,6,1),0),NETWORKDAYS.INTL(DATE($B$3,6,18),DATE($B$3,6,18),1,'Non-working days'!$A$6:$A$45)=0),"",IF(COUNTIFS('Leave log'!$A$7:$A$306,Employees!$A$24,'Leave log'!$B$7:$B$306,"&lt;="&amp;DATE($B$3,6,18),'Leave log'!$C$7:$C$306,"&gt;="&amp;DATE($B$3,6,18),'Leave log'!$F$7:$F$306,"Pending")&gt;0,"P",""))))</f>
        <v/>
      </c>
      <c r="T195" s="23" t="str">
        <f>IF(A195="","",IF(IF(OR(DATE($B$3,6,19)&gt;EOMONTH(DATE($B$3,6,1),0),NETWORKDAYS.INTL(DATE($B$3,6,19),DATE($B$3,6,19),1,'Non-working days'!$A$6:$A$45)=0),"",IF(COUNTIFS('Leave log'!$A$7:$A$306,Employees!$A$24,'Leave log'!$B$7:$B$306,"&lt;="&amp;DATE($B$3,6,19),'Leave log'!$C$7:$C$306,"&gt;="&amp;DATE($B$3,6,19),'Leave log'!$F$7:$F$306,"Approved")&gt;0,"A",""))="A","A",IF(OR(DATE($B$3,6,19)&gt;EOMONTH(DATE($B$3,6,1),0),NETWORKDAYS.INTL(DATE($B$3,6,19),DATE($B$3,6,19),1,'Non-working days'!$A$6:$A$45)=0),"",IF(COUNTIFS('Leave log'!$A$7:$A$306,Employees!$A$24,'Leave log'!$B$7:$B$306,"&lt;="&amp;DATE($B$3,6,19),'Leave log'!$C$7:$C$306,"&gt;="&amp;DATE($B$3,6,19),'Leave log'!$F$7:$F$306,"Pending")&gt;0,"P",""))))</f>
        <v/>
      </c>
      <c r="U195" s="23" t="str">
        <f>IF(A195="","",IF(IF(OR(DATE($B$3,6,20)&gt;EOMONTH(DATE($B$3,6,1),0),NETWORKDAYS.INTL(DATE($B$3,6,20),DATE($B$3,6,20),1,'Non-working days'!$A$6:$A$45)=0),"",IF(COUNTIFS('Leave log'!$A$7:$A$306,Employees!$A$24,'Leave log'!$B$7:$B$306,"&lt;="&amp;DATE($B$3,6,20),'Leave log'!$C$7:$C$306,"&gt;="&amp;DATE($B$3,6,20),'Leave log'!$F$7:$F$306,"Approved")&gt;0,"A",""))="A","A",IF(OR(DATE($B$3,6,20)&gt;EOMONTH(DATE($B$3,6,1),0),NETWORKDAYS.INTL(DATE($B$3,6,20),DATE($B$3,6,20),1,'Non-working days'!$A$6:$A$45)=0),"",IF(COUNTIFS('Leave log'!$A$7:$A$306,Employees!$A$24,'Leave log'!$B$7:$B$306,"&lt;="&amp;DATE($B$3,6,20),'Leave log'!$C$7:$C$306,"&gt;="&amp;DATE($B$3,6,20),'Leave log'!$F$7:$F$306,"Pending")&gt;0,"P",""))))</f>
        <v/>
      </c>
      <c r="V195" s="23" t="str">
        <f>IF(A195="","",IF(IF(OR(DATE($B$3,6,21)&gt;EOMONTH(DATE($B$3,6,1),0),NETWORKDAYS.INTL(DATE($B$3,6,21),DATE($B$3,6,21),1,'Non-working days'!$A$6:$A$45)=0),"",IF(COUNTIFS('Leave log'!$A$7:$A$306,Employees!$A$24,'Leave log'!$B$7:$B$306,"&lt;="&amp;DATE($B$3,6,21),'Leave log'!$C$7:$C$306,"&gt;="&amp;DATE($B$3,6,21),'Leave log'!$F$7:$F$306,"Approved")&gt;0,"A",""))="A","A",IF(OR(DATE($B$3,6,21)&gt;EOMONTH(DATE($B$3,6,1),0),NETWORKDAYS.INTL(DATE($B$3,6,21),DATE($B$3,6,21),1,'Non-working days'!$A$6:$A$45)=0),"",IF(COUNTIFS('Leave log'!$A$7:$A$306,Employees!$A$24,'Leave log'!$B$7:$B$306,"&lt;="&amp;DATE($B$3,6,21),'Leave log'!$C$7:$C$306,"&gt;="&amp;DATE($B$3,6,21),'Leave log'!$F$7:$F$306,"Pending")&gt;0,"P",""))))</f>
        <v/>
      </c>
      <c r="W195" s="23" t="str">
        <f>IF(A195="","",IF(IF(OR(DATE($B$3,6,22)&gt;EOMONTH(DATE($B$3,6,1),0),NETWORKDAYS.INTL(DATE($B$3,6,22),DATE($B$3,6,22),1,'Non-working days'!$A$6:$A$45)=0),"",IF(COUNTIFS('Leave log'!$A$7:$A$306,Employees!$A$24,'Leave log'!$B$7:$B$306,"&lt;="&amp;DATE($B$3,6,22),'Leave log'!$C$7:$C$306,"&gt;="&amp;DATE($B$3,6,22),'Leave log'!$F$7:$F$306,"Approved")&gt;0,"A",""))="A","A",IF(OR(DATE($B$3,6,22)&gt;EOMONTH(DATE($B$3,6,1),0),NETWORKDAYS.INTL(DATE($B$3,6,22),DATE($B$3,6,22),1,'Non-working days'!$A$6:$A$45)=0),"",IF(COUNTIFS('Leave log'!$A$7:$A$306,Employees!$A$24,'Leave log'!$B$7:$B$306,"&lt;="&amp;DATE($B$3,6,22),'Leave log'!$C$7:$C$306,"&gt;="&amp;DATE($B$3,6,22),'Leave log'!$F$7:$F$306,"Pending")&gt;0,"P",""))))</f>
        <v/>
      </c>
      <c r="X195" s="23" t="str">
        <f>IF(A195="","",IF(IF(OR(DATE($B$3,6,23)&gt;EOMONTH(DATE($B$3,6,1),0),NETWORKDAYS.INTL(DATE($B$3,6,23),DATE($B$3,6,23),1,'Non-working days'!$A$6:$A$45)=0),"",IF(COUNTIFS('Leave log'!$A$7:$A$306,Employees!$A$24,'Leave log'!$B$7:$B$306,"&lt;="&amp;DATE($B$3,6,23),'Leave log'!$C$7:$C$306,"&gt;="&amp;DATE($B$3,6,23),'Leave log'!$F$7:$F$306,"Approved")&gt;0,"A",""))="A","A",IF(OR(DATE($B$3,6,23)&gt;EOMONTH(DATE($B$3,6,1),0),NETWORKDAYS.INTL(DATE($B$3,6,23),DATE($B$3,6,23),1,'Non-working days'!$A$6:$A$45)=0),"",IF(COUNTIFS('Leave log'!$A$7:$A$306,Employees!$A$24,'Leave log'!$B$7:$B$306,"&lt;="&amp;DATE($B$3,6,23),'Leave log'!$C$7:$C$306,"&gt;="&amp;DATE($B$3,6,23),'Leave log'!$F$7:$F$306,"Pending")&gt;0,"P",""))))</f>
        <v/>
      </c>
      <c r="Y195" s="23" t="str">
        <f>IF(A195="","",IF(IF(OR(DATE($B$3,6,24)&gt;EOMONTH(DATE($B$3,6,1),0),NETWORKDAYS.INTL(DATE($B$3,6,24),DATE($B$3,6,24),1,'Non-working days'!$A$6:$A$45)=0),"",IF(COUNTIFS('Leave log'!$A$7:$A$306,Employees!$A$24,'Leave log'!$B$7:$B$306,"&lt;="&amp;DATE($B$3,6,24),'Leave log'!$C$7:$C$306,"&gt;="&amp;DATE($B$3,6,24),'Leave log'!$F$7:$F$306,"Approved")&gt;0,"A",""))="A","A",IF(OR(DATE($B$3,6,24)&gt;EOMONTH(DATE($B$3,6,1),0),NETWORKDAYS.INTL(DATE($B$3,6,24),DATE($B$3,6,24),1,'Non-working days'!$A$6:$A$45)=0),"",IF(COUNTIFS('Leave log'!$A$7:$A$306,Employees!$A$24,'Leave log'!$B$7:$B$306,"&lt;="&amp;DATE($B$3,6,24),'Leave log'!$C$7:$C$306,"&gt;="&amp;DATE($B$3,6,24),'Leave log'!$F$7:$F$306,"Pending")&gt;0,"P",""))))</f>
        <v/>
      </c>
      <c r="Z195" s="23" t="str">
        <f>IF(A195="","",IF(IF(OR(DATE($B$3,6,25)&gt;EOMONTH(DATE($B$3,6,1),0),NETWORKDAYS.INTL(DATE($B$3,6,25),DATE($B$3,6,25),1,'Non-working days'!$A$6:$A$45)=0),"",IF(COUNTIFS('Leave log'!$A$7:$A$306,Employees!$A$24,'Leave log'!$B$7:$B$306,"&lt;="&amp;DATE($B$3,6,25),'Leave log'!$C$7:$C$306,"&gt;="&amp;DATE($B$3,6,25),'Leave log'!$F$7:$F$306,"Approved")&gt;0,"A",""))="A","A",IF(OR(DATE($B$3,6,25)&gt;EOMONTH(DATE($B$3,6,1),0),NETWORKDAYS.INTL(DATE($B$3,6,25),DATE($B$3,6,25),1,'Non-working days'!$A$6:$A$45)=0),"",IF(COUNTIFS('Leave log'!$A$7:$A$306,Employees!$A$24,'Leave log'!$B$7:$B$306,"&lt;="&amp;DATE($B$3,6,25),'Leave log'!$C$7:$C$306,"&gt;="&amp;DATE($B$3,6,25),'Leave log'!$F$7:$F$306,"Pending")&gt;0,"P",""))))</f>
        <v/>
      </c>
      <c r="AA195" s="23" t="str">
        <f>IF(A195="","",IF(IF(OR(DATE($B$3,6,26)&gt;EOMONTH(DATE($B$3,6,1),0),NETWORKDAYS.INTL(DATE($B$3,6,26),DATE($B$3,6,26),1,'Non-working days'!$A$6:$A$45)=0),"",IF(COUNTIFS('Leave log'!$A$7:$A$306,Employees!$A$24,'Leave log'!$B$7:$B$306,"&lt;="&amp;DATE($B$3,6,26),'Leave log'!$C$7:$C$306,"&gt;="&amp;DATE($B$3,6,26),'Leave log'!$F$7:$F$306,"Approved")&gt;0,"A",""))="A","A",IF(OR(DATE($B$3,6,26)&gt;EOMONTH(DATE($B$3,6,1),0),NETWORKDAYS.INTL(DATE($B$3,6,26),DATE($B$3,6,26),1,'Non-working days'!$A$6:$A$45)=0),"",IF(COUNTIFS('Leave log'!$A$7:$A$306,Employees!$A$24,'Leave log'!$B$7:$B$306,"&lt;="&amp;DATE($B$3,6,26),'Leave log'!$C$7:$C$306,"&gt;="&amp;DATE($B$3,6,26),'Leave log'!$F$7:$F$306,"Pending")&gt;0,"P",""))))</f>
        <v/>
      </c>
      <c r="AB195" s="23" t="str">
        <f>IF(A195="","",IF(IF(OR(DATE($B$3,6,27)&gt;EOMONTH(DATE($B$3,6,1),0),NETWORKDAYS.INTL(DATE($B$3,6,27),DATE($B$3,6,27),1,'Non-working days'!$A$6:$A$45)=0),"",IF(COUNTIFS('Leave log'!$A$7:$A$306,Employees!$A$24,'Leave log'!$B$7:$B$306,"&lt;="&amp;DATE($B$3,6,27),'Leave log'!$C$7:$C$306,"&gt;="&amp;DATE($B$3,6,27),'Leave log'!$F$7:$F$306,"Approved")&gt;0,"A",""))="A","A",IF(OR(DATE($B$3,6,27)&gt;EOMONTH(DATE($B$3,6,1),0),NETWORKDAYS.INTL(DATE($B$3,6,27),DATE($B$3,6,27),1,'Non-working days'!$A$6:$A$45)=0),"",IF(COUNTIFS('Leave log'!$A$7:$A$306,Employees!$A$24,'Leave log'!$B$7:$B$306,"&lt;="&amp;DATE($B$3,6,27),'Leave log'!$C$7:$C$306,"&gt;="&amp;DATE($B$3,6,27),'Leave log'!$F$7:$F$306,"Pending")&gt;0,"P",""))))</f>
        <v/>
      </c>
      <c r="AC195" s="23" t="str">
        <f>IF(A195="","",IF(IF(OR(DATE($B$3,6,28)&gt;EOMONTH(DATE($B$3,6,1),0),NETWORKDAYS.INTL(DATE($B$3,6,28),DATE($B$3,6,28),1,'Non-working days'!$A$6:$A$45)=0),"",IF(COUNTIFS('Leave log'!$A$7:$A$306,Employees!$A$24,'Leave log'!$B$7:$B$306,"&lt;="&amp;DATE($B$3,6,28),'Leave log'!$C$7:$C$306,"&gt;="&amp;DATE($B$3,6,28),'Leave log'!$F$7:$F$306,"Approved")&gt;0,"A",""))="A","A",IF(OR(DATE($B$3,6,28)&gt;EOMONTH(DATE($B$3,6,1),0),NETWORKDAYS.INTL(DATE($B$3,6,28),DATE($B$3,6,28),1,'Non-working days'!$A$6:$A$45)=0),"",IF(COUNTIFS('Leave log'!$A$7:$A$306,Employees!$A$24,'Leave log'!$B$7:$B$306,"&lt;="&amp;DATE($B$3,6,28),'Leave log'!$C$7:$C$306,"&gt;="&amp;DATE($B$3,6,28),'Leave log'!$F$7:$F$306,"Pending")&gt;0,"P",""))))</f>
        <v/>
      </c>
      <c r="AD195" s="23" t="str">
        <f>IF(A195="","",IF(IF(OR(DATE($B$3,6,29)&gt;EOMONTH(DATE($B$3,6,1),0),NETWORKDAYS.INTL(DATE($B$3,6,29),DATE($B$3,6,29),1,'Non-working days'!$A$6:$A$45)=0),"",IF(COUNTIFS('Leave log'!$A$7:$A$306,Employees!$A$24,'Leave log'!$B$7:$B$306,"&lt;="&amp;DATE($B$3,6,29),'Leave log'!$C$7:$C$306,"&gt;="&amp;DATE($B$3,6,29),'Leave log'!$F$7:$F$306,"Approved")&gt;0,"A",""))="A","A",IF(OR(DATE($B$3,6,29)&gt;EOMONTH(DATE($B$3,6,1),0),NETWORKDAYS.INTL(DATE($B$3,6,29),DATE($B$3,6,29),1,'Non-working days'!$A$6:$A$45)=0),"",IF(COUNTIFS('Leave log'!$A$7:$A$306,Employees!$A$24,'Leave log'!$B$7:$B$306,"&lt;="&amp;DATE($B$3,6,29),'Leave log'!$C$7:$C$306,"&gt;="&amp;DATE($B$3,6,29),'Leave log'!$F$7:$F$306,"Pending")&gt;0,"P",""))))</f>
        <v/>
      </c>
      <c r="AE195" s="23" t="str">
        <f>IF(A195="","",IF(IF(OR(DATE($B$3,6,30)&gt;EOMONTH(DATE($B$3,6,1),0),NETWORKDAYS.INTL(DATE($B$3,6,30),DATE($B$3,6,30),1,'Non-working days'!$A$6:$A$45)=0),"",IF(COUNTIFS('Leave log'!$A$7:$A$306,Employees!$A$24,'Leave log'!$B$7:$B$306,"&lt;="&amp;DATE($B$3,6,30),'Leave log'!$C$7:$C$306,"&gt;="&amp;DATE($B$3,6,30),'Leave log'!$F$7:$F$306,"Approved")&gt;0,"A",""))="A","A",IF(OR(DATE($B$3,6,30)&gt;EOMONTH(DATE($B$3,6,1),0),NETWORKDAYS.INTL(DATE($B$3,6,30),DATE($B$3,6,30),1,'Non-working days'!$A$6:$A$45)=0),"",IF(COUNTIFS('Leave log'!$A$7:$A$306,Employees!$A$24,'Leave log'!$B$7:$B$306,"&lt;="&amp;DATE($B$3,6,30),'Leave log'!$C$7:$C$306,"&gt;="&amp;DATE($B$3,6,30),'Leave log'!$F$7:$F$306,"Pending")&gt;0,"P",""))))</f>
        <v/>
      </c>
      <c r="AF195" s="23" t="str">
        <f>IF(A195="","",IF(IF(OR(DATE($B$3,6,31)&gt;EOMONTH(DATE($B$3,6,1),0),NETWORKDAYS.INTL(DATE($B$3,6,31),DATE($B$3,6,31),1,'Non-working days'!$A$6:$A$45)=0),"",IF(COUNTIFS('Leave log'!$A$7:$A$306,Employees!$A$24,'Leave log'!$B$7:$B$306,"&lt;="&amp;DATE($B$3,6,31),'Leave log'!$C$7:$C$306,"&gt;="&amp;DATE($B$3,6,31),'Leave log'!$F$7:$F$306,"Approved")&gt;0,"A",""))="A","A",IF(OR(DATE($B$3,6,31)&gt;EOMONTH(DATE($B$3,6,1),0),NETWORKDAYS.INTL(DATE($B$3,6,31),DATE($B$3,6,31),1,'Non-working days'!$A$6:$A$45)=0),"",IF(COUNTIFS('Leave log'!$A$7:$A$306,Employees!$A$24,'Leave log'!$B$7:$B$306,"&lt;="&amp;DATE($B$3,6,31),'Leave log'!$C$7:$C$306,"&gt;="&amp;DATE($B$3,6,31),'Leave log'!$F$7:$F$306,"Pending")&gt;0,"P",""))))</f>
        <v/>
      </c>
    </row>
    <row r="196" spans="1:32" ht="18" customHeight="1" x14ac:dyDescent="0.3">
      <c r="A196" s="22" t="str">
        <f>IF(Employees!F25="Yes",Employees!B25,"")</f>
        <v/>
      </c>
      <c r="B196" s="23" t="str">
        <f>IF(A196="","",IF(IF(OR(DATE($B$3,6,1)&gt;EOMONTH(DATE($B$3,6,1),0),NETWORKDAYS.INTL(DATE($B$3,6,1),DATE($B$3,6,1),1,'Non-working days'!$A$6:$A$45)=0),"",IF(COUNTIFS('Leave log'!$A$7:$A$306,Employees!$A$25,'Leave log'!$B$7:$B$306,"&lt;="&amp;DATE($B$3,6,1),'Leave log'!$C$7:$C$306,"&gt;="&amp;DATE($B$3,6,1),'Leave log'!$F$7:$F$306,"Approved")&gt;0,"A",""))="A","A",IF(OR(DATE($B$3,6,1)&gt;EOMONTH(DATE($B$3,6,1),0),NETWORKDAYS.INTL(DATE($B$3,6,1),DATE($B$3,6,1),1,'Non-working days'!$A$6:$A$45)=0),"",IF(COUNTIFS('Leave log'!$A$7:$A$306,Employees!$A$25,'Leave log'!$B$7:$B$306,"&lt;="&amp;DATE($B$3,6,1),'Leave log'!$C$7:$C$306,"&gt;="&amp;DATE($B$3,6,1),'Leave log'!$F$7:$F$306,"Pending")&gt;0,"P",""))))</f>
        <v/>
      </c>
      <c r="C196" s="23" t="str">
        <f>IF(A196="","",IF(IF(OR(DATE($B$3,6,2)&gt;EOMONTH(DATE($B$3,6,1),0),NETWORKDAYS.INTL(DATE($B$3,6,2),DATE($B$3,6,2),1,'Non-working days'!$A$6:$A$45)=0),"",IF(COUNTIFS('Leave log'!$A$7:$A$306,Employees!$A$25,'Leave log'!$B$7:$B$306,"&lt;="&amp;DATE($B$3,6,2),'Leave log'!$C$7:$C$306,"&gt;="&amp;DATE($B$3,6,2),'Leave log'!$F$7:$F$306,"Approved")&gt;0,"A",""))="A","A",IF(OR(DATE($B$3,6,2)&gt;EOMONTH(DATE($B$3,6,1),0),NETWORKDAYS.INTL(DATE($B$3,6,2),DATE($B$3,6,2),1,'Non-working days'!$A$6:$A$45)=0),"",IF(COUNTIFS('Leave log'!$A$7:$A$306,Employees!$A$25,'Leave log'!$B$7:$B$306,"&lt;="&amp;DATE($B$3,6,2),'Leave log'!$C$7:$C$306,"&gt;="&amp;DATE($B$3,6,2),'Leave log'!$F$7:$F$306,"Pending")&gt;0,"P",""))))</f>
        <v/>
      </c>
      <c r="D196" s="23" t="str">
        <f>IF(A196="","",IF(IF(OR(DATE($B$3,6,3)&gt;EOMONTH(DATE($B$3,6,1),0),NETWORKDAYS.INTL(DATE($B$3,6,3),DATE($B$3,6,3),1,'Non-working days'!$A$6:$A$45)=0),"",IF(COUNTIFS('Leave log'!$A$7:$A$306,Employees!$A$25,'Leave log'!$B$7:$B$306,"&lt;="&amp;DATE($B$3,6,3),'Leave log'!$C$7:$C$306,"&gt;="&amp;DATE($B$3,6,3),'Leave log'!$F$7:$F$306,"Approved")&gt;0,"A",""))="A","A",IF(OR(DATE($B$3,6,3)&gt;EOMONTH(DATE($B$3,6,1),0),NETWORKDAYS.INTL(DATE($B$3,6,3),DATE($B$3,6,3),1,'Non-working days'!$A$6:$A$45)=0),"",IF(COUNTIFS('Leave log'!$A$7:$A$306,Employees!$A$25,'Leave log'!$B$7:$B$306,"&lt;="&amp;DATE($B$3,6,3),'Leave log'!$C$7:$C$306,"&gt;="&amp;DATE($B$3,6,3),'Leave log'!$F$7:$F$306,"Pending")&gt;0,"P",""))))</f>
        <v/>
      </c>
      <c r="E196" s="23" t="str">
        <f>IF(A196="","",IF(IF(OR(DATE($B$3,6,4)&gt;EOMONTH(DATE($B$3,6,1),0),NETWORKDAYS.INTL(DATE($B$3,6,4),DATE($B$3,6,4),1,'Non-working days'!$A$6:$A$45)=0),"",IF(COUNTIFS('Leave log'!$A$7:$A$306,Employees!$A$25,'Leave log'!$B$7:$B$306,"&lt;="&amp;DATE($B$3,6,4),'Leave log'!$C$7:$C$306,"&gt;="&amp;DATE($B$3,6,4),'Leave log'!$F$7:$F$306,"Approved")&gt;0,"A",""))="A","A",IF(OR(DATE($B$3,6,4)&gt;EOMONTH(DATE($B$3,6,1),0),NETWORKDAYS.INTL(DATE($B$3,6,4),DATE($B$3,6,4),1,'Non-working days'!$A$6:$A$45)=0),"",IF(COUNTIFS('Leave log'!$A$7:$A$306,Employees!$A$25,'Leave log'!$B$7:$B$306,"&lt;="&amp;DATE($B$3,6,4),'Leave log'!$C$7:$C$306,"&gt;="&amp;DATE($B$3,6,4),'Leave log'!$F$7:$F$306,"Pending")&gt;0,"P",""))))</f>
        <v/>
      </c>
      <c r="F196" s="23" t="str">
        <f>IF(A196="","",IF(IF(OR(DATE($B$3,6,5)&gt;EOMONTH(DATE($B$3,6,1),0),NETWORKDAYS.INTL(DATE($B$3,6,5),DATE($B$3,6,5),1,'Non-working days'!$A$6:$A$45)=0),"",IF(COUNTIFS('Leave log'!$A$7:$A$306,Employees!$A$25,'Leave log'!$B$7:$B$306,"&lt;="&amp;DATE($B$3,6,5),'Leave log'!$C$7:$C$306,"&gt;="&amp;DATE($B$3,6,5),'Leave log'!$F$7:$F$306,"Approved")&gt;0,"A",""))="A","A",IF(OR(DATE($B$3,6,5)&gt;EOMONTH(DATE($B$3,6,1),0),NETWORKDAYS.INTL(DATE($B$3,6,5),DATE($B$3,6,5),1,'Non-working days'!$A$6:$A$45)=0),"",IF(COUNTIFS('Leave log'!$A$7:$A$306,Employees!$A$25,'Leave log'!$B$7:$B$306,"&lt;="&amp;DATE($B$3,6,5),'Leave log'!$C$7:$C$306,"&gt;="&amp;DATE($B$3,6,5),'Leave log'!$F$7:$F$306,"Pending")&gt;0,"P",""))))</f>
        <v/>
      </c>
      <c r="G196" s="23" t="str">
        <f>IF(A196="","",IF(IF(OR(DATE($B$3,6,6)&gt;EOMONTH(DATE($B$3,6,1),0),NETWORKDAYS.INTL(DATE($B$3,6,6),DATE($B$3,6,6),1,'Non-working days'!$A$6:$A$45)=0),"",IF(COUNTIFS('Leave log'!$A$7:$A$306,Employees!$A$25,'Leave log'!$B$7:$B$306,"&lt;="&amp;DATE($B$3,6,6),'Leave log'!$C$7:$C$306,"&gt;="&amp;DATE($B$3,6,6),'Leave log'!$F$7:$F$306,"Approved")&gt;0,"A",""))="A","A",IF(OR(DATE($B$3,6,6)&gt;EOMONTH(DATE($B$3,6,1),0),NETWORKDAYS.INTL(DATE($B$3,6,6),DATE($B$3,6,6),1,'Non-working days'!$A$6:$A$45)=0),"",IF(COUNTIFS('Leave log'!$A$7:$A$306,Employees!$A$25,'Leave log'!$B$7:$B$306,"&lt;="&amp;DATE($B$3,6,6),'Leave log'!$C$7:$C$306,"&gt;="&amp;DATE($B$3,6,6),'Leave log'!$F$7:$F$306,"Pending")&gt;0,"P",""))))</f>
        <v/>
      </c>
      <c r="H196" s="23" t="str">
        <f>IF(A196="","",IF(IF(OR(DATE($B$3,6,7)&gt;EOMONTH(DATE($B$3,6,1),0),NETWORKDAYS.INTL(DATE($B$3,6,7),DATE($B$3,6,7),1,'Non-working days'!$A$6:$A$45)=0),"",IF(COUNTIFS('Leave log'!$A$7:$A$306,Employees!$A$25,'Leave log'!$B$7:$B$306,"&lt;="&amp;DATE($B$3,6,7),'Leave log'!$C$7:$C$306,"&gt;="&amp;DATE($B$3,6,7),'Leave log'!$F$7:$F$306,"Approved")&gt;0,"A",""))="A","A",IF(OR(DATE($B$3,6,7)&gt;EOMONTH(DATE($B$3,6,1),0),NETWORKDAYS.INTL(DATE($B$3,6,7),DATE($B$3,6,7),1,'Non-working days'!$A$6:$A$45)=0),"",IF(COUNTIFS('Leave log'!$A$7:$A$306,Employees!$A$25,'Leave log'!$B$7:$B$306,"&lt;="&amp;DATE($B$3,6,7),'Leave log'!$C$7:$C$306,"&gt;="&amp;DATE($B$3,6,7),'Leave log'!$F$7:$F$306,"Pending")&gt;0,"P",""))))</f>
        <v/>
      </c>
      <c r="I196" s="23" t="str">
        <f>IF(A196="","",IF(IF(OR(DATE($B$3,6,8)&gt;EOMONTH(DATE($B$3,6,1),0),NETWORKDAYS.INTL(DATE($B$3,6,8),DATE($B$3,6,8),1,'Non-working days'!$A$6:$A$45)=0),"",IF(COUNTIFS('Leave log'!$A$7:$A$306,Employees!$A$25,'Leave log'!$B$7:$B$306,"&lt;="&amp;DATE($B$3,6,8),'Leave log'!$C$7:$C$306,"&gt;="&amp;DATE($B$3,6,8),'Leave log'!$F$7:$F$306,"Approved")&gt;0,"A",""))="A","A",IF(OR(DATE($B$3,6,8)&gt;EOMONTH(DATE($B$3,6,1),0),NETWORKDAYS.INTL(DATE($B$3,6,8),DATE($B$3,6,8),1,'Non-working days'!$A$6:$A$45)=0),"",IF(COUNTIFS('Leave log'!$A$7:$A$306,Employees!$A$25,'Leave log'!$B$7:$B$306,"&lt;="&amp;DATE($B$3,6,8),'Leave log'!$C$7:$C$306,"&gt;="&amp;DATE($B$3,6,8),'Leave log'!$F$7:$F$306,"Pending")&gt;0,"P",""))))</f>
        <v/>
      </c>
      <c r="J196" s="23" t="str">
        <f>IF(A196="","",IF(IF(OR(DATE($B$3,6,9)&gt;EOMONTH(DATE($B$3,6,1),0),NETWORKDAYS.INTL(DATE($B$3,6,9),DATE($B$3,6,9),1,'Non-working days'!$A$6:$A$45)=0),"",IF(COUNTIFS('Leave log'!$A$7:$A$306,Employees!$A$25,'Leave log'!$B$7:$B$306,"&lt;="&amp;DATE($B$3,6,9),'Leave log'!$C$7:$C$306,"&gt;="&amp;DATE($B$3,6,9),'Leave log'!$F$7:$F$306,"Approved")&gt;0,"A",""))="A","A",IF(OR(DATE($B$3,6,9)&gt;EOMONTH(DATE($B$3,6,1),0),NETWORKDAYS.INTL(DATE($B$3,6,9),DATE($B$3,6,9),1,'Non-working days'!$A$6:$A$45)=0),"",IF(COUNTIFS('Leave log'!$A$7:$A$306,Employees!$A$25,'Leave log'!$B$7:$B$306,"&lt;="&amp;DATE($B$3,6,9),'Leave log'!$C$7:$C$306,"&gt;="&amp;DATE($B$3,6,9),'Leave log'!$F$7:$F$306,"Pending")&gt;0,"P",""))))</f>
        <v/>
      </c>
      <c r="K196" s="23" t="str">
        <f>IF(A196="","",IF(IF(OR(DATE($B$3,6,10)&gt;EOMONTH(DATE($B$3,6,1),0),NETWORKDAYS.INTL(DATE($B$3,6,10),DATE($B$3,6,10),1,'Non-working days'!$A$6:$A$45)=0),"",IF(COUNTIFS('Leave log'!$A$7:$A$306,Employees!$A$25,'Leave log'!$B$7:$B$306,"&lt;="&amp;DATE($B$3,6,10),'Leave log'!$C$7:$C$306,"&gt;="&amp;DATE($B$3,6,10),'Leave log'!$F$7:$F$306,"Approved")&gt;0,"A",""))="A","A",IF(OR(DATE($B$3,6,10)&gt;EOMONTH(DATE($B$3,6,1),0),NETWORKDAYS.INTL(DATE($B$3,6,10),DATE($B$3,6,10),1,'Non-working days'!$A$6:$A$45)=0),"",IF(COUNTIFS('Leave log'!$A$7:$A$306,Employees!$A$25,'Leave log'!$B$7:$B$306,"&lt;="&amp;DATE($B$3,6,10),'Leave log'!$C$7:$C$306,"&gt;="&amp;DATE($B$3,6,10),'Leave log'!$F$7:$F$306,"Pending")&gt;0,"P",""))))</f>
        <v/>
      </c>
      <c r="L196" s="23" t="str">
        <f>IF(A196="","",IF(IF(OR(DATE($B$3,6,11)&gt;EOMONTH(DATE($B$3,6,1),0),NETWORKDAYS.INTL(DATE($B$3,6,11),DATE($B$3,6,11),1,'Non-working days'!$A$6:$A$45)=0),"",IF(COUNTIFS('Leave log'!$A$7:$A$306,Employees!$A$25,'Leave log'!$B$7:$B$306,"&lt;="&amp;DATE($B$3,6,11),'Leave log'!$C$7:$C$306,"&gt;="&amp;DATE($B$3,6,11),'Leave log'!$F$7:$F$306,"Approved")&gt;0,"A",""))="A","A",IF(OR(DATE($B$3,6,11)&gt;EOMONTH(DATE($B$3,6,1),0),NETWORKDAYS.INTL(DATE($B$3,6,11),DATE($B$3,6,11),1,'Non-working days'!$A$6:$A$45)=0),"",IF(COUNTIFS('Leave log'!$A$7:$A$306,Employees!$A$25,'Leave log'!$B$7:$B$306,"&lt;="&amp;DATE($B$3,6,11),'Leave log'!$C$7:$C$306,"&gt;="&amp;DATE($B$3,6,11),'Leave log'!$F$7:$F$306,"Pending")&gt;0,"P",""))))</f>
        <v/>
      </c>
      <c r="M196" s="23" t="str">
        <f>IF(A196="","",IF(IF(OR(DATE($B$3,6,12)&gt;EOMONTH(DATE($B$3,6,1),0),NETWORKDAYS.INTL(DATE($B$3,6,12),DATE($B$3,6,12),1,'Non-working days'!$A$6:$A$45)=0),"",IF(COUNTIFS('Leave log'!$A$7:$A$306,Employees!$A$25,'Leave log'!$B$7:$B$306,"&lt;="&amp;DATE($B$3,6,12),'Leave log'!$C$7:$C$306,"&gt;="&amp;DATE($B$3,6,12),'Leave log'!$F$7:$F$306,"Approved")&gt;0,"A",""))="A","A",IF(OR(DATE($B$3,6,12)&gt;EOMONTH(DATE($B$3,6,1),0),NETWORKDAYS.INTL(DATE($B$3,6,12),DATE($B$3,6,12),1,'Non-working days'!$A$6:$A$45)=0),"",IF(COUNTIFS('Leave log'!$A$7:$A$306,Employees!$A$25,'Leave log'!$B$7:$B$306,"&lt;="&amp;DATE($B$3,6,12),'Leave log'!$C$7:$C$306,"&gt;="&amp;DATE($B$3,6,12),'Leave log'!$F$7:$F$306,"Pending")&gt;0,"P",""))))</f>
        <v/>
      </c>
      <c r="N196" s="23" t="str">
        <f>IF(A196="","",IF(IF(OR(DATE($B$3,6,13)&gt;EOMONTH(DATE($B$3,6,1),0),NETWORKDAYS.INTL(DATE($B$3,6,13),DATE($B$3,6,13),1,'Non-working days'!$A$6:$A$45)=0),"",IF(COUNTIFS('Leave log'!$A$7:$A$306,Employees!$A$25,'Leave log'!$B$7:$B$306,"&lt;="&amp;DATE($B$3,6,13),'Leave log'!$C$7:$C$306,"&gt;="&amp;DATE($B$3,6,13),'Leave log'!$F$7:$F$306,"Approved")&gt;0,"A",""))="A","A",IF(OR(DATE($B$3,6,13)&gt;EOMONTH(DATE($B$3,6,1),0),NETWORKDAYS.INTL(DATE($B$3,6,13),DATE($B$3,6,13),1,'Non-working days'!$A$6:$A$45)=0),"",IF(COUNTIFS('Leave log'!$A$7:$A$306,Employees!$A$25,'Leave log'!$B$7:$B$306,"&lt;="&amp;DATE($B$3,6,13),'Leave log'!$C$7:$C$306,"&gt;="&amp;DATE($B$3,6,13),'Leave log'!$F$7:$F$306,"Pending")&gt;0,"P",""))))</f>
        <v/>
      </c>
      <c r="O196" s="23" t="str">
        <f>IF(A196="","",IF(IF(OR(DATE($B$3,6,14)&gt;EOMONTH(DATE($B$3,6,1),0),NETWORKDAYS.INTL(DATE($B$3,6,14),DATE($B$3,6,14),1,'Non-working days'!$A$6:$A$45)=0),"",IF(COUNTIFS('Leave log'!$A$7:$A$306,Employees!$A$25,'Leave log'!$B$7:$B$306,"&lt;="&amp;DATE($B$3,6,14),'Leave log'!$C$7:$C$306,"&gt;="&amp;DATE($B$3,6,14),'Leave log'!$F$7:$F$306,"Approved")&gt;0,"A",""))="A","A",IF(OR(DATE($B$3,6,14)&gt;EOMONTH(DATE($B$3,6,1),0),NETWORKDAYS.INTL(DATE($B$3,6,14),DATE($B$3,6,14),1,'Non-working days'!$A$6:$A$45)=0),"",IF(COUNTIFS('Leave log'!$A$7:$A$306,Employees!$A$25,'Leave log'!$B$7:$B$306,"&lt;="&amp;DATE($B$3,6,14),'Leave log'!$C$7:$C$306,"&gt;="&amp;DATE($B$3,6,14),'Leave log'!$F$7:$F$306,"Pending")&gt;0,"P",""))))</f>
        <v/>
      </c>
      <c r="P196" s="23" t="str">
        <f>IF(A196="","",IF(IF(OR(DATE($B$3,6,15)&gt;EOMONTH(DATE($B$3,6,1),0),NETWORKDAYS.INTL(DATE($B$3,6,15),DATE($B$3,6,15),1,'Non-working days'!$A$6:$A$45)=0),"",IF(COUNTIFS('Leave log'!$A$7:$A$306,Employees!$A$25,'Leave log'!$B$7:$B$306,"&lt;="&amp;DATE($B$3,6,15),'Leave log'!$C$7:$C$306,"&gt;="&amp;DATE($B$3,6,15),'Leave log'!$F$7:$F$306,"Approved")&gt;0,"A",""))="A","A",IF(OR(DATE($B$3,6,15)&gt;EOMONTH(DATE($B$3,6,1),0),NETWORKDAYS.INTL(DATE($B$3,6,15),DATE($B$3,6,15),1,'Non-working days'!$A$6:$A$45)=0),"",IF(COUNTIFS('Leave log'!$A$7:$A$306,Employees!$A$25,'Leave log'!$B$7:$B$306,"&lt;="&amp;DATE($B$3,6,15),'Leave log'!$C$7:$C$306,"&gt;="&amp;DATE($B$3,6,15),'Leave log'!$F$7:$F$306,"Pending")&gt;0,"P",""))))</f>
        <v/>
      </c>
      <c r="Q196" s="23" t="str">
        <f>IF(A196="","",IF(IF(OR(DATE($B$3,6,16)&gt;EOMONTH(DATE($B$3,6,1),0),NETWORKDAYS.INTL(DATE($B$3,6,16),DATE($B$3,6,16),1,'Non-working days'!$A$6:$A$45)=0),"",IF(COUNTIFS('Leave log'!$A$7:$A$306,Employees!$A$25,'Leave log'!$B$7:$B$306,"&lt;="&amp;DATE($B$3,6,16),'Leave log'!$C$7:$C$306,"&gt;="&amp;DATE($B$3,6,16),'Leave log'!$F$7:$F$306,"Approved")&gt;0,"A",""))="A","A",IF(OR(DATE($B$3,6,16)&gt;EOMONTH(DATE($B$3,6,1),0),NETWORKDAYS.INTL(DATE($B$3,6,16),DATE($B$3,6,16),1,'Non-working days'!$A$6:$A$45)=0),"",IF(COUNTIFS('Leave log'!$A$7:$A$306,Employees!$A$25,'Leave log'!$B$7:$B$306,"&lt;="&amp;DATE($B$3,6,16),'Leave log'!$C$7:$C$306,"&gt;="&amp;DATE($B$3,6,16),'Leave log'!$F$7:$F$306,"Pending")&gt;0,"P",""))))</f>
        <v/>
      </c>
      <c r="R196" s="23" t="str">
        <f>IF(A196="","",IF(IF(OR(DATE($B$3,6,17)&gt;EOMONTH(DATE($B$3,6,1),0),NETWORKDAYS.INTL(DATE($B$3,6,17),DATE($B$3,6,17),1,'Non-working days'!$A$6:$A$45)=0),"",IF(COUNTIFS('Leave log'!$A$7:$A$306,Employees!$A$25,'Leave log'!$B$7:$B$306,"&lt;="&amp;DATE($B$3,6,17),'Leave log'!$C$7:$C$306,"&gt;="&amp;DATE($B$3,6,17),'Leave log'!$F$7:$F$306,"Approved")&gt;0,"A",""))="A","A",IF(OR(DATE($B$3,6,17)&gt;EOMONTH(DATE($B$3,6,1),0),NETWORKDAYS.INTL(DATE($B$3,6,17),DATE($B$3,6,17),1,'Non-working days'!$A$6:$A$45)=0),"",IF(COUNTIFS('Leave log'!$A$7:$A$306,Employees!$A$25,'Leave log'!$B$7:$B$306,"&lt;="&amp;DATE($B$3,6,17),'Leave log'!$C$7:$C$306,"&gt;="&amp;DATE($B$3,6,17),'Leave log'!$F$7:$F$306,"Pending")&gt;0,"P",""))))</f>
        <v/>
      </c>
      <c r="S196" s="23" t="str">
        <f>IF(A196="","",IF(IF(OR(DATE($B$3,6,18)&gt;EOMONTH(DATE($B$3,6,1),0),NETWORKDAYS.INTL(DATE($B$3,6,18),DATE($B$3,6,18),1,'Non-working days'!$A$6:$A$45)=0),"",IF(COUNTIFS('Leave log'!$A$7:$A$306,Employees!$A$25,'Leave log'!$B$7:$B$306,"&lt;="&amp;DATE($B$3,6,18),'Leave log'!$C$7:$C$306,"&gt;="&amp;DATE($B$3,6,18),'Leave log'!$F$7:$F$306,"Approved")&gt;0,"A",""))="A","A",IF(OR(DATE($B$3,6,18)&gt;EOMONTH(DATE($B$3,6,1),0),NETWORKDAYS.INTL(DATE($B$3,6,18),DATE($B$3,6,18),1,'Non-working days'!$A$6:$A$45)=0),"",IF(COUNTIFS('Leave log'!$A$7:$A$306,Employees!$A$25,'Leave log'!$B$7:$B$306,"&lt;="&amp;DATE($B$3,6,18),'Leave log'!$C$7:$C$306,"&gt;="&amp;DATE($B$3,6,18),'Leave log'!$F$7:$F$306,"Pending")&gt;0,"P",""))))</f>
        <v/>
      </c>
      <c r="T196" s="23" t="str">
        <f>IF(A196="","",IF(IF(OR(DATE($B$3,6,19)&gt;EOMONTH(DATE($B$3,6,1),0),NETWORKDAYS.INTL(DATE($B$3,6,19),DATE($B$3,6,19),1,'Non-working days'!$A$6:$A$45)=0),"",IF(COUNTIFS('Leave log'!$A$7:$A$306,Employees!$A$25,'Leave log'!$B$7:$B$306,"&lt;="&amp;DATE($B$3,6,19),'Leave log'!$C$7:$C$306,"&gt;="&amp;DATE($B$3,6,19),'Leave log'!$F$7:$F$306,"Approved")&gt;0,"A",""))="A","A",IF(OR(DATE($B$3,6,19)&gt;EOMONTH(DATE($B$3,6,1),0),NETWORKDAYS.INTL(DATE($B$3,6,19),DATE($B$3,6,19),1,'Non-working days'!$A$6:$A$45)=0),"",IF(COUNTIFS('Leave log'!$A$7:$A$306,Employees!$A$25,'Leave log'!$B$7:$B$306,"&lt;="&amp;DATE($B$3,6,19),'Leave log'!$C$7:$C$306,"&gt;="&amp;DATE($B$3,6,19),'Leave log'!$F$7:$F$306,"Pending")&gt;0,"P",""))))</f>
        <v/>
      </c>
      <c r="U196" s="23" t="str">
        <f>IF(A196="","",IF(IF(OR(DATE($B$3,6,20)&gt;EOMONTH(DATE($B$3,6,1),0),NETWORKDAYS.INTL(DATE($B$3,6,20),DATE($B$3,6,20),1,'Non-working days'!$A$6:$A$45)=0),"",IF(COUNTIFS('Leave log'!$A$7:$A$306,Employees!$A$25,'Leave log'!$B$7:$B$306,"&lt;="&amp;DATE($B$3,6,20),'Leave log'!$C$7:$C$306,"&gt;="&amp;DATE($B$3,6,20),'Leave log'!$F$7:$F$306,"Approved")&gt;0,"A",""))="A","A",IF(OR(DATE($B$3,6,20)&gt;EOMONTH(DATE($B$3,6,1),0),NETWORKDAYS.INTL(DATE($B$3,6,20),DATE($B$3,6,20),1,'Non-working days'!$A$6:$A$45)=0),"",IF(COUNTIFS('Leave log'!$A$7:$A$306,Employees!$A$25,'Leave log'!$B$7:$B$306,"&lt;="&amp;DATE($B$3,6,20),'Leave log'!$C$7:$C$306,"&gt;="&amp;DATE($B$3,6,20),'Leave log'!$F$7:$F$306,"Pending")&gt;0,"P",""))))</f>
        <v/>
      </c>
      <c r="V196" s="23" t="str">
        <f>IF(A196="","",IF(IF(OR(DATE($B$3,6,21)&gt;EOMONTH(DATE($B$3,6,1),0),NETWORKDAYS.INTL(DATE($B$3,6,21),DATE($B$3,6,21),1,'Non-working days'!$A$6:$A$45)=0),"",IF(COUNTIFS('Leave log'!$A$7:$A$306,Employees!$A$25,'Leave log'!$B$7:$B$306,"&lt;="&amp;DATE($B$3,6,21),'Leave log'!$C$7:$C$306,"&gt;="&amp;DATE($B$3,6,21),'Leave log'!$F$7:$F$306,"Approved")&gt;0,"A",""))="A","A",IF(OR(DATE($B$3,6,21)&gt;EOMONTH(DATE($B$3,6,1),0),NETWORKDAYS.INTL(DATE($B$3,6,21),DATE($B$3,6,21),1,'Non-working days'!$A$6:$A$45)=0),"",IF(COUNTIFS('Leave log'!$A$7:$A$306,Employees!$A$25,'Leave log'!$B$7:$B$306,"&lt;="&amp;DATE($B$3,6,21),'Leave log'!$C$7:$C$306,"&gt;="&amp;DATE($B$3,6,21),'Leave log'!$F$7:$F$306,"Pending")&gt;0,"P",""))))</f>
        <v/>
      </c>
      <c r="W196" s="23" t="str">
        <f>IF(A196="","",IF(IF(OR(DATE($B$3,6,22)&gt;EOMONTH(DATE($B$3,6,1),0),NETWORKDAYS.INTL(DATE($B$3,6,22),DATE($B$3,6,22),1,'Non-working days'!$A$6:$A$45)=0),"",IF(COUNTIFS('Leave log'!$A$7:$A$306,Employees!$A$25,'Leave log'!$B$7:$B$306,"&lt;="&amp;DATE($B$3,6,22),'Leave log'!$C$7:$C$306,"&gt;="&amp;DATE($B$3,6,22),'Leave log'!$F$7:$F$306,"Approved")&gt;0,"A",""))="A","A",IF(OR(DATE($B$3,6,22)&gt;EOMONTH(DATE($B$3,6,1),0),NETWORKDAYS.INTL(DATE($B$3,6,22),DATE($B$3,6,22),1,'Non-working days'!$A$6:$A$45)=0),"",IF(COUNTIFS('Leave log'!$A$7:$A$306,Employees!$A$25,'Leave log'!$B$7:$B$306,"&lt;="&amp;DATE($B$3,6,22),'Leave log'!$C$7:$C$306,"&gt;="&amp;DATE($B$3,6,22),'Leave log'!$F$7:$F$306,"Pending")&gt;0,"P",""))))</f>
        <v/>
      </c>
      <c r="X196" s="23" t="str">
        <f>IF(A196="","",IF(IF(OR(DATE($B$3,6,23)&gt;EOMONTH(DATE($B$3,6,1),0),NETWORKDAYS.INTL(DATE($B$3,6,23),DATE($B$3,6,23),1,'Non-working days'!$A$6:$A$45)=0),"",IF(COUNTIFS('Leave log'!$A$7:$A$306,Employees!$A$25,'Leave log'!$B$7:$B$306,"&lt;="&amp;DATE($B$3,6,23),'Leave log'!$C$7:$C$306,"&gt;="&amp;DATE($B$3,6,23),'Leave log'!$F$7:$F$306,"Approved")&gt;0,"A",""))="A","A",IF(OR(DATE($B$3,6,23)&gt;EOMONTH(DATE($B$3,6,1),0),NETWORKDAYS.INTL(DATE($B$3,6,23),DATE($B$3,6,23),1,'Non-working days'!$A$6:$A$45)=0),"",IF(COUNTIFS('Leave log'!$A$7:$A$306,Employees!$A$25,'Leave log'!$B$7:$B$306,"&lt;="&amp;DATE($B$3,6,23),'Leave log'!$C$7:$C$306,"&gt;="&amp;DATE($B$3,6,23),'Leave log'!$F$7:$F$306,"Pending")&gt;0,"P",""))))</f>
        <v/>
      </c>
      <c r="Y196" s="23" t="str">
        <f>IF(A196="","",IF(IF(OR(DATE($B$3,6,24)&gt;EOMONTH(DATE($B$3,6,1),0),NETWORKDAYS.INTL(DATE($B$3,6,24),DATE($B$3,6,24),1,'Non-working days'!$A$6:$A$45)=0),"",IF(COUNTIFS('Leave log'!$A$7:$A$306,Employees!$A$25,'Leave log'!$B$7:$B$306,"&lt;="&amp;DATE($B$3,6,24),'Leave log'!$C$7:$C$306,"&gt;="&amp;DATE($B$3,6,24),'Leave log'!$F$7:$F$306,"Approved")&gt;0,"A",""))="A","A",IF(OR(DATE($B$3,6,24)&gt;EOMONTH(DATE($B$3,6,1),0),NETWORKDAYS.INTL(DATE($B$3,6,24),DATE($B$3,6,24),1,'Non-working days'!$A$6:$A$45)=0),"",IF(COUNTIFS('Leave log'!$A$7:$A$306,Employees!$A$25,'Leave log'!$B$7:$B$306,"&lt;="&amp;DATE($B$3,6,24),'Leave log'!$C$7:$C$306,"&gt;="&amp;DATE($B$3,6,24),'Leave log'!$F$7:$F$306,"Pending")&gt;0,"P",""))))</f>
        <v/>
      </c>
      <c r="Z196" s="23" t="str">
        <f>IF(A196="","",IF(IF(OR(DATE($B$3,6,25)&gt;EOMONTH(DATE($B$3,6,1),0),NETWORKDAYS.INTL(DATE($B$3,6,25),DATE($B$3,6,25),1,'Non-working days'!$A$6:$A$45)=0),"",IF(COUNTIFS('Leave log'!$A$7:$A$306,Employees!$A$25,'Leave log'!$B$7:$B$306,"&lt;="&amp;DATE($B$3,6,25),'Leave log'!$C$7:$C$306,"&gt;="&amp;DATE($B$3,6,25),'Leave log'!$F$7:$F$306,"Approved")&gt;0,"A",""))="A","A",IF(OR(DATE($B$3,6,25)&gt;EOMONTH(DATE($B$3,6,1),0),NETWORKDAYS.INTL(DATE($B$3,6,25),DATE($B$3,6,25),1,'Non-working days'!$A$6:$A$45)=0),"",IF(COUNTIFS('Leave log'!$A$7:$A$306,Employees!$A$25,'Leave log'!$B$7:$B$306,"&lt;="&amp;DATE($B$3,6,25),'Leave log'!$C$7:$C$306,"&gt;="&amp;DATE($B$3,6,25),'Leave log'!$F$7:$F$306,"Pending")&gt;0,"P",""))))</f>
        <v/>
      </c>
      <c r="AA196" s="23" t="str">
        <f>IF(A196="","",IF(IF(OR(DATE($B$3,6,26)&gt;EOMONTH(DATE($B$3,6,1),0),NETWORKDAYS.INTL(DATE($B$3,6,26),DATE($B$3,6,26),1,'Non-working days'!$A$6:$A$45)=0),"",IF(COUNTIFS('Leave log'!$A$7:$A$306,Employees!$A$25,'Leave log'!$B$7:$B$306,"&lt;="&amp;DATE($B$3,6,26),'Leave log'!$C$7:$C$306,"&gt;="&amp;DATE($B$3,6,26),'Leave log'!$F$7:$F$306,"Approved")&gt;0,"A",""))="A","A",IF(OR(DATE($B$3,6,26)&gt;EOMONTH(DATE($B$3,6,1),0),NETWORKDAYS.INTL(DATE($B$3,6,26),DATE($B$3,6,26),1,'Non-working days'!$A$6:$A$45)=0),"",IF(COUNTIFS('Leave log'!$A$7:$A$306,Employees!$A$25,'Leave log'!$B$7:$B$306,"&lt;="&amp;DATE($B$3,6,26),'Leave log'!$C$7:$C$306,"&gt;="&amp;DATE($B$3,6,26),'Leave log'!$F$7:$F$306,"Pending")&gt;0,"P",""))))</f>
        <v/>
      </c>
      <c r="AB196" s="23" t="str">
        <f>IF(A196="","",IF(IF(OR(DATE($B$3,6,27)&gt;EOMONTH(DATE($B$3,6,1),0),NETWORKDAYS.INTL(DATE($B$3,6,27),DATE($B$3,6,27),1,'Non-working days'!$A$6:$A$45)=0),"",IF(COUNTIFS('Leave log'!$A$7:$A$306,Employees!$A$25,'Leave log'!$B$7:$B$306,"&lt;="&amp;DATE($B$3,6,27),'Leave log'!$C$7:$C$306,"&gt;="&amp;DATE($B$3,6,27),'Leave log'!$F$7:$F$306,"Approved")&gt;0,"A",""))="A","A",IF(OR(DATE($B$3,6,27)&gt;EOMONTH(DATE($B$3,6,1),0),NETWORKDAYS.INTL(DATE($B$3,6,27),DATE($B$3,6,27),1,'Non-working days'!$A$6:$A$45)=0),"",IF(COUNTIFS('Leave log'!$A$7:$A$306,Employees!$A$25,'Leave log'!$B$7:$B$306,"&lt;="&amp;DATE($B$3,6,27),'Leave log'!$C$7:$C$306,"&gt;="&amp;DATE($B$3,6,27),'Leave log'!$F$7:$F$306,"Pending")&gt;0,"P",""))))</f>
        <v/>
      </c>
      <c r="AC196" s="23" t="str">
        <f>IF(A196="","",IF(IF(OR(DATE($B$3,6,28)&gt;EOMONTH(DATE($B$3,6,1),0),NETWORKDAYS.INTL(DATE($B$3,6,28),DATE($B$3,6,28),1,'Non-working days'!$A$6:$A$45)=0),"",IF(COUNTIFS('Leave log'!$A$7:$A$306,Employees!$A$25,'Leave log'!$B$7:$B$306,"&lt;="&amp;DATE($B$3,6,28),'Leave log'!$C$7:$C$306,"&gt;="&amp;DATE($B$3,6,28),'Leave log'!$F$7:$F$306,"Approved")&gt;0,"A",""))="A","A",IF(OR(DATE($B$3,6,28)&gt;EOMONTH(DATE($B$3,6,1),0),NETWORKDAYS.INTL(DATE($B$3,6,28),DATE($B$3,6,28),1,'Non-working days'!$A$6:$A$45)=0),"",IF(COUNTIFS('Leave log'!$A$7:$A$306,Employees!$A$25,'Leave log'!$B$7:$B$306,"&lt;="&amp;DATE($B$3,6,28),'Leave log'!$C$7:$C$306,"&gt;="&amp;DATE($B$3,6,28),'Leave log'!$F$7:$F$306,"Pending")&gt;0,"P",""))))</f>
        <v/>
      </c>
      <c r="AD196" s="23" t="str">
        <f>IF(A196="","",IF(IF(OR(DATE($B$3,6,29)&gt;EOMONTH(DATE($B$3,6,1),0),NETWORKDAYS.INTL(DATE($B$3,6,29),DATE($B$3,6,29),1,'Non-working days'!$A$6:$A$45)=0),"",IF(COUNTIFS('Leave log'!$A$7:$A$306,Employees!$A$25,'Leave log'!$B$7:$B$306,"&lt;="&amp;DATE($B$3,6,29),'Leave log'!$C$7:$C$306,"&gt;="&amp;DATE($B$3,6,29),'Leave log'!$F$7:$F$306,"Approved")&gt;0,"A",""))="A","A",IF(OR(DATE($B$3,6,29)&gt;EOMONTH(DATE($B$3,6,1),0),NETWORKDAYS.INTL(DATE($B$3,6,29),DATE($B$3,6,29),1,'Non-working days'!$A$6:$A$45)=0),"",IF(COUNTIFS('Leave log'!$A$7:$A$306,Employees!$A$25,'Leave log'!$B$7:$B$306,"&lt;="&amp;DATE($B$3,6,29),'Leave log'!$C$7:$C$306,"&gt;="&amp;DATE($B$3,6,29),'Leave log'!$F$7:$F$306,"Pending")&gt;0,"P",""))))</f>
        <v/>
      </c>
      <c r="AE196" s="23" t="str">
        <f>IF(A196="","",IF(IF(OR(DATE($B$3,6,30)&gt;EOMONTH(DATE($B$3,6,1),0),NETWORKDAYS.INTL(DATE($B$3,6,30),DATE($B$3,6,30),1,'Non-working days'!$A$6:$A$45)=0),"",IF(COUNTIFS('Leave log'!$A$7:$A$306,Employees!$A$25,'Leave log'!$B$7:$B$306,"&lt;="&amp;DATE($B$3,6,30),'Leave log'!$C$7:$C$306,"&gt;="&amp;DATE($B$3,6,30),'Leave log'!$F$7:$F$306,"Approved")&gt;0,"A",""))="A","A",IF(OR(DATE($B$3,6,30)&gt;EOMONTH(DATE($B$3,6,1),0),NETWORKDAYS.INTL(DATE($B$3,6,30),DATE($B$3,6,30),1,'Non-working days'!$A$6:$A$45)=0),"",IF(COUNTIFS('Leave log'!$A$7:$A$306,Employees!$A$25,'Leave log'!$B$7:$B$306,"&lt;="&amp;DATE($B$3,6,30),'Leave log'!$C$7:$C$306,"&gt;="&amp;DATE($B$3,6,30),'Leave log'!$F$7:$F$306,"Pending")&gt;0,"P",""))))</f>
        <v/>
      </c>
      <c r="AF196" s="23" t="str">
        <f>IF(A196="","",IF(IF(OR(DATE($B$3,6,31)&gt;EOMONTH(DATE($B$3,6,1),0),NETWORKDAYS.INTL(DATE($B$3,6,31),DATE($B$3,6,31),1,'Non-working days'!$A$6:$A$45)=0),"",IF(COUNTIFS('Leave log'!$A$7:$A$306,Employees!$A$25,'Leave log'!$B$7:$B$306,"&lt;="&amp;DATE($B$3,6,31),'Leave log'!$C$7:$C$306,"&gt;="&amp;DATE($B$3,6,31),'Leave log'!$F$7:$F$306,"Approved")&gt;0,"A",""))="A","A",IF(OR(DATE($B$3,6,31)&gt;EOMONTH(DATE($B$3,6,1),0),NETWORKDAYS.INTL(DATE($B$3,6,31),DATE($B$3,6,31),1,'Non-working days'!$A$6:$A$45)=0),"",IF(COUNTIFS('Leave log'!$A$7:$A$306,Employees!$A$25,'Leave log'!$B$7:$B$306,"&lt;="&amp;DATE($B$3,6,31),'Leave log'!$C$7:$C$306,"&gt;="&amp;DATE($B$3,6,31),'Leave log'!$F$7:$F$306,"Pending")&gt;0,"P",""))))</f>
        <v/>
      </c>
    </row>
    <row r="197" spans="1:32" ht="18" customHeight="1" x14ac:dyDescent="0.3">
      <c r="A197" s="22" t="str">
        <f>IF(Employees!F26="Yes",Employees!B26,"")</f>
        <v/>
      </c>
      <c r="B197" s="23" t="str">
        <f>IF(A197="","",IF(IF(OR(DATE($B$3,6,1)&gt;EOMONTH(DATE($B$3,6,1),0),NETWORKDAYS.INTL(DATE($B$3,6,1),DATE($B$3,6,1),1,'Non-working days'!$A$6:$A$45)=0),"",IF(COUNTIFS('Leave log'!$A$7:$A$306,Employees!$A$26,'Leave log'!$B$7:$B$306,"&lt;="&amp;DATE($B$3,6,1),'Leave log'!$C$7:$C$306,"&gt;="&amp;DATE($B$3,6,1),'Leave log'!$F$7:$F$306,"Approved")&gt;0,"A",""))="A","A",IF(OR(DATE($B$3,6,1)&gt;EOMONTH(DATE($B$3,6,1),0),NETWORKDAYS.INTL(DATE($B$3,6,1),DATE($B$3,6,1),1,'Non-working days'!$A$6:$A$45)=0),"",IF(COUNTIFS('Leave log'!$A$7:$A$306,Employees!$A$26,'Leave log'!$B$7:$B$306,"&lt;="&amp;DATE($B$3,6,1),'Leave log'!$C$7:$C$306,"&gt;="&amp;DATE($B$3,6,1),'Leave log'!$F$7:$F$306,"Pending")&gt;0,"P",""))))</f>
        <v/>
      </c>
      <c r="C197" s="23" t="str">
        <f>IF(A197="","",IF(IF(OR(DATE($B$3,6,2)&gt;EOMONTH(DATE($B$3,6,1),0),NETWORKDAYS.INTL(DATE($B$3,6,2),DATE($B$3,6,2),1,'Non-working days'!$A$6:$A$45)=0),"",IF(COUNTIFS('Leave log'!$A$7:$A$306,Employees!$A$26,'Leave log'!$B$7:$B$306,"&lt;="&amp;DATE($B$3,6,2),'Leave log'!$C$7:$C$306,"&gt;="&amp;DATE($B$3,6,2),'Leave log'!$F$7:$F$306,"Approved")&gt;0,"A",""))="A","A",IF(OR(DATE($B$3,6,2)&gt;EOMONTH(DATE($B$3,6,1),0),NETWORKDAYS.INTL(DATE($B$3,6,2),DATE($B$3,6,2),1,'Non-working days'!$A$6:$A$45)=0),"",IF(COUNTIFS('Leave log'!$A$7:$A$306,Employees!$A$26,'Leave log'!$B$7:$B$306,"&lt;="&amp;DATE($B$3,6,2),'Leave log'!$C$7:$C$306,"&gt;="&amp;DATE($B$3,6,2),'Leave log'!$F$7:$F$306,"Pending")&gt;0,"P",""))))</f>
        <v/>
      </c>
      <c r="D197" s="23" t="str">
        <f>IF(A197="","",IF(IF(OR(DATE($B$3,6,3)&gt;EOMONTH(DATE($B$3,6,1),0),NETWORKDAYS.INTL(DATE($B$3,6,3),DATE($B$3,6,3),1,'Non-working days'!$A$6:$A$45)=0),"",IF(COUNTIFS('Leave log'!$A$7:$A$306,Employees!$A$26,'Leave log'!$B$7:$B$306,"&lt;="&amp;DATE($B$3,6,3),'Leave log'!$C$7:$C$306,"&gt;="&amp;DATE($B$3,6,3),'Leave log'!$F$7:$F$306,"Approved")&gt;0,"A",""))="A","A",IF(OR(DATE($B$3,6,3)&gt;EOMONTH(DATE($B$3,6,1),0),NETWORKDAYS.INTL(DATE($B$3,6,3),DATE($B$3,6,3),1,'Non-working days'!$A$6:$A$45)=0),"",IF(COUNTIFS('Leave log'!$A$7:$A$306,Employees!$A$26,'Leave log'!$B$7:$B$306,"&lt;="&amp;DATE($B$3,6,3),'Leave log'!$C$7:$C$306,"&gt;="&amp;DATE($B$3,6,3),'Leave log'!$F$7:$F$306,"Pending")&gt;0,"P",""))))</f>
        <v/>
      </c>
      <c r="E197" s="23" t="str">
        <f>IF(A197="","",IF(IF(OR(DATE($B$3,6,4)&gt;EOMONTH(DATE($B$3,6,1),0),NETWORKDAYS.INTL(DATE($B$3,6,4),DATE($B$3,6,4),1,'Non-working days'!$A$6:$A$45)=0),"",IF(COUNTIFS('Leave log'!$A$7:$A$306,Employees!$A$26,'Leave log'!$B$7:$B$306,"&lt;="&amp;DATE($B$3,6,4),'Leave log'!$C$7:$C$306,"&gt;="&amp;DATE($B$3,6,4),'Leave log'!$F$7:$F$306,"Approved")&gt;0,"A",""))="A","A",IF(OR(DATE($B$3,6,4)&gt;EOMONTH(DATE($B$3,6,1),0),NETWORKDAYS.INTL(DATE($B$3,6,4),DATE($B$3,6,4),1,'Non-working days'!$A$6:$A$45)=0),"",IF(COUNTIFS('Leave log'!$A$7:$A$306,Employees!$A$26,'Leave log'!$B$7:$B$306,"&lt;="&amp;DATE($B$3,6,4),'Leave log'!$C$7:$C$306,"&gt;="&amp;DATE($B$3,6,4),'Leave log'!$F$7:$F$306,"Pending")&gt;0,"P",""))))</f>
        <v/>
      </c>
      <c r="F197" s="23" t="str">
        <f>IF(A197="","",IF(IF(OR(DATE($B$3,6,5)&gt;EOMONTH(DATE($B$3,6,1),0),NETWORKDAYS.INTL(DATE($B$3,6,5),DATE($B$3,6,5),1,'Non-working days'!$A$6:$A$45)=0),"",IF(COUNTIFS('Leave log'!$A$7:$A$306,Employees!$A$26,'Leave log'!$B$7:$B$306,"&lt;="&amp;DATE($B$3,6,5),'Leave log'!$C$7:$C$306,"&gt;="&amp;DATE($B$3,6,5),'Leave log'!$F$7:$F$306,"Approved")&gt;0,"A",""))="A","A",IF(OR(DATE($B$3,6,5)&gt;EOMONTH(DATE($B$3,6,1),0),NETWORKDAYS.INTL(DATE($B$3,6,5),DATE($B$3,6,5),1,'Non-working days'!$A$6:$A$45)=0),"",IF(COUNTIFS('Leave log'!$A$7:$A$306,Employees!$A$26,'Leave log'!$B$7:$B$306,"&lt;="&amp;DATE($B$3,6,5),'Leave log'!$C$7:$C$306,"&gt;="&amp;DATE($B$3,6,5),'Leave log'!$F$7:$F$306,"Pending")&gt;0,"P",""))))</f>
        <v/>
      </c>
      <c r="G197" s="23" t="str">
        <f>IF(A197="","",IF(IF(OR(DATE($B$3,6,6)&gt;EOMONTH(DATE($B$3,6,1),0),NETWORKDAYS.INTL(DATE($B$3,6,6),DATE($B$3,6,6),1,'Non-working days'!$A$6:$A$45)=0),"",IF(COUNTIFS('Leave log'!$A$7:$A$306,Employees!$A$26,'Leave log'!$B$7:$B$306,"&lt;="&amp;DATE($B$3,6,6),'Leave log'!$C$7:$C$306,"&gt;="&amp;DATE($B$3,6,6),'Leave log'!$F$7:$F$306,"Approved")&gt;0,"A",""))="A","A",IF(OR(DATE($B$3,6,6)&gt;EOMONTH(DATE($B$3,6,1),0),NETWORKDAYS.INTL(DATE($B$3,6,6),DATE($B$3,6,6),1,'Non-working days'!$A$6:$A$45)=0),"",IF(COUNTIFS('Leave log'!$A$7:$A$306,Employees!$A$26,'Leave log'!$B$7:$B$306,"&lt;="&amp;DATE($B$3,6,6),'Leave log'!$C$7:$C$306,"&gt;="&amp;DATE($B$3,6,6),'Leave log'!$F$7:$F$306,"Pending")&gt;0,"P",""))))</f>
        <v/>
      </c>
      <c r="H197" s="23" t="str">
        <f>IF(A197="","",IF(IF(OR(DATE($B$3,6,7)&gt;EOMONTH(DATE($B$3,6,1),0),NETWORKDAYS.INTL(DATE($B$3,6,7),DATE($B$3,6,7),1,'Non-working days'!$A$6:$A$45)=0),"",IF(COUNTIFS('Leave log'!$A$7:$A$306,Employees!$A$26,'Leave log'!$B$7:$B$306,"&lt;="&amp;DATE($B$3,6,7),'Leave log'!$C$7:$C$306,"&gt;="&amp;DATE($B$3,6,7),'Leave log'!$F$7:$F$306,"Approved")&gt;0,"A",""))="A","A",IF(OR(DATE($B$3,6,7)&gt;EOMONTH(DATE($B$3,6,1),0),NETWORKDAYS.INTL(DATE($B$3,6,7),DATE($B$3,6,7),1,'Non-working days'!$A$6:$A$45)=0),"",IF(COUNTIFS('Leave log'!$A$7:$A$306,Employees!$A$26,'Leave log'!$B$7:$B$306,"&lt;="&amp;DATE($B$3,6,7),'Leave log'!$C$7:$C$306,"&gt;="&amp;DATE($B$3,6,7),'Leave log'!$F$7:$F$306,"Pending")&gt;0,"P",""))))</f>
        <v/>
      </c>
      <c r="I197" s="23" t="str">
        <f>IF(A197="","",IF(IF(OR(DATE($B$3,6,8)&gt;EOMONTH(DATE($B$3,6,1),0),NETWORKDAYS.INTL(DATE($B$3,6,8),DATE($B$3,6,8),1,'Non-working days'!$A$6:$A$45)=0),"",IF(COUNTIFS('Leave log'!$A$7:$A$306,Employees!$A$26,'Leave log'!$B$7:$B$306,"&lt;="&amp;DATE($B$3,6,8),'Leave log'!$C$7:$C$306,"&gt;="&amp;DATE($B$3,6,8),'Leave log'!$F$7:$F$306,"Approved")&gt;0,"A",""))="A","A",IF(OR(DATE($B$3,6,8)&gt;EOMONTH(DATE($B$3,6,1),0),NETWORKDAYS.INTL(DATE($B$3,6,8),DATE($B$3,6,8),1,'Non-working days'!$A$6:$A$45)=0),"",IF(COUNTIFS('Leave log'!$A$7:$A$306,Employees!$A$26,'Leave log'!$B$7:$B$306,"&lt;="&amp;DATE($B$3,6,8),'Leave log'!$C$7:$C$306,"&gt;="&amp;DATE($B$3,6,8),'Leave log'!$F$7:$F$306,"Pending")&gt;0,"P",""))))</f>
        <v/>
      </c>
      <c r="J197" s="23" t="str">
        <f>IF(A197="","",IF(IF(OR(DATE($B$3,6,9)&gt;EOMONTH(DATE($B$3,6,1),0),NETWORKDAYS.INTL(DATE($B$3,6,9),DATE($B$3,6,9),1,'Non-working days'!$A$6:$A$45)=0),"",IF(COUNTIFS('Leave log'!$A$7:$A$306,Employees!$A$26,'Leave log'!$B$7:$B$306,"&lt;="&amp;DATE($B$3,6,9),'Leave log'!$C$7:$C$306,"&gt;="&amp;DATE($B$3,6,9),'Leave log'!$F$7:$F$306,"Approved")&gt;0,"A",""))="A","A",IF(OR(DATE($B$3,6,9)&gt;EOMONTH(DATE($B$3,6,1),0),NETWORKDAYS.INTL(DATE($B$3,6,9),DATE($B$3,6,9),1,'Non-working days'!$A$6:$A$45)=0),"",IF(COUNTIFS('Leave log'!$A$7:$A$306,Employees!$A$26,'Leave log'!$B$7:$B$306,"&lt;="&amp;DATE($B$3,6,9),'Leave log'!$C$7:$C$306,"&gt;="&amp;DATE($B$3,6,9),'Leave log'!$F$7:$F$306,"Pending")&gt;0,"P",""))))</f>
        <v/>
      </c>
      <c r="K197" s="23" t="str">
        <f>IF(A197="","",IF(IF(OR(DATE($B$3,6,10)&gt;EOMONTH(DATE($B$3,6,1),0),NETWORKDAYS.INTL(DATE($B$3,6,10),DATE($B$3,6,10),1,'Non-working days'!$A$6:$A$45)=0),"",IF(COUNTIFS('Leave log'!$A$7:$A$306,Employees!$A$26,'Leave log'!$B$7:$B$306,"&lt;="&amp;DATE($B$3,6,10),'Leave log'!$C$7:$C$306,"&gt;="&amp;DATE($B$3,6,10),'Leave log'!$F$7:$F$306,"Approved")&gt;0,"A",""))="A","A",IF(OR(DATE($B$3,6,10)&gt;EOMONTH(DATE($B$3,6,1),0),NETWORKDAYS.INTL(DATE($B$3,6,10),DATE($B$3,6,10),1,'Non-working days'!$A$6:$A$45)=0),"",IF(COUNTIFS('Leave log'!$A$7:$A$306,Employees!$A$26,'Leave log'!$B$7:$B$306,"&lt;="&amp;DATE($B$3,6,10),'Leave log'!$C$7:$C$306,"&gt;="&amp;DATE($B$3,6,10),'Leave log'!$F$7:$F$306,"Pending")&gt;0,"P",""))))</f>
        <v/>
      </c>
      <c r="L197" s="23" t="str">
        <f>IF(A197="","",IF(IF(OR(DATE($B$3,6,11)&gt;EOMONTH(DATE($B$3,6,1),0),NETWORKDAYS.INTL(DATE($B$3,6,11),DATE($B$3,6,11),1,'Non-working days'!$A$6:$A$45)=0),"",IF(COUNTIFS('Leave log'!$A$7:$A$306,Employees!$A$26,'Leave log'!$B$7:$B$306,"&lt;="&amp;DATE($B$3,6,11),'Leave log'!$C$7:$C$306,"&gt;="&amp;DATE($B$3,6,11),'Leave log'!$F$7:$F$306,"Approved")&gt;0,"A",""))="A","A",IF(OR(DATE($B$3,6,11)&gt;EOMONTH(DATE($B$3,6,1),0),NETWORKDAYS.INTL(DATE($B$3,6,11),DATE($B$3,6,11),1,'Non-working days'!$A$6:$A$45)=0),"",IF(COUNTIFS('Leave log'!$A$7:$A$306,Employees!$A$26,'Leave log'!$B$7:$B$306,"&lt;="&amp;DATE($B$3,6,11),'Leave log'!$C$7:$C$306,"&gt;="&amp;DATE($B$3,6,11),'Leave log'!$F$7:$F$306,"Pending")&gt;0,"P",""))))</f>
        <v/>
      </c>
      <c r="M197" s="23" t="str">
        <f>IF(A197="","",IF(IF(OR(DATE($B$3,6,12)&gt;EOMONTH(DATE($B$3,6,1),0),NETWORKDAYS.INTL(DATE($B$3,6,12),DATE($B$3,6,12),1,'Non-working days'!$A$6:$A$45)=0),"",IF(COUNTIFS('Leave log'!$A$7:$A$306,Employees!$A$26,'Leave log'!$B$7:$B$306,"&lt;="&amp;DATE($B$3,6,12),'Leave log'!$C$7:$C$306,"&gt;="&amp;DATE($B$3,6,12),'Leave log'!$F$7:$F$306,"Approved")&gt;0,"A",""))="A","A",IF(OR(DATE($B$3,6,12)&gt;EOMONTH(DATE($B$3,6,1),0),NETWORKDAYS.INTL(DATE($B$3,6,12),DATE($B$3,6,12),1,'Non-working days'!$A$6:$A$45)=0),"",IF(COUNTIFS('Leave log'!$A$7:$A$306,Employees!$A$26,'Leave log'!$B$7:$B$306,"&lt;="&amp;DATE($B$3,6,12),'Leave log'!$C$7:$C$306,"&gt;="&amp;DATE($B$3,6,12),'Leave log'!$F$7:$F$306,"Pending")&gt;0,"P",""))))</f>
        <v/>
      </c>
      <c r="N197" s="23" t="str">
        <f>IF(A197="","",IF(IF(OR(DATE($B$3,6,13)&gt;EOMONTH(DATE($B$3,6,1),0),NETWORKDAYS.INTL(DATE($B$3,6,13),DATE($B$3,6,13),1,'Non-working days'!$A$6:$A$45)=0),"",IF(COUNTIFS('Leave log'!$A$7:$A$306,Employees!$A$26,'Leave log'!$B$7:$B$306,"&lt;="&amp;DATE($B$3,6,13),'Leave log'!$C$7:$C$306,"&gt;="&amp;DATE($B$3,6,13),'Leave log'!$F$7:$F$306,"Approved")&gt;0,"A",""))="A","A",IF(OR(DATE($B$3,6,13)&gt;EOMONTH(DATE($B$3,6,1),0),NETWORKDAYS.INTL(DATE($B$3,6,13),DATE($B$3,6,13),1,'Non-working days'!$A$6:$A$45)=0),"",IF(COUNTIFS('Leave log'!$A$7:$A$306,Employees!$A$26,'Leave log'!$B$7:$B$306,"&lt;="&amp;DATE($B$3,6,13),'Leave log'!$C$7:$C$306,"&gt;="&amp;DATE($B$3,6,13),'Leave log'!$F$7:$F$306,"Pending")&gt;0,"P",""))))</f>
        <v/>
      </c>
      <c r="O197" s="23" t="str">
        <f>IF(A197="","",IF(IF(OR(DATE($B$3,6,14)&gt;EOMONTH(DATE($B$3,6,1),0),NETWORKDAYS.INTL(DATE($B$3,6,14),DATE($B$3,6,14),1,'Non-working days'!$A$6:$A$45)=0),"",IF(COUNTIFS('Leave log'!$A$7:$A$306,Employees!$A$26,'Leave log'!$B$7:$B$306,"&lt;="&amp;DATE($B$3,6,14),'Leave log'!$C$7:$C$306,"&gt;="&amp;DATE($B$3,6,14),'Leave log'!$F$7:$F$306,"Approved")&gt;0,"A",""))="A","A",IF(OR(DATE($B$3,6,14)&gt;EOMONTH(DATE($B$3,6,1),0),NETWORKDAYS.INTL(DATE($B$3,6,14),DATE($B$3,6,14),1,'Non-working days'!$A$6:$A$45)=0),"",IF(COUNTIFS('Leave log'!$A$7:$A$306,Employees!$A$26,'Leave log'!$B$7:$B$306,"&lt;="&amp;DATE($B$3,6,14),'Leave log'!$C$7:$C$306,"&gt;="&amp;DATE($B$3,6,14),'Leave log'!$F$7:$F$306,"Pending")&gt;0,"P",""))))</f>
        <v/>
      </c>
      <c r="P197" s="23" t="str">
        <f>IF(A197="","",IF(IF(OR(DATE($B$3,6,15)&gt;EOMONTH(DATE($B$3,6,1),0),NETWORKDAYS.INTL(DATE($B$3,6,15),DATE($B$3,6,15),1,'Non-working days'!$A$6:$A$45)=0),"",IF(COUNTIFS('Leave log'!$A$7:$A$306,Employees!$A$26,'Leave log'!$B$7:$B$306,"&lt;="&amp;DATE($B$3,6,15),'Leave log'!$C$7:$C$306,"&gt;="&amp;DATE($B$3,6,15),'Leave log'!$F$7:$F$306,"Approved")&gt;0,"A",""))="A","A",IF(OR(DATE($B$3,6,15)&gt;EOMONTH(DATE($B$3,6,1),0),NETWORKDAYS.INTL(DATE($B$3,6,15),DATE($B$3,6,15),1,'Non-working days'!$A$6:$A$45)=0),"",IF(COUNTIFS('Leave log'!$A$7:$A$306,Employees!$A$26,'Leave log'!$B$7:$B$306,"&lt;="&amp;DATE($B$3,6,15),'Leave log'!$C$7:$C$306,"&gt;="&amp;DATE($B$3,6,15),'Leave log'!$F$7:$F$306,"Pending")&gt;0,"P",""))))</f>
        <v/>
      </c>
      <c r="Q197" s="23" t="str">
        <f>IF(A197="","",IF(IF(OR(DATE($B$3,6,16)&gt;EOMONTH(DATE($B$3,6,1),0),NETWORKDAYS.INTL(DATE($B$3,6,16),DATE($B$3,6,16),1,'Non-working days'!$A$6:$A$45)=0),"",IF(COUNTIFS('Leave log'!$A$7:$A$306,Employees!$A$26,'Leave log'!$B$7:$B$306,"&lt;="&amp;DATE($B$3,6,16),'Leave log'!$C$7:$C$306,"&gt;="&amp;DATE($B$3,6,16),'Leave log'!$F$7:$F$306,"Approved")&gt;0,"A",""))="A","A",IF(OR(DATE($B$3,6,16)&gt;EOMONTH(DATE($B$3,6,1),0),NETWORKDAYS.INTL(DATE($B$3,6,16),DATE($B$3,6,16),1,'Non-working days'!$A$6:$A$45)=0),"",IF(COUNTIFS('Leave log'!$A$7:$A$306,Employees!$A$26,'Leave log'!$B$7:$B$306,"&lt;="&amp;DATE($B$3,6,16),'Leave log'!$C$7:$C$306,"&gt;="&amp;DATE($B$3,6,16),'Leave log'!$F$7:$F$306,"Pending")&gt;0,"P",""))))</f>
        <v/>
      </c>
      <c r="R197" s="23" t="str">
        <f>IF(A197="","",IF(IF(OR(DATE($B$3,6,17)&gt;EOMONTH(DATE($B$3,6,1),0),NETWORKDAYS.INTL(DATE($B$3,6,17),DATE($B$3,6,17),1,'Non-working days'!$A$6:$A$45)=0),"",IF(COUNTIFS('Leave log'!$A$7:$A$306,Employees!$A$26,'Leave log'!$B$7:$B$306,"&lt;="&amp;DATE($B$3,6,17),'Leave log'!$C$7:$C$306,"&gt;="&amp;DATE($B$3,6,17),'Leave log'!$F$7:$F$306,"Approved")&gt;0,"A",""))="A","A",IF(OR(DATE($B$3,6,17)&gt;EOMONTH(DATE($B$3,6,1),0),NETWORKDAYS.INTL(DATE($B$3,6,17),DATE($B$3,6,17),1,'Non-working days'!$A$6:$A$45)=0),"",IF(COUNTIFS('Leave log'!$A$7:$A$306,Employees!$A$26,'Leave log'!$B$7:$B$306,"&lt;="&amp;DATE($B$3,6,17),'Leave log'!$C$7:$C$306,"&gt;="&amp;DATE($B$3,6,17),'Leave log'!$F$7:$F$306,"Pending")&gt;0,"P",""))))</f>
        <v/>
      </c>
      <c r="S197" s="23" t="str">
        <f>IF(A197="","",IF(IF(OR(DATE($B$3,6,18)&gt;EOMONTH(DATE($B$3,6,1),0),NETWORKDAYS.INTL(DATE($B$3,6,18),DATE($B$3,6,18),1,'Non-working days'!$A$6:$A$45)=0),"",IF(COUNTIFS('Leave log'!$A$7:$A$306,Employees!$A$26,'Leave log'!$B$7:$B$306,"&lt;="&amp;DATE($B$3,6,18),'Leave log'!$C$7:$C$306,"&gt;="&amp;DATE($B$3,6,18),'Leave log'!$F$7:$F$306,"Approved")&gt;0,"A",""))="A","A",IF(OR(DATE($B$3,6,18)&gt;EOMONTH(DATE($B$3,6,1),0),NETWORKDAYS.INTL(DATE($B$3,6,18),DATE($B$3,6,18),1,'Non-working days'!$A$6:$A$45)=0),"",IF(COUNTIFS('Leave log'!$A$7:$A$306,Employees!$A$26,'Leave log'!$B$7:$B$306,"&lt;="&amp;DATE($B$3,6,18),'Leave log'!$C$7:$C$306,"&gt;="&amp;DATE($B$3,6,18),'Leave log'!$F$7:$F$306,"Pending")&gt;0,"P",""))))</f>
        <v/>
      </c>
      <c r="T197" s="23" t="str">
        <f>IF(A197="","",IF(IF(OR(DATE($B$3,6,19)&gt;EOMONTH(DATE($B$3,6,1),0),NETWORKDAYS.INTL(DATE($B$3,6,19),DATE($B$3,6,19),1,'Non-working days'!$A$6:$A$45)=0),"",IF(COUNTIFS('Leave log'!$A$7:$A$306,Employees!$A$26,'Leave log'!$B$7:$B$306,"&lt;="&amp;DATE($B$3,6,19),'Leave log'!$C$7:$C$306,"&gt;="&amp;DATE($B$3,6,19),'Leave log'!$F$7:$F$306,"Approved")&gt;0,"A",""))="A","A",IF(OR(DATE($B$3,6,19)&gt;EOMONTH(DATE($B$3,6,1),0),NETWORKDAYS.INTL(DATE($B$3,6,19),DATE($B$3,6,19),1,'Non-working days'!$A$6:$A$45)=0),"",IF(COUNTIFS('Leave log'!$A$7:$A$306,Employees!$A$26,'Leave log'!$B$7:$B$306,"&lt;="&amp;DATE($B$3,6,19),'Leave log'!$C$7:$C$306,"&gt;="&amp;DATE($B$3,6,19),'Leave log'!$F$7:$F$306,"Pending")&gt;0,"P",""))))</f>
        <v/>
      </c>
      <c r="U197" s="23" t="str">
        <f>IF(A197="","",IF(IF(OR(DATE($B$3,6,20)&gt;EOMONTH(DATE($B$3,6,1),0),NETWORKDAYS.INTL(DATE($B$3,6,20),DATE($B$3,6,20),1,'Non-working days'!$A$6:$A$45)=0),"",IF(COUNTIFS('Leave log'!$A$7:$A$306,Employees!$A$26,'Leave log'!$B$7:$B$306,"&lt;="&amp;DATE($B$3,6,20),'Leave log'!$C$7:$C$306,"&gt;="&amp;DATE($B$3,6,20),'Leave log'!$F$7:$F$306,"Approved")&gt;0,"A",""))="A","A",IF(OR(DATE($B$3,6,20)&gt;EOMONTH(DATE($B$3,6,1),0),NETWORKDAYS.INTL(DATE($B$3,6,20),DATE($B$3,6,20),1,'Non-working days'!$A$6:$A$45)=0),"",IF(COUNTIFS('Leave log'!$A$7:$A$306,Employees!$A$26,'Leave log'!$B$7:$B$306,"&lt;="&amp;DATE($B$3,6,20),'Leave log'!$C$7:$C$306,"&gt;="&amp;DATE($B$3,6,20),'Leave log'!$F$7:$F$306,"Pending")&gt;0,"P",""))))</f>
        <v/>
      </c>
      <c r="V197" s="23" t="str">
        <f>IF(A197="","",IF(IF(OR(DATE($B$3,6,21)&gt;EOMONTH(DATE($B$3,6,1),0),NETWORKDAYS.INTL(DATE($B$3,6,21),DATE($B$3,6,21),1,'Non-working days'!$A$6:$A$45)=0),"",IF(COUNTIFS('Leave log'!$A$7:$A$306,Employees!$A$26,'Leave log'!$B$7:$B$306,"&lt;="&amp;DATE($B$3,6,21),'Leave log'!$C$7:$C$306,"&gt;="&amp;DATE($B$3,6,21),'Leave log'!$F$7:$F$306,"Approved")&gt;0,"A",""))="A","A",IF(OR(DATE($B$3,6,21)&gt;EOMONTH(DATE($B$3,6,1),0),NETWORKDAYS.INTL(DATE($B$3,6,21),DATE($B$3,6,21),1,'Non-working days'!$A$6:$A$45)=0),"",IF(COUNTIFS('Leave log'!$A$7:$A$306,Employees!$A$26,'Leave log'!$B$7:$B$306,"&lt;="&amp;DATE($B$3,6,21),'Leave log'!$C$7:$C$306,"&gt;="&amp;DATE($B$3,6,21),'Leave log'!$F$7:$F$306,"Pending")&gt;0,"P",""))))</f>
        <v/>
      </c>
      <c r="W197" s="23" t="str">
        <f>IF(A197="","",IF(IF(OR(DATE($B$3,6,22)&gt;EOMONTH(DATE($B$3,6,1),0),NETWORKDAYS.INTL(DATE($B$3,6,22),DATE($B$3,6,22),1,'Non-working days'!$A$6:$A$45)=0),"",IF(COUNTIFS('Leave log'!$A$7:$A$306,Employees!$A$26,'Leave log'!$B$7:$B$306,"&lt;="&amp;DATE($B$3,6,22),'Leave log'!$C$7:$C$306,"&gt;="&amp;DATE($B$3,6,22),'Leave log'!$F$7:$F$306,"Approved")&gt;0,"A",""))="A","A",IF(OR(DATE($B$3,6,22)&gt;EOMONTH(DATE($B$3,6,1),0),NETWORKDAYS.INTL(DATE($B$3,6,22),DATE($B$3,6,22),1,'Non-working days'!$A$6:$A$45)=0),"",IF(COUNTIFS('Leave log'!$A$7:$A$306,Employees!$A$26,'Leave log'!$B$7:$B$306,"&lt;="&amp;DATE($B$3,6,22),'Leave log'!$C$7:$C$306,"&gt;="&amp;DATE($B$3,6,22),'Leave log'!$F$7:$F$306,"Pending")&gt;0,"P",""))))</f>
        <v/>
      </c>
      <c r="X197" s="23" t="str">
        <f>IF(A197="","",IF(IF(OR(DATE($B$3,6,23)&gt;EOMONTH(DATE($B$3,6,1),0),NETWORKDAYS.INTL(DATE($B$3,6,23),DATE($B$3,6,23),1,'Non-working days'!$A$6:$A$45)=0),"",IF(COUNTIFS('Leave log'!$A$7:$A$306,Employees!$A$26,'Leave log'!$B$7:$B$306,"&lt;="&amp;DATE($B$3,6,23),'Leave log'!$C$7:$C$306,"&gt;="&amp;DATE($B$3,6,23),'Leave log'!$F$7:$F$306,"Approved")&gt;0,"A",""))="A","A",IF(OR(DATE($B$3,6,23)&gt;EOMONTH(DATE($B$3,6,1),0),NETWORKDAYS.INTL(DATE($B$3,6,23),DATE($B$3,6,23),1,'Non-working days'!$A$6:$A$45)=0),"",IF(COUNTIFS('Leave log'!$A$7:$A$306,Employees!$A$26,'Leave log'!$B$7:$B$306,"&lt;="&amp;DATE($B$3,6,23),'Leave log'!$C$7:$C$306,"&gt;="&amp;DATE($B$3,6,23),'Leave log'!$F$7:$F$306,"Pending")&gt;0,"P",""))))</f>
        <v/>
      </c>
      <c r="Y197" s="23" t="str">
        <f>IF(A197="","",IF(IF(OR(DATE($B$3,6,24)&gt;EOMONTH(DATE($B$3,6,1),0),NETWORKDAYS.INTL(DATE($B$3,6,24),DATE($B$3,6,24),1,'Non-working days'!$A$6:$A$45)=0),"",IF(COUNTIFS('Leave log'!$A$7:$A$306,Employees!$A$26,'Leave log'!$B$7:$B$306,"&lt;="&amp;DATE($B$3,6,24),'Leave log'!$C$7:$C$306,"&gt;="&amp;DATE($B$3,6,24),'Leave log'!$F$7:$F$306,"Approved")&gt;0,"A",""))="A","A",IF(OR(DATE($B$3,6,24)&gt;EOMONTH(DATE($B$3,6,1),0),NETWORKDAYS.INTL(DATE($B$3,6,24),DATE($B$3,6,24),1,'Non-working days'!$A$6:$A$45)=0),"",IF(COUNTIFS('Leave log'!$A$7:$A$306,Employees!$A$26,'Leave log'!$B$7:$B$306,"&lt;="&amp;DATE($B$3,6,24),'Leave log'!$C$7:$C$306,"&gt;="&amp;DATE($B$3,6,24),'Leave log'!$F$7:$F$306,"Pending")&gt;0,"P",""))))</f>
        <v/>
      </c>
      <c r="Z197" s="23" t="str">
        <f>IF(A197="","",IF(IF(OR(DATE($B$3,6,25)&gt;EOMONTH(DATE($B$3,6,1),0),NETWORKDAYS.INTL(DATE($B$3,6,25),DATE($B$3,6,25),1,'Non-working days'!$A$6:$A$45)=0),"",IF(COUNTIFS('Leave log'!$A$7:$A$306,Employees!$A$26,'Leave log'!$B$7:$B$306,"&lt;="&amp;DATE($B$3,6,25),'Leave log'!$C$7:$C$306,"&gt;="&amp;DATE($B$3,6,25),'Leave log'!$F$7:$F$306,"Approved")&gt;0,"A",""))="A","A",IF(OR(DATE($B$3,6,25)&gt;EOMONTH(DATE($B$3,6,1),0),NETWORKDAYS.INTL(DATE($B$3,6,25),DATE($B$3,6,25),1,'Non-working days'!$A$6:$A$45)=0),"",IF(COUNTIFS('Leave log'!$A$7:$A$306,Employees!$A$26,'Leave log'!$B$7:$B$306,"&lt;="&amp;DATE($B$3,6,25),'Leave log'!$C$7:$C$306,"&gt;="&amp;DATE($B$3,6,25),'Leave log'!$F$7:$F$306,"Pending")&gt;0,"P",""))))</f>
        <v/>
      </c>
      <c r="AA197" s="23" t="str">
        <f>IF(A197="","",IF(IF(OR(DATE($B$3,6,26)&gt;EOMONTH(DATE($B$3,6,1),0),NETWORKDAYS.INTL(DATE($B$3,6,26),DATE($B$3,6,26),1,'Non-working days'!$A$6:$A$45)=0),"",IF(COUNTIFS('Leave log'!$A$7:$A$306,Employees!$A$26,'Leave log'!$B$7:$B$306,"&lt;="&amp;DATE($B$3,6,26),'Leave log'!$C$7:$C$306,"&gt;="&amp;DATE($B$3,6,26),'Leave log'!$F$7:$F$306,"Approved")&gt;0,"A",""))="A","A",IF(OR(DATE($B$3,6,26)&gt;EOMONTH(DATE($B$3,6,1),0),NETWORKDAYS.INTL(DATE($B$3,6,26),DATE($B$3,6,26),1,'Non-working days'!$A$6:$A$45)=0),"",IF(COUNTIFS('Leave log'!$A$7:$A$306,Employees!$A$26,'Leave log'!$B$7:$B$306,"&lt;="&amp;DATE($B$3,6,26),'Leave log'!$C$7:$C$306,"&gt;="&amp;DATE($B$3,6,26),'Leave log'!$F$7:$F$306,"Pending")&gt;0,"P",""))))</f>
        <v/>
      </c>
      <c r="AB197" s="23" t="str">
        <f>IF(A197="","",IF(IF(OR(DATE($B$3,6,27)&gt;EOMONTH(DATE($B$3,6,1),0),NETWORKDAYS.INTL(DATE($B$3,6,27),DATE($B$3,6,27),1,'Non-working days'!$A$6:$A$45)=0),"",IF(COUNTIFS('Leave log'!$A$7:$A$306,Employees!$A$26,'Leave log'!$B$7:$B$306,"&lt;="&amp;DATE($B$3,6,27),'Leave log'!$C$7:$C$306,"&gt;="&amp;DATE($B$3,6,27),'Leave log'!$F$7:$F$306,"Approved")&gt;0,"A",""))="A","A",IF(OR(DATE($B$3,6,27)&gt;EOMONTH(DATE($B$3,6,1),0),NETWORKDAYS.INTL(DATE($B$3,6,27),DATE($B$3,6,27),1,'Non-working days'!$A$6:$A$45)=0),"",IF(COUNTIFS('Leave log'!$A$7:$A$306,Employees!$A$26,'Leave log'!$B$7:$B$306,"&lt;="&amp;DATE($B$3,6,27),'Leave log'!$C$7:$C$306,"&gt;="&amp;DATE($B$3,6,27),'Leave log'!$F$7:$F$306,"Pending")&gt;0,"P",""))))</f>
        <v/>
      </c>
      <c r="AC197" s="23" t="str">
        <f>IF(A197="","",IF(IF(OR(DATE($B$3,6,28)&gt;EOMONTH(DATE($B$3,6,1),0),NETWORKDAYS.INTL(DATE($B$3,6,28),DATE($B$3,6,28),1,'Non-working days'!$A$6:$A$45)=0),"",IF(COUNTIFS('Leave log'!$A$7:$A$306,Employees!$A$26,'Leave log'!$B$7:$B$306,"&lt;="&amp;DATE($B$3,6,28),'Leave log'!$C$7:$C$306,"&gt;="&amp;DATE($B$3,6,28),'Leave log'!$F$7:$F$306,"Approved")&gt;0,"A",""))="A","A",IF(OR(DATE($B$3,6,28)&gt;EOMONTH(DATE($B$3,6,1),0),NETWORKDAYS.INTL(DATE($B$3,6,28),DATE($B$3,6,28),1,'Non-working days'!$A$6:$A$45)=0),"",IF(COUNTIFS('Leave log'!$A$7:$A$306,Employees!$A$26,'Leave log'!$B$7:$B$306,"&lt;="&amp;DATE($B$3,6,28),'Leave log'!$C$7:$C$306,"&gt;="&amp;DATE($B$3,6,28),'Leave log'!$F$7:$F$306,"Pending")&gt;0,"P",""))))</f>
        <v/>
      </c>
      <c r="AD197" s="23" t="str">
        <f>IF(A197="","",IF(IF(OR(DATE($B$3,6,29)&gt;EOMONTH(DATE($B$3,6,1),0),NETWORKDAYS.INTL(DATE($B$3,6,29),DATE($B$3,6,29),1,'Non-working days'!$A$6:$A$45)=0),"",IF(COUNTIFS('Leave log'!$A$7:$A$306,Employees!$A$26,'Leave log'!$B$7:$B$306,"&lt;="&amp;DATE($B$3,6,29),'Leave log'!$C$7:$C$306,"&gt;="&amp;DATE($B$3,6,29),'Leave log'!$F$7:$F$306,"Approved")&gt;0,"A",""))="A","A",IF(OR(DATE($B$3,6,29)&gt;EOMONTH(DATE($B$3,6,1),0),NETWORKDAYS.INTL(DATE($B$3,6,29),DATE($B$3,6,29),1,'Non-working days'!$A$6:$A$45)=0),"",IF(COUNTIFS('Leave log'!$A$7:$A$306,Employees!$A$26,'Leave log'!$B$7:$B$306,"&lt;="&amp;DATE($B$3,6,29),'Leave log'!$C$7:$C$306,"&gt;="&amp;DATE($B$3,6,29),'Leave log'!$F$7:$F$306,"Pending")&gt;0,"P",""))))</f>
        <v/>
      </c>
      <c r="AE197" s="23" t="str">
        <f>IF(A197="","",IF(IF(OR(DATE($B$3,6,30)&gt;EOMONTH(DATE($B$3,6,1),0),NETWORKDAYS.INTL(DATE($B$3,6,30),DATE($B$3,6,30),1,'Non-working days'!$A$6:$A$45)=0),"",IF(COUNTIFS('Leave log'!$A$7:$A$306,Employees!$A$26,'Leave log'!$B$7:$B$306,"&lt;="&amp;DATE($B$3,6,30),'Leave log'!$C$7:$C$306,"&gt;="&amp;DATE($B$3,6,30),'Leave log'!$F$7:$F$306,"Approved")&gt;0,"A",""))="A","A",IF(OR(DATE($B$3,6,30)&gt;EOMONTH(DATE($B$3,6,1),0),NETWORKDAYS.INTL(DATE($B$3,6,30),DATE($B$3,6,30),1,'Non-working days'!$A$6:$A$45)=0),"",IF(COUNTIFS('Leave log'!$A$7:$A$306,Employees!$A$26,'Leave log'!$B$7:$B$306,"&lt;="&amp;DATE($B$3,6,30),'Leave log'!$C$7:$C$306,"&gt;="&amp;DATE($B$3,6,30),'Leave log'!$F$7:$F$306,"Pending")&gt;0,"P",""))))</f>
        <v/>
      </c>
      <c r="AF197" s="23" t="str">
        <f>IF(A197="","",IF(IF(OR(DATE($B$3,6,31)&gt;EOMONTH(DATE($B$3,6,1),0),NETWORKDAYS.INTL(DATE($B$3,6,31),DATE($B$3,6,31),1,'Non-working days'!$A$6:$A$45)=0),"",IF(COUNTIFS('Leave log'!$A$7:$A$306,Employees!$A$26,'Leave log'!$B$7:$B$306,"&lt;="&amp;DATE($B$3,6,31),'Leave log'!$C$7:$C$306,"&gt;="&amp;DATE($B$3,6,31),'Leave log'!$F$7:$F$306,"Approved")&gt;0,"A",""))="A","A",IF(OR(DATE($B$3,6,31)&gt;EOMONTH(DATE($B$3,6,1),0),NETWORKDAYS.INTL(DATE($B$3,6,31),DATE($B$3,6,31),1,'Non-working days'!$A$6:$A$45)=0),"",IF(COUNTIFS('Leave log'!$A$7:$A$306,Employees!$A$26,'Leave log'!$B$7:$B$306,"&lt;="&amp;DATE($B$3,6,31),'Leave log'!$C$7:$C$306,"&gt;="&amp;DATE($B$3,6,31),'Leave log'!$F$7:$F$306,"Pending")&gt;0,"P",""))))</f>
        <v/>
      </c>
    </row>
    <row r="198" spans="1:32" ht="18" customHeight="1" x14ac:dyDescent="0.3">
      <c r="A198" s="22" t="str">
        <f>IF(Employees!F27="Yes",Employees!B27,"")</f>
        <v/>
      </c>
      <c r="B198" s="23" t="str">
        <f>IF(A198="","",IF(IF(OR(DATE($B$3,6,1)&gt;EOMONTH(DATE($B$3,6,1),0),NETWORKDAYS.INTL(DATE($B$3,6,1),DATE($B$3,6,1),1,'Non-working days'!$A$6:$A$45)=0),"",IF(COUNTIFS('Leave log'!$A$7:$A$306,Employees!$A$27,'Leave log'!$B$7:$B$306,"&lt;="&amp;DATE($B$3,6,1),'Leave log'!$C$7:$C$306,"&gt;="&amp;DATE($B$3,6,1),'Leave log'!$F$7:$F$306,"Approved")&gt;0,"A",""))="A","A",IF(OR(DATE($B$3,6,1)&gt;EOMONTH(DATE($B$3,6,1),0),NETWORKDAYS.INTL(DATE($B$3,6,1),DATE($B$3,6,1),1,'Non-working days'!$A$6:$A$45)=0),"",IF(COUNTIFS('Leave log'!$A$7:$A$306,Employees!$A$27,'Leave log'!$B$7:$B$306,"&lt;="&amp;DATE($B$3,6,1),'Leave log'!$C$7:$C$306,"&gt;="&amp;DATE($B$3,6,1),'Leave log'!$F$7:$F$306,"Pending")&gt;0,"P",""))))</f>
        <v/>
      </c>
      <c r="C198" s="23" t="str">
        <f>IF(A198="","",IF(IF(OR(DATE($B$3,6,2)&gt;EOMONTH(DATE($B$3,6,1),0),NETWORKDAYS.INTL(DATE($B$3,6,2),DATE($B$3,6,2),1,'Non-working days'!$A$6:$A$45)=0),"",IF(COUNTIFS('Leave log'!$A$7:$A$306,Employees!$A$27,'Leave log'!$B$7:$B$306,"&lt;="&amp;DATE($B$3,6,2),'Leave log'!$C$7:$C$306,"&gt;="&amp;DATE($B$3,6,2),'Leave log'!$F$7:$F$306,"Approved")&gt;0,"A",""))="A","A",IF(OR(DATE($B$3,6,2)&gt;EOMONTH(DATE($B$3,6,1),0),NETWORKDAYS.INTL(DATE($B$3,6,2),DATE($B$3,6,2),1,'Non-working days'!$A$6:$A$45)=0),"",IF(COUNTIFS('Leave log'!$A$7:$A$306,Employees!$A$27,'Leave log'!$B$7:$B$306,"&lt;="&amp;DATE($B$3,6,2),'Leave log'!$C$7:$C$306,"&gt;="&amp;DATE($B$3,6,2),'Leave log'!$F$7:$F$306,"Pending")&gt;0,"P",""))))</f>
        <v/>
      </c>
      <c r="D198" s="23" t="str">
        <f>IF(A198="","",IF(IF(OR(DATE($B$3,6,3)&gt;EOMONTH(DATE($B$3,6,1),0),NETWORKDAYS.INTL(DATE($B$3,6,3),DATE($B$3,6,3),1,'Non-working days'!$A$6:$A$45)=0),"",IF(COUNTIFS('Leave log'!$A$7:$A$306,Employees!$A$27,'Leave log'!$B$7:$B$306,"&lt;="&amp;DATE($B$3,6,3),'Leave log'!$C$7:$C$306,"&gt;="&amp;DATE($B$3,6,3),'Leave log'!$F$7:$F$306,"Approved")&gt;0,"A",""))="A","A",IF(OR(DATE($B$3,6,3)&gt;EOMONTH(DATE($B$3,6,1),0),NETWORKDAYS.INTL(DATE($B$3,6,3),DATE($B$3,6,3),1,'Non-working days'!$A$6:$A$45)=0),"",IF(COUNTIFS('Leave log'!$A$7:$A$306,Employees!$A$27,'Leave log'!$B$7:$B$306,"&lt;="&amp;DATE($B$3,6,3),'Leave log'!$C$7:$C$306,"&gt;="&amp;DATE($B$3,6,3),'Leave log'!$F$7:$F$306,"Pending")&gt;0,"P",""))))</f>
        <v/>
      </c>
      <c r="E198" s="23" t="str">
        <f>IF(A198="","",IF(IF(OR(DATE($B$3,6,4)&gt;EOMONTH(DATE($B$3,6,1),0),NETWORKDAYS.INTL(DATE($B$3,6,4),DATE($B$3,6,4),1,'Non-working days'!$A$6:$A$45)=0),"",IF(COUNTIFS('Leave log'!$A$7:$A$306,Employees!$A$27,'Leave log'!$B$7:$B$306,"&lt;="&amp;DATE($B$3,6,4),'Leave log'!$C$7:$C$306,"&gt;="&amp;DATE($B$3,6,4),'Leave log'!$F$7:$F$306,"Approved")&gt;0,"A",""))="A","A",IF(OR(DATE($B$3,6,4)&gt;EOMONTH(DATE($B$3,6,1),0),NETWORKDAYS.INTL(DATE($B$3,6,4),DATE($B$3,6,4),1,'Non-working days'!$A$6:$A$45)=0),"",IF(COUNTIFS('Leave log'!$A$7:$A$306,Employees!$A$27,'Leave log'!$B$7:$B$306,"&lt;="&amp;DATE($B$3,6,4),'Leave log'!$C$7:$C$306,"&gt;="&amp;DATE($B$3,6,4),'Leave log'!$F$7:$F$306,"Pending")&gt;0,"P",""))))</f>
        <v/>
      </c>
      <c r="F198" s="23" t="str">
        <f>IF(A198="","",IF(IF(OR(DATE($B$3,6,5)&gt;EOMONTH(DATE($B$3,6,1),0),NETWORKDAYS.INTL(DATE($B$3,6,5),DATE($B$3,6,5),1,'Non-working days'!$A$6:$A$45)=0),"",IF(COUNTIFS('Leave log'!$A$7:$A$306,Employees!$A$27,'Leave log'!$B$7:$B$306,"&lt;="&amp;DATE($B$3,6,5),'Leave log'!$C$7:$C$306,"&gt;="&amp;DATE($B$3,6,5),'Leave log'!$F$7:$F$306,"Approved")&gt;0,"A",""))="A","A",IF(OR(DATE($B$3,6,5)&gt;EOMONTH(DATE($B$3,6,1),0),NETWORKDAYS.INTL(DATE($B$3,6,5),DATE($B$3,6,5),1,'Non-working days'!$A$6:$A$45)=0),"",IF(COUNTIFS('Leave log'!$A$7:$A$306,Employees!$A$27,'Leave log'!$B$7:$B$306,"&lt;="&amp;DATE($B$3,6,5),'Leave log'!$C$7:$C$306,"&gt;="&amp;DATE($B$3,6,5),'Leave log'!$F$7:$F$306,"Pending")&gt;0,"P",""))))</f>
        <v/>
      </c>
      <c r="G198" s="23" t="str">
        <f>IF(A198="","",IF(IF(OR(DATE($B$3,6,6)&gt;EOMONTH(DATE($B$3,6,1),0),NETWORKDAYS.INTL(DATE($B$3,6,6),DATE($B$3,6,6),1,'Non-working days'!$A$6:$A$45)=0),"",IF(COUNTIFS('Leave log'!$A$7:$A$306,Employees!$A$27,'Leave log'!$B$7:$B$306,"&lt;="&amp;DATE($B$3,6,6),'Leave log'!$C$7:$C$306,"&gt;="&amp;DATE($B$3,6,6),'Leave log'!$F$7:$F$306,"Approved")&gt;0,"A",""))="A","A",IF(OR(DATE($B$3,6,6)&gt;EOMONTH(DATE($B$3,6,1),0),NETWORKDAYS.INTL(DATE($B$3,6,6),DATE($B$3,6,6),1,'Non-working days'!$A$6:$A$45)=0),"",IF(COUNTIFS('Leave log'!$A$7:$A$306,Employees!$A$27,'Leave log'!$B$7:$B$306,"&lt;="&amp;DATE($B$3,6,6),'Leave log'!$C$7:$C$306,"&gt;="&amp;DATE($B$3,6,6),'Leave log'!$F$7:$F$306,"Pending")&gt;0,"P",""))))</f>
        <v/>
      </c>
      <c r="H198" s="23" t="str">
        <f>IF(A198="","",IF(IF(OR(DATE($B$3,6,7)&gt;EOMONTH(DATE($B$3,6,1),0),NETWORKDAYS.INTL(DATE($B$3,6,7),DATE($B$3,6,7),1,'Non-working days'!$A$6:$A$45)=0),"",IF(COUNTIFS('Leave log'!$A$7:$A$306,Employees!$A$27,'Leave log'!$B$7:$B$306,"&lt;="&amp;DATE($B$3,6,7),'Leave log'!$C$7:$C$306,"&gt;="&amp;DATE($B$3,6,7),'Leave log'!$F$7:$F$306,"Approved")&gt;0,"A",""))="A","A",IF(OR(DATE($B$3,6,7)&gt;EOMONTH(DATE($B$3,6,1),0),NETWORKDAYS.INTL(DATE($B$3,6,7),DATE($B$3,6,7),1,'Non-working days'!$A$6:$A$45)=0),"",IF(COUNTIFS('Leave log'!$A$7:$A$306,Employees!$A$27,'Leave log'!$B$7:$B$306,"&lt;="&amp;DATE($B$3,6,7),'Leave log'!$C$7:$C$306,"&gt;="&amp;DATE($B$3,6,7),'Leave log'!$F$7:$F$306,"Pending")&gt;0,"P",""))))</f>
        <v/>
      </c>
      <c r="I198" s="23" t="str">
        <f>IF(A198="","",IF(IF(OR(DATE($B$3,6,8)&gt;EOMONTH(DATE($B$3,6,1),0),NETWORKDAYS.INTL(DATE($B$3,6,8),DATE($B$3,6,8),1,'Non-working days'!$A$6:$A$45)=0),"",IF(COUNTIFS('Leave log'!$A$7:$A$306,Employees!$A$27,'Leave log'!$B$7:$B$306,"&lt;="&amp;DATE($B$3,6,8),'Leave log'!$C$7:$C$306,"&gt;="&amp;DATE($B$3,6,8),'Leave log'!$F$7:$F$306,"Approved")&gt;0,"A",""))="A","A",IF(OR(DATE($B$3,6,8)&gt;EOMONTH(DATE($B$3,6,1),0),NETWORKDAYS.INTL(DATE($B$3,6,8),DATE($B$3,6,8),1,'Non-working days'!$A$6:$A$45)=0),"",IF(COUNTIFS('Leave log'!$A$7:$A$306,Employees!$A$27,'Leave log'!$B$7:$B$306,"&lt;="&amp;DATE($B$3,6,8),'Leave log'!$C$7:$C$306,"&gt;="&amp;DATE($B$3,6,8),'Leave log'!$F$7:$F$306,"Pending")&gt;0,"P",""))))</f>
        <v/>
      </c>
      <c r="J198" s="23" t="str">
        <f>IF(A198="","",IF(IF(OR(DATE($B$3,6,9)&gt;EOMONTH(DATE($B$3,6,1),0),NETWORKDAYS.INTL(DATE($B$3,6,9),DATE($B$3,6,9),1,'Non-working days'!$A$6:$A$45)=0),"",IF(COUNTIFS('Leave log'!$A$7:$A$306,Employees!$A$27,'Leave log'!$B$7:$B$306,"&lt;="&amp;DATE($B$3,6,9),'Leave log'!$C$7:$C$306,"&gt;="&amp;DATE($B$3,6,9),'Leave log'!$F$7:$F$306,"Approved")&gt;0,"A",""))="A","A",IF(OR(DATE($B$3,6,9)&gt;EOMONTH(DATE($B$3,6,1),0),NETWORKDAYS.INTL(DATE($B$3,6,9),DATE($B$3,6,9),1,'Non-working days'!$A$6:$A$45)=0),"",IF(COUNTIFS('Leave log'!$A$7:$A$306,Employees!$A$27,'Leave log'!$B$7:$B$306,"&lt;="&amp;DATE($B$3,6,9),'Leave log'!$C$7:$C$306,"&gt;="&amp;DATE($B$3,6,9),'Leave log'!$F$7:$F$306,"Pending")&gt;0,"P",""))))</f>
        <v/>
      </c>
      <c r="K198" s="23" t="str">
        <f>IF(A198="","",IF(IF(OR(DATE($B$3,6,10)&gt;EOMONTH(DATE($B$3,6,1),0),NETWORKDAYS.INTL(DATE($B$3,6,10),DATE($B$3,6,10),1,'Non-working days'!$A$6:$A$45)=0),"",IF(COUNTIFS('Leave log'!$A$7:$A$306,Employees!$A$27,'Leave log'!$B$7:$B$306,"&lt;="&amp;DATE($B$3,6,10),'Leave log'!$C$7:$C$306,"&gt;="&amp;DATE($B$3,6,10),'Leave log'!$F$7:$F$306,"Approved")&gt;0,"A",""))="A","A",IF(OR(DATE($B$3,6,10)&gt;EOMONTH(DATE($B$3,6,1),0),NETWORKDAYS.INTL(DATE($B$3,6,10),DATE($B$3,6,10),1,'Non-working days'!$A$6:$A$45)=0),"",IF(COUNTIFS('Leave log'!$A$7:$A$306,Employees!$A$27,'Leave log'!$B$7:$B$306,"&lt;="&amp;DATE($B$3,6,10),'Leave log'!$C$7:$C$306,"&gt;="&amp;DATE($B$3,6,10),'Leave log'!$F$7:$F$306,"Pending")&gt;0,"P",""))))</f>
        <v/>
      </c>
      <c r="L198" s="23" t="str">
        <f>IF(A198="","",IF(IF(OR(DATE($B$3,6,11)&gt;EOMONTH(DATE($B$3,6,1),0),NETWORKDAYS.INTL(DATE($B$3,6,11),DATE($B$3,6,11),1,'Non-working days'!$A$6:$A$45)=0),"",IF(COUNTIFS('Leave log'!$A$7:$A$306,Employees!$A$27,'Leave log'!$B$7:$B$306,"&lt;="&amp;DATE($B$3,6,11),'Leave log'!$C$7:$C$306,"&gt;="&amp;DATE($B$3,6,11),'Leave log'!$F$7:$F$306,"Approved")&gt;0,"A",""))="A","A",IF(OR(DATE($B$3,6,11)&gt;EOMONTH(DATE($B$3,6,1),0),NETWORKDAYS.INTL(DATE($B$3,6,11),DATE($B$3,6,11),1,'Non-working days'!$A$6:$A$45)=0),"",IF(COUNTIFS('Leave log'!$A$7:$A$306,Employees!$A$27,'Leave log'!$B$7:$B$306,"&lt;="&amp;DATE($B$3,6,11),'Leave log'!$C$7:$C$306,"&gt;="&amp;DATE($B$3,6,11),'Leave log'!$F$7:$F$306,"Pending")&gt;0,"P",""))))</f>
        <v/>
      </c>
      <c r="M198" s="23" t="str">
        <f>IF(A198="","",IF(IF(OR(DATE($B$3,6,12)&gt;EOMONTH(DATE($B$3,6,1),0),NETWORKDAYS.INTL(DATE($B$3,6,12),DATE($B$3,6,12),1,'Non-working days'!$A$6:$A$45)=0),"",IF(COUNTIFS('Leave log'!$A$7:$A$306,Employees!$A$27,'Leave log'!$B$7:$B$306,"&lt;="&amp;DATE($B$3,6,12),'Leave log'!$C$7:$C$306,"&gt;="&amp;DATE($B$3,6,12),'Leave log'!$F$7:$F$306,"Approved")&gt;0,"A",""))="A","A",IF(OR(DATE($B$3,6,12)&gt;EOMONTH(DATE($B$3,6,1),0),NETWORKDAYS.INTL(DATE($B$3,6,12),DATE($B$3,6,12),1,'Non-working days'!$A$6:$A$45)=0),"",IF(COUNTIFS('Leave log'!$A$7:$A$306,Employees!$A$27,'Leave log'!$B$7:$B$306,"&lt;="&amp;DATE($B$3,6,12),'Leave log'!$C$7:$C$306,"&gt;="&amp;DATE($B$3,6,12),'Leave log'!$F$7:$F$306,"Pending")&gt;0,"P",""))))</f>
        <v/>
      </c>
      <c r="N198" s="23" t="str">
        <f>IF(A198="","",IF(IF(OR(DATE($B$3,6,13)&gt;EOMONTH(DATE($B$3,6,1),0),NETWORKDAYS.INTL(DATE($B$3,6,13),DATE($B$3,6,13),1,'Non-working days'!$A$6:$A$45)=0),"",IF(COUNTIFS('Leave log'!$A$7:$A$306,Employees!$A$27,'Leave log'!$B$7:$B$306,"&lt;="&amp;DATE($B$3,6,13),'Leave log'!$C$7:$C$306,"&gt;="&amp;DATE($B$3,6,13),'Leave log'!$F$7:$F$306,"Approved")&gt;0,"A",""))="A","A",IF(OR(DATE($B$3,6,13)&gt;EOMONTH(DATE($B$3,6,1),0),NETWORKDAYS.INTL(DATE($B$3,6,13),DATE($B$3,6,13),1,'Non-working days'!$A$6:$A$45)=0),"",IF(COUNTIFS('Leave log'!$A$7:$A$306,Employees!$A$27,'Leave log'!$B$7:$B$306,"&lt;="&amp;DATE($B$3,6,13),'Leave log'!$C$7:$C$306,"&gt;="&amp;DATE($B$3,6,13),'Leave log'!$F$7:$F$306,"Pending")&gt;0,"P",""))))</f>
        <v/>
      </c>
      <c r="O198" s="23" t="str">
        <f>IF(A198="","",IF(IF(OR(DATE($B$3,6,14)&gt;EOMONTH(DATE($B$3,6,1),0),NETWORKDAYS.INTL(DATE($B$3,6,14),DATE($B$3,6,14),1,'Non-working days'!$A$6:$A$45)=0),"",IF(COUNTIFS('Leave log'!$A$7:$A$306,Employees!$A$27,'Leave log'!$B$7:$B$306,"&lt;="&amp;DATE($B$3,6,14),'Leave log'!$C$7:$C$306,"&gt;="&amp;DATE($B$3,6,14),'Leave log'!$F$7:$F$306,"Approved")&gt;0,"A",""))="A","A",IF(OR(DATE($B$3,6,14)&gt;EOMONTH(DATE($B$3,6,1),0),NETWORKDAYS.INTL(DATE($B$3,6,14),DATE($B$3,6,14),1,'Non-working days'!$A$6:$A$45)=0),"",IF(COUNTIFS('Leave log'!$A$7:$A$306,Employees!$A$27,'Leave log'!$B$7:$B$306,"&lt;="&amp;DATE($B$3,6,14),'Leave log'!$C$7:$C$306,"&gt;="&amp;DATE($B$3,6,14),'Leave log'!$F$7:$F$306,"Pending")&gt;0,"P",""))))</f>
        <v/>
      </c>
      <c r="P198" s="23" t="str">
        <f>IF(A198="","",IF(IF(OR(DATE($B$3,6,15)&gt;EOMONTH(DATE($B$3,6,1),0),NETWORKDAYS.INTL(DATE($B$3,6,15),DATE($B$3,6,15),1,'Non-working days'!$A$6:$A$45)=0),"",IF(COUNTIFS('Leave log'!$A$7:$A$306,Employees!$A$27,'Leave log'!$B$7:$B$306,"&lt;="&amp;DATE($B$3,6,15),'Leave log'!$C$7:$C$306,"&gt;="&amp;DATE($B$3,6,15),'Leave log'!$F$7:$F$306,"Approved")&gt;0,"A",""))="A","A",IF(OR(DATE($B$3,6,15)&gt;EOMONTH(DATE($B$3,6,1),0),NETWORKDAYS.INTL(DATE($B$3,6,15),DATE($B$3,6,15),1,'Non-working days'!$A$6:$A$45)=0),"",IF(COUNTIFS('Leave log'!$A$7:$A$306,Employees!$A$27,'Leave log'!$B$7:$B$306,"&lt;="&amp;DATE($B$3,6,15),'Leave log'!$C$7:$C$306,"&gt;="&amp;DATE($B$3,6,15),'Leave log'!$F$7:$F$306,"Pending")&gt;0,"P",""))))</f>
        <v/>
      </c>
      <c r="Q198" s="23" t="str">
        <f>IF(A198="","",IF(IF(OR(DATE($B$3,6,16)&gt;EOMONTH(DATE($B$3,6,1),0),NETWORKDAYS.INTL(DATE($B$3,6,16),DATE($B$3,6,16),1,'Non-working days'!$A$6:$A$45)=0),"",IF(COUNTIFS('Leave log'!$A$7:$A$306,Employees!$A$27,'Leave log'!$B$7:$B$306,"&lt;="&amp;DATE($B$3,6,16),'Leave log'!$C$7:$C$306,"&gt;="&amp;DATE($B$3,6,16),'Leave log'!$F$7:$F$306,"Approved")&gt;0,"A",""))="A","A",IF(OR(DATE($B$3,6,16)&gt;EOMONTH(DATE($B$3,6,1),0),NETWORKDAYS.INTL(DATE($B$3,6,16),DATE($B$3,6,16),1,'Non-working days'!$A$6:$A$45)=0),"",IF(COUNTIFS('Leave log'!$A$7:$A$306,Employees!$A$27,'Leave log'!$B$7:$B$306,"&lt;="&amp;DATE($B$3,6,16),'Leave log'!$C$7:$C$306,"&gt;="&amp;DATE($B$3,6,16),'Leave log'!$F$7:$F$306,"Pending")&gt;0,"P",""))))</f>
        <v/>
      </c>
      <c r="R198" s="23" t="str">
        <f>IF(A198="","",IF(IF(OR(DATE($B$3,6,17)&gt;EOMONTH(DATE($B$3,6,1),0),NETWORKDAYS.INTL(DATE($B$3,6,17),DATE($B$3,6,17),1,'Non-working days'!$A$6:$A$45)=0),"",IF(COUNTIFS('Leave log'!$A$7:$A$306,Employees!$A$27,'Leave log'!$B$7:$B$306,"&lt;="&amp;DATE($B$3,6,17),'Leave log'!$C$7:$C$306,"&gt;="&amp;DATE($B$3,6,17),'Leave log'!$F$7:$F$306,"Approved")&gt;0,"A",""))="A","A",IF(OR(DATE($B$3,6,17)&gt;EOMONTH(DATE($B$3,6,1),0),NETWORKDAYS.INTL(DATE($B$3,6,17),DATE($B$3,6,17),1,'Non-working days'!$A$6:$A$45)=0),"",IF(COUNTIFS('Leave log'!$A$7:$A$306,Employees!$A$27,'Leave log'!$B$7:$B$306,"&lt;="&amp;DATE($B$3,6,17),'Leave log'!$C$7:$C$306,"&gt;="&amp;DATE($B$3,6,17),'Leave log'!$F$7:$F$306,"Pending")&gt;0,"P",""))))</f>
        <v/>
      </c>
      <c r="S198" s="23" t="str">
        <f>IF(A198="","",IF(IF(OR(DATE($B$3,6,18)&gt;EOMONTH(DATE($B$3,6,1),0),NETWORKDAYS.INTL(DATE($B$3,6,18),DATE($B$3,6,18),1,'Non-working days'!$A$6:$A$45)=0),"",IF(COUNTIFS('Leave log'!$A$7:$A$306,Employees!$A$27,'Leave log'!$B$7:$B$306,"&lt;="&amp;DATE($B$3,6,18),'Leave log'!$C$7:$C$306,"&gt;="&amp;DATE($B$3,6,18),'Leave log'!$F$7:$F$306,"Approved")&gt;0,"A",""))="A","A",IF(OR(DATE($B$3,6,18)&gt;EOMONTH(DATE($B$3,6,1),0),NETWORKDAYS.INTL(DATE($B$3,6,18),DATE($B$3,6,18),1,'Non-working days'!$A$6:$A$45)=0),"",IF(COUNTIFS('Leave log'!$A$7:$A$306,Employees!$A$27,'Leave log'!$B$7:$B$306,"&lt;="&amp;DATE($B$3,6,18),'Leave log'!$C$7:$C$306,"&gt;="&amp;DATE($B$3,6,18),'Leave log'!$F$7:$F$306,"Pending")&gt;0,"P",""))))</f>
        <v/>
      </c>
      <c r="T198" s="23" t="str">
        <f>IF(A198="","",IF(IF(OR(DATE($B$3,6,19)&gt;EOMONTH(DATE($B$3,6,1),0),NETWORKDAYS.INTL(DATE($B$3,6,19),DATE($B$3,6,19),1,'Non-working days'!$A$6:$A$45)=0),"",IF(COUNTIFS('Leave log'!$A$7:$A$306,Employees!$A$27,'Leave log'!$B$7:$B$306,"&lt;="&amp;DATE($B$3,6,19),'Leave log'!$C$7:$C$306,"&gt;="&amp;DATE($B$3,6,19),'Leave log'!$F$7:$F$306,"Approved")&gt;0,"A",""))="A","A",IF(OR(DATE($B$3,6,19)&gt;EOMONTH(DATE($B$3,6,1),0),NETWORKDAYS.INTL(DATE($B$3,6,19),DATE($B$3,6,19),1,'Non-working days'!$A$6:$A$45)=0),"",IF(COUNTIFS('Leave log'!$A$7:$A$306,Employees!$A$27,'Leave log'!$B$7:$B$306,"&lt;="&amp;DATE($B$3,6,19),'Leave log'!$C$7:$C$306,"&gt;="&amp;DATE($B$3,6,19),'Leave log'!$F$7:$F$306,"Pending")&gt;0,"P",""))))</f>
        <v/>
      </c>
      <c r="U198" s="23" t="str">
        <f>IF(A198="","",IF(IF(OR(DATE($B$3,6,20)&gt;EOMONTH(DATE($B$3,6,1),0),NETWORKDAYS.INTL(DATE($B$3,6,20),DATE($B$3,6,20),1,'Non-working days'!$A$6:$A$45)=0),"",IF(COUNTIFS('Leave log'!$A$7:$A$306,Employees!$A$27,'Leave log'!$B$7:$B$306,"&lt;="&amp;DATE($B$3,6,20),'Leave log'!$C$7:$C$306,"&gt;="&amp;DATE($B$3,6,20),'Leave log'!$F$7:$F$306,"Approved")&gt;0,"A",""))="A","A",IF(OR(DATE($B$3,6,20)&gt;EOMONTH(DATE($B$3,6,1),0),NETWORKDAYS.INTL(DATE($B$3,6,20),DATE($B$3,6,20),1,'Non-working days'!$A$6:$A$45)=0),"",IF(COUNTIFS('Leave log'!$A$7:$A$306,Employees!$A$27,'Leave log'!$B$7:$B$306,"&lt;="&amp;DATE($B$3,6,20),'Leave log'!$C$7:$C$306,"&gt;="&amp;DATE($B$3,6,20),'Leave log'!$F$7:$F$306,"Pending")&gt;0,"P",""))))</f>
        <v/>
      </c>
      <c r="V198" s="23" t="str">
        <f>IF(A198="","",IF(IF(OR(DATE($B$3,6,21)&gt;EOMONTH(DATE($B$3,6,1),0),NETWORKDAYS.INTL(DATE($B$3,6,21),DATE($B$3,6,21),1,'Non-working days'!$A$6:$A$45)=0),"",IF(COUNTIFS('Leave log'!$A$7:$A$306,Employees!$A$27,'Leave log'!$B$7:$B$306,"&lt;="&amp;DATE($B$3,6,21),'Leave log'!$C$7:$C$306,"&gt;="&amp;DATE($B$3,6,21),'Leave log'!$F$7:$F$306,"Approved")&gt;0,"A",""))="A","A",IF(OR(DATE($B$3,6,21)&gt;EOMONTH(DATE($B$3,6,1),0),NETWORKDAYS.INTL(DATE($B$3,6,21),DATE($B$3,6,21),1,'Non-working days'!$A$6:$A$45)=0),"",IF(COUNTIFS('Leave log'!$A$7:$A$306,Employees!$A$27,'Leave log'!$B$7:$B$306,"&lt;="&amp;DATE($B$3,6,21),'Leave log'!$C$7:$C$306,"&gt;="&amp;DATE($B$3,6,21),'Leave log'!$F$7:$F$306,"Pending")&gt;0,"P",""))))</f>
        <v/>
      </c>
      <c r="W198" s="23" t="str">
        <f>IF(A198="","",IF(IF(OR(DATE($B$3,6,22)&gt;EOMONTH(DATE($B$3,6,1),0),NETWORKDAYS.INTL(DATE($B$3,6,22),DATE($B$3,6,22),1,'Non-working days'!$A$6:$A$45)=0),"",IF(COUNTIFS('Leave log'!$A$7:$A$306,Employees!$A$27,'Leave log'!$B$7:$B$306,"&lt;="&amp;DATE($B$3,6,22),'Leave log'!$C$7:$C$306,"&gt;="&amp;DATE($B$3,6,22),'Leave log'!$F$7:$F$306,"Approved")&gt;0,"A",""))="A","A",IF(OR(DATE($B$3,6,22)&gt;EOMONTH(DATE($B$3,6,1),0),NETWORKDAYS.INTL(DATE($B$3,6,22),DATE($B$3,6,22),1,'Non-working days'!$A$6:$A$45)=0),"",IF(COUNTIFS('Leave log'!$A$7:$A$306,Employees!$A$27,'Leave log'!$B$7:$B$306,"&lt;="&amp;DATE($B$3,6,22),'Leave log'!$C$7:$C$306,"&gt;="&amp;DATE($B$3,6,22),'Leave log'!$F$7:$F$306,"Pending")&gt;0,"P",""))))</f>
        <v/>
      </c>
      <c r="X198" s="23" t="str">
        <f>IF(A198="","",IF(IF(OR(DATE($B$3,6,23)&gt;EOMONTH(DATE($B$3,6,1),0),NETWORKDAYS.INTL(DATE($B$3,6,23),DATE($B$3,6,23),1,'Non-working days'!$A$6:$A$45)=0),"",IF(COUNTIFS('Leave log'!$A$7:$A$306,Employees!$A$27,'Leave log'!$B$7:$B$306,"&lt;="&amp;DATE($B$3,6,23),'Leave log'!$C$7:$C$306,"&gt;="&amp;DATE($B$3,6,23),'Leave log'!$F$7:$F$306,"Approved")&gt;0,"A",""))="A","A",IF(OR(DATE($B$3,6,23)&gt;EOMONTH(DATE($B$3,6,1),0),NETWORKDAYS.INTL(DATE($B$3,6,23),DATE($B$3,6,23),1,'Non-working days'!$A$6:$A$45)=0),"",IF(COUNTIFS('Leave log'!$A$7:$A$306,Employees!$A$27,'Leave log'!$B$7:$B$306,"&lt;="&amp;DATE($B$3,6,23),'Leave log'!$C$7:$C$306,"&gt;="&amp;DATE($B$3,6,23),'Leave log'!$F$7:$F$306,"Pending")&gt;0,"P",""))))</f>
        <v/>
      </c>
      <c r="Y198" s="23" t="str">
        <f>IF(A198="","",IF(IF(OR(DATE($B$3,6,24)&gt;EOMONTH(DATE($B$3,6,1),0),NETWORKDAYS.INTL(DATE($B$3,6,24),DATE($B$3,6,24),1,'Non-working days'!$A$6:$A$45)=0),"",IF(COUNTIFS('Leave log'!$A$7:$A$306,Employees!$A$27,'Leave log'!$B$7:$B$306,"&lt;="&amp;DATE($B$3,6,24),'Leave log'!$C$7:$C$306,"&gt;="&amp;DATE($B$3,6,24),'Leave log'!$F$7:$F$306,"Approved")&gt;0,"A",""))="A","A",IF(OR(DATE($B$3,6,24)&gt;EOMONTH(DATE($B$3,6,1),0),NETWORKDAYS.INTL(DATE($B$3,6,24),DATE($B$3,6,24),1,'Non-working days'!$A$6:$A$45)=0),"",IF(COUNTIFS('Leave log'!$A$7:$A$306,Employees!$A$27,'Leave log'!$B$7:$B$306,"&lt;="&amp;DATE($B$3,6,24),'Leave log'!$C$7:$C$306,"&gt;="&amp;DATE($B$3,6,24),'Leave log'!$F$7:$F$306,"Pending")&gt;0,"P",""))))</f>
        <v/>
      </c>
      <c r="Z198" s="23" t="str">
        <f>IF(A198="","",IF(IF(OR(DATE($B$3,6,25)&gt;EOMONTH(DATE($B$3,6,1),0),NETWORKDAYS.INTL(DATE($B$3,6,25),DATE($B$3,6,25),1,'Non-working days'!$A$6:$A$45)=0),"",IF(COUNTIFS('Leave log'!$A$7:$A$306,Employees!$A$27,'Leave log'!$B$7:$B$306,"&lt;="&amp;DATE($B$3,6,25),'Leave log'!$C$7:$C$306,"&gt;="&amp;DATE($B$3,6,25),'Leave log'!$F$7:$F$306,"Approved")&gt;0,"A",""))="A","A",IF(OR(DATE($B$3,6,25)&gt;EOMONTH(DATE($B$3,6,1),0),NETWORKDAYS.INTL(DATE($B$3,6,25),DATE($B$3,6,25),1,'Non-working days'!$A$6:$A$45)=0),"",IF(COUNTIFS('Leave log'!$A$7:$A$306,Employees!$A$27,'Leave log'!$B$7:$B$306,"&lt;="&amp;DATE($B$3,6,25),'Leave log'!$C$7:$C$306,"&gt;="&amp;DATE($B$3,6,25),'Leave log'!$F$7:$F$306,"Pending")&gt;0,"P",""))))</f>
        <v/>
      </c>
      <c r="AA198" s="23" t="str">
        <f>IF(A198="","",IF(IF(OR(DATE($B$3,6,26)&gt;EOMONTH(DATE($B$3,6,1),0),NETWORKDAYS.INTL(DATE($B$3,6,26),DATE($B$3,6,26),1,'Non-working days'!$A$6:$A$45)=0),"",IF(COUNTIFS('Leave log'!$A$7:$A$306,Employees!$A$27,'Leave log'!$B$7:$B$306,"&lt;="&amp;DATE($B$3,6,26),'Leave log'!$C$7:$C$306,"&gt;="&amp;DATE($B$3,6,26),'Leave log'!$F$7:$F$306,"Approved")&gt;0,"A",""))="A","A",IF(OR(DATE($B$3,6,26)&gt;EOMONTH(DATE($B$3,6,1),0),NETWORKDAYS.INTL(DATE($B$3,6,26),DATE($B$3,6,26),1,'Non-working days'!$A$6:$A$45)=0),"",IF(COUNTIFS('Leave log'!$A$7:$A$306,Employees!$A$27,'Leave log'!$B$7:$B$306,"&lt;="&amp;DATE($B$3,6,26),'Leave log'!$C$7:$C$306,"&gt;="&amp;DATE($B$3,6,26),'Leave log'!$F$7:$F$306,"Pending")&gt;0,"P",""))))</f>
        <v/>
      </c>
      <c r="AB198" s="23" t="str">
        <f>IF(A198="","",IF(IF(OR(DATE($B$3,6,27)&gt;EOMONTH(DATE($B$3,6,1),0),NETWORKDAYS.INTL(DATE($B$3,6,27),DATE($B$3,6,27),1,'Non-working days'!$A$6:$A$45)=0),"",IF(COUNTIFS('Leave log'!$A$7:$A$306,Employees!$A$27,'Leave log'!$B$7:$B$306,"&lt;="&amp;DATE($B$3,6,27),'Leave log'!$C$7:$C$306,"&gt;="&amp;DATE($B$3,6,27),'Leave log'!$F$7:$F$306,"Approved")&gt;0,"A",""))="A","A",IF(OR(DATE($B$3,6,27)&gt;EOMONTH(DATE($B$3,6,1),0),NETWORKDAYS.INTL(DATE($B$3,6,27),DATE($B$3,6,27),1,'Non-working days'!$A$6:$A$45)=0),"",IF(COUNTIFS('Leave log'!$A$7:$A$306,Employees!$A$27,'Leave log'!$B$7:$B$306,"&lt;="&amp;DATE($B$3,6,27),'Leave log'!$C$7:$C$306,"&gt;="&amp;DATE($B$3,6,27),'Leave log'!$F$7:$F$306,"Pending")&gt;0,"P",""))))</f>
        <v/>
      </c>
      <c r="AC198" s="23" t="str">
        <f>IF(A198="","",IF(IF(OR(DATE($B$3,6,28)&gt;EOMONTH(DATE($B$3,6,1),0),NETWORKDAYS.INTL(DATE($B$3,6,28),DATE($B$3,6,28),1,'Non-working days'!$A$6:$A$45)=0),"",IF(COUNTIFS('Leave log'!$A$7:$A$306,Employees!$A$27,'Leave log'!$B$7:$B$306,"&lt;="&amp;DATE($B$3,6,28),'Leave log'!$C$7:$C$306,"&gt;="&amp;DATE($B$3,6,28),'Leave log'!$F$7:$F$306,"Approved")&gt;0,"A",""))="A","A",IF(OR(DATE($B$3,6,28)&gt;EOMONTH(DATE($B$3,6,1),0),NETWORKDAYS.INTL(DATE($B$3,6,28),DATE($B$3,6,28),1,'Non-working days'!$A$6:$A$45)=0),"",IF(COUNTIFS('Leave log'!$A$7:$A$306,Employees!$A$27,'Leave log'!$B$7:$B$306,"&lt;="&amp;DATE($B$3,6,28),'Leave log'!$C$7:$C$306,"&gt;="&amp;DATE($B$3,6,28),'Leave log'!$F$7:$F$306,"Pending")&gt;0,"P",""))))</f>
        <v/>
      </c>
      <c r="AD198" s="23" t="str">
        <f>IF(A198="","",IF(IF(OR(DATE($B$3,6,29)&gt;EOMONTH(DATE($B$3,6,1),0),NETWORKDAYS.INTL(DATE($B$3,6,29),DATE($B$3,6,29),1,'Non-working days'!$A$6:$A$45)=0),"",IF(COUNTIFS('Leave log'!$A$7:$A$306,Employees!$A$27,'Leave log'!$B$7:$B$306,"&lt;="&amp;DATE($B$3,6,29),'Leave log'!$C$7:$C$306,"&gt;="&amp;DATE($B$3,6,29),'Leave log'!$F$7:$F$306,"Approved")&gt;0,"A",""))="A","A",IF(OR(DATE($B$3,6,29)&gt;EOMONTH(DATE($B$3,6,1),0),NETWORKDAYS.INTL(DATE($B$3,6,29),DATE($B$3,6,29),1,'Non-working days'!$A$6:$A$45)=0),"",IF(COUNTIFS('Leave log'!$A$7:$A$306,Employees!$A$27,'Leave log'!$B$7:$B$306,"&lt;="&amp;DATE($B$3,6,29),'Leave log'!$C$7:$C$306,"&gt;="&amp;DATE($B$3,6,29),'Leave log'!$F$7:$F$306,"Pending")&gt;0,"P",""))))</f>
        <v/>
      </c>
      <c r="AE198" s="23" t="str">
        <f>IF(A198="","",IF(IF(OR(DATE($B$3,6,30)&gt;EOMONTH(DATE($B$3,6,1),0),NETWORKDAYS.INTL(DATE($B$3,6,30),DATE($B$3,6,30),1,'Non-working days'!$A$6:$A$45)=0),"",IF(COUNTIFS('Leave log'!$A$7:$A$306,Employees!$A$27,'Leave log'!$B$7:$B$306,"&lt;="&amp;DATE($B$3,6,30),'Leave log'!$C$7:$C$306,"&gt;="&amp;DATE($B$3,6,30),'Leave log'!$F$7:$F$306,"Approved")&gt;0,"A",""))="A","A",IF(OR(DATE($B$3,6,30)&gt;EOMONTH(DATE($B$3,6,1),0),NETWORKDAYS.INTL(DATE($B$3,6,30),DATE($B$3,6,30),1,'Non-working days'!$A$6:$A$45)=0),"",IF(COUNTIFS('Leave log'!$A$7:$A$306,Employees!$A$27,'Leave log'!$B$7:$B$306,"&lt;="&amp;DATE($B$3,6,30),'Leave log'!$C$7:$C$306,"&gt;="&amp;DATE($B$3,6,30),'Leave log'!$F$7:$F$306,"Pending")&gt;0,"P",""))))</f>
        <v/>
      </c>
      <c r="AF198" s="23" t="str">
        <f>IF(A198="","",IF(IF(OR(DATE($B$3,6,31)&gt;EOMONTH(DATE($B$3,6,1),0),NETWORKDAYS.INTL(DATE($B$3,6,31),DATE($B$3,6,31),1,'Non-working days'!$A$6:$A$45)=0),"",IF(COUNTIFS('Leave log'!$A$7:$A$306,Employees!$A$27,'Leave log'!$B$7:$B$306,"&lt;="&amp;DATE($B$3,6,31),'Leave log'!$C$7:$C$306,"&gt;="&amp;DATE($B$3,6,31),'Leave log'!$F$7:$F$306,"Approved")&gt;0,"A",""))="A","A",IF(OR(DATE($B$3,6,31)&gt;EOMONTH(DATE($B$3,6,1),0),NETWORKDAYS.INTL(DATE($B$3,6,31),DATE($B$3,6,31),1,'Non-working days'!$A$6:$A$45)=0),"",IF(COUNTIFS('Leave log'!$A$7:$A$306,Employees!$A$27,'Leave log'!$B$7:$B$306,"&lt;="&amp;DATE($B$3,6,31),'Leave log'!$C$7:$C$306,"&gt;="&amp;DATE($B$3,6,31),'Leave log'!$F$7:$F$306,"Pending")&gt;0,"P",""))))</f>
        <v/>
      </c>
    </row>
    <row r="199" spans="1:32" ht="18" customHeight="1" x14ac:dyDescent="0.3">
      <c r="A199" s="22" t="str">
        <f>IF(Employees!F28="Yes",Employees!B28,"")</f>
        <v/>
      </c>
      <c r="B199" s="23" t="str">
        <f>IF(A199="","",IF(IF(OR(DATE($B$3,6,1)&gt;EOMONTH(DATE($B$3,6,1),0),NETWORKDAYS.INTL(DATE($B$3,6,1),DATE($B$3,6,1),1,'Non-working days'!$A$6:$A$45)=0),"",IF(COUNTIFS('Leave log'!$A$7:$A$306,Employees!$A$28,'Leave log'!$B$7:$B$306,"&lt;="&amp;DATE($B$3,6,1),'Leave log'!$C$7:$C$306,"&gt;="&amp;DATE($B$3,6,1),'Leave log'!$F$7:$F$306,"Approved")&gt;0,"A",""))="A","A",IF(OR(DATE($B$3,6,1)&gt;EOMONTH(DATE($B$3,6,1),0),NETWORKDAYS.INTL(DATE($B$3,6,1),DATE($B$3,6,1),1,'Non-working days'!$A$6:$A$45)=0),"",IF(COUNTIFS('Leave log'!$A$7:$A$306,Employees!$A$28,'Leave log'!$B$7:$B$306,"&lt;="&amp;DATE($B$3,6,1),'Leave log'!$C$7:$C$306,"&gt;="&amp;DATE($B$3,6,1),'Leave log'!$F$7:$F$306,"Pending")&gt;0,"P",""))))</f>
        <v/>
      </c>
      <c r="C199" s="23" t="str">
        <f>IF(A199="","",IF(IF(OR(DATE($B$3,6,2)&gt;EOMONTH(DATE($B$3,6,1),0),NETWORKDAYS.INTL(DATE($B$3,6,2),DATE($B$3,6,2),1,'Non-working days'!$A$6:$A$45)=0),"",IF(COUNTIFS('Leave log'!$A$7:$A$306,Employees!$A$28,'Leave log'!$B$7:$B$306,"&lt;="&amp;DATE($B$3,6,2),'Leave log'!$C$7:$C$306,"&gt;="&amp;DATE($B$3,6,2),'Leave log'!$F$7:$F$306,"Approved")&gt;0,"A",""))="A","A",IF(OR(DATE($B$3,6,2)&gt;EOMONTH(DATE($B$3,6,1),0),NETWORKDAYS.INTL(DATE($B$3,6,2),DATE($B$3,6,2),1,'Non-working days'!$A$6:$A$45)=0),"",IF(COUNTIFS('Leave log'!$A$7:$A$306,Employees!$A$28,'Leave log'!$B$7:$B$306,"&lt;="&amp;DATE($B$3,6,2),'Leave log'!$C$7:$C$306,"&gt;="&amp;DATE($B$3,6,2),'Leave log'!$F$7:$F$306,"Pending")&gt;0,"P",""))))</f>
        <v/>
      </c>
      <c r="D199" s="23" t="str">
        <f>IF(A199="","",IF(IF(OR(DATE($B$3,6,3)&gt;EOMONTH(DATE($B$3,6,1),0),NETWORKDAYS.INTL(DATE($B$3,6,3),DATE($B$3,6,3),1,'Non-working days'!$A$6:$A$45)=0),"",IF(COUNTIFS('Leave log'!$A$7:$A$306,Employees!$A$28,'Leave log'!$B$7:$B$306,"&lt;="&amp;DATE($B$3,6,3),'Leave log'!$C$7:$C$306,"&gt;="&amp;DATE($B$3,6,3),'Leave log'!$F$7:$F$306,"Approved")&gt;0,"A",""))="A","A",IF(OR(DATE($B$3,6,3)&gt;EOMONTH(DATE($B$3,6,1),0),NETWORKDAYS.INTL(DATE($B$3,6,3),DATE($B$3,6,3),1,'Non-working days'!$A$6:$A$45)=0),"",IF(COUNTIFS('Leave log'!$A$7:$A$306,Employees!$A$28,'Leave log'!$B$7:$B$306,"&lt;="&amp;DATE($B$3,6,3),'Leave log'!$C$7:$C$306,"&gt;="&amp;DATE($B$3,6,3),'Leave log'!$F$7:$F$306,"Pending")&gt;0,"P",""))))</f>
        <v/>
      </c>
      <c r="E199" s="23" t="str">
        <f>IF(A199="","",IF(IF(OR(DATE($B$3,6,4)&gt;EOMONTH(DATE($B$3,6,1),0),NETWORKDAYS.INTL(DATE($B$3,6,4),DATE($B$3,6,4),1,'Non-working days'!$A$6:$A$45)=0),"",IF(COUNTIFS('Leave log'!$A$7:$A$306,Employees!$A$28,'Leave log'!$B$7:$B$306,"&lt;="&amp;DATE($B$3,6,4),'Leave log'!$C$7:$C$306,"&gt;="&amp;DATE($B$3,6,4),'Leave log'!$F$7:$F$306,"Approved")&gt;0,"A",""))="A","A",IF(OR(DATE($B$3,6,4)&gt;EOMONTH(DATE($B$3,6,1),0),NETWORKDAYS.INTL(DATE($B$3,6,4),DATE($B$3,6,4),1,'Non-working days'!$A$6:$A$45)=0),"",IF(COUNTIFS('Leave log'!$A$7:$A$306,Employees!$A$28,'Leave log'!$B$7:$B$306,"&lt;="&amp;DATE($B$3,6,4),'Leave log'!$C$7:$C$306,"&gt;="&amp;DATE($B$3,6,4),'Leave log'!$F$7:$F$306,"Pending")&gt;0,"P",""))))</f>
        <v/>
      </c>
      <c r="F199" s="23" t="str">
        <f>IF(A199="","",IF(IF(OR(DATE($B$3,6,5)&gt;EOMONTH(DATE($B$3,6,1),0),NETWORKDAYS.INTL(DATE($B$3,6,5),DATE($B$3,6,5),1,'Non-working days'!$A$6:$A$45)=0),"",IF(COUNTIFS('Leave log'!$A$7:$A$306,Employees!$A$28,'Leave log'!$B$7:$B$306,"&lt;="&amp;DATE($B$3,6,5),'Leave log'!$C$7:$C$306,"&gt;="&amp;DATE($B$3,6,5),'Leave log'!$F$7:$F$306,"Approved")&gt;0,"A",""))="A","A",IF(OR(DATE($B$3,6,5)&gt;EOMONTH(DATE($B$3,6,1),0),NETWORKDAYS.INTL(DATE($B$3,6,5),DATE($B$3,6,5),1,'Non-working days'!$A$6:$A$45)=0),"",IF(COUNTIFS('Leave log'!$A$7:$A$306,Employees!$A$28,'Leave log'!$B$7:$B$306,"&lt;="&amp;DATE($B$3,6,5),'Leave log'!$C$7:$C$306,"&gt;="&amp;DATE($B$3,6,5),'Leave log'!$F$7:$F$306,"Pending")&gt;0,"P",""))))</f>
        <v/>
      </c>
      <c r="G199" s="23" t="str">
        <f>IF(A199="","",IF(IF(OR(DATE($B$3,6,6)&gt;EOMONTH(DATE($B$3,6,1),0),NETWORKDAYS.INTL(DATE($B$3,6,6),DATE($B$3,6,6),1,'Non-working days'!$A$6:$A$45)=0),"",IF(COUNTIFS('Leave log'!$A$7:$A$306,Employees!$A$28,'Leave log'!$B$7:$B$306,"&lt;="&amp;DATE($B$3,6,6),'Leave log'!$C$7:$C$306,"&gt;="&amp;DATE($B$3,6,6),'Leave log'!$F$7:$F$306,"Approved")&gt;0,"A",""))="A","A",IF(OR(DATE($B$3,6,6)&gt;EOMONTH(DATE($B$3,6,1),0),NETWORKDAYS.INTL(DATE($B$3,6,6),DATE($B$3,6,6),1,'Non-working days'!$A$6:$A$45)=0),"",IF(COUNTIFS('Leave log'!$A$7:$A$306,Employees!$A$28,'Leave log'!$B$7:$B$306,"&lt;="&amp;DATE($B$3,6,6),'Leave log'!$C$7:$C$306,"&gt;="&amp;DATE($B$3,6,6),'Leave log'!$F$7:$F$306,"Pending")&gt;0,"P",""))))</f>
        <v/>
      </c>
      <c r="H199" s="23" t="str">
        <f>IF(A199="","",IF(IF(OR(DATE($B$3,6,7)&gt;EOMONTH(DATE($B$3,6,1),0),NETWORKDAYS.INTL(DATE($B$3,6,7),DATE($B$3,6,7),1,'Non-working days'!$A$6:$A$45)=0),"",IF(COUNTIFS('Leave log'!$A$7:$A$306,Employees!$A$28,'Leave log'!$B$7:$B$306,"&lt;="&amp;DATE($B$3,6,7),'Leave log'!$C$7:$C$306,"&gt;="&amp;DATE($B$3,6,7),'Leave log'!$F$7:$F$306,"Approved")&gt;0,"A",""))="A","A",IF(OR(DATE($B$3,6,7)&gt;EOMONTH(DATE($B$3,6,1),0),NETWORKDAYS.INTL(DATE($B$3,6,7),DATE($B$3,6,7),1,'Non-working days'!$A$6:$A$45)=0),"",IF(COUNTIFS('Leave log'!$A$7:$A$306,Employees!$A$28,'Leave log'!$B$7:$B$306,"&lt;="&amp;DATE($B$3,6,7),'Leave log'!$C$7:$C$306,"&gt;="&amp;DATE($B$3,6,7),'Leave log'!$F$7:$F$306,"Pending")&gt;0,"P",""))))</f>
        <v/>
      </c>
      <c r="I199" s="23" t="str">
        <f>IF(A199="","",IF(IF(OR(DATE($B$3,6,8)&gt;EOMONTH(DATE($B$3,6,1),0),NETWORKDAYS.INTL(DATE($B$3,6,8),DATE($B$3,6,8),1,'Non-working days'!$A$6:$A$45)=0),"",IF(COUNTIFS('Leave log'!$A$7:$A$306,Employees!$A$28,'Leave log'!$B$7:$B$306,"&lt;="&amp;DATE($B$3,6,8),'Leave log'!$C$7:$C$306,"&gt;="&amp;DATE($B$3,6,8),'Leave log'!$F$7:$F$306,"Approved")&gt;0,"A",""))="A","A",IF(OR(DATE($B$3,6,8)&gt;EOMONTH(DATE($B$3,6,1),0),NETWORKDAYS.INTL(DATE($B$3,6,8),DATE($B$3,6,8),1,'Non-working days'!$A$6:$A$45)=0),"",IF(COUNTIFS('Leave log'!$A$7:$A$306,Employees!$A$28,'Leave log'!$B$7:$B$306,"&lt;="&amp;DATE($B$3,6,8),'Leave log'!$C$7:$C$306,"&gt;="&amp;DATE($B$3,6,8),'Leave log'!$F$7:$F$306,"Pending")&gt;0,"P",""))))</f>
        <v/>
      </c>
      <c r="J199" s="23" t="str">
        <f>IF(A199="","",IF(IF(OR(DATE($B$3,6,9)&gt;EOMONTH(DATE($B$3,6,1),0),NETWORKDAYS.INTL(DATE($B$3,6,9),DATE($B$3,6,9),1,'Non-working days'!$A$6:$A$45)=0),"",IF(COUNTIFS('Leave log'!$A$7:$A$306,Employees!$A$28,'Leave log'!$B$7:$B$306,"&lt;="&amp;DATE($B$3,6,9),'Leave log'!$C$7:$C$306,"&gt;="&amp;DATE($B$3,6,9),'Leave log'!$F$7:$F$306,"Approved")&gt;0,"A",""))="A","A",IF(OR(DATE($B$3,6,9)&gt;EOMONTH(DATE($B$3,6,1),0),NETWORKDAYS.INTL(DATE($B$3,6,9),DATE($B$3,6,9),1,'Non-working days'!$A$6:$A$45)=0),"",IF(COUNTIFS('Leave log'!$A$7:$A$306,Employees!$A$28,'Leave log'!$B$7:$B$306,"&lt;="&amp;DATE($B$3,6,9),'Leave log'!$C$7:$C$306,"&gt;="&amp;DATE($B$3,6,9),'Leave log'!$F$7:$F$306,"Pending")&gt;0,"P",""))))</f>
        <v/>
      </c>
      <c r="K199" s="23" t="str">
        <f>IF(A199="","",IF(IF(OR(DATE($B$3,6,10)&gt;EOMONTH(DATE($B$3,6,1),0),NETWORKDAYS.INTL(DATE($B$3,6,10),DATE($B$3,6,10),1,'Non-working days'!$A$6:$A$45)=0),"",IF(COUNTIFS('Leave log'!$A$7:$A$306,Employees!$A$28,'Leave log'!$B$7:$B$306,"&lt;="&amp;DATE($B$3,6,10),'Leave log'!$C$7:$C$306,"&gt;="&amp;DATE($B$3,6,10),'Leave log'!$F$7:$F$306,"Approved")&gt;0,"A",""))="A","A",IF(OR(DATE($B$3,6,10)&gt;EOMONTH(DATE($B$3,6,1),0),NETWORKDAYS.INTL(DATE($B$3,6,10),DATE($B$3,6,10),1,'Non-working days'!$A$6:$A$45)=0),"",IF(COUNTIFS('Leave log'!$A$7:$A$306,Employees!$A$28,'Leave log'!$B$7:$B$306,"&lt;="&amp;DATE($B$3,6,10),'Leave log'!$C$7:$C$306,"&gt;="&amp;DATE($B$3,6,10),'Leave log'!$F$7:$F$306,"Pending")&gt;0,"P",""))))</f>
        <v/>
      </c>
      <c r="L199" s="23" t="str">
        <f>IF(A199="","",IF(IF(OR(DATE($B$3,6,11)&gt;EOMONTH(DATE($B$3,6,1),0),NETWORKDAYS.INTL(DATE($B$3,6,11),DATE($B$3,6,11),1,'Non-working days'!$A$6:$A$45)=0),"",IF(COUNTIFS('Leave log'!$A$7:$A$306,Employees!$A$28,'Leave log'!$B$7:$B$306,"&lt;="&amp;DATE($B$3,6,11),'Leave log'!$C$7:$C$306,"&gt;="&amp;DATE($B$3,6,11),'Leave log'!$F$7:$F$306,"Approved")&gt;0,"A",""))="A","A",IF(OR(DATE($B$3,6,11)&gt;EOMONTH(DATE($B$3,6,1),0),NETWORKDAYS.INTL(DATE($B$3,6,11),DATE($B$3,6,11),1,'Non-working days'!$A$6:$A$45)=0),"",IF(COUNTIFS('Leave log'!$A$7:$A$306,Employees!$A$28,'Leave log'!$B$7:$B$306,"&lt;="&amp;DATE($B$3,6,11),'Leave log'!$C$7:$C$306,"&gt;="&amp;DATE($B$3,6,11),'Leave log'!$F$7:$F$306,"Pending")&gt;0,"P",""))))</f>
        <v/>
      </c>
      <c r="M199" s="23" t="str">
        <f>IF(A199="","",IF(IF(OR(DATE($B$3,6,12)&gt;EOMONTH(DATE($B$3,6,1),0),NETWORKDAYS.INTL(DATE($B$3,6,12),DATE($B$3,6,12),1,'Non-working days'!$A$6:$A$45)=0),"",IF(COUNTIFS('Leave log'!$A$7:$A$306,Employees!$A$28,'Leave log'!$B$7:$B$306,"&lt;="&amp;DATE($B$3,6,12),'Leave log'!$C$7:$C$306,"&gt;="&amp;DATE($B$3,6,12),'Leave log'!$F$7:$F$306,"Approved")&gt;0,"A",""))="A","A",IF(OR(DATE($B$3,6,12)&gt;EOMONTH(DATE($B$3,6,1),0),NETWORKDAYS.INTL(DATE($B$3,6,12),DATE($B$3,6,12),1,'Non-working days'!$A$6:$A$45)=0),"",IF(COUNTIFS('Leave log'!$A$7:$A$306,Employees!$A$28,'Leave log'!$B$7:$B$306,"&lt;="&amp;DATE($B$3,6,12),'Leave log'!$C$7:$C$306,"&gt;="&amp;DATE($B$3,6,12),'Leave log'!$F$7:$F$306,"Pending")&gt;0,"P",""))))</f>
        <v/>
      </c>
      <c r="N199" s="23" t="str">
        <f>IF(A199="","",IF(IF(OR(DATE($B$3,6,13)&gt;EOMONTH(DATE($B$3,6,1),0),NETWORKDAYS.INTL(DATE($B$3,6,13),DATE($B$3,6,13),1,'Non-working days'!$A$6:$A$45)=0),"",IF(COUNTIFS('Leave log'!$A$7:$A$306,Employees!$A$28,'Leave log'!$B$7:$B$306,"&lt;="&amp;DATE($B$3,6,13),'Leave log'!$C$7:$C$306,"&gt;="&amp;DATE($B$3,6,13),'Leave log'!$F$7:$F$306,"Approved")&gt;0,"A",""))="A","A",IF(OR(DATE($B$3,6,13)&gt;EOMONTH(DATE($B$3,6,1),0),NETWORKDAYS.INTL(DATE($B$3,6,13),DATE($B$3,6,13),1,'Non-working days'!$A$6:$A$45)=0),"",IF(COUNTIFS('Leave log'!$A$7:$A$306,Employees!$A$28,'Leave log'!$B$7:$B$306,"&lt;="&amp;DATE($B$3,6,13),'Leave log'!$C$7:$C$306,"&gt;="&amp;DATE($B$3,6,13),'Leave log'!$F$7:$F$306,"Pending")&gt;0,"P",""))))</f>
        <v/>
      </c>
      <c r="O199" s="23" t="str">
        <f>IF(A199="","",IF(IF(OR(DATE($B$3,6,14)&gt;EOMONTH(DATE($B$3,6,1),0),NETWORKDAYS.INTL(DATE($B$3,6,14),DATE($B$3,6,14),1,'Non-working days'!$A$6:$A$45)=0),"",IF(COUNTIFS('Leave log'!$A$7:$A$306,Employees!$A$28,'Leave log'!$B$7:$B$306,"&lt;="&amp;DATE($B$3,6,14),'Leave log'!$C$7:$C$306,"&gt;="&amp;DATE($B$3,6,14),'Leave log'!$F$7:$F$306,"Approved")&gt;0,"A",""))="A","A",IF(OR(DATE($B$3,6,14)&gt;EOMONTH(DATE($B$3,6,1),0),NETWORKDAYS.INTL(DATE($B$3,6,14),DATE($B$3,6,14),1,'Non-working days'!$A$6:$A$45)=0),"",IF(COUNTIFS('Leave log'!$A$7:$A$306,Employees!$A$28,'Leave log'!$B$7:$B$306,"&lt;="&amp;DATE($B$3,6,14),'Leave log'!$C$7:$C$306,"&gt;="&amp;DATE($B$3,6,14),'Leave log'!$F$7:$F$306,"Pending")&gt;0,"P",""))))</f>
        <v/>
      </c>
      <c r="P199" s="23" t="str">
        <f>IF(A199="","",IF(IF(OR(DATE($B$3,6,15)&gt;EOMONTH(DATE($B$3,6,1),0),NETWORKDAYS.INTL(DATE($B$3,6,15),DATE($B$3,6,15),1,'Non-working days'!$A$6:$A$45)=0),"",IF(COUNTIFS('Leave log'!$A$7:$A$306,Employees!$A$28,'Leave log'!$B$7:$B$306,"&lt;="&amp;DATE($B$3,6,15),'Leave log'!$C$7:$C$306,"&gt;="&amp;DATE($B$3,6,15),'Leave log'!$F$7:$F$306,"Approved")&gt;0,"A",""))="A","A",IF(OR(DATE($B$3,6,15)&gt;EOMONTH(DATE($B$3,6,1),0),NETWORKDAYS.INTL(DATE($B$3,6,15),DATE($B$3,6,15),1,'Non-working days'!$A$6:$A$45)=0),"",IF(COUNTIFS('Leave log'!$A$7:$A$306,Employees!$A$28,'Leave log'!$B$7:$B$306,"&lt;="&amp;DATE($B$3,6,15),'Leave log'!$C$7:$C$306,"&gt;="&amp;DATE($B$3,6,15),'Leave log'!$F$7:$F$306,"Pending")&gt;0,"P",""))))</f>
        <v/>
      </c>
      <c r="Q199" s="23" t="str">
        <f>IF(A199="","",IF(IF(OR(DATE($B$3,6,16)&gt;EOMONTH(DATE($B$3,6,1),0),NETWORKDAYS.INTL(DATE($B$3,6,16),DATE($B$3,6,16),1,'Non-working days'!$A$6:$A$45)=0),"",IF(COUNTIFS('Leave log'!$A$7:$A$306,Employees!$A$28,'Leave log'!$B$7:$B$306,"&lt;="&amp;DATE($B$3,6,16),'Leave log'!$C$7:$C$306,"&gt;="&amp;DATE($B$3,6,16),'Leave log'!$F$7:$F$306,"Approved")&gt;0,"A",""))="A","A",IF(OR(DATE($B$3,6,16)&gt;EOMONTH(DATE($B$3,6,1),0),NETWORKDAYS.INTL(DATE($B$3,6,16),DATE($B$3,6,16),1,'Non-working days'!$A$6:$A$45)=0),"",IF(COUNTIFS('Leave log'!$A$7:$A$306,Employees!$A$28,'Leave log'!$B$7:$B$306,"&lt;="&amp;DATE($B$3,6,16),'Leave log'!$C$7:$C$306,"&gt;="&amp;DATE($B$3,6,16),'Leave log'!$F$7:$F$306,"Pending")&gt;0,"P",""))))</f>
        <v/>
      </c>
      <c r="R199" s="23" t="str">
        <f>IF(A199="","",IF(IF(OR(DATE($B$3,6,17)&gt;EOMONTH(DATE($B$3,6,1),0),NETWORKDAYS.INTL(DATE($B$3,6,17),DATE($B$3,6,17),1,'Non-working days'!$A$6:$A$45)=0),"",IF(COUNTIFS('Leave log'!$A$7:$A$306,Employees!$A$28,'Leave log'!$B$7:$B$306,"&lt;="&amp;DATE($B$3,6,17),'Leave log'!$C$7:$C$306,"&gt;="&amp;DATE($B$3,6,17),'Leave log'!$F$7:$F$306,"Approved")&gt;0,"A",""))="A","A",IF(OR(DATE($B$3,6,17)&gt;EOMONTH(DATE($B$3,6,1),0),NETWORKDAYS.INTL(DATE($B$3,6,17),DATE($B$3,6,17),1,'Non-working days'!$A$6:$A$45)=0),"",IF(COUNTIFS('Leave log'!$A$7:$A$306,Employees!$A$28,'Leave log'!$B$7:$B$306,"&lt;="&amp;DATE($B$3,6,17),'Leave log'!$C$7:$C$306,"&gt;="&amp;DATE($B$3,6,17),'Leave log'!$F$7:$F$306,"Pending")&gt;0,"P",""))))</f>
        <v/>
      </c>
      <c r="S199" s="23" t="str">
        <f>IF(A199="","",IF(IF(OR(DATE($B$3,6,18)&gt;EOMONTH(DATE($B$3,6,1),0),NETWORKDAYS.INTL(DATE($B$3,6,18),DATE($B$3,6,18),1,'Non-working days'!$A$6:$A$45)=0),"",IF(COUNTIFS('Leave log'!$A$7:$A$306,Employees!$A$28,'Leave log'!$B$7:$B$306,"&lt;="&amp;DATE($B$3,6,18),'Leave log'!$C$7:$C$306,"&gt;="&amp;DATE($B$3,6,18),'Leave log'!$F$7:$F$306,"Approved")&gt;0,"A",""))="A","A",IF(OR(DATE($B$3,6,18)&gt;EOMONTH(DATE($B$3,6,1),0),NETWORKDAYS.INTL(DATE($B$3,6,18),DATE($B$3,6,18),1,'Non-working days'!$A$6:$A$45)=0),"",IF(COUNTIFS('Leave log'!$A$7:$A$306,Employees!$A$28,'Leave log'!$B$7:$B$306,"&lt;="&amp;DATE($B$3,6,18),'Leave log'!$C$7:$C$306,"&gt;="&amp;DATE($B$3,6,18),'Leave log'!$F$7:$F$306,"Pending")&gt;0,"P",""))))</f>
        <v/>
      </c>
      <c r="T199" s="23" t="str">
        <f>IF(A199="","",IF(IF(OR(DATE($B$3,6,19)&gt;EOMONTH(DATE($B$3,6,1),0),NETWORKDAYS.INTL(DATE($B$3,6,19),DATE($B$3,6,19),1,'Non-working days'!$A$6:$A$45)=0),"",IF(COUNTIFS('Leave log'!$A$7:$A$306,Employees!$A$28,'Leave log'!$B$7:$B$306,"&lt;="&amp;DATE($B$3,6,19),'Leave log'!$C$7:$C$306,"&gt;="&amp;DATE($B$3,6,19),'Leave log'!$F$7:$F$306,"Approved")&gt;0,"A",""))="A","A",IF(OR(DATE($B$3,6,19)&gt;EOMONTH(DATE($B$3,6,1),0),NETWORKDAYS.INTL(DATE($B$3,6,19),DATE($B$3,6,19),1,'Non-working days'!$A$6:$A$45)=0),"",IF(COUNTIFS('Leave log'!$A$7:$A$306,Employees!$A$28,'Leave log'!$B$7:$B$306,"&lt;="&amp;DATE($B$3,6,19),'Leave log'!$C$7:$C$306,"&gt;="&amp;DATE($B$3,6,19),'Leave log'!$F$7:$F$306,"Pending")&gt;0,"P",""))))</f>
        <v/>
      </c>
      <c r="U199" s="23" t="str">
        <f>IF(A199="","",IF(IF(OR(DATE($B$3,6,20)&gt;EOMONTH(DATE($B$3,6,1),0),NETWORKDAYS.INTL(DATE($B$3,6,20),DATE($B$3,6,20),1,'Non-working days'!$A$6:$A$45)=0),"",IF(COUNTIFS('Leave log'!$A$7:$A$306,Employees!$A$28,'Leave log'!$B$7:$B$306,"&lt;="&amp;DATE($B$3,6,20),'Leave log'!$C$7:$C$306,"&gt;="&amp;DATE($B$3,6,20),'Leave log'!$F$7:$F$306,"Approved")&gt;0,"A",""))="A","A",IF(OR(DATE($B$3,6,20)&gt;EOMONTH(DATE($B$3,6,1),0),NETWORKDAYS.INTL(DATE($B$3,6,20),DATE($B$3,6,20),1,'Non-working days'!$A$6:$A$45)=0),"",IF(COUNTIFS('Leave log'!$A$7:$A$306,Employees!$A$28,'Leave log'!$B$7:$B$306,"&lt;="&amp;DATE($B$3,6,20),'Leave log'!$C$7:$C$306,"&gt;="&amp;DATE($B$3,6,20),'Leave log'!$F$7:$F$306,"Pending")&gt;0,"P",""))))</f>
        <v/>
      </c>
      <c r="V199" s="23" t="str">
        <f>IF(A199="","",IF(IF(OR(DATE($B$3,6,21)&gt;EOMONTH(DATE($B$3,6,1),0),NETWORKDAYS.INTL(DATE($B$3,6,21),DATE($B$3,6,21),1,'Non-working days'!$A$6:$A$45)=0),"",IF(COUNTIFS('Leave log'!$A$7:$A$306,Employees!$A$28,'Leave log'!$B$7:$B$306,"&lt;="&amp;DATE($B$3,6,21),'Leave log'!$C$7:$C$306,"&gt;="&amp;DATE($B$3,6,21),'Leave log'!$F$7:$F$306,"Approved")&gt;0,"A",""))="A","A",IF(OR(DATE($B$3,6,21)&gt;EOMONTH(DATE($B$3,6,1),0),NETWORKDAYS.INTL(DATE($B$3,6,21),DATE($B$3,6,21),1,'Non-working days'!$A$6:$A$45)=0),"",IF(COUNTIFS('Leave log'!$A$7:$A$306,Employees!$A$28,'Leave log'!$B$7:$B$306,"&lt;="&amp;DATE($B$3,6,21),'Leave log'!$C$7:$C$306,"&gt;="&amp;DATE($B$3,6,21),'Leave log'!$F$7:$F$306,"Pending")&gt;0,"P",""))))</f>
        <v/>
      </c>
      <c r="W199" s="23" t="str">
        <f>IF(A199="","",IF(IF(OR(DATE($B$3,6,22)&gt;EOMONTH(DATE($B$3,6,1),0),NETWORKDAYS.INTL(DATE($B$3,6,22),DATE($B$3,6,22),1,'Non-working days'!$A$6:$A$45)=0),"",IF(COUNTIFS('Leave log'!$A$7:$A$306,Employees!$A$28,'Leave log'!$B$7:$B$306,"&lt;="&amp;DATE($B$3,6,22),'Leave log'!$C$7:$C$306,"&gt;="&amp;DATE($B$3,6,22),'Leave log'!$F$7:$F$306,"Approved")&gt;0,"A",""))="A","A",IF(OR(DATE($B$3,6,22)&gt;EOMONTH(DATE($B$3,6,1),0),NETWORKDAYS.INTL(DATE($B$3,6,22),DATE($B$3,6,22),1,'Non-working days'!$A$6:$A$45)=0),"",IF(COUNTIFS('Leave log'!$A$7:$A$306,Employees!$A$28,'Leave log'!$B$7:$B$306,"&lt;="&amp;DATE($B$3,6,22),'Leave log'!$C$7:$C$306,"&gt;="&amp;DATE($B$3,6,22),'Leave log'!$F$7:$F$306,"Pending")&gt;0,"P",""))))</f>
        <v/>
      </c>
      <c r="X199" s="23" t="str">
        <f>IF(A199="","",IF(IF(OR(DATE($B$3,6,23)&gt;EOMONTH(DATE($B$3,6,1),0),NETWORKDAYS.INTL(DATE($B$3,6,23),DATE($B$3,6,23),1,'Non-working days'!$A$6:$A$45)=0),"",IF(COUNTIFS('Leave log'!$A$7:$A$306,Employees!$A$28,'Leave log'!$B$7:$B$306,"&lt;="&amp;DATE($B$3,6,23),'Leave log'!$C$7:$C$306,"&gt;="&amp;DATE($B$3,6,23),'Leave log'!$F$7:$F$306,"Approved")&gt;0,"A",""))="A","A",IF(OR(DATE($B$3,6,23)&gt;EOMONTH(DATE($B$3,6,1),0),NETWORKDAYS.INTL(DATE($B$3,6,23),DATE($B$3,6,23),1,'Non-working days'!$A$6:$A$45)=0),"",IF(COUNTIFS('Leave log'!$A$7:$A$306,Employees!$A$28,'Leave log'!$B$7:$B$306,"&lt;="&amp;DATE($B$3,6,23),'Leave log'!$C$7:$C$306,"&gt;="&amp;DATE($B$3,6,23),'Leave log'!$F$7:$F$306,"Pending")&gt;0,"P",""))))</f>
        <v/>
      </c>
      <c r="Y199" s="23" t="str">
        <f>IF(A199="","",IF(IF(OR(DATE($B$3,6,24)&gt;EOMONTH(DATE($B$3,6,1),0),NETWORKDAYS.INTL(DATE($B$3,6,24),DATE($B$3,6,24),1,'Non-working days'!$A$6:$A$45)=0),"",IF(COUNTIFS('Leave log'!$A$7:$A$306,Employees!$A$28,'Leave log'!$B$7:$B$306,"&lt;="&amp;DATE($B$3,6,24),'Leave log'!$C$7:$C$306,"&gt;="&amp;DATE($B$3,6,24),'Leave log'!$F$7:$F$306,"Approved")&gt;0,"A",""))="A","A",IF(OR(DATE($B$3,6,24)&gt;EOMONTH(DATE($B$3,6,1),0),NETWORKDAYS.INTL(DATE($B$3,6,24),DATE($B$3,6,24),1,'Non-working days'!$A$6:$A$45)=0),"",IF(COUNTIFS('Leave log'!$A$7:$A$306,Employees!$A$28,'Leave log'!$B$7:$B$306,"&lt;="&amp;DATE($B$3,6,24),'Leave log'!$C$7:$C$306,"&gt;="&amp;DATE($B$3,6,24),'Leave log'!$F$7:$F$306,"Pending")&gt;0,"P",""))))</f>
        <v/>
      </c>
      <c r="Z199" s="23" t="str">
        <f>IF(A199="","",IF(IF(OR(DATE($B$3,6,25)&gt;EOMONTH(DATE($B$3,6,1),0),NETWORKDAYS.INTL(DATE($B$3,6,25),DATE($B$3,6,25),1,'Non-working days'!$A$6:$A$45)=0),"",IF(COUNTIFS('Leave log'!$A$7:$A$306,Employees!$A$28,'Leave log'!$B$7:$B$306,"&lt;="&amp;DATE($B$3,6,25),'Leave log'!$C$7:$C$306,"&gt;="&amp;DATE($B$3,6,25),'Leave log'!$F$7:$F$306,"Approved")&gt;0,"A",""))="A","A",IF(OR(DATE($B$3,6,25)&gt;EOMONTH(DATE($B$3,6,1),0),NETWORKDAYS.INTL(DATE($B$3,6,25),DATE($B$3,6,25),1,'Non-working days'!$A$6:$A$45)=0),"",IF(COUNTIFS('Leave log'!$A$7:$A$306,Employees!$A$28,'Leave log'!$B$7:$B$306,"&lt;="&amp;DATE($B$3,6,25),'Leave log'!$C$7:$C$306,"&gt;="&amp;DATE($B$3,6,25),'Leave log'!$F$7:$F$306,"Pending")&gt;0,"P",""))))</f>
        <v/>
      </c>
      <c r="AA199" s="23" t="str">
        <f>IF(A199="","",IF(IF(OR(DATE($B$3,6,26)&gt;EOMONTH(DATE($B$3,6,1),0),NETWORKDAYS.INTL(DATE($B$3,6,26),DATE($B$3,6,26),1,'Non-working days'!$A$6:$A$45)=0),"",IF(COUNTIFS('Leave log'!$A$7:$A$306,Employees!$A$28,'Leave log'!$B$7:$B$306,"&lt;="&amp;DATE($B$3,6,26),'Leave log'!$C$7:$C$306,"&gt;="&amp;DATE($B$3,6,26),'Leave log'!$F$7:$F$306,"Approved")&gt;0,"A",""))="A","A",IF(OR(DATE($B$3,6,26)&gt;EOMONTH(DATE($B$3,6,1),0),NETWORKDAYS.INTL(DATE($B$3,6,26),DATE($B$3,6,26),1,'Non-working days'!$A$6:$A$45)=0),"",IF(COUNTIFS('Leave log'!$A$7:$A$306,Employees!$A$28,'Leave log'!$B$7:$B$306,"&lt;="&amp;DATE($B$3,6,26),'Leave log'!$C$7:$C$306,"&gt;="&amp;DATE($B$3,6,26),'Leave log'!$F$7:$F$306,"Pending")&gt;0,"P",""))))</f>
        <v/>
      </c>
      <c r="AB199" s="23" t="str">
        <f>IF(A199="","",IF(IF(OR(DATE($B$3,6,27)&gt;EOMONTH(DATE($B$3,6,1),0),NETWORKDAYS.INTL(DATE($B$3,6,27),DATE($B$3,6,27),1,'Non-working days'!$A$6:$A$45)=0),"",IF(COUNTIFS('Leave log'!$A$7:$A$306,Employees!$A$28,'Leave log'!$B$7:$B$306,"&lt;="&amp;DATE($B$3,6,27),'Leave log'!$C$7:$C$306,"&gt;="&amp;DATE($B$3,6,27),'Leave log'!$F$7:$F$306,"Approved")&gt;0,"A",""))="A","A",IF(OR(DATE($B$3,6,27)&gt;EOMONTH(DATE($B$3,6,1),0),NETWORKDAYS.INTL(DATE($B$3,6,27),DATE($B$3,6,27),1,'Non-working days'!$A$6:$A$45)=0),"",IF(COUNTIFS('Leave log'!$A$7:$A$306,Employees!$A$28,'Leave log'!$B$7:$B$306,"&lt;="&amp;DATE($B$3,6,27),'Leave log'!$C$7:$C$306,"&gt;="&amp;DATE($B$3,6,27),'Leave log'!$F$7:$F$306,"Pending")&gt;0,"P",""))))</f>
        <v/>
      </c>
      <c r="AC199" s="23" t="str">
        <f>IF(A199="","",IF(IF(OR(DATE($B$3,6,28)&gt;EOMONTH(DATE($B$3,6,1),0),NETWORKDAYS.INTL(DATE($B$3,6,28),DATE($B$3,6,28),1,'Non-working days'!$A$6:$A$45)=0),"",IF(COUNTIFS('Leave log'!$A$7:$A$306,Employees!$A$28,'Leave log'!$B$7:$B$306,"&lt;="&amp;DATE($B$3,6,28),'Leave log'!$C$7:$C$306,"&gt;="&amp;DATE($B$3,6,28),'Leave log'!$F$7:$F$306,"Approved")&gt;0,"A",""))="A","A",IF(OR(DATE($B$3,6,28)&gt;EOMONTH(DATE($B$3,6,1),0),NETWORKDAYS.INTL(DATE($B$3,6,28),DATE($B$3,6,28),1,'Non-working days'!$A$6:$A$45)=0),"",IF(COUNTIFS('Leave log'!$A$7:$A$306,Employees!$A$28,'Leave log'!$B$7:$B$306,"&lt;="&amp;DATE($B$3,6,28),'Leave log'!$C$7:$C$306,"&gt;="&amp;DATE($B$3,6,28),'Leave log'!$F$7:$F$306,"Pending")&gt;0,"P",""))))</f>
        <v/>
      </c>
      <c r="AD199" s="23" t="str">
        <f>IF(A199="","",IF(IF(OR(DATE($B$3,6,29)&gt;EOMONTH(DATE($B$3,6,1),0),NETWORKDAYS.INTL(DATE($B$3,6,29),DATE($B$3,6,29),1,'Non-working days'!$A$6:$A$45)=0),"",IF(COUNTIFS('Leave log'!$A$7:$A$306,Employees!$A$28,'Leave log'!$B$7:$B$306,"&lt;="&amp;DATE($B$3,6,29),'Leave log'!$C$7:$C$306,"&gt;="&amp;DATE($B$3,6,29),'Leave log'!$F$7:$F$306,"Approved")&gt;0,"A",""))="A","A",IF(OR(DATE($B$3,6,29)&gt;EOMONTH(DATE($B$3,6,1),0),NETWORKDAYS.INTL(DATE($B$3,6,29),DATE($B$3,6,29),1,'Non-working days'!$A$6:$A$45)=0),"",IF(COUNTIFS('Leave log'!$A$7:$A$306,Employees!$A$28,'Leave log'!$B$7:$B$306,"&lt;="&amp;DATE($B$3,6,29),'Leave log'!$C$7:$C$306,"&gt;="&amp;DATE($B$3,6,29),'Leave log'!$F$7:$F$306,"Pending")&gt;0,"P",""))))</f>
        <v/>
      </c>
      <c r="AE199" s="23" t="str">
        <f>IF(A199="","",IF(IF(OR(DATE($B$3,6,30)&gt;EOMONTH(DATE($B$3,6,1),0),NETWORKDAYS.INTL(DATE($B$3,6,30),DATE($B$3,6,30),1,'Non-working days'!$A$6:$A$45)=0),"",IF(COUNTIFS('Leave log'!$A$7:$A$306,Employees!$A$28,'Leave log'!$B$7:$B$306,"&lt;="&amp;DATE($B$3,6,30),'Leave log'!$C$7:$C$306,"&gt;="&amp;DATE($B$3,6,30),'Leave log'!$F$7:$F$306,"Approved")&gt;0,"A",""))="A","A",IF(OR(DATE($B$3,6,30)&gt;EOMONTH(DATE($B$3,6,1),0),NETWORKDAYS.INTL(DATE($B$3,6,30),DATE($B$3,6,30),1,'Non-working days'!$A$6:$A$45)=0),"",IF(COUNTIFS('Leave log'!$A$7:$A$306,Employees!$A$28,'Leave log'!$B$7:$B$306,"&lt;="&amp;DATE($B$3,6,30),'Leave log'!$C$7:$C$306,"&gt;="&amp;DATE($B$3,6,30),'Leave log'!$F$7:$F$306,"Pending")&gt;0,"P",""))))</f>
        <v/>
      </c>
      <c r="AF199" s="23" t="str">
        <f>IF(A199="","",IF(IF(OR(DATE($B$3,6,31)&gt;EOMONTH(DATE($B$3,6,1),0),NETWORKDAYS.INTL(DATE($B$3,6,31),DATE($B$3,6,31),1,'Non-working days'!$A$6:$A$45)=0),"",IF(COUNTIFS('Leave log'!$A$7:$A$306,Employees!$A$28,'Leave log'!$B$7:$B$306,"&lt;="&amp;DATE($B$3,6,31),'Leave log'!$C$7:$C$306,"&gt;="&amp;DATE($B$3,6,31),'Leave log'!$F$7:$F$306,"Approved")&gt;0,"A",""))="A","A",IF(OR(DATE($B$3,6,31)&gt;EOMONTH(DATE($B$3,6,1),0),NETWORKDAYS.INTL(DATE($B$3,6,31),DATE($B$3,6,31),1,'Non-working days'!$A$6:$A$45)=0),"",IF(COUNTIFS('Leave log'!$A$7:$A$306,Employees!$A$28,'Leave log'!$B$7:$B$306,"&lt;="&amp;DATE($B$3,6,31),'Leave log'!$C$7:$C$306,"&gt;="&amp;DATE($B$3,6,31),'Leave log'!$F$7:$F$306,"Pending")&gt;0,"P",""))))</f>
        <v/>
      </c>
    </row>
    <row r="200" spans="1:32" ht="18" customHeight="1" x14ac:dyDescent="0.3">
      <c r="A200" s="22" t="str">
        <f>IF(Employees!F29="Yes",Employees!B29,"")</f>
        <v/>
      </c>
      <c r="B200" s="23" t="str">
        <f>IF(A200="","",IF(IF(OR(DATE($B$3,6,1)&gt;EOMONTH(DATE($B$3,6,1),0),NETWORKDAYS.INTL(DATE($B$3,6,1),DATE($B$3,6,1),1,'Non-working days'!$A$6:$A$45)=0),"",IF(COUNTIFS('Leave log'!$A$7:$A$306,Employees!$A$29,'Leave log'!$B$7:$B$306,"&lt;="&amp;DATE($B$3,6,1),'Leave log'!$C$7:$C$306,"&gt;="&amp;DATE($B$3,6,1),'Leave log'!$F$7:$F$306,"Approved")&gt;0,"A",""))="A","A",IF(OR(DATE($B$3,6,1)&gt;EOMONTH(DATE($B$3,6,1),0),NETWORKDAYS.INTL(DATE($B$3,6,1),DATE($B$3,6,1),1,'Non-working days'!$A$6:$A$45)=0),"",IF(COUNTIFS('Leave log'!$A$7:$A$306,Employees!$A$29,'Leave log'!$B$7:$B$306,"&lt;="&amp;DATE($B$3,6,1),'Leave log'!$C$7:$C$306,"&gt;="&amp;DATE($B$3,6,1),'Leave log'!$F$7:$F$306,"Pending")&gt;0,"P",""))))</f>
        <v/>
      </c>
      <c r="C200" s="23" t="str">
        <f>IF(A200="","",IF(IF(OR(DATE($B$3,6,2)&gt;EOMONTH(DATE($B$3,6,1),0),NETWORKDAYS.INTL(DATE($B$3,6,2),DATE($B$3,6,2),1,'Non-working days'!$A$6:$A$45)=0),"",IF(COUNTIFS('Leave log'!$A$7:$A$306,Employees!$A$29,'Leave log'!$B$7:$B$306,"&lt;="&amp;DATE($B$3,6,2),'Leave log'!$C$7:$C$306,"&gt;="&amp;DATE($B$3,6,2),'Leave log'!$F$7:$F$306,"Approved")&gt;0,"A",""))="A","A",IF(OR(DATE($B$3,6,2)&gt;EOMONTH(DATE($B$3,6,1),0),NETWORKDAYS.INTL(DATE($B$3,6,2),DATE($B$3,6,2),1,'Non-working days'!$A$6:$A$45)=0),"",IF(COUNTIFS('Leave log'!$A$7:$A$306,Employees!$A$29,'Leave log'!$B$7:$B$306,"&lt;="&amp;DATE($B$3,6,2),'Leave log'!$C$7:$C$306,"&gt;="&amp;DATE($B$3,6,2),'Leave log'!$F$7:$F$306,"Pending")&gt;0,"P",""))))</f>
        <v/>
      </c>
      <c r="D200" s="23" t="str">
        <f>IF(A200="","",IF(IF(OR(DATE($B$3,6,3)&gt;EOMONTH(DATE($B$3,6,1),0),NETWORKDAYS.INTL(DATE($B$3,6,3),DATE($B$3,6,3),1,'Non-working days'!$A$6:$A$45)=0),"",IF(COUNTIFS('Leave log'!$A$7:$A$306,Employees!$A$29,'Leave log'!$B$7:$B$306,"&lt;="&amp;DATE($B$3,6,3),'Leave log'!$C$7:$C$306,"&gt;="&amp;DATE($B$3,6,3),'Leave log'!$F$7:$F$306,"Approved")&gt;0,"A",""))="A","A",IF(OR(DATE($B$3,6,3)&gt;EOMONTH(DATE($B$3,6,1),0),NETWORKDAYS.INTL(DATE($B$3,6,3),DATE($B$3,6,3),1,'Non-working days'!$A$6:$A$45)=0),"",IF(COUNTIFS('Leave log'!$A$7:$A$306,Employees!$A$29,'Leave log'!$B$7:$B$306,"&lt;="&amp;DATE($B$3,6,3),'Leave log'!$C$7:$C$306,"&gt;="&amp;DATE($B$3,6,3),'Leave log'!$F$7:$F$306,"Pending")&gt;0,"P",""))))</f>
        <v/>
      </c>
      <c r="E200" s="23" t="str">
        <f>IF(A200="","",IF(IF(OR(DATE($B$3,6,4)&gt;EOMONTH(DATE($B$3,6,1),0),NETWORKDAYS.INTL(DATE($B$3,6,4),DATE($B$3,6,4),1,'Non-working days'!$A$6:$A$45)=0),"",IF(COUNTIFS('Leave log'!$A$7:$A$306,Employees!$A$29,'Leave log'!$B$7:$B$306,"&lt;="&amp;DATE($B$3,6,4),'Leave log'!$C$7:$C$306,"&gt;="&amp;DATE($B$3,6,4),'Leave log'!$F$7:$F$306,"Approved")&gt;0,"A",""))="A","A",IF(OR(DATE($B$3,6,4)&gt;EOMONTH(DATE($B$3,6,1),0),NETWORKDAYS.INTL(DATE($B$3,6,4),DATE($B$3,6,4),1,'Non-working days'!$A$6:$A$45)=0),"",IF(COUNTIFS('Leave log'!$A$7:$A$306,Employees!$A$29,'Leave log'!$B$7:$B$306,"&lt;="&amp;DATE($B$3,6,4),'Leave log'!$C$7:$C$306,"&gt;="&amp;DATE($B$3,6,4),'Leave log'!$F$7:$F$306,"Pending")&gt;0,"P",""))))</f>
        <v/>
      </c>
      <c r="F200" s="23" t="str">
        <f>IF(A200="","",IF(IF(OR(DATE($B$3,6,5)&gt;EOMONTH(DATE($B$3,6,1),0),NETWORKDAYS.INTL(DATE($B$3,6,5),DATE($B$3,6,5),1,'Non-working days'!$A$6:$A$45)=0),"",IF(COUNTIFS('Leave log'!$A$7:$A$306,Employees!$A$29,'Leave log'!$B$7:$B$306,"&lt;="&amp;DATE($B$3,6,5),'Leave log'!$C$7:$C$306,"&gt;="&amp;DATE($B$3,6,5),'Leave log'!$F$7:$F$306,"Approved")&gt;0,"A",""))="A","A",IF(OR(DATE($B$3,6,5)&gt;EOMONTH(DATE($B$3,6,1),0),NETWORKDAYS.INTL(DATE($B$3,6,5),DATE($B$3,6,5),1,'Non-working days'!$A$6:$A$45)=0),"",IF(COUNTIFS('Leave log'!$A$7:$A$306,Employees!$A$29,'Leave log'!$B$7:$B$306,"&lt;="&amp;DATE($B$3,6,5),'Leave log'!$C$7:$C$306,"&gt;="&amp;DATE($B$3,6,5),'Leave log'!$F$7:$F$306,"Pending")&gt;0,"P",""))))</f>
        <v/>
      </c>
      <c r="G200" s="23" t="str">
        <f>IF(A200="","",IF(IF(OR(DATE($B$3,6,6)&gt;EOMONTH(DATE($B$3,6,1),0),NETWORKDAYS.INTL(DATE($B$3,6,6),DATE($B$3,6,6),1,'Non-working days'!$A$6:$A$45)=0),"",IF(COUNTIFS('Leave log'!$A$7:$A$306,Employees!$A$29,'Leave log'!$B$7:$B$306,"&lt;="&amp;DATE($B$3,6,6),'Leave log'!$C$7:$C$306,"&gt;="&amp;DATE($B$3,6,6),'Leave log'!$F$7:$F$306,"Approved")&gt;0,"A",""))="A","A",IF(OR(DATE($B$3,6,6)&gt;EOMONTH(DATE($B$3,6,1),0),NETWORKDAYS.INTL(DATE($B$3,6,6),DATE($B$3,6,6),1,'Non-working days'!$A$6:$A$45)=0),"",IF(COUNTIFS('Leave log'!$A$7:$A$306,Employees!$A$29,'Leave log'!$B$7:$B$306,"&lt;="&amp;DATE($B$3,6,6),'Leave log'!$C$7:$C$306,"&gt;="&amp;DATE($B$3,6,6),'Leave log'!$F$7:$F$306,"Pending")&gt;0,"P",""))))</f>
        <v/>
      </c>
      <c r="H200" s="23" t="str">
        <f>IF(A200="","",IF(IF(OR(DATE($B$3,6,7)&gt;EOMONTH(DATE($B$3,6,1),0),NETWORKDAYS.INTL(DATE($B$3,6,7),DATE($B$3,6,7),1,'Non-working days'!$A$6:$A$45)=0),"",IF(COUNTIFS('Leave log'!$A$7:$A$306,Employees!$A$29,'Leave log'!$B$7:$B$306,"&lt;="&amp;DATE($B$3,6,7),'Leave log'!$C$7:$C$306,"&gt;="&amp;DATE($B$3,6,7),'Leave log'!$F$7:$F$306,"Approved")&gt;0,"A",""))="A","A",IF(OR(DATE($B$3,6,7)&gt;EOMONTH(DATE($B$3,6,1),0),NETWORKDAYS.INTL(DATE($B$3,6,7),DATE($B$3,6,7),1,'Non-working days'!$A$6:$A$45)=0),"",IF(COUNTIFS('Leave log'!$A$7:$A$306,Employees!$A$29,'Leave log'!$B$7:$B$306,"&lt;="&amp;DATE($B$3,6,7),'Leave log'!$C$7:$C$306,"&gt;="&amp;DATE($B$3,6,7),'Leave log'!$F$7:$F$306,"Pending")&gt;0,"P",""))))</f>
        <v/>
      </c>
      <c r="I200" s="23" t="str">
        <f>IF(A200="","",IF(IF(OR(DATE($B$3,6,8)&gt;EOMONTH(DATE($B$3,6,1),0),NETWORKDAYS.INTL(DATE($B$3,6,8),DATE($B$3,6,8),1,'Non-working days'!$A$6:$A$45)=0),"",IF(COUNTIFS('Leave log'!$A$7:$A$306,Employees!$A$29,'Leave log'!$B$7:$B$306,"&lt;="&amp;DATE($B$3,6,8),'Leave log'!$C$7:$C$306,"&gt;="&amp;DATE($B$3,6,8),'Leave log'!$F$7:$F$306,"Approved")&gt;0,"A",""))="A","A",IF(OR(DATE($B$3,6,8)&gt;EOMONTH(DATE($B$3,6,1),0),NETWORKDAYS.INTL(DATE($B$3,6,8),DATE($B$3,6,8),1,'Non-working days'!$A$6:$A$45)=0),"",IF(COUNTIFS('Leave log'!$A$7:$A$306,Employees!$A$29,'Leave log'!$B$7:$B$306,"&lt;="&amp;DATE($B$3,6,8),'Leave log'!$C$7:$C$306,"&gt;="&amp;DATE($B$3,6,8),'Leave log'!$F$7:$F$306,"Pending")&gt;0,"P",""))))</f>
        <v/>
      </c>
      <c r="J200" s="23" t="str">
        <f>IF(A200="","",IF(IF(OR(DATE($B$3,6,9)&gt;EOMONTH(DATE($B$3,6,1),0),NETWORKDAYS.INTL(DATE($B$3,6,9),DATE($B$3,6,9),1,'Non-working days'!$A$6:$A$45)=0),"",IF(COUNTIFS('Leave log'!$A$7:$A$306,Employees!$A$29,'Leave log'!$B$7:$B$306,"&lt;="&amp;DATE($B$3,6,9),'Leave log'!$C$7:$C$306,"&gt;="&amp;DATE($B$3,6,9),'Leave log'!$F$7:$F$306,"Approved")&gt;0,"A",""))="A","A",IF(OR(DATE($B$3,6,9)&gt;EOMONTH(DATE($B$3,6,1),0),NETWORKDAYS.INTL(DATE($B$3,6,9),DATE($B$3,6,9),1,'Non-working days'!$A$6:$A$45)=0),"",IF(COUNTIFS('Leave log'!$A$7:$A$306,Employees!$A$29,'Leave log'!$B$7:$B$306,"&lt;="&amp;DATE($B$3,6,9),'Leave log'!$C$7:$C$306,"&gt;="&amp;DATE($B$3,6,9),'Leave log'!$F$7:$F$306,"Pending")&gt;0,"P",""))))</f>
        <v/>
      </c>
      <c r="K200" s="23" t="str">
        <f>IF(A200="","",IF(IF(OR(DATE($B$3,6,10)&gt;EOMONTH(DATE($B$3,6,1),0),NETWORKDAYS.INTL(DATE($B$3,6,10),DATE($B$3,6,10),1,'Non-working days'!$A$6:$A$45)=0),"",IF(COUNTIFS('Leave log'!$A$7:$A$306,Employees!$A$29,'Leave log'!$B$7:$B$306,"&lt;="&amp;DATE($B$3,6,10),'Leave log'!$C$7:$C$306,"&gt;="&amp;DATE($B$3,6,10),'Leave log'!$F$7:$F$306,"Approved")&gt;0,"A",""))="A","A",IF(OR(DATE($B$3,6,10)&gt;EOMONTH(DATE($B$3,6,1),0),NETWORKDAYS.INTL(DATE($B$3,6,10),DATE($B$3,6,10),1,'Non-working days'!$A$6:$A$45)=0),"",IF(COUNTIFS('Leave log'!$A$7:$A$306,Employees!$A$29,'Leave log'!$B$7:$B$306,"&lt;="&amp;DATE($B$3,6,10),'Leave log'!$C$7:$C$306,"&gt;="&amp;DATE($B$3,6,10),'Leave log'!$F$7:$F$306,"Pending")&gt;0,"P",""))))</f>
        <v/>
      </c>
      <c r="L200" s="23" t="str">
        <f>IF(A200="","",IF(IF(OR(DATE($B$3,6,11)&gt;EOMONTH(DATE($B$3,6,1),0),NETWORKDAYS.INTL(DATE($B$3,6,11),DATE($B$3,6,11),1,'Non-working days'!$A$6:$A$45)=0),"",IF(COUNTIFS('Leave log'!$A$7:$A$306,Employees!$A$29,'Leave log'!$B$7:$B$306,"&lt;="&amp;DATE($B$3,6,11),'Leave log'!$C$7:$C$306,"&gt;="&amp;DATE($B$3,6,11),'Leave log'!$F$7:$F$306,"Approved")&gt;0,"A",""))="A","A",IF(OR(DATE($B$3,6,11)&gt;EOMONTH(DATE($B$3,6,1),0),NETWORKDAYS.INTL(DATE($B$3,6,11),DATE($B$3,6,11),1,'Non-working days'!$A$6:$A$45)=0),"",IF(COUNTIFS('Leave log'!$A$7:$A$306,Employees!$A$29,'Leave log'!$B$7:$B$306,"&lt;="&amp;DATE($B$3,6,11),'Leave log'!$C$7:$C$306,"&gt;="&amp;DATE($B$3,6,11),'Leave log'!$F$7:$F$306,"Pending")&gt;0,"P",""))))</f>
        <v/>
      </c>
      <c r="M200" s="23" t="str">
        <f>IF(A200="","",IF(IF(OR(DATE($B$3,6,12)&gt;EOMONTH(DATE($B$3,6,1),0),NETWORKDAYS.INTL(DATE($B$3,6,12),DATE($B$3,6,12),1,'Non-working days'!$A$6:$A$45)=0),"",IF(COUNTIFS('Leave log'!$A$7:$A$306,Employees!$A$29,'Leave log'!$B$7:$B$306,"&lt;="&amp;DATE($B$3,6,12),'Leave log'!$C$7:$C$306,"&gt;="&amp;DATE($B$3,6,12),'Leave log'!$F$7:$F$306,"Approved")&gt;0,"A",""))="A","A",IF(OR(DATE($B$3,6,12)&gt;EOMONTH(DATE($B$3,6,1),0),NETWORKDAYS.INTL(DATE($B$3,6,12),DATE($B$3,6,12),1,'Non-working days'!$A$6:$A$45)=0),"",IF(COUNTIFS('Leave log'!$A$7:$A$306,Employees!$A$29,'Leave log'!$B$7:$B$306,"&lt;="&amp;DATE($B$3,6,12),'Leave log'!$C$7:$C$306,"&gt;="&amp;DATE($B$3,6,12),'Leave log'!$F$7:$F$306,"Pending")&gt;0,"P",""))))</f>
        <v/>
      </c>
      <c r="N200" s="23" t="str">
        <f>IF(A200="","",IF(IF(OR(DATE($B$3,6,13)&gt;EOMONTH(DATE($B$3,6,1),0),NETWORKDAYS.INTL(DATE($B$3,6,13),DATE($B$3,6,13),1,'Non-working days'!$A$6:$A$45)=0),"",IF(COUNTIFS('Leave log'!$A$7:$A$306,Employees!$A$29,'Leave log'!$B$7:$B$306,"&lt;="&amp;DATE($B$3,6,13),'Leave log'!$C$7:$C$306,"&gt;="&amp;DATE($B$3,6,13),'Leave log'!$F$7:$F$306,"Approved")&gt;0,"A",""))="A","A",IF(OR(DATE($B$3,6,13)&gt;EOMONTH(DATE($B$3,6,1),0),NETWORKDAYS.INTL(DATE($B$3,6,13),DATE($B$3,6,13),1,'Non-working days'!$A$6:$A$45)=0),"",IF(COUNTIFS('Leave log'!$A$7:$A$306,Employees!$A$29,'Leave log'!$B$7:$B$306,"&lt;="&amp;DATE($B$3,6,13),'Leave log'!$C$7:$C$306,"&gt;="&amp;DATE($B$3,6,13),'Leave log'!$F$7:$F$306,"Pending")&gt;0,"P",""))))</f>
        <v/>
      </c>
      <c r="O200" s="23" t="str">
        <f>IF(A200="","",IF(IF(OR(DATE($B$3,6,14)&gt;EOMONTH(DATE($B$3,6,1),0),NETWORKDAYS.INTL(DATE($B$3,6,14),DATE($B$3,6,14),1,'Non-working days'!$A$6:$A$45)=0),"",IF(COUNTIFS('Leave log'!$A$7:$A$306,Employees!$A$29,'Leave log'!$B$7:$B$306,"&lt;="&amp;DATE($B$3,6,14),'Leave log'!$C$7:$C$306,"&gt;="&amp;DATE($B$3,6,14),'Leave log'!$F$7:$F$306,"Approved")&gt;0,"A",""))="A","A",IF(OR(DATE($B$3,6,14)&gt;EOMONTH(DATE($B$3,6,1),0),NETWORKDAYS.INTL(DATE($B$3,6,14),DATE($B$3,6,14),1,'Non-working days'!$A$6:$A$45)=0),"",IF(COUNTIFS('Leave log'!$A$7:$A$306,Employees!$A$29,'Leave log'!$B$7:$B$306,"&lt;="&amp;DATE($B$3,6,14),'Leave log'!$C$7:$C$306,"&gt;="&amp;DATE($B$3,6,14),'Leave log'!$F$7:$F$306,"Pending")&gt;0,"P",""))))</f>
        <v/>
      </c>
      <c r="P200" s="23" t="str">
        <f>IF(A200="","",IF(IF(OR(DATE($B$3,6,15)&gt;EOMONTH(DATE($B$3,6,1),0),NETWORKDAYS.INTL(DATE($B$3,6,15),DATE($B$3,6,15),1,'Non-working days'!$A$6:$A$45)=0),"",IF(COUNTIFS('Leave log'!$A$7:$A$306,Employees!$A$29,'Leave log'!$B$7:$B$306,"&lt;="&amp;DATE($B$3,6,15),'Leave log'!$C$7:$C$306,"&gt;="&amp;DATE($B$3,6,15),'Leave log'!$F$7:$F$306,"Approved")&gt;0,"A",""))="A","A",IF(OR(DATE($B$3,6,15)&gt;EOMONTH(DATE($B$3,6,1),0),NETWORKDAYS.INTL(DATE($B$3,6,15),DATE($B$3,6,15),1,'Non-working days'!$A$6:$A$45)=0),"",IF(COUNTIFS('Leave log'!$A$7:$A$306,Employees!$A$29,'Leave log'!$B$7:$B$306,"&lt;="&amp;DATE($B$3,6,15),'Leave log'!$C$7:$C$306,"&gt;="&amp;DATE($B$3,6,15),'Leave log'!$F$7:$F$306,"Pending")&gt;0,"P",""))))</f>
        <v/>
      </c>
      <c r="Q200" s="23" t="str">
        <f>IF(A200="","",IF(IF(OR(DATE($B$3,6,16)&gt;EOMONTH(DATE($B$3,6,1),0),NETWORKDAYS.INTL(DATE($B$3,6,16),DATE($B$3,6,16),1,'Non-working days'!$A$6:$A$45)=0),"",IF(COUNTIFS('Leave log'!$A$7:$A$306,Employees!$A$29,'Leave log'!$B$7:$B$306,"&lt;="&amp;DATE($B$3,6,16),'Leave log'!$C$7:$C$306,"&gt;="&amp;DATE($B$3,6,16),'Leave log'!$F$7:$F$306,"Approved")&gt;0,"A",""))="A","A",IF(OR(DATE($B$3,6,16)&gt;EOMONTH(DATE($B$3,6,1),0),NETWORKDAYS.INTL(DATE($B$3,6,16),DATE($B$3,6,16),1,'Non-working days'!$A$6:$A$45)=0),"",IF(COUNTIFS('Leave log'!$A$7:$A$306,Employees!$A$29,'Leave log'!$B$7:$B$306,"&lt;="&amp;DATE($B$3,6,16),'Leave log'!$C$7:$C$306,"&gt;="&amp;DATE($B$3,6,16),'Leave log'!$F$7:$F$306,"Pending")&gt;0,"P",""))))</f>
        <v/>
      </c>
      <c r="R200" s="23" t="str">
        <f>IF(A200="","",IF(IF(OR(DATE($B$3,6,17)&gt;EOMONTH(DATE($B$3,6,1),0),NETWORKDAYS.INTL(DATE($B$3,6,17),DATE($B$3,6,17),1,'Non-working days'!$A$6:$A$45)=0),"",IF(COUNTIFS('Leave log'!$A$7:$A$306,Employees!$A$29,'Leave log'!$B$7:$B$306,"&lt;="&amp;DATE($B$3,6,17),'Leave log'!$C$7:$C$306,"&gt;="&amp;DATE($B$3,6,17),'Leave log'!$F$7:$F$306,"Approved")&gt;0,"A",""))="A","A",IF(OR(DATE($B$3,6,17)&gt;EOMONTH(DATE($B$3,6,1),0),NETWORKDAYS.INTL(DATE($B$3,6,17),DATE($B$3,6,17),1,'Non-working days'!$A$6:$A$45)=0),"",IF(COUNTIFS('Leave log'!$A$7:$A$306,Employees!$A$29,'Leave log'!$B$7:$B$306,"&lt;="&amp;DATE($B$3,6,17),'Leave log'!$C$7:$C$306,"&gt;="&amp;DATE($B$3,6,17),'Leave log'!$F$7:$F$306,"Pending")&gt;0,"P",""))))</f>
        <v/>
      </c>
      <c r="S200" s="23" t="str">
        <f>IF(A200="","",IF(IF(OR(DATE($B$3,6,18)&gt;EOMONTH(DATE($B$3,6,1),0),NETWORKDAYS.INTL(DATE($B$3,6,18),DATE($B$3,6,18),1,'Non-working days'!$A$6:$A$45)=0),"",IF(COUNTIFS('Leave log'!$A$7:$A$306,Employees!$A$29,'Leave log'!$B$7:$B$306,"&lt;="&amp;DATE($B$3,6,18),'Leave log'!$C$7:$C$306,"&gt;="&amp;DATE($B$3,6,18),'Leave log'!$F$7:$F$306,"Approved")&gt;0,"A",""))="A","A",IF(OR(DATE($B$3,6,18)&gt;EOMONTH(DATE($B$3,6,1),0),NETWORKDAYS.INTL(DATE($B$3,6,18),DATE($B$3,6,18),1,'Non-working days'!$A$6:$A$45)=0),"",IF(COUNTIFS('Leave log'!$A$7:$A$306,Employees!$A$29,'Leave log'!$B$7:$B$306,"&lt;="&amp;DATE($B$3,6,18),'Leave log'!$C$7:$C$306,"&gt;="&amp;DATE($B$3,6,18),'Leave log'!$F$7:$F$306,"Pending")&gt;0,"P",""))))</f>
        <v/>
      </c>
      <c r="T200" s="23" t="str">
        <f>IF(A200="","",IF(IF(OR(DATE($B$3,6,19)&gt;EOMONTH(DATE($B$3,6,1),0),NETWORKDAYS.INTL(DATE($B$3,6,19),DATE($B$3,6,19),1,'Non-working days'!$A$6:$A$45)=0),"",IF(COUNTIFS('Leave log'!$A$7:$A$306,Employees!$A$29,'Leave log'!$B$7:$B$306,"&lt;="&amp;DATE($B$3,6,19),'Leave log'!$C$7:$C$306,"&gt;="&amp;DATE($B$3,6,19),'Leave log'!$F$7:$F$306,"Approved")&gt;0,"A",""))="A","A",IF(OR(DATE($B$3,6,19)&gt;EOMONTH(DATE($B$3,6,1),0),NETWORKDAYS.INTL(DATE($B$3,6,19),DATE($B$3,6,19),1,'Non-working days'!$A$6:$A$45)=0),"",IF(COUNTIFS('Leave log'!$A$7:$A$306,Employees!$A$29,'Leave log'!$B$7:$B$306,"&lt;="&amp;DATE($B$3,6,19),'Leave log'!$C$7:$C$306,"&gt;="&amp;DATE($B$3,6,19),'Leave log'!$F$7:$F$306,"Pending")&gt;0,"P",""))))</f>
        <v/>
      </c>
      <c r="U200" s="23" t="str">
        <f>IF(A200="","",IF(IF(OR(DATE($B$3,6,20)&gt;EOMONTH(DATE($B$3,6,1),0),NETWORKDAYS.INTL(DATE($B$3,6,20),DATE($B$3,6,20),1,'Non-working days'!$A$6:$A$45)=0),"",IF(COUNTIFS('Leave log'!$A$7:$A$306,Employees!$A$29,'Leave log'!$B$7:$B$306,"&lt;="&amp;DATE($B$3,6,20),'Leave log'!$C$7:$C$306,"&gt;="&amp;DATE($B$3,6,20),'Leave log'!$F$7:$F$306,"Approved")&gt;0,"A",""))="A","A",IF(OR(DATE($B$3,6,20)&gt;EOMONTH(DATE($B$3,6,1),0),NETWORKDAYS.INTL(DATE($B$3,6,20),DATE($B$3,6,20),1,'Non-working days'!$A$6:$A$45)=0),"",IF(COUNTIFS('Leave log'!$A$7:$A$306,Employees!$A$29,'Leave log'!$B$7:$B$306,"&lt;="&amp;DATE($B$3,6,20),'Leave log'!$C$7:$C$306,"&gt;="&amp;DATE($B$3,6,20),'Leave log'!$F$7:$F$306,"Pending")&gt;0,"P",""))))</f>
        <v/>
      </c>
      <c r="V200" s="23" t="str">
        <f>IF(A200="","",IF(IF(OR(DATE($B$3,6,21)&gt;EOMONTH(DATE($B$3,6,1),0),NETWORKDAYS.INTL(DATE($B$3,6,21),DATE($B$3,6,21),1,'Non-working days'!$A$6:$A$45)=0),"",IF(COUNTIFS('Leave log'!$A$7:$A$306,Employees!$A$29,'Leave log'!$B$7:$B$306,"&lt;="&amp;DATE($B$3,6,21),'Leave log'!$C$7:$C$306,"&gt;="&amp;DATE($B$3,6,21),'Leave log'!$F$7:$F$306,"Approved")&gt;0,"A",""))="A","A",IF(OR(DATE($B$3,6,21)&gt;EOMONTH(DATE($B$3,6,1),0),NETWORKDAYS.INTL(DATE($B$3,6,21),DATE($B$3,6,21),1,'Non-working days'!$A$6:$A$45)=0),"",IF(COUNTIFS('Leave log'!$A$7:$A$306,Employees!$A$29,'Leave log'!$B$7:$B$306,"&lt;="&amp;DATE($B$3,6,21),'Leave log'!$C$7:$C$306,"&gt;="&amp;DATE($B$3,6,21),'Leave log'!$F$7:$F$306,"Pending")&gt;0,"P",""))))</f>
        <v/>
      </c>
      <c r="W200" s="23" t="str">
        <f>IF(A200="","",IF(IF(OR(DATE($B$3,6,22)&gt;EOMONTH(DATE($B$3,6,1),0),NETWORKDAYS.INTL(DATE($B$3,6,22),DATE($B$3,6,22),1,'Non-working days'!$A$6:$A$45)=0),"",IF(COUNTIFS('Leave log'!$A$7:$A$306,Employees!$A$29,'Leave log'!$B$7:$B$306,"&lt;="&amp;DATE($B$3,6,22),'Leave log'!$C$7:$C$306,"&gt;="&amp;DATE($B$3,6,22),'Leave log'!$F$7:$F$306,"Approved")&gt;0,"A",""))="A","A",IF(OR(DATE($B$3,6,22)&gt;EOMONTH(DATE($B$3,6,1),0),NETWORKDAYS.INTL(DATE($B$3,6,22),DATE($B$3,6,22),1,'Non-working days'!$A$6:$A$45)=0),"",IF(COUNTIFS('Leave log'!$A$7:$A$306,Employees!$A$29,'Leave log'!$B$7:$B$306,"&lt;="&amp;DATE($B$3,6,22),'Leave log'!$C$7:$C$306,"&gt;="&amp;DATE($B$3,6,22),'Leave log'!$F$7:$F$306,"Pending")&gt;0,"P",""))))</f>
        <v/>
      </c>
      <c r="X200" s="23" t="str">
        <f>IF(A200="","",IF(IF(OR(DATE($B$3,6,23)&gt;EOMONTH(DATE($B$3,6,1),0),NETWORKDAYS.INTL(DATE($B$3,6,23),DATE($B$3,6,23),1,'Non-working days'!$A$6:$A$45)=0),"",IF(COUNTIFS('Leave log'!$A$7:$A$306,Employees!$A$29,'Leave log'!$B$7:$B$306,"&lt;="&amp;DATE($B$3,6,23),'Leave log'!$C$7:$C$306,"&gt;="&amp;DATE($B$3,6,23),'Leave log'!$F$7:$F$306,"Approved")&gt;0,"A",""))="A","A",IF(OR(DATE($B$3,6,23)&gt;EOMONTH(DATE($B$3,6,1),0),NETWORKDAYS.INTL(DATE($B$3,6,23),DATE($B$3,6,23),1,'Non-working days'!$A$6:$A$45)=0),"",IF(COUNTIFS('Leave log'!$A$7:$A$306,Employees!$A$29,'Leave log'!$B$7:$B$306,"&lt;="&amp;DATE($B$3,6,23),'Leave log'!$C$7:$C$306,"&gt;="&amp;DATE($B$3,6,23),'Leave log'!$F$7:$F$306,"Pending")&gt;0,"P",""))))</f>
        <v/>
      </c>
      <c r="Y200" s="23" t="str">
        <f>IF(A200="","",IF(IF(OR(DATE($B$3,6,24)&gt;EOMONTH(DATE($B$3,6,1),0),NETWORKDAYS.INTL(DATE($B$3,6,24),DATE($B$3,6,24),1,'Non-working days'!$A$6:$A$45)=0),"",IF(COUNTIFS('Leave log'!$A$7:$A$306,Employees!$A$29,'Leave log'!$B$7:$B$306,"&lt;="&amp;DATE($B$3,6,24),'Leave log'!$C$7:$C$306,"&gt;="&amp;DATE($B$3,6,24),'Leave log'!$F$7:$F$306,"Approved")&gt;0,"A",""))="A","A",IF(OR(DATE($B$3,6,24)&gt;EOMONTH(DATE($B$3,6,1),0),NETWORKDAYS.INTL(DATE($B$3,6,24),DATE($B$3,6,24),1,'Non-working days'!$A$6:$A$45)=0),"",IF(COUNTIFS('Leave log'!$A$7:$A$306,Employees!$A$29,'Leave log'!$B$7:$B$306,"&lt;="&amp;DATE($B$3,6,24),'Leave log'!$C$7:$C$306,"&gt;="&amp;DATE($B$3,6,24),'Leave log'!$F$7:$F$306,"Pending")&gt;0,"P",""))))</f>
        <v/>
      </c>
      <c r="Z200" s="23" t="str">
        <f>IF(A200="","",IF(IF(OR(DATE($B$3,6,25)&gt;EOMONTH(DATE($B$3,6,1),0),NETWORKDAYS.INTL(DATE($B$3,6,25),DATE($B$3,6,25),1,'Non-working days'!$A$6:$A$45)=0),"",IF(COUNTIFS('Leave log'!$A$7:$A$306,Employees!$A$29,'Leave log'!$B$7:$B$306,"&lt;="&amp;DATE($B$3,6,25),'Leave log'!$C$7:$C$306,"&gt;="&amp;DATE($B$3,6,25),'Leave log'!$F$7:$F$306,"Approved")&gt;0,"A",""))="A","A",IF(OR(DATE($B$3,6,25)&gt;EOMONTH(DATE($B$3,6,1),0),NETWORKDAYS.INTL(DATE($B$3,6,25),DATE($B$3,6,25),1,'Non-working days'!$A$6:$A$45)=0),"",IF(COUNTIFS('Leave log'!$A$7:$A$306,Employees!$A$29,'Leave log'!$B$7:$B$306,"&lt;="&amp;DATE($B$3,6,25),'Leave log'!$C$7:$C$306,"&gt;="&amp;DATE($B$3,6,25),'Leave log'!$F$7:$F$306,"Pending")&gt;0,"P",""))))</f>
        <v/>
      </c>
      <c r="AA200" s="23" t="str">
        <f>IF(A200="","",IF(IF(OR(DATE($B$3,6,26)&gt;EOMONTH(DATE($B$3,6,1),0),NETWORKDAYS.INTL(DATE($B$3,6,26),DATE($B$3,6,26),1,'Non-working days'!$A$6:$A$45)=0),"",IF(COUNTIFS('Leave log'!$A$7:$A$306,Employees!$A$29,'Leave log'!$B$7:$B$306,"&lt;="&amp;DATE($B$3,6,26),'Leave log'!$C$7:$C$306,"&gt;="&amp;DATE($B$3,6,26),'Leave log'!$F$7:$F$306,"Approved")&gt;0,"A",""))="A","A",IF(OR(DATE($B$3,6,26)&gt;EOMONTH(DATE($B$3,6,1),0),NETWORKDAYS.INTL(DATE($B$3,6,26),DATE($B$3,6,26),1,'Non-working days'!$A$6:$A$45)=0),"",IF(COUNTIFS('Leave log'!$A$7:$A$306,Employees!$A$29,'Leave log'!$B$7:$B$306,"&lt;="&amp;DATE($B$3,6,26),'Leave log'!$C$7:$C$306,"&gt;="&amp;DATE($B$3,6,26),'Leave log'!$F$7:$F$306,"Pending")&gt;0,"P",""))))</f>
        <v/>
      </c>
      <c r="AB200" s="23" t="str">
        <f>IF(A200="","",IF(IF(OR(DATE($B$3,6,27)&gt;EOMONTH(DATE($B$3,6,1),0),NETWORKDAYS.INTL(DATE($B$3,6,27),DATE($B$3,6,27),1,'Non-working days'!$A$6:$A$45)=0),"",IF(COUNTIFS('Leave log'!$A$7:$A$306,Employees!$A$29,'Leave log'!$B$7:$B$306,"&lt;="&amp;DATE($B$3,6,27),'Leave log'!$C$7:$C$306,"&gt;="&amp;DATE($B$3,6,27),'Leave log'!$F$7:$F$306,"Approved")&gt;0,"A",""))="A","A",IF(OR(DATE($B$3,6,27)&gt;EOMONTH(DATE($B$3,6,1),0),NETWORKDAYS.INTL(DATE($B$3,6,27),DATE($B$3,6,27),1,'Non-working days'!$A$6:$A$45)=0),"",IF(COUNTIFS('Leave log'!$A$7:$A$306,Employees!$A$29,'Leave log'!$B$7:$B$306,"&lt;="&amp;DATE($B$3,6,27),'Leave log'!$C$7:$C$306,"&gt;="&amp;DATE($B$3,6,27),'Leave log'!$F$7:$F$306,"Pending")&gt;0,"P",""))))</f>
        <v/>
      </c>
      <c r="AC200" s="23" t="str">
        <f>IF(A200="","",IF(IF(OR(DATE($B$3,6,28)&gt;EOMONTH(DATE($B$3,6,1),0),NETWORKDAYS.INTL(DATE($B$3,6,28),DATE($B$3,6,28),1,'Non-working days'!$A$6:$A$45)=0),"",IF(COUNTIFS('Leave log'!$A$7:$A$306,Employees!$A$29,'Leave log'!$B$7:$B$306,"&lt;="&amp;DATE($B$3,6,28),'Leave log'!$C$7:$C$306,"&gt;="&amp;DATE($B$3,6,28),'Leave log'!$F$7:$F$306,"Approved")&gt;0,"A",""))="A","A",IF(OR(DATE($B$3,6,28)&gt;EOMONTH(DATE($B$3,6,1),0),NETWORKDAYS.INTL(DATE($B$3,6,28),DATE($B$3,6,28),1,'Non-working days'!$A$6:$A$45)=0),"",IF(COUNTIFS('Leave log'!$A$7:$A$306,Employees!$A$29,'Leave log'!$B$7:$B$306,"&lt;="&amp;DATE($B$3,6,28),'Leave log'!$C$7:$C$306,"&gt;="&amp;DATE($B$3,6,28),'Leave log'!$F$7:$F$306,"Pending")&gt;0,"P",""))))</f>
        <v/>
      </c>
      <c r="AD200" s="23" t="str">
        <f>IF(A200="","",IF(IF(OR(DATE($B$3,6,29)&gt;EOMONTH(DATE($B$3,6,1),0),NETWORKDAYS.INTL(DATE($B$3,6,29),DATE($B$3,6,29),1,'Non-working days'!$A$6:$A$45)=0),"",IF(COUNTIFS('Leave log'!$A$7:$A$306,Employees!$A$29,'Leave log'!$B$7:$B$306,"&lt;="&amp;DATE($B$3,6,29),'Leave log'!$C$7:$C$306,"&gt;="&amp;DATE($B$3,6,29),'Leave log'!$F$7:$F$306,"Approved")&gt;0,"A",""))="A","A",IF(OR(DATE($B$3,6,29)&gt;EOMONTH(DATE($B$3,6,1),0),NETWORKDAYS.INTL(DATE($B$3,6,29),DATE($B$3,6,29),1,'Non-working days'!$A$6:$A$45)=0),"",IF(COUNTIFS('Leave log'!$A$7:$A$306,Employees!$A$29,'Leave log'!$B$7:$B$306,"&lt;="&amp;DATE($B$3,6,29),'Leave log'!$C$7:$C$306,"&gt;="&amp;DATE($B$3,6,29),'Leave log'!$F$7:$F$306,"Pending")&gt;0,"P",""))))</f>
        <v/>
      </c>
      <c r="AE200" s="23" t="str">
        <f>IF(A200="","",IF(IF(OR(DATE($B$3,6,30)&gt;EOMONTH(DATE($B$3,6,1),0),NETWORKDAYS.INTL(DATE($B$3,6,30),DATE($B$3,6,30),1,'Non-working days'!$A$6:$A$45)=0),"",IF(COUNTIFS('Leave log'!$A$7:$A$306,Employees!$A$29,'Leave log'!$B$7:$B$306,"&lt;="&amp;DATE($B$3,6,30),'Leave log'!$C$7:$C$306,"&gt;="&amp;DATE($B$3,6,30),'Leave log'!$F$7:$F$306,"Approved")&gt;0,"A",""))="A","A",IF(OR(DATE($B$3,6,30)&gt;EOMONTH(DATE($B$3,6,1),0),NETWORKDAYS.INTL(DATE($B$3,6,30),DATE($B$3,6,30),1,'Non-working days'!$A$6:$A$45)=0),"",IF(COUNTIFS('Leave log'!$A$7:$A$306,Employees!$A$29,'Leave log'!$B$7:$B$306,"&lt;="&amp;DATE($B$3,6,30),'Leave log'!$C$7:$C$306,"&gt;="&amp;DATE($B$3,6,30),'Leave log'!$F$7:$F$306,"Pending")&gt;0,"P",""))))</f>
        <v/>
      </c>
      <c r="AF200" s="23" t="str">
        <f>IF(A200="","",IF(IF(OR(DATE($B$3,6,31)&gt;EOMONTH(DATE($B$3,6,1),0),NETWORKDAYS.INTL(DATE($B$3,6,31),DATE($B$3,6,31),1,'Non-working days'!$A$6:$A$45)=0),"",IF(COUNTIFS('Leave log'!$A$7:$A$306,Employees!$A$29,'Leave log'!$B$7:$B$306,"&lt;="&amp;DATE($B$3,6,31),'Leave log'!$C$7:$C$306,"&gt;="&amp;DATE($B$3,6,31),'Leave log'!$F$7:$F$306,"Approved")&gt;0,"A",""))="A","A",IF(OR(DATE($B$3,6,31)&gt;EOMONTH(DATE($B$3,6,1),0),NETWORKDAYS.INTL(DATE($B$3,6,31),DATE($B$3,6,31),1,'Non-working days'!$A$6:$A$45)=0),"",IF(COUNTIFS('Leave log'!$A$7:$A$306,Employees!$A$29,'Leave log'!$B$7:$B$306,"&lt;="&amp;DATE($B$3,6,31),'Leave log'!$C$7:$C$306,"&gt;="&amp;DATE($B$3,6,31),'Leave log'!$F$7:$F$306,"Pending")&gt;0,"P",""))))</f>
        <v/>
      </c>
    </row>
    <row r="201" spans="1:32" ht="18" customHeight="1" x14ac:dyDescent="0.3">
      <c r="A201" s="22" t="str">
        <f>IF(Employees!F30="Yes",Employees!B30,"")</f>
        <v/>
      </c>
      <c r="B201" s="23" t="str">
        <f>IF(A201="","",IF(IF(OR(DATE($B$3,6,1)&gt;EOMONTH(DATE($B$3,6,1),0),NETWORKDAYS.INTL(DATE($B$3,6,1),DATE($B$3,6,1),1,'Non-working days'!$A$6:$A$45)=0),"",IF(COUNTIFS('Leave log'!$A$7:$A$306,Employees!$A$30,'Leave log'!$B$7:$B$306,"&lt;="&amp;DATE($B$3,6,1),'Leave log'!$C$7:$C$306,"&gt;="&amp;DATE($B$3,6,1),'Leave log'!$F$7:$F$306,"Approved")&gt;0,"A",""))="A","A",IF(OR(DATE($B$3,6,1)&gt;EOMONTH(DATE($B$3,6,1),0),NETWORKDAYS.INTL(DATE($B$3,6,1),DATE($B$3,6,1),1,'Non-working days'!$A$6:$A$45)=0),"",IF(COUNTIFS('Leave log'!$A$7:$A$306,Employees!$A$30,'Leave log'!$B$7:$B$306,"&lt;="&amp;DATE($B$3,6,1),'Leave log'!$C$7:$C$306,"&gt;="&amp;DATE($B$3,6,1),'Leave log'!$F$7:$F$306,"Pending")&gt;0,"P",""))))</f>
        <v/>
      </c>
      <c r="C201" s="23" t="str">
        <f>IF(A201="","",IF(IF(OR(DATE($B$3,6,2)&gt;EOMONTH(DATE($B$3,6,1),0),NETWORKDAYS.INTL(DATE($B$3,6,2),DATE($B$3,6,2),1,'Non-working days'!$A$6:$A$45)=0),"",IF(COUNTIFS('Leave log'!$A$7:$A$306,Employees!$A$30,'Leave log'!$B$7:$B$306,"&lt;="&amp;DATE($B$3,6,2),'Leave log'!$C$7:$C$306,"&gt;="&amp;DATE($B$3,6,2),'Leave log'!$F$7:$F$306,"Approved")&gt;0,"A",""))="A","A",IF(OR(DATE($B$3,6,2)&gt;EOMONTH(DATE($B$3,6,1),0),NETWORKDAYS.INTL(DATE($B$3,6,2),DATE($B$3,6,2),1,'Non-working days'!$A$6:$A$45)=0),"",IF(COUNTIFS('Leave log'!$A$7:$A$306,Employees!$A$30,'Leave log'!$B$7:$B$306,"&lt;="&amp;DATE($B$3,6,2),'Leave log'!$C$7:$C$306,"&gt;="&amp;DATE($B$3,6,2),'Leave log'!$F$7:$F$306,"Pending")&gt;0,"P",""))))</f>
        <v/>
      </c>
      <c r="D201" s="23" t="str">
        <f>IF(A201="","",IF(IF(OR(DATE($B$3,6,3)&gt;EOMONTH(DATE($B$3,6,1),0),NETWORKDAYS.INTL(DATE($B$3,6,3),DATE($B$3,6,3),1,'Non-working days'!$A$6:$A$45)=0),"",IF(COUNTIFS('Leave log'!$A$7:$A$306,Employees!$A$30,'Leave log'!$B$7:$B$306,"&lt;="&amp;DATE($B$3,6,3),'Leave log'!$C$7:$C$306,"&gt;="&amp;DATE($B$3,6,3),'Leave log'!$F$7:$F$306,"Approved")&gt;0,"A",""))="A","A",IF(OR(DATE($B$3,6,3)&gt;EOMONTH(DATE($B$3,6,1),0),NETWORKDAYS.INTL(DATE($B$3,6,3),DATE($B$3,6,3),1,'Non-working days'!$A$6:$A$45)=0),"",IF(COUNTIFS('Leave log'!$A$7:$A$306,Employees!$A$30,'Leave log'!$B$7:$B$306,"&lt;="&amp;DATE($B$3,6,3),'Leave log'!$C$7:$C$306,"&gt;="&amp;DATE($B$3,6,3),'Leave log'!$F$7:$F$306,"Pending")&gt;0,"P",""))))</f>
        <v/>
      </c>
      <c r="E201" s="23" t="str">
        <f>IF(A201="","",IF(IF(OR(DATE($B$3,6,4)&gt;EOMONTH(DATE($B$3,6,1),0),NETWORKDAYS.INTL(DATE($B$3,6,4),DATE($B$3,6,4),1,'Non-working days'!$A$6:$A$45)=0),"",IF(COUNTIFS('Leave log'!$A$7:$A$306,Employees!$A$30,'Leave log'!$B$7:$B$306,"&lt;="&amp;DATE($B$3,6,4),'Leave log'!$C$7:$C$306,"&gt;="&amp;DATE($B$3,6,4),'Leave log'!$F$7:$F$306,"Approved")&gt;0,"A",""))="A","A",IF(OR(DATE($B$3,6,4)&gt;EOMONTH(DATE($B$3,6,1),0),NETWORKDAYS.INTL(DATE($B$3,6,4),DATE($B$3,6,4),1,'Non-working days'!$A$6:$A$45)=0),"",IF(COUNTIFS('Leave log'!$A$7:$A$306,Employees!$A$30,'Leave log'!$B$7:$B$306,"&lt;="&amp;DATE($B$3,6,4),'Leave log'!$C$7:$C$306,"&gt;="&amp;DATE($B$3,6,4),'Leave log'!$F$7:$F$306,"Pending")&gt;0,"P",""))))</f>
        <v/>
      </c>
      <c r="F201" s="23" t="str">
        <f>IF(A201="","",IF(IF(OR(DATE($B$3,6,5)&gt;EOMONTH(DATE($B$3,6,1),0),NETWORKDAYS.INTL(DATE($B$3,6,5),DATE($B$3,6,5),1,'Non-working days'!$A$6:$A$45)=0),"",IF(COUNTIFS('Leave log'!$A$7:$A$306,Employees!$A$30,'Leave log'!$B$7:$B$306,"&lt;="&amp;DATE($B$3,6,5),'Leave log'!$C$7:$C$306,"&gt;="&amp;DATE($B$3,6,5),'Leave log'!$F$7:$F$306,"Approved")&gt;0,"A",""))="A","A",IF(OR(DATE($B$3,6,5)&gt;EOMONTH(DATE($B$3,6,1),0),NETWORKDAYS.INTL(DATE($B$3,6,5),DATE($B$3,6,5),1,'Non-working days'!$A$6:$A$45)=0),"",IF(COUNTIFS('Leave log'!$A$7:$A$306,Employees!$A$30,'Leave log'!$B$7:$B$306,"&lt;="&amp;DATE($B$3,6,5),'Leave log'!$C$7:$C$306,"&gt;="&amp;DATE($B$3,6,5),'Leave log'!$F$7:$F$306,"Pending")&gt;0,"P",""))))</f>
        <v/>
      </c>
      <c r="G201" s="23" t="str">
        <f>IF(A201="","",IF(IF(OR(DATE($B$3,6,6)&gt;EOMONTH(DATE($B$3,6,1),0),NETWORKDAYS.INTL(DATE($B$3,6,6),DATE($B$3,6,6),1,'Non-working days'!$A$6:$A$45)=0),"",IF(COUNTIFS('Leave log'!$A$7:$A$306,Employees!$A$30,'Leave log'!$B$7:$B$306,"&lt;="&amp;DATE($B$3,6,6),'Leave log'!$C$7:$C$306,"&gt;="&amp;DATE($B$3,6,6),'Leave log'!$F$7:$F$306,"Approved")&gt;0,"A",""))="A","A",IF(OR(DATE($B$3,6,6)&gt;EOMONTH(DATE($B$3,6,1),0),NETWORKDAYS.INTL(DATE($B$3,6,6),DATE($B$3,6,6),1,'Non-working days'!$A$6:$A$45)=0),"",IF(COUNTIFS('Leave log'!$A$7:$A$306,Employees!$A$30,'Leave log'!$B$7:$B$306,"&lt;="&amp;DATE($B$3,6,6),'Leave log'!$C$7:$C$306,"&gt;="&amp;DATE($B$3,6,6),'Leave log'!$F$7:$F$306,"Pending")&gt;0,"P",""))))</f>
        <v/>
      </c>
      <c r="H201" s="23" t="str">
        <f>IF(A201="","",IF(IF(OR(DATE($B$3,6,7)&gt;EOMONTH(DATE($B$3,6,1),0),NETWORKDAYS.INTL(DATE($B$3,6,7),DATE($B$3,6,7),1,'Non-working days'!$A$6:$A$45)=0),"",IF(COUNTIFS('Leave log'!$A$7:$A$306,Employees!$A$30,'Leave log'!$B$7:$B$306,"&lt;="&amp;DATE($B$3,6,7),'Leave log'!$C$7:$C$306,"&gt;="&amp;DATE($B$3,6,7),'Leave log'!$F$7:$F$306,"Approved")&gt;0,"A",""))="A","A",IF(OR(DATE($B$3,6,7)&gt;EOMONTH(DATE($B$3,6,1),0),NETWORKDAYS.INTL(DATE($B$3,6,7),DATE($B$3,6,7),1,'Non-working days'!$A$6:$A$45)=0),"",IF(COUNTIFS('Leave log'!$A$7:$A$306,Employees!$A$30,'Leave log'!$B$7:$B$306,"&lt;="&amp;DATE($B$3,6,7),'Leave log'!$C$7:$C$306,"&gt;="&amp;DATE($B$3,6,7),'Leave log'!$F$7:$F$306,"Pending")&gt;0,"P",""))))</f>
        <v/>
      </c>
      <c r="I201" s="23" t="str">
        <f>IF(A201="","",IF(IF(OR(DATE($B$3,6,8)&gt;EOMONTH(DATE($B$3,6,1),0),NETWORKDAYS.INTL(DATE($B$3,6,8),DATE($B$3,6,8),1,'Non-working days'!$A$6:$A$45)=0),"",IF(COUNTIFS('Leave log'!$A$7:$A$306,Employees!$A$30,'Leave log'!$B$7:$B$306,"&lt;="&amp;DATE($B$3,6,8),'Leave log'!$C$7:$C$306,"&gt;="&amp;DATE($B$3,6,8),'Leave log'!$F$7:$F$306,"Approved")&gt;0,"A",""))="A","A",IF(OR(DATE($B$3,6,8)&gt;EOMONTH(DATE($B$3,6,1),0),NETWORKDAYS.INTL(DATE($B$3,6,8),DATE($B$3,6,8),1,'Non-working days'!$A$6:$A$45)=0),"",IF(COUNTIFS('Leave log'!$A$7:$A$306,Employees!$A$30,'Leave log'!$B$7:$B$306,"&lt;="&amp;DATE($B$3,6,8),'Leave log'!$C$7:$C$306,"&gt;="&amp;DATE($B$3,6,8),'Leave log'!$F$7:$F$306,"Pending")&gt;0,"P",""))))</f>
        <v/>
      </c>
      <c r="J201" s="23" t="str">
        <f>IF(A201="","",IF(IF(OR(DATE($B$3,6,9)&gt;EOMONTH(DATE($B$3,6,1),0),NETWORKDAYS.INTL(DATE($B$3,6,9),DATE($B$3,6,9),1,'Non-working days'!$A$6:$A$45)=0),"",IF(COUNTIFS('Leave log'!$A$7:$A$306,Employees!$A$30,'Leave log'!$B$7:$B$306,"&lt;="&amp;DATE($B$3,6,9),'Leave log'!$C$7:$C$306,"&gt;="&amp;DATE($B$3,6,9),'Leave log'!$F$7:$F$306,"Approved")&gt;0,"A",""))="A","A",IF(OR(DATE($B$3,6,9)&gt;EOMONTH(DATE($B$3,6,1),0),NETWORKDAYS.INTL(DATE($B$3,6,9),DATE($B$3,6,9),1,'Non-working days'!$A$6:$A$45)=0),"",IF(COUNTIFS('Leave log'!$A$7:$A$306,Employees!$A$30,'Leave log'!$B$7:$B$306,"&lt;="&amp;DATE($B$3,6,9),'Leave log'!$C$7:$C$306,"&gt;="&amp;DATE($B$3,6,9),'Leave log'!$F$7:$F$306,"Pending")&gt;0,"P",""))))</f>
        <v/>
      </c>
      <c r="K201" s="23" t="str">
        <f>IF(A201="","",IF(IF(OR(DATE($B$3,6,10)&gt;EOMONTH(DATE($B$3,6,1),0),NETWORKDAYS.INTL(DATE($B$3,6,10),DATE($B$3,6,10),1,'Non-working days'!$A$6:$A$45)=0),"",IF(COUNTIFS('Leave log'!$A$7:$A$306,Employees!$A$30,'Leave log'!$B$7:$B$306,"&lt;="&amp;DATE($B$3,6,10),'Leave log'!$C$7:$C$306,"&gt;="&amp;DATE($B$3,6,10),'Leave log'!$F$7:$F$306,"Approved")&gt;0,"A",""))="A","A",IF(OR(DATE($B$3,6,10)&gt;EOMONTH(DATE($B$3,6,1),0),NETWORKDAYS.INTL(DATE($B$3,6,10),DATE($B$3,6,10),1,'Non-working days'!$A$6:$A$45)=0),"",IF(COUNTIFS('Leave log'!$A$7:$A$306,Employees!$A$30,'Leave log'!$B$7:$B$306,"&lt;="&amp;DATE($B$3,6,10),'Leave log'!$C$7:$C$306,"&gt;="&amp;DATE($B$3,6,10),'Leave log'!$F$7:$F$306,"Pending")&gt;0,"P",""))))</f>
        <v/>
      </c>
      <c r="L201" s="23" t="str">
        <f>IF(A201="","",IF(IF(OR(DATE($B$3,6,11)&gt;EOMONTH(DATE($B$3,6,1),0),NETWORKDAYS.INTL(DATE($B$3,6,11),DATE($B$3,6,11),1,'Non-working days'!$A$6:$A$45)=0),"",IF(COUNTIFS('Leave log'!$A$7:$A$306,Employees!$A$30,'Leave log'!$B$7:$B$306,"&lt;="&amp;DATE($B$3,6,11),'Leave log'!$C$7:$C$306,"&gt;="&amp;DATE($B$3,6,11),'Leave log'!$F$7:$F$306,"Approved")&gt;0,"A",""))="A","A",IF(OR(DATE($B$3,6,11)&gt;EOMONTH(DATE($B$3,6,1),0),NETWORKDAYS.INTL(DATE($B$3,6,11),DATE($B$3,6,11),1,'Non-working days'!$A$6:$A$45)=0),"",IF(COUNTIFS('Leave log'!$A$7:$A$306,Employees!$A$30,'Leave log'!$B$7:$B$306,"&lt;="&amp;DATE($B$3,6,11),'Leave log'!$C$7:$C$306,"&gt;="&amp;DATE($B$3,6,11),'Leave log'!$F$7:$F$306,"Pending")&gt;0,"P",""))))</f>
        <v/>
      </c>
      <c r="M201" s="23" t="str">
        <f>IF(A201="","",IF(IF(OR(DATE($B$3,6,12)&gt;EOMONTH(DATE($B$3,6,1),0),NETWORKDAYS.INTL(DATE($B$3,6,12),DATE($B$3,6,12),1,'Non-working days'!$A$6:$A$45)=0),"",IF(COUNTIFS('Leave log'!$A$7:$A$306,Employees!$A$30,'Leave log'!$B$7:$B$306,"&lt;="&amp;DATE($B$3,6,12),'Leave log'!$C$7:$C$306,"&gt;="&amp;DATE($B$3,6,12),'Leave log'!$F$7:$F$306,"Approved")&gt;0,"A",""))="A","A",IF(OR(DATE($B$3,6,12)&gt;EOMONTH(DATE($B$3,6,1),0),NETWORKDAYS.INTL(DATE($B$3,6,12),DATE($B$3,6,12),1,'Non-working days'!$A$6:$A$45)=0),"",IF(COUNTIFS('Leave log'!$A$7:$A$306,Employees!$A$30,'Leave log'!$B$7:$B$306,"&lt;="&amp;DATE($B$3,6,12),'Leave log'!$C$7:$C$306,"&gt;="&amp;DATE($B$3,6,12),'Leave log'!$F$7:$F$306,"Pending")&gt;0,"P",""))))</f>
        <v/>
      </c>
      <c r="N201" s="23" t="str">
        <f>IF(A201="","",IF(IF(OR(DATE($B$3,6,13)&gt;EOMONTH(DATE($B$3,6,1),0),NETWORKDAYS.INTL(DATE($B$3,6,13),DATE($B$3,6,13),1,'Non-working days'!$A$6:$A$45)=0),"",IF(COUNTIFS('Leave log'!$A$7:$A$306,Employees!$A$30,'Leave log'!$B$7:$B$306,"&lt;="&amp;DATE($B$3,6,13),'Leave log'!$C$7:$C$306,"&gt;="&amp;DATE($B$3,6,13),'Leave log'!$F$7:$F$306,"Approved")&gt;0,"A",""))="A","A",IF(OR(DATE($B$3,6,13)&gt;EOMONTH(DATE($B$3,6,1),0),NETWORKDAYS.INTL(DATE($B$3,6,13),DATE($B$3,6,13),1,'Non-working days'!$A$6:$A$45)=0),"",IF(COUNTIFS('Leave log'!$A$7:$A$306,Employees!$A$30,'Leave log'!$B$7:$B$306,"&lt;="&amp;DATE($B$3,6,13),'Leave log'!$C$7:$C$306,"&gt;="&amp;DATE($B$3,6,13),'Leave log'!$F$7:$F$306,"Pending")&gt;0,"P",""))))</f>
        <v/>
      </c>
      <c r="O201" s="23" t="str">
        <f>IF(A201="","",IF(IF(OR(DATE($B$3,6,14)&gt;EOMONTH(DATE($B$3,6,1),0),NETWORKDAYS.INTL(DATE($B$3,6,14),DATE($B$3,6,14),1,'Non-working days'!$A$6:$A$45)=0),"",IF(COUNTIFS('Leave log'!$A$7:$A$306,Employees!$A$30,'Leave log'!$B$7:$B$306,"&lt;="&amp;DATE($B$3,6,14),'Leave log'!$C$7:$C$306,"&gt;="&amp;DATE($B$3,6,14),'Leave log'!$F$7:$F$306,"Approved")&gt;0,"A",""))="A","A",IF(OR(DATE($B$3,6,14)&gt;EOMONTH(DATE($B$3,6,1),0),NETWORKDAYS.INTL(DATE($B$3,6,14),DATE($B$3,6,14),1,'Non-working days'!$A$6:$A$45)=0),"",IF(COUNTIFS('Leave log'!$A$7:$A$306,Employees!$A$30,'Leave log'!$B$7:$B$306,"&lt;="&amp;DATE($B$3,6,14),'Leave log'!$C$7:$C$306,"&gt;="&amp;DATE($B$3,6,14),'Leave log'!$F$7:$F$306,"Pending")&gt;0,"P",""))))</f>
        <v/>
      </c>
      <c r="P201" s="23" t="str">
        <f>IF(A201="","",IF(IF(OR(DATE($B$3,6,15)&gt;EOMONTH(DATE($B$3,6,1),0),NETWORKDAYS.INTL(DATE($B$3,6,15),DATE($B$3,6,15),1,'Non-working days'!$A$6:$A$45)=0),"",IF(COUNTIFS('Leave log'!$A$7:$A$306,Employees!$A$30,'Leave log'!$B$7:$B$306,"&lt;="&amp;DATE($B$3,6,15),'Leave log'!$C$7:$C$306,"&gt;="&amp;DATE($B$3,6,15),'Leave log'!$F$7:$F$306,"Approved")&gt;0,"A",""))="A","A",IF(OR(DATE($B$3,6,15)&gt;EOMONTH(DATE($B$3,6,1),0),NETWORKDAYS.INTL(DATE($B$3,6,15),DATE($B$3,6,15),1,'Non-working days'!$A$6:$A$45)=0),"",IF(COUNTIFS('Leave log'!$A$7:$A$306,Employees!$A$30,'Leave log'!$B$7:$B$306,"&lt;="&amp;DATE($B$3,6,15),'Leave log'!$C$7:$C$306,"&gt;="&amp;DATE($B$3,6,15),'Leave log'!$F$7:$F$306,"Pending")&gt;0,"P",""))))</f>
        <v/>
      </c>
      <c r="Q201" s="23" t="str">
        <f>IF(A201="","",IF(IF(OR(DATE($B$3,6,16)&gt;EOMONTH(DATE($B$3,6,1),0),NETWORKDAYS.INTL(DATE($B$3,6,16),DATE($B$3,6,16),1,'Non-working days'!$A$6:$A$45)=0),"",IF(COUNTIFS('Leave log'!$A$7:$A$306,Employees!$A$30,'Leave log'!$B$7:$B$306,"&lt;="&amp;DATE($B$3,6,16),'Leave log'!$C$7:$C$306,"&gt;="&amp;DATE($B$3,6,16),'Leave log'!$F$7:$F$306,"Approved")&gt;0,"A",""))="A","A",IF(OR(DATE($B$3,6,16)&gt;EOMONTH(DATE($B$3,6,1),0),NETWORKDAYS.INTL(DATE($B$3,6,16),DATE($B$3,6,16),1,'Non-working days'!$A$6:$A$45)=0),"",IF(COUNTIFS('Leave log'!$A$7:$A$306,Employees!$A$30,'Leave log'!$B$7:$B$306,"&lt;="&amp;DATE($B$3,6,16),'Leave log'!$C$7:$C$306,"&gt;="&amp;DATE($B$3,6,16),'Leave log'!$F$7:$F$306,"Pending")&gt;0,"P",""))))</f>
        <v/>
      </c>
      <c r="R201" s="23" t="str">
        <f>IF(A201="","",IF(IF(OR(DATE($B$3,6,17)&gt;EOMONTH(DATE($B$3,6,1),0),NETWORKDAYS.INTL(DATE($B$3,6,17),DATE($B$3,6,17),1,'Non-working days'!$A$6:$A$45)=0),"",IF(COUNTIFS('Leave log'!$A$7:$A$306,Employees!$A$30,'Leave log'!$B$7:$B$306,"&lt;="&amp;DATE($B$3,6,17),'Leave log'!$C$7:$C$306,"&gt;="&amp;DATE($B$3,6,17),'Leave log'!$F$7:$F$306,"Approved")&gt;0,"A",""))="A","A",IF(OR(DATE($B$3,6,17)&gt;EOMONTH(DATE($B$3,6,1),0),NETWORKDAYS.INTL(DATE($B$3,6,17),DATE($B$3,6,17),1,'Non-working days'!$A$6:$A$45)=0),"",IF(COUNTIFS('Leave log'!$A$7:$A$306,Employees!$A$30,'Leave log'!$B$7:$B$306,"&lt;="&amp;DATE($B$3,6,17),'Leave log'!$C$7:$C$306,"&gt;="&amp;DATE($B$3,6,17),'Leave log'!$F$7:$F$306,"Pending")&gt;0,"P",""))))</f>
        <v/>
      </c>
      <c r="S201" s="23" t="str">
        <f>IF(A201="","",IF(IF(OR(DATE($B$3,6,18)&gt;EOMONTH(DATE($B$3,6,1),0),NETWORKDAYS.INTL(DATE($B$3,6,18),DATE($B$3,6,18),1,'Non-working days'!$A$6:$A$45)=0),"",IF(COUNTIFS('Leave log'!$A$7:$A$306,Employees!$A$30,'Leave log'!$B$7:$B$306,"&lt;="&amp;DATE($B$3,6,18),'Leave log'!$C$7:$C$306,"&gt;="&amp;DATE($B$3,6,18),'Leave log'!$F$7:$F$306,"Approved")&gt;0,"A",""))="A","A",IF(OR(DATE($B$3,6,18)&gt;EOMONTH(DATE($B$3,6,1),0),NETWORKDAYS.INTL(DATE($B$3,6,18),DATE($B$3,6,18),1,'Non-working days'!$A$6:$A$45)=0),"",IF(COUNTIFS('Leave log'!$A$7:$A$306,Employees!$A$30,'Leave log'!$B$7:$B$306,"&lt;="&amp;DATE($B$3,6,18),'Leave log'!$C$7:$C$306,"&gt;="&amp;DATE($B$3,6,18),'Leave log'!$F$7:$F$306,"Pending")&gt;0,"P",""))))</f>
        <v/>
      </c>
      <c r="T201" s="23" t="str">
        <f>IF(A201="","",IF(IF(OR(DATE($B$3,6,19)&gt;EOMONTH(DATE($B$3,6,1),0),NETWORKDAYS.INTL(DATE($B$3,6,19),DATE($B$3,6,19),1,'Non-working days'!$A$6:$A$45)=0),"",IF(COUNTIFS('Leave log'!$A$7:$A$306,Employees!$A$30,'Leave log'!$B$7:$B$306,"&lt;="&amp;DATE($B$3,6,19),'Leave log'!$C$7:$C$306,"&gt;="&amp;DATE($B$3,6,19),'Leave log'!$F$7:$F$306,"Approved")&gt;0,"A",""))="A","A",IF(OR(DATE($B$3,6,19)&gt;EOMONTH(DATE($B$3,6,1),0),NETWORKDAYS.INTL(DATE($B$3,6,19),DATE($B$3,6,19),1,'Non-working days'!$A$6:$A$45)=0),"",IF(COUNTIFS('Leave log'!$A$7:$A$306,Employees!$A$30,'Leave log'!$B$7:$B$306,"&lt;="&amp;DATE($B$3,6,19),'Leave log'!$C$7:$C$306,"&gt;="&amp;DATE($B$3,6,19),'Leave log'!$F$7:$F$306,"Pending")&gt;0,"P",""))))</f>
        <v/>
      </c>
      <c r="U201" s="23" t="str">
        <f>IF(A201="","",IF(IF(OR(DATE($B$3,6,20)&gt;EOMONTH(DATE($B$3,6,1),0),NETWORKDAYS.INTL(DATE($B$3,6,20),DATE($B$3,6,20),1,'Non-working days'!$A$6:$A$45)=0),"",IF(COUNTIFS('Leave log'!$A$7:$A$306,Employees!$A$30,'Leave log'!$B$7:$B$306,"&lt;="&amp;DATE($B$3,6,20),'Leave log'!$C$7:$C$306,"&gt;="&amp;DATE($B$3,6,20),'Leave log'!$F$7:$F$306,"Approved")&gt;0,"A",""))="A","A",IF(OR(DATE($B$3,6,20)&gt;EOMONTH(DATE($B$3,6,1),0),NETWORKDAYS.INTL(DATE($B$3,6,20),DATE($B$3,6,20),1,'Non-working days'!$A$6:$A$45)=0),"",IF(COUNTIFS('Leave log'!$A$7:$A$306,Employees!$A$30,'Leave log'!$B$7:$B$306,"&lt;="&amp;DATE($B$3,6,20),'Leave log'!$C$7:$C$306,"&gt;="&amp;DATE($B$3,6,20),'Leave log'!$F$7:$F$306,"Pending")&gt;0,"P",""))))</f>
        <v/>
      </c>
      <c r="V201" s="23" t="str">
        <f>IF(A201="","",IF(IF(OR(DATE($B$3,6,21)&gt;EOMONTH(DATE($B$3,6,1),0),NETWORKDAYS.INTL(DATE($B$3,6,21),DATE($B$3,6,21),1,'Non-working days'!$A$6:$A$45)=0),"",IF(COUNTIFS('Leave log'!$A$7:$A$306,Employees!$A$30,'Leave log'!$B$7:$B$306,"&lt;="&amp;DATE($B$3,6,21),'Leave log'!$C$7:$C$306,"&gt;="&amp;DATE($B$3,6,21),'Leave log'!$F$7:$F$306,"Approved")&gt;0,"A",""))="A","A",IF(OR(DATE($B$3,6,21)&gt;EOMONTH(DATE($B$3,6,1),0),NETWORKDAYS.INTL(DATE($B$3,6,21),DATE($B$3,6,21),1,'Non-working days'!$A$6:$A$45)=0),"",IF(COUNTIFS('Leave log'!$A$7:$A$306,Employees!$A$30,'Leave log'!$B$7:$B$306,"&lt;="&amp;DATE($B$3,6,21),'Leave log'!$C$7:$C$306,"&gt;="&amp;DATE($B$3,6,21),'Leave log'!$F$7:$F$306,"Pending")&gt;0,"P",""))))</f>
        <v/>
      </c>
      <c r="W201" s="23" t="str">
        <f>IF(A201="","",IF(IF(OR(DATE($B$3,6,22)&gt;EOMONTH(DATE($B$3,6,1),0),NETWORKDAYS.INTL(DATE($B$3,6,22),DATE($B$3,6,22),1,'Non-working days'!$A$6:$A$45)=0),"",IF(COUNTIFS('Leave log'!$A$7:$A$306,Employees!$A$30,'Leave log'!$B$7:$B$306,"&lt;="&amp;DATE($B$3,6,22),'Leave log'!$C$7:$C$306,"&gt;="&amp;DATE($B$3,6,22),'Leave log'!$F$7:$F$306,"Approved")&gt;0,"A",""))="A","A",IF(OR(DATE($B$3,6,22)&gt;EOMONTH(DATE($B$3,6,1),0),NETWORKDAYS.INTL(DATE($B$3,6,22),DATE($B$3,6,22),1,'Non-working days'!$A$6:$A$45)=0),"",IF(COUNTIFS('Leave log'!$A$7:$A$306,Employees!$A$30,'Leave log'!$B$7:$B$306,"&lt;="&amp;DATE($B$3,6,22),'Leave log'!$C$7:$C$306,"&gt;="&amp;DATE($B$3,6,22),'Leave log'!$F$7:$F$306,"Pending")&gt;0,"P",""))))</f>
        <v/>
      </c>
      <c r="X201" s="23" t="str">
        <f>IF(A201="","",IF(IF(OR(DATE($B$3,6,23)&gt;EOMONTH(DATE($B$3,6,1),0),NETWORKDAYS.INTL(DATE($B$3,6,23),DATE($B$3,6,23),1,'Non-working days'!$A$6:$A$45)=0),"",IF(COUNTIFS('Leave log'!$A$7:$A$306,Employees!$A$30,'Leave log'!$B$7:$B$306,"&lt;="&amp;DATE($B$3,6,23),'Leave log'!$C$7:$C$306,"&gt;="&amp;DATE($B$3,6,23),'Leave log'!$F$7:$F$306,"Approved")&gt;0,"A",""))="A","A",IF(OR(DATE($B$3,6,23)&gt;EOMONTH(DATE($B$3,6,1),0),NETWORKDAYS.INTL(DATE($B$3,6,23),DATE($B$3,6,23),1,'Non-working days'!$A$6:$A$45)=0),"",IF(COUNTIFS('Leave log'!$A$7:$A$306,Employees!$A$30,'Leave log'!$B$7:$B$306,"&lt;="&amp;DATE($B$3,6,23),'Leave log'!$C$7:$C$306,"&gt;="&amp;DATE($B$3,6,23),'Leave log'!$F$7:$F$306,"Pending")&gt;0,"P",""))))</f>
        <v/>
      </c>
      <c r="Y201" s="23" t="str">
        <f>IF(A201="","",IF(IF(OR(DATE($B$3,6,24)&gt;EOMONTH(DATE($B$3,6,1),0),NETWORKDAYS.INTL(DATE($B$3,6,24),DATE($B$3,6,24),1,'Non-working days'!$A$6:$A$45)=0),"",IF(COUNTIFS('Leave log'!$A$7:$A$306,Employees!$A$30,'Leave log'!$B$7:$B$306,"&lt;="&amp;DATE($B$3,6,24),'Leave log'!$C$7:$C$306,"&gt;="&amp;DATE($B$3,6,24),'Leave log'!$F$7:$F$306,"Approved")&gt;0,"A",""))="A","A",IF(OR(DATE($B$3,6,24)&gt;EOMONTH(DATE($B$3,6,1),0),NETWORKDAYS.INTL(DATE($B$3,6,24),DATE($B$3,6,24),1,'Non-working days'!$A$6:$A$45)=0),"",IF(COUNTIFS('Leave log'!$A$7:$A$306,Employees!$A$30,'Leave log'!$B$7:$B$306,"&lt;="&amp;DATE($B$3,6,24),'Leave log'!$C$7:$C$306,"&gt;="&amp;DATE($B$3,6,24),'Leave log'!$F$7:$F$306,"Pending")&gt;0,"P",""))))</f>
        <v/>
      </c>
      <c r="Z201" s="23" t="str">
        <f>IF(A201="","",IF(IF(OR(DATE($B$3,6,25)&gt;EOMONTH(DATE($B$3,6,1),0),NETWORKDAYS.INTL(DATE($B$3,6,25),DATE($B$3,6,25),1,'Non-working days'!$A$6:$A$45)=0),"",IF(COUNTIFS('Leave log'!$A$7:$A$306,Employees!$A$30,'Leave log'!$B$7:$B$306,"&lt;="&amp;DATE($B$3,6,25),'Leave log'!$C$7:$C$306,"&gt;="&amp;DATE($B$3,6,25),'Leave log'!$F$7:$F$306,"Approved")&gt;0,"A",""))="A","A",IF(OR(DATE($B$3,6,25)&gt;EOMONTH(DATE($B$3,6,1),0),NETWORKDAYS.INTL(DATE($B$3,6,25),DATE($B$3,6,25),1,'Non-working days'!$A$6:$A$45)=0),"",IF(COUNTIFS('Leave log'!$A$7:$A$306,Employees!$A$30,'Leave log'!$B$7:$B$306,"&lt;="&amp;DATE($B$3,6,25),'Leave log'!$C$7:$C$306,"&gt;="&amp;DATE($B$3,6,25),'Leave log'!$F$7:$F$306,"Pending")&gt;0,"P",""))))</f>
        <v/>
      </c>
      <c r="AA201" s="23" t="str">
        <f>IF(A201="","",IF(IF(OR(DATE($B$3,6,26)&gt;EOMONTH(DATE($B$3,6,1),0),NETWORKDAYS.INTL(DATE($B$3,6,26),DATE($B$3,6,26),1,'Non-working days'!$A$6:$A$45)=0),"",IF(COUNTIFS('Leave log'!$A$7:$A$306,Employees!$A$30,'Leave log'!$B$7:$B$306,"&lt;="&amp;DATE($B$3,6,26),'Leave log'!$C$7:$C$306,"&gt;="&amp;DATE($B$3,6,26),'Leave log'!$F$7:$F$306,"Approved")&gt;0,"A",""))="A","A",IF(OR(DATE($B$3,6,26)&gt;EOMONTH(DATE($B$3,6,1),0),NETWORKDAYS.INTL(DATE($B$3,6,26),DATE($B$3,6,26),1,'Non-working days'!$A$6:$A$45)=0),"",IF(COUNTIFS('Leave log'!$A$7:$A$306,Employees!$A$30,'Leave log'!$B$7:$B$306,"&lt;="&amp;DATE($B$3,6,26),'Leave log'!$C$7:$C$306,"&gt;="&amp;DATE($B$3,6,26),'Leave log'!$F$7:$F$306,"Pending")&gt;0,"P",""))))</f>
        <v/>
      </c>
      <c r="AB201" s="23" t="str">
        <f>IF(A201="","",IF(IF(OR(DATE($B$3,6,27)&gt;EOMONTH(DATE($B$3,6,1),0),NETWORKDAYS.INTL(DATE($B$3,6,27),DATE($B$3,6,27),1,'Non-working days'!$A$6:$A$45)=0),"",IF(COUNTIFS('Leave log'!$A$7:$A$306,Employees!$A$30,'Leave log'!$B$7:$B$306,"&lt;="&amp;DATE($B$3,6,27),'Leave log'!$C$7:$C$306,"&gt;="&amp;DATE($B$3,6,27),'Leave log'!$F$7:$F$306,"Approved")&gt;0,"A",""))="A","A",IF(OR(DATE($B$3,6,27)&gt;EOMONTH(DATE($B$3,6,1),0),NETWORKDAYS.INTL(DATE($B$3,6,27),DATE($B$3,6,27),1,'Non-working days'!$A$6:$A$45)=0),"",IF(COUNTIFS('Leave log'!$A$7:$A$306,Employees!$A$30,'Leave log'!$B$7:$B$306,"&lt;="&amp;DATE($B$3,6,27),'Leave log'!$C$7:$C$306,"&gt;="&amp;DATE($B$3,6,27),'Leave log'!$F$7:$F$306,"Pending")&gt;0,"P",""))))</f>
        <v/>
      </c>
      <c r="AC201" s="23" t="str">
        <f>IF(A201="","",IF(IF(OR(DATE($B$3,6,28)&gt;EOMONTH(DATE($B$3,6,1),0),NETWORKDAYS.INTL(DATE($B$3,6,28),DATE($B$3,6,28),1,'Non-working days'!$A$6:$A$45)=0),"",IF(COUNTIFS('Leave log'!$A$7:$A$306,Employees!$A$30,'Leave log'!$B$7:$B$306,"&lt;="&amp;DATE($B$3,6,28),'Leave log'!$C$7:$C$306,"&gt;="&amp;DATE($B$3,6,28),'Leave log'!$F$7:$F$306,"Approved")&gt;0,"A",""))="A","A",IF(OR(DATE($B$3,6,28)&gt;EOMONTH(DATE($B$3,6,1),0),NETWORKDAYS.INTL(DATE($B$3,6,28),DATE($B$3,6,28),1,'Non-working days'!$A$6:$A$45)=0),"",IF(COUNTIFS('Leave log'!$A$7:$A$306,Employees!$A$30,'Leave log'!$B$7:$B$306,"&lt;="&amp;DATE($B$3,6,28),'Leave log'!$C$7:$C$306,"&gt;="&amp;DATE($B$3,6,28),'Leave log'!$F$7:$F$306,"Pending")&gt;0,"P",""))))</f>
        <v/>
      </c>
      <c r="AD201" s="23" t="str">
        <f>IF(A201="","",IF(IF(OR(DATE($B$3,6,29)&gt;EOMONTH(DATE($B$3,6,1),0),NETWORKDAYS.INTL(DATE($B$3,6,29),DATE($B$3,6,29),1,'Non-working days'!$A$6:$A$45)=0),"",IF(COUNTIFS('Leave log'!$A$7:$A$306,Employees!$A$30,'Leave log'!$B$7:$B$306,"&lt;="&amp;DATE($B$3,6,29),'Leave log'!$C$7:$C$306,"&gt;="&amp;DATE($B$3,6,29),'Leave log'!$F$7:$F$306,"Approved")&gt;0,"A",""))="A","A",IF(OR(DATE($B$3,6,29)&gt;EOMONTH(DATE($B$3,6,1),0),NETWORKDAYS.INTL(DATE($B$3,6,29),DATE($B$3,6,29),1,'Non-working days'!$A$6:$A$45)=0),"",IF(COUNTIFS('Leave log'!$A$7:$A$306,Employees!$A$30,'Leave log'!$B$7:$B$306,"&lt;="&amp;DATE($B$3,6,29),'Leave log'!$C$7:$C$306,"&gt;="&amp;DATE($B$3,6,29),'Leave log'!$F$7:$F$306,"Pending")&gt;0,"P",""))))</f>
        <v/>
      </c>
      <c r="AE201" s="23" t="str">
        <f>IF(A201="","",IF(IF(OR(DATE($B$3,6,30)&gt;EOMONTH(DATE($B$3,6,1),0),NETWORKDAYS.INTL(DATE($B$3,6,30),DATE($B$3,6,30),1,'Non-working days'!$A$6:$A$45)=0),"",IF(COUNTIFS('Leave log'!$A$7:$A$306,Employees!$A$30,'Leave log'!$B$7:$B$306,"&lt;="&amp;DATE($B$3,6,30),'Leave log'!$C$7:$C$306,"&gt;="&amp;DATE($B$3,6,30),'Leave log'!$F$7:$F$306,"Approved")&gt;0,"A",""))="A","A",IF(OR(DATE($B$3,6,30)&gt;EOMONTH(DATE($B$3,6,1),0),NETWORKDAYS.INTL(DATE($B$3,6,30),DATE($B$3,6,30),1,'Non-working days'!$A$6:$A$45)=0),"",IF(COUNTIFS('Leave log'!$A$7:$A$306,Employees!$A$30,'Leave log'!$B$7:$B$306,"&lt;="&amp;DATE($B$3,6,30),'Leave log'!$C$7:$C$306,"&gt;="&amp;DATE($B$3,6,30),'Leave log'!$F$7:$F$306,"Pending")&gt;0,"P",""))))</f>
        <v/>
      </c>
      <c r="AF201" s="23" t="str">
        <f>IF(A201="","",IF(IF(OR(DATE($B$3,6,31)&gt;EOMONTH(DATE($B$3,6,1),0),NETWORKDAYS.INTL(DATE($B$3,6,31),DATE($B$3,6,31),1,'Non-working days'!$A$6:$A$45)=0),"",IF(COUNTIFS('Leave log'!$A$7:$A$306,Employees!$A$30,'Leave log'!$B$7:$B$306,"&lt;="&amp;DATE($B$3,6,31),'Leave log'!$C$7:$C$306,"&gt;="&amp;DATE($B$3,6,31),'Leave log'!$F$7:$F$306,"Approved")&gt;0,"A",""))="A","A",IF(OR(DATE($B$3,6,31)&gt;EOMONTH(DATE($B$3,6,1),0),NETWORKDAYS.INTL(DATE($B$3,6,31),DATE($B$3,6,31),1,'Non-working days'!$A$6:$A$45)=0),"",IF(COUNTIFS('Leave log'!$A$7:$A$306,Employees!$A$30,'Leave log'!$B$7:$B$306,"&lt;="&amp;DATE($B$3,6,31),'Leave log'!$C$7:$C$306,"&gt;="&amp;DATE($B$3,6,31),'Leave log'!$F$7:$F$306,"Pending")&gt;0,"P",""))))</f>
        <v/>
      </c>
    </row>
    <row r="202" spans="1:32" ht="18" customHeight="1" x14ac:dyDescent="0.3">
      <c r="A202" s="22" t="str">
        <f>IF(Employees!F31="Yes",Employees!B31,"")</f>
        <v/>
      </c>
      <c r="B202" s="23" t="str">
        <f>IF(A202="","",IF(IF(OR(DATE($B$3,6,1)&gt;EOMONTH(DATE($B$3,6,1),0),NETWORKDAYS.INTL(DATE($B$3,6,1),DATE($B$3,6,1),1,'Non-working days'!$A$6:$A$45)=0),"",IF(COUNTIFS('Leave log'!$A$7:$A$306,Employees!$A$31,'Leave log'!$B$7:$B$306,"&lt;="&amp;DATE($B$3,6,1),'Leave log'!$C$7:$C$306,"&gt;="&amp;DATE($B$3,6,1),'Leave log'!$F$7:$F$306,"Approved")&gt;0,"A",""))="A","A",IF(OR(DATE($B$3,6,1)&gt;EOMONTH(DATE($B$3,6,1),0),NETWORKDAYS.INTL(DATE($B$3,6,1),DATE($B$3,6,1),1,'Non-working days'!$A$6:$A$45)=0),"",IF(COUNTIFS('Leave log'!$A$7:$A$306,Employees!$A$31,'Leave log'!$B$7:$B$306,"&lt;="&amp;DATE($B$3,6,1),'Leave log'!$C$7:$C$306,"&gt;="&amp;DATE($B$3,6,1),'Leave log'!$F$7:$F$306,"Pending")&gt;0,"P",""))))</f>
        <v/>
      </c>
      <c r="C202" s="23" t="str">
        <f>IF(A202="","",IF(IF(OR(DATE($B$3,6,2)&gt;EOMONTH(DATE($B$3,6,1),0),NETWORKDAYS.INTL(DATE($B$3,6,2),DATE($B$3,6,2),1,'Non-working days'!$A$6:$A$45)=0),"",IF(COUNTIFS('Leave log'!$A$7:$A$306,Employees!$A$31,'Leave log'!$B$7:$B$306,"&lt;="&amp;DATE($B$3,6,2),'Leave log'!$C$7:$C$306,"&gt;="&amp;DATE($B$3,6,2),'Leave log'!$F$7:$F$306,"Approved")&gt;0,"A",""))="A","A",IF(OR(DATE($B$3,6,2)&gt;EOMONTH(DATE($B$3,6,1),0),NETWORKDAYS.INTL(DATE($B$3,6,2),DATE($B$3,6,2),1,'Non-working days'!$A$6:$A$45)=0),"",IF(COUNTIFS('Leave log'!$A$7:$A$306,Employees!$A$31,'Leave log'!$B$7:$B$306,"&lt;="&amp;DATE($B$3,6,2),'Leave log'!$C$7:$C$306,"&gt;="&amp;DATE($B$3,6,2),'Leave log'!$F$7:$F$306,"Pending")&gt;0,"P",""))))</f>
        <v/>
      </c>
      <c r="D202" s="23" t="str">
        <f>IF(A202="","",IF(IF(OR(DATE($B$3,6,3)&gt;EOMONTH(DATE($B$3,6,1),0),NETWORKDAYS.INTL(DATE($B$3,6,3),DATE($B$3,6,3),1,'Non-working days'!$A$6:$A$45)=0),"",IF(COUNTIFS('Leave log'!$A$7:$A$306,Employees!$A$31,'Leave log'!$B$7:$B$306,"&lt;="&amp;DATE($B$3,6,3),'Leave log'!$C$7:$C$306,"&gt;="&amp;DATE($B$3,6,3),'Leave log'!$F$7:$F$306,"Approved")&gt;0,"A",""))="A","A",IF(OR(DATE($B$3,6,3)&gt;EOMONTH(DATE($B$3,6,1),0),NETWORKDAYS.INTL(DATE($B$3,6,3),DATE($B$3,6,3),1,'Non-working days'!$A$6:$A$45)=0),"",IF(COUNTIFS('Leave log'!$A$7:$A$306,Employees!$A$31,'Leave log'!$B$7:$B$306,"&lt;="&amp;DATE($B$3,6,3),'Leave log'!$C$7:$C$306,"&gt;="&amp;DATE($B$3,6,3),'Leave log'!$F$7:$F$306,"Pending")&gt;0,"P",""))))</f>
        <v/>
      </c>
      <c r="E202" s="23" t="str">
        <f>IF(A202="","",IF(IF(OR(DATE($B$3,6,4)&gt;EOMONTH(DATE($B$3,6,1),0),NETWORKDAYS.INTL(DATE($B$3,6,4),DATE($B$3,6,4),1,'Non-working days'!$A$6:$A$45)=0),"",IF(COUNTIFS('Leave log'!$A$7:$A$306,Employees!$A$31,'Leave log'!$B$7:$B$306,"&lt;="&amp;DATE($B$3,6,4),'Leave log'!$C$7:$C$306,"&gt;="&amp;DATE($B$3,6,4),'Leave log'!$F$7:$F$306,"Approved")&gt;0,"A",""))="A","A",IF(OR(DATE($B$3,6,4)&gt;EOMONTH(DATE($B$3,6,1),0),NETWORKDAYS.INTL(DATE($B$3,6,4),DATE($B$3,6,4),1,'Non-working days'!$A$6:$A$45)=0),"",IF(COUNTIFS('Leave log'!$A$7:$A$306,Employees!$A$31,'Leave log'!$B$7:$B$306,"&lt;="&amp;DATE($B$3,6,4),'Leave log'!$C$7:$C$306,"&gt;="&amp;DATE($B$3,6,4),'Leave log'!$F$7:$F$306,"Pending")&gt;0,"P",""))))</f>
        <v/>
      </c>
      <c r="F202" s="23" t="str">
        <f>IF(A202="","",IF(IF(OR(DATE($B$3,6,5)&gt;EOMONTH(DATE($B$3,6,1),0),NETWORKDAYS.INTL(DATE($B$3,6,5),DATE($B$3,6,5),1,'Non-working days'!$A$6:$A$45)=0),"",IF(COUNTIFS('Leave log'!$A$7:$A$306,Employees!$A$31,'Leave log'!$B$7:$B$306,"&lt;="&amp;DATE($B$3,6,5),'Leave log'!$C$7:$C$306,"&gt;="&amp;DATE($B$3,6,5),'Leave log'!$F$7:$F$306,"Approved")&gt;0,"A",""))="A","A",IF(OR(DATE($B$3,6,5)&gt;EOMONTH(DATE($B$3,6,1),0),NETWORKDAYS.INTL(DATE($B$3,6,5),DATE($B$3,6,5),1,'Non-working days'!$A$6:$A$45)=0),"",IF(COUNTIFS('Leave log'!$A$7:$A$306,Employees!$A$31,'Leave log'!$B$7:$B$306,"&lt;="&amp;DATE($B$3,6,5),'Leave log'!$C$7:$C$306,"&gt;="&amp;DATE($B$3,6,5),'Leave log'!$F$7:$F$306,"Pending")&gt;0,"P",""))))</f>
        <v/>
      </c>
      <c r="G202" s="23" t="str">
        <f>IF(A202="","",IF(IF(OR(DATE($B$3,6,6)&gt;EOMONTH(DATE($B$3,6,1),0),NETWORKDAYS.INTL(DATE($B$3,6,6),DATE($B$3,6,6),1,'Non-working days'!$A$6:$A$45)=0),"",IF(COUNTIFS('Leave log'!$A$7:$A$306,Employees!$A$31,'Leave log'!$B$7:$B$306,"&lt;="&amp;DATE($B$3,6,6),'Leave log'!$C$7:$C$306,"&gt;="&amp;DATE($B$3,6,6),'Leave log'!$F$7:$F$306,"Approved")&gt;0,"A",""))="A","A",IF(OR(DATE($B$3,6,6)&gt;EOMONTH(DATE($B$3,6,1),0),NETWORKDAYS.INTL(DATE($B$3,6,6),DATE($B$3,6,6),1,'Non-working days'!$A$6:$A$45)=0),"",IF(COUNTIFS('Leave log'!$A$7:$A$306,Employees!$A$31,'Leave log'!$B$7:$B$306,"&lt;="&amp;DATE($B$3,6,6),'Leave log'!$C$7:$C$306,"&gt;="&amp;DATE($B$3,6,6),'Leave log'!$F$7:$F$306,"Pending")&gt;0,"P",""))))</f>
        <v/>
      </c>
      <c r="H202" s="23" t="str">
        <f>IF(A202="","",IF(IF(OR(DATE($B$3,6,7)&gt;EOMONTH(DATE($B$3,6,1),0),NETWORKDAYS.INTL(DATE($B$3,6,7),DATE($B$3,6,7),1,'Non-working days'!$A$6:$A$45)=0),"",IF(COUNTIFS('Leave log'!$A$7:$A$306,Employees!$A$31,'Leave log'!$B$7:$B$306,"&lt;="&amp;DATE($B$3,6,7),'Leave log'!$C$7:$C$306,"&gt;="&amp;DATE($B$3,6,7),'Leave log'!$F$7:$F$306,"Approved")&gt;0,"A",""))="A","A",IF(OR(DATE($B$3,6,7)&gt;EOMONTH(DATE($B$3,6,1),0),NETWORKDAYS.INTL(DATE($B$3,6,7),DATE($B$3,6,7),1,'Non-working days'!$A$6:$A$45)=0),"",IF(COUNTIFS('Leave log'!$A$7:$A$306,Employees!$A$31,'Leave log'!$B$7:$B$306,"&lt;="&amp;DATE($B$3,6,7),'Leave log'!$C$7:$C$306,"&gt;="&amp;DATE($B$3,6,7),'Leave log'!$F$7:$F$306,"Pending")&gt;0,"P",""))))</f>
        <v/>
      </c>
      <c r="I202" s="23" t="str">
        <f>IF(A202="","",IF(IF(OR(DATE($B$3,6,8)&gt;EOMONTH(DATE($B$3,6,1),0),NETWORKDAYS.INTL(DATE($B$3,6,8),DATE($B$3,6,8),1,'Non-working days'!$A$6:$A$45)=0),"",IF(COUNTIFS('Leave log'!$A$7:$A$306,Employees!$A$31,'Leave log'!$B$7:$B$306,"&lt;="&amp;DATE($B$3,6,8),'Leave log'!$C$7:$C$306,"&gt;="&amp;DATE($B$3,6,8),'Leave log'!$F$7:$F$306,"Approved")&gt;0,"A",""))="A","A",IF(OR(DATE($B$3,6,8)&gt;EOMONTH(DATE($B$3,6,1),0),NETWORKDAYS.INTL(DATE($B$3,6,8),DATE($B$3,6,8),1,'Non-working days'!$A$6:$A$45)=0),"",IF(COUNTIFS('Leave log'!$A$7:$A$306,Employees!$A$31,'Leave log'!$B$7:$B$306,"&lt;="&amp;DATE($B$3,6,8),'Leave log'!$C$7:$C$306,"&gt;="&amp;DATE($B$3,6,8),'Leave log'!$F$7:$F$306,"Pending")&gt;0,"P",""))))</f>
        <v/>
      </c>
      <c r="J202" s="23" t="str">
        <f>IF(A202="","",IF(IF(OR(DATE($B$3,6,9)&gt;EOMONTH(DATE($B$3,6,1),0),NETWORKDAYS.INTL(DATE($B$3,6,9),DATE($B$3,6,9),1,'Non-working days'!$A$6:$A$45)=0),"",IF(COUNTIFS('Leave log'!$A$7:$A$306,Employees!$A$31,'Leave log'!$B$7:$B$306,"&lt;="&amp;DATE($B$3,6,9),'Leave log'!$C$7:$C$306,"&gt;="&amp;DATE($B$3,6,9),'Leave log'!$F$7:$F$306,"Approved")&gt;0,"A",""))="A","A",IF(OR(DATE($B$3,6,9)&gt;EOMONTH(DATE($B$3,6,1),0),NETWORKDAYS.INTL(DATE($B$3,6,9),DATE($B$3,6,9),1,'Non-working days'!$A$6:$A$45)=0),"",IF(COUNTIFS('Leave log'!$A$7:$A$306,Employees!$A$31,'Leave log'!$B$7:$B$306,"&lt;="&amp;DATE($B$3,6,9),'Leave log'!$C$7:$C$306,"&gt;="&amp;DATE($B$3,6,9),'Leave log'!$F$7:$F$306,"Pending")&gt;0,"P",""))))</f>
        <v/>
      </c>
      <c r="K202" s="23" t="str">
        <f>IF(A202="","",IF(IF(OR(DATE($B$3,6,10)&gt;EOMONTH(DATE($B$3,6,1),0),NETWORKDAYS.INTL(DATE($B$3,6,10),DATE($B$3,6,10),1,'Non-working days'!$A$6:$A$45)=0),"",IF(COUNTIFS('Leave log'!$A$7:$A$306,Employees!$A$31,'Leave log'!$B$7:$B$306,"&lt;="&amp;DATE($B$3,6,10),'Leave log'!$C$7:$C$306,"&gt;="&amp;DATE($B$3,6,10),'Leave log'!$F$7:$F$306,"Approved")&gt;0,"A",""))="A","A",IF(OR(DATE($B$3,6,10)&gt;EOMONTH(DATE($B$3,6,1),0),NETWORKDAYS.INTL(DATE($B$3,6,10),DATE($B$3,6,10),1,'Non-working days'!$A$6:$A$45)=0),"",IF(COUNTIFS('Leave log'!$A$7:$A$306,Employees!$A$31,'Leave log'!$B$7:$B$306,"&lt;="&amp;DATE($B$3,6,10),'Leave log'!$C$7:$C$306,"&gt;="&amp;DATE($B$3,6,10),'Leave log'!$F$7:$F$306,"Pending")&gt;0,"P",""))))</f>
        <v/>
      </c>
      <c r="L202" s="23" t="str">
        <f>IF(A202="","",IF(IF(OR(DATE($B$3,6,11)&gt;EOMONTH(DATE($B$3,6,1),0),NETWORKDAYS.INTL(DATE($B$3,6,11),DATE($B$3,6,11),1,'Non-working days'!$A$6:$A$45)=0),"",IF(COUNTIFS('Leave log'!$A$7:$A$306,Employees!$A$31,'Leave log'!$B$7:$B$306,"&lt;="&amp;DATE($B$3,6,11),'Leave log'!$C$7:$C$306,"&gt;="&amp;DATE($B$3,6,11),'Leave log'!$F$7:$F$306,"Approved")&gt;0,"A",""))="A","A",IF(OR(DATE($B$3,6,11)&gt;EOMONTH(DATE($B$3,6,1),0),NETWORKDAYS.INTL(DATE($B$3,6,11),DATE($B$3,6,11),1,'Non-working days'!$A$6:$A$45)=0),"",IF(COUNTIFS('Leave log'!$A$7:$A$306,Employees!$A$31,'Leave log'!$B$7:$B$306,"&lt;="&amp;DATE($B$3,6,11),'Leave log'!$C$7:$C$306,"&gt;="&amp;DATE($B$3,6,11),'Leave log'!$F$7:$F$306,"Pending")&gt;0,"P",""))))</f>
        <v/>
      </c>
      <c r="M202" s="23" t="str">
        <f>IF(A202="","",IF(IF(OR(DATE($B$3,6,12)&gt;EOMONTH(DATE($B$3,6,1),0),NETWORKDAYS.INTL(DATE($B$3,6,12),DATE($B$3,6,12),1,'Non-working days'!$A$6:$A$45)=0),"",IF(COUNTIFS('Leave log'!$A$7:$A$306,Employees!$A$31,'Leave log'!$B$7:$B$306,"&lt;="&amp;DATE($B$3,6,12),'Leave log'!$C$7:$C$306,"&gt;="&amp;DATE($B$3,6,12),'Leave log'!$F$7:$F$306,"Approved")&gt;0,"A",""))="A","A",IF(OR(DATE($B$3,6,12)&gt;EOMONTH(DATE($B$3,6,1),0),NETWORKDAYS.INTL(DATE($B$3,6,12),DATE($B$3,6,12),1,'Non-working days'!$A$6:$A$45)=0),"",IF(COUNTIFS('Leave log'!$A$7:$A$306,Employees!$A$31,'Leave log'!$B$7:$B$306,"&lt;="&amp;DATE($B$3,6,12),'Leave log'!$C$7:$C$306,"&gt;="&amp;DATE($B$3,6,12),'Leave log'!$F$7:$F$306,"Pending")&gt;0,"P",""))))</f>
        <v/>
      </c>
      <c r="N202" s="23" t="str">
        <f>IF(A202="","",IF(IF(OR(DATE($B$3,6,13)&gt;EOMONTH(DATE($B$3,6,1),0),NETWORKDAYS.INTL(DATE($B$3,6,13),DATE($B$3,6,13),1,'Non-working days'!$A$6:$A$45)=0),"",IF(COUNTIFS('Leave log'!$A$7:$A$306,Employees!$A$31,'Leave log'!$B$7:$B$306,"&lt;="&amp;DATE($B$3,6,13),'Leave log'!$C$7:$C$306,"&gt;="&amp;DATE($B$3,6,13),'Leave log'!$F$7:$F$306,"Approved")&gt;0,"A",""))="A","A",IF(OR(DATE($B$3,6,13)&gt;EOMONTH(DATE($B$3,6,1),0),NETWORKDAYS.INTL(DATE($B$3,6,13),DATE($B$3,6,13),1,'Non-working days'!$A$6:$A$45)=0),"",IF(COUNTIFS('Leave log'!$A$7:$A$306,Employees!$A$31,'Leave log'!$B$7:$B$306,"&lt;="&amp;DATE($B$3,6,13),'Leave log'!$C$7:$C$306,"&gt;="&amp;DATE($B$3,6,13),'Leave log'!$F$7:$F$306,"Pending")&gt;0,"P",""))))</f>
        <v/>
      </c>
      <c r="O202" s="23" t="str">
        <f>IF(A202="","",IF(IF(OR(DATE($B$3,6,14)&gt;EOMONTH(DATE($B$3,6,1),0),NETWORKDAYS.INTL(DATE($B$3,6,14),DATE($B$3,6,14),1,'Non-working days'!$A$6:$A$45)=0),"",IF(COUNTIFS('Leave log'!$A$7:$A$306,Employees!$A$31,'Leave log'!$B$7:$B$306,"&lt;="&amp;DATE($B$3,6,14),'Leave log'!$C$7:$C$306,"&gt;="&amp;DATE($B$3,6,14),'Leave log'!$F$7:$F$306,"Approved")&gt;0,"A",""))="A","A",IF(OR(DATE($B$3,6,14)&gt;EOMONTH(DATE($B$3,6,1),0),NETWORKDAYS.INTL(DATE($B$3,6,14),DATE($B$3,6,14),1,'Non-working days'!$A$6:$A$45)=0),"",IF(COUNTIFS('Leave log'!$A$7:$A$306,Employees!$A$31,'Leave log'!$B$7:$B$306,"&lt;="&amp;DATE($B$3,6,14),'Leave log'!$C$7:$C$306,"&gt;="&amp;DATE($B$3,6,14),'Leave log'!$F$7:$F$306,"Pending")&gt;0,"P",""))))</f>
        <v/>
      </c>
      <c r="P202" s="23" t="str">
        <f>IF(A202="","",IF(IF(OR(DATE($B$3,6,15)&gt;EOMONTH(DATE($B$3,6,1),0),NETWORKDAYS.INTL(DATE($B$3,6,15),DATE($B$3,6,15),1,'Non-working days'!$A$6:$A$45)=0),"",IF(COUNTIFS('Leave log'!$A$7:$A$306,Employees!$A$31,'Leave log'!$B$7:$B$306,"&lt;="&amp;DATE($B$3,6,15),'Leave log'!$C$7:$C$306,"&gt;="&amp;DATE($B$3,6,15),'Leave log'!$F$7:$F$306,"Approved")&gt;0,"A",""))="A","A",IF(OR(DATE($B$3,6,15)&gt;EOMONTH(DATE($B$3,6,1),0),NETWORKDAYS.INTL(DATE($B$3,6,15),DATE($B$3,6,15),1,'Non-working days'!$A$6:$A$45)=0),"",IF(COUNTIFS('Leave log'!$A$7:$A$306,Employees!$A$31,'Leave log'!$B$7:$B$306,"&lt;="&amp;DATE($B$3,6,15),'Leave log'!$C$7:$C$306,"&gt;="&amp;DATE($B$3,6,15),'Leave log'!$F$7:$F$306,"Pending")&gt;0,"P",""))))</f>
        <v/>
      </c>
      <c r="Q202" s="23" t="str">
        <f>IF(A202="","",IF(IF(OR(DATE($B$3,6,16)&gt;EOMONTH(DATE($B$3,6,1),0),NETWORKDAYS.INTL(DATE($B$3,6,16),DATE($B$3,6,16),1,'Non-working days'!$A$6:$A$45)=0),"",IF(COUNTIFS('Leave log'!$A$7:$A$306,Employees!$A$31,'Leave log'!$B$7:$B$306,"&lt;="&amp;DATE($B$3,6,16),'Leave log'!$C$7:$C$306,"&gt;="&amp;DATE($B$3,6,16),'Leave log'!$F$7:$F$306,"Approved")&gt;0,"A",""))="A","A",IF(OR(DATE($B$3,6,16)&gt;EOMONTH(DATE($B$3,6,1),0),NETWORKDAYS.INTL(DATE($B$3,6,16),DATE($B$3,6,16),1,'Non-working days'!$A$6:$A$45)=0),"",IF(COUNTIFS('Leave log'!$A$7:$A$306,Employees!$A$31,'Leave log'!$B$7:$B$306,"&lt;="&amp;DATE($B$3,6,16),'Leave log'!$C$7:$C$306,"&gt;="&amp;DATE($B$3,6,16),'Leave log'!$F$7:$F$306,"Pending")&gt;0,"P",""))))</f>
        <v/>
      </c>
      <c r="R202" s="23" t="str">
        <f>IF(A202="","",IF(IF(OR(DATE($B$3,6,17)&gt;EOMONTH(DATE($B$3,6,1),0),NETWORKDAYS.INTL(DATE($B$3,6,17),DATE($B$3,6,17),1,'Non-working days'!$A$6:$A$45)=0),"",IF(COUNTIFS('Leave log'!$A$7:$A$306,Employees!$A$31,'Leave log'!$B$7:$B$306,"&lt;="&amp;DATE($B$3,6,17),'Leave log'!$C$7:$C$306,"&gt;="&amp;DATE($B$3,6,17),'Leave log'!$F$7:$F$306,"Approved")&gt;0,"A",""))="A","A",IF(OR(DATE($B$3,6,17)&gt;EOMONTH(DATE($B$3,6,1),0),NETWORKDAYS.INTL(DATE($B$3,6,17),DATE($B$3,6,17),1,'Non-working days'!$A$6:$A$45)=0),"",IF(COUNTIFS('Leave log'!$A$7:$A$306,Employees!$A$31,'Leave log'!$B$7:$B$306,"&lt;="&amp;DATE($B$3,6,17),'Leave log'!$C$7:$C$306,"&gt;="&amp;DATE($B$3,6,17),'Leave log'!$F$7:$F$306,"Pending")&gt;0,"P",""))))</f>
        <v/>
      </c>
      <c r="S202" s="23" t="str">
        <f>IF(A202="","",IF(IF(OR(DATE($B$3,6,18)&gt;EOMONTH(DATE($B$3,6,1),0),NETWORKDAYS.INTL(DATE($B$3,6,18),DATE($B$3,6,18),1,'Non-working days'!$A$6:$A$45)=0),"",IF(COUNTIFS('Leave log'!$A$7:$A$306,Employees!$A$31,'Leave log'!$B$7:$B$306,"&lt;="&amp;DATE($B$3,6,18),'Leave log'!$C$7:$C$306,"&gt;="&amp;DATE($B$3,6,18),'Leave log'!$F$7:$F$306,"Approved")&gt;0,"A",""))="A","A",IF(OR(DATE($B$3,6,18)&gt;EOMONTH(DATE($B$3,6,1),0),NETWORKDAYS.INTL(DATE($B$3,6,18),DATE($B$3,6,18),1,'Non-working days'!$A$6:$A$45)=0),"",IF(COUNTIFS('Leave log'!$A$7:$A$306,Employees!$A$31,'Leave log'!$B$7:$B$306,"&lt;="&amp;DATE($B$3,6,18),'Leave log'!$C$7:$C$306,"&gt;="&amp;DATE($B$3,6,18),'Leave log'!$F$7:$F$306,"Pending")&gt;0,"P",""))))</f>
        <v/>
      </c>
      <c r="T202" s="23" t="str">
        <f>IF(A202="","",IF(IF(OR(DATE($B$3,6,19)&gt;EOMONTH(DATE($B$3,6,1),0),NETWORKDAYS.INTL(DATE($B$3,6,19),DATE($B$3,6,19),1,'Non-working days'!$A$6:$A$45)=0),"",IF(COUNTIFS('Leave log'!$A$7:$A$306,Employees!$A$31,'Leave log'!$B$7:$B$306,"&lt;="&amp;DATE($B$3,6,19),'Leave log'!$C$7:$C$306,"&gt;="&amp;DATE($B$3,6,19),'Leave log'!$F$7:$F$306,"Approved")&gt;0,"A",""))="A","A",IF(OR(DATE($B$3,6,19)&gt;EOMONTH(DATE($B$3,6,1),0),NETWORKDAYS.INTL(DATE($B$3,6,19),DATE($B$3,6,19),1,'Non-working days'!$A$6:$A$45)=0),"",IF(COUNTIFS('Leave log'!$A$7:$A$306,Employees!$A$31,'Leave log'!$B$7:$B$306,"&lt;="&amp;DATE($B$3,6,19),'Leave log'!$C$7:$C$306,"&gt;="&amp;DATE($B$3,6,19),'Leave log'!$F$7:$F$306,"Pending")&gt;0,"P",""))))</f>
        <v/>
      </c>
      <c r="U202" s="23" t="str">
        <f>IF(A202="","",IF(IF(OR(DATE($B$3,6,20)&gt;EOMONTH(DATE($B$3,6,1),0),NETWORKDAYS.INTL(DATE($B$3,6,20),DATE($B$3,6,20),1,'Non-working days'!$A$6:$A$45)=0),"",IF(COUNTIFS('Leave log'!$A$7:$A$306,Employees!$A$31,'Leave log'!$B$7:$B$306,"&lt;="&amp;DATE($B$3,6,20),'Leave log'!$C$7:$C$306,"&gt;="&amp;DATE($B$3,6,20),'Leave log'!$F$7:$F$306,"Approved")&gt;0,"A",""))="A","A",IF(OR(DATE($B$3,6,20)&gt;EOMONTH(DATE($B$3,6,1),0),NETWORKDAYS.INTL(DATE($B$3,6,20),DATE($B$3,6,20),1,'Non-working days'!$A$6:$A$45)=0),"",IF(COUNTIFS('Leave log'!$A$7:$A$306,Employees!$A$31,'Leave log'!$B$7:$B$306,"&lt;="&amp;DATE($B$3,6,20),'Leave log'!$C$7:$C$306,"&gt;="&amp;DATE($B$3,6,20),'Leave log'!$F$7:$F$306,"Pending")&gt;0,"P",""))))</f>
        <v/>
      </c>
      <c r="V202" s="23" t="str">
        <f>IF(A202="","",IF(IF(OR(DATE($B$3,6,21)&gt;EOMONTH(DATE($B$3,6,1),0),NETWORKDAYS.INTL(DATE($B$3,6,21),DATE($B$3,6,21),1,'Non-working days'!$A$6:$A$45)=0),"",IF(COUNTIFS('Leave log'!$A$7:$A$306,Employees!$A$31,'Leave log'!$B$7:$B$306,"&lt;="&amp;DATE($B$3,6,21),'Leave log'!$C$7:$C$306,"&gt;="&amp;DATE($B$3,6,21),'Leave log'!$F$7:$F$306,"Approved")&gt;0,"A",""))="A","A",IF(OR(DATE($B$3,6,21)&gt;EOMONTH(DATE($B$3,6,1),0),NETWORKDAYS.INTL(DATE($B$3,6,21),DATE($B$3,6,21),1,'Non-working days'!$A$6:$A$45)=0),"",IF(COUNTIFS('Leave log'!$A$7:$A$306,Employees!$A$31,'Leave log'!$B$7:$B$306,"&lt;="&amp;DATE($B$3,6,21),'Leave log'!$C$7:$C$306,"&gt;="&amp;DATE($B$3,6,21),'Leave log'!$F$7:$F$306,"Pending")&gt;0,"P",""))))</f>
        <v/>
      </c>
      <c r="W202" s="23" t="str">
        <f>IF(A202="","",IF(IF(OR(DATE($B$3,6,22)&gt;EOMONTH(DATE($B$3,6,1),0),NETWORKDAYS.INTL(DATE($B$3,6,22),DATE($B$3,6,22),1,'Non-working days'!$A$6:$A$45)=0),"",IF(COUNTIFS('Leave log'!$A$7:$A$306,Employees!$A$31,'Leave log'!$B$7:$B$306,"&lt;="&amp;DATE($B$3,6,22),'Leave log'!$C$7:$C$306,"&gt;="&amp;DATE($B$3,6,22),'Leave log'!$F$7:$F$306,"Approved")&gt;0,"A",""))="A","A",IF(OR(DATE($B$3,6,22)&gt;EOMONTH(DATE($B$3,6,1),0),NETWORKDAYS.INTL(DATE($B$3,6,22),DATE($B$3,6,22),1,'Non-working days'!$A$6:$A$45)=0),"",IF(COUNTIFS('Leave log'!$A$7:$A$306,Employees!$A$31,'Leave log'!$B$7:$B$306,"&lt;="&amp;DATE($B$3,6,22),'Leave log'!$C$7:$C$306,"&gt;="&amp;DATE($B$3,6,22),'Leave log'!$F$7:$F$306,"Pending")&gt;0,"P",""))))</f>
        <v/>
      </c>
      <c r="X202" s="23" t="str">
        <f>IF(A202="","",IF(IF(OR(DATE($B$3,6,23)&gt;EOMONTH(DATE($B$3,6,1),0),NETWORKDAYS.INTL(DATE($B$3,6,23),DATE($B$3,6,23),1,'Non-working days'!$A$6:$A$45)=0),"",IF(COUNTIFS('Leave log'!$A$7:$A$306,Employees!$A$31,'Leave log'!$B$7:$B$306,"&lt;="&amp;DATE($B$3,6,23),'Leave log'!$C$7:$C$306,"&gt;="&amp;DATE($B$3,6,23),'Leave log'!$F$7:$F$306,"Approved")&gt;0,"A",""))="A","A",IF(OR(DATE($B$3,6,23)&gt;EOMONTH(DATE($B$3,6,1),0),NETWORKDAYS.INTL(DATE($B$3,6,23),DATE($B$3,6,23),1,'Non-working days'!$A$6:$A$45)=0),"",IF(COUNTIFS('Leave log'!$A$7:$A$306,Employees!$A$31,'Leave log'!$B$7:$B$306,"&lt;="&amp;DATE($B$3,6,23),'Leave log'!$C$7:$C$306,"&gt;="&amp;DATE($B$3,6,23),'Leave log'!$F$7:$F$306,"Pending")&gt;0,"P",""))))</f>
        <v/>
      </c>
      <c r="Y202" s="23" t="str">
        <f>IF(A202="","",IF(IF(OR(DATE($B$3,6,24)&gt;EOMONTH(DATE($B$3,6,1),0),NETWORKDAYS.INTL(DATE($B$3,6,24),DATE($B$3,6,24),1,'Non-working days'!$A$6:$A$45)=0),"",IF(COUNTIFS('Leave log'!$A$7:$A$306,Employees!$A$31,'Leave log'!$B$7:$B$306,"&lt;="&amp;DATE($B$3,6,24),'Leave log'!$C$7:$C$306,"&gt;="&amp;DATE($B$3,6,24),'Leave log'!$F$7:$F$306,"Approved")&gt;0,"A",""))="A","A",IF(OR(DATE($B$3,6,24)&gt;EOMONTH(DATE($B$3,6,1),0),NETWORKDAYS.INTL(DATE($B$3,6,24),DATE($B$3,6,24),1,'Non-working days'!$A$6:$A$45)=0),"",IF(COUNTIFS('Leave log'!$A$7:$A$306,Employees!$A$31,'Leave log'!$B$7:$B$306,"&lt;="&amp;DATE($B$3,6,24),'Leave log'!$C$7:$C$306,"&gt;="&amp;DATE($B$3,6,24),'Leave log'!$F$7:$F$306,"Pending")&gt;0,"P",""))))</f>
        <v/>
      </c>
      <c r="Z202" s="23" t="str">
        <f>IF(A202="","",IF(IF(OR(DATE($B$3,6,25)&gt;EOMONTH(DATE($B$3,6,1),0),NETWORKDAYS.INTL(DATE($B$3,6,25),DATE($B$3,6,25),1,'Non-working days'!$A$6:$A$45)=0),"",IF(COUNTIFS('Leave log'!$A$7:$A$306,Employees!$A$31,'Leave log'!$B$7:$B$306,"&lt;="&amp;DATE($B$3,6,25),'Leave log'!$C$7:$C$306,"&gt;="&amp;DATE($B$3,6,25),'Leave log'!$F$7:$F$306,"Approved")&gt;0,"A",""))="A","A",IF(OR(DATE($B$3,6,25)&gt;EOMONTH(DATE($B$3,6,1),0),NETWORKDAYS.INTL(DATE($B$3,6,25),DATE($B$3,6,25),1,'Non-working days'!$A$6:$A$45)=0),"",IF(COUNTIFS('Leave log'!$A$7:$A$306,Employees!$A$31,'Leave log'!$B$7:$B$306,"&lt;="&amp;DATE($B$3,6,25),'Leave log'!$C$7:$C$306,"&gt;="&amp;DATE($B$3,6,25),'Leave log'!$F$7:$F$306,"Pending")&gt;0,"P",""))))</f>
        <v/>
      </c>
      <c r="AA202" s="23" t="str">
        <f>IF(A202="","",IF(IF(OR(DATE($B$3,6,26)&gt;EOMONTH(DATE($B$3,6,1),0),NETWORKDAYS.INTL(DATE($B$3,6,26),DATE($B$3,6,26),1,'Non-working days'!$A$6:$A$45)=0),"",IF(COUNTIFS('Leave log'!$A$7:$A$306,Employees!$A$31,'Leave log'!$B$7:$B$306,"&lt;="&amp;DATE($B$3,6,26),'Leave log'!$C$7:$C$306,"&gt;="&amp;DATE($B$3,6,26),'Leave log'!$F$7:$F$306,"Approved")&gt;0,"A",""))="A","A",IF(OR(DATE($B$3,6,26)&gt;EOMONTH(DATE($B$3,6,1),0),NETWORKDAYS.INTL(DATE($B$3,6,26),DATE($B$3,6,26),1,'Non-working days'!$A$6:$A$45)=0),"",IF(COUNTIFS('Leave log'!$A$7:$A$306,Employees!$A$31,'Leave log'!$B$7:$B$306,"&lt;="&amp;DATE($B$3,6,26),'Leave log'!$C$7:$C$306,"&gt;="&amp;DATE($B$3,6,26),'Leave log'!$F$7:$F$306,"Pending")&gt;0,"P",""))))</f>
        <v/>
      </c>
      <c r="AB202" s="23" t="str">
        <f>IF(A202="","",IF(IF(OR(DATE($B$3,6,27)&gt;EOMONTH(DATE($B$3,6,1),0),NETWORKDAYS.INTL(DATE($B$3,6,27),DATE($B$3,6,27),1,'Non-working days'!$A$6:$A$45)=0),"",IF(COUNTIFS('Leave log'!$A$7:$A$306,Employees!$A$31,'Leave log'!$B$7:$B$306,"&lt;="&amp;DATE($B$3,6,27),'Leave log'!$C$7:$C$306,"&gt;="&amp;DATE($B$3,6,27),'Leave log'!$F$7:$F$306,"Approved")&gt;0,"A",""))="A","A",IF(OR(DATE($B$3,6,27)&gt;EOMONTH(DATE($B$3,6,1),0),NETWORKDAYS.INTL(DATE($B$3,6,27),DATE($B$3,6,27),1,'Non-working days'!$A$6:$A$45)=0),"",IF(COUNTIFS('Leave log'!$A$7:$A$306,Employees!$A$31,'Leave log'!$B$7:$B$306,"&lt;="&amp;DATE($B$3,6,27),'Leave log'!$C$7:$C$306,"&gt;="&amp;DATE($B$3,6,27),'Leave log'!$F$7:$F$306,"Pending")&gt;0,"P",""))))</f>
        <v/>
      </c>
      <c r="AC202" s="23" t="str">
        <f>IF(A202="","",IF(IF(OR(DATE($B$3,6,28)&gt;EOMONTH(DATE($B$3,6,1),0),NETWORKDAYS.INTL(DATE($B$3,6,28),DATE($B$3,6,28),1,'Non-working days'!$A$6:$A$45)=0),"",IF(COUNTIFS('Leave log'!$A$7:$A$306,Employees!$A$31,'Leave log'!$B$7:$B$306,"&lt;="&amp;DATE($B$3,6,28),'Leave log'!$C$7:$C$306,"&gt;="&amp;DATE($B$3,6,28),'Leave log'!$F$7:$F$306,"Approved")&gt;0,"A",""))="A","A",IF(OR(DATE($B$3,6,28)&gt;EOMONTH(DATE($B$3,6,1),0),NETWORKDAYS.INTL(DATE($B$3,6,28),DATE($B$3,6,28),1,'Non-working days'!$A$6:$A$45)=0),"",IF(COUNTIFS('Leave log'!$A$7:$A$306,Employees!$A$31,'Leave log'!$B$7:$B$306,"&lt;="&amp;DATE($B$3,6,28),'Leave log'!$C$7:$C$306,"&gt;="&amp;DATE($B$3,6,28),'Leave log'!$F$7:$F$306,"Pending")&gt;0,"P",""))))</f>
        <v/>
      </c>
      <c r="AD202" s="23" t="str">
        <f>IF(A202="","",IF(IF(OR(DATE($B$3,6,29)&gt;EOMONTH(DATE($B$3,6,1),0),NETWORKDAYS.INTL(DATE($B$3,6,29),DATE($B$3,6,29),1,'Non-working days'!$A$6:$A$45)=0),"",IF(COUNTIFS('Leave log'!$A$7:$A$306,Employees!$A$31,'Leave log'!$B$7:$B$306,"&lt;="&amp;DATE($B$3,6,29),'Leave log'!$C$7:$C$306,"&gt;="&amp;DATE($B$3,6,29),'Leave log'!$F$7:$F$306,"Approved")&gt;0,"A",""))="A","A",IF(OR(DATE($B$3,6,29)&gt;EOMONTH(DATE($B$3,6,1),0),NETWORKDAYS.INTL(DATE($B$3,6,29),DATE($B$3,6,29),1,'Non-working days'!$A$6:$A$45)=0),"",IF(COUNTIFS('Leave log'!$A$7:$A$306,Employees!$A$31,'Leave log'!$B$7:$B$306,"&lt;="&amp;DATE($B$3,6,29),'Leave log'!$C$7:$C$306,"&gt;="&amp;DATE($B$3,6,29),'Leave log'!$F$7:$F$306,"Pending")&gt;0,"P",""))))</f>
        <v/>
      </c>
      <c r="AE202" s="23" t="str">
        <f>IF(A202="","",IF(IF(OR(DATE($B$3,6,30)&gt;EOMONTH(DATE($B$3,6,1),0),NETWORKDAYS.INTL(DATE($B$3,6,30),DATE($B$3,6,30),1,'Non-working days'!$A$6:$A$45)=0),"",IF(COUNTIFS('Leave log'!$A$7:$A$306,Employees!$A$31,'Leave log'!$B$7:$B$306,"&lt;="&amp;DATE($B$3,6,30),'Leave log'!$C$7:$C$306,"&gt;="&amp;DATE($B$3,6,30),'Leave log'!$F$7:$F$306,"Approved")&gt;0,"A",""))="A","A",IF(OR(DATE($B$3,6,30)&gt;EOMONTH(DATE($B$3,6,1),0),NETWORKDAYS.INTL(DATE($B$3,6,30),DATE($B$3,6,30),1,'Non-working days'!$A$6:$A$45)=0),"",IF(COUNTIFS('Leave log'!$A$7:$A$306,Employees!$A$31,'Leave log'!$B$7:$B$306,"&lt;="&amp;DATE($B$3,6,30),'Leave log'!$C$7:$C$306,"&gt;="&amp;DATE($B$3,6,30),'Leave log'!$F$7:$F$306,"Pending")&gt;0,"P",""))))</f>
        <v/>
      </c>
      <c r="AF202" s="23" t="str">
        <f>IF(A202="","",IF(IF(OR(DATE($B$3,6,31)&gt;EOMONTH(DATE($B$3,6,1),0),NETWORKDAYS.INTL(DATE($B$3,6,31),DATE($B$3,6,31),1,'Non-working days'!$A$6:$A$45)=0),"",IF(COUNTIFS('Leave log'!$A$7:$A$306,Employees!$A$31,'Leave log'!$B$7:$B$306,"&lt;="&amp;DATE($B$3,6,31),'Leave log'!$C$7:$C$306,"&gt;="&amp;DATE($B$3,6,31),'Leave log'!$F$7:$F$306,"Approved")&gt;0,"A",""))="A","A",IF(OR(DATE($B$3,6,31)&gt;EOMONTH(DATE($B$3,6,1),0),NETWORKDAYS.INTL(DATE($B$3,6,31),DATE($B$3,6,31),1,'Non-working days'!$A$6:$A$45)=0),"",IF(COUNTIFS('Leave log'!$A$7:$A$306,Employees!$A$31,'Leave log'!$B$7:$B$306,"&lt;="&amp;DATE($B$3,6,31),'Leave log'!$C$7:$C$306,"&gt;="&amp;DATE($B$3,6,31),'Leave log'!$F$7:$F$306,"Pending")&gt;0,"P",""))))</f>
        <v/>
      </c>
    </row>
    <row r="203" spans="1:32" ht="18" customHeight="1" x14ac:dyDescent="0.3">
      <c r="A203" s="22" t="str">
        <f>IF(Employees!F32="Yes",Employees!B32,"")</f>
        <v/>
      </c>
      <c r="B203" s="23" t="str">
        <f>IF(A203="","",IF(IF(OR(DATE($B$3,6,1)&gt;EOMONTH(DATE($B$3,6,1),0),NETWORKDAYS.INTL(DATE($B$3,6,1),DATE($B$3,6,1),1,'Non-working days'!$A$6:$A$45)=0),"",IF(COUNTIFS('Leave log'!$A$7:$A$306,Employees!$A$32,'Leave log'!$B$7:$B$306,"&lt;="&amp;DATE($B$3,6,1),'Leave log'!$C$7:$C$306,"&gt;="&amp;DATE($B$3,6,1),'Leave log'!$F$7:$F$306,"Approved")&gt;0,"A",""))="A","A",IF(OR(DATE($B$3,6,1)&gt;EOMONTH(DATE($B$3,6,1),0),NETWORKDAYS.INTL(DATE($B$3,6,1),DATE($B$3,6,1),1,'Non-working days'!$A$6:$A$45)=0),"",IF(COUNTIFS('Leave log'!$A$7:$A$306,Employees!$A$32,'Leave log'!$B$7:$B$306,"&lt;="&amp;DATE($B$3,6,1),'Leave log'!$C$7:$C$306,"&gt;="&amp;DATE($B$3,6,1),'Leave log'!$F$7:$F$306,"Pending")&gt;0,"P",""))))</f>
        <v/>
      </c>
      <c r="C203" s="23" t="str">
        <f>IF(A203="","",IF(IF(OR(DATE($B$3,6,2)&gt;EOMONTH(DATE($B$3,6,1),0),NETWORKDAYS.INTL(DATE($B$3,6,2),DATE($B$3,6,2),1,'Non-working days'!$A$6:$A$45)=0),"",IF(COUNTIFS('Leave log'!$A$7:$A$306,Employees!$A$32,'Leave log'!$B$7:$B$306,"&lt;="&amp;DATE($B$3,6,2),'Leave log'!$C$7:$C$306,"&gt;="&amp;DATE($B$3,6,2),'Leave log'!$F$7:$F$306,"Approved")&gt;0,"A",""))="A","A",IF(OR(DATE($B$3,6,2)&gt;EOMONTH(DATE($B$3,6,1),0),NETWORKDAYS.INTL(DATE($B$3,6,2),DATE($B$3,6,2),1,'Non-working days'!$A$6:$A$45)=0),"",IF(COUNTIFS('Leave log'!$A$7:$A$306,Employees!$A$32,'Leave log'!$B$7:$B$306,"&lt;="&amp;DATE($B$3,6,2),'Leave log'!$C$7:$C$306,"&gt;="&amp;DATE($B$3,6,2),'Leave log'!$F$7:$F$306,"Pending")&gt;0,"P",""))))</f>
        <v/>
      </c>
      <c r="D203" s="23" t="str">
        <f>IF(A203="","",IF(IF(OR(DATE($B$3,6,3)&gt;EOMONTH(DATE($B$3,6,1),0),NETWORKDAYS.INTL(DATE($B$3,6,3),DATE($B$3,6,3),1,'Non-working days'!$A$6:$A$45)=0),"",IF(COUNTIFS('Leave log'!$A$7:$A$306,Employees!$A$32,'Leave log'!$B$7:$B$306,"&lt;="&amp;DATE($B$3,6,3),'Leave log'!$C$7:$C$306,"&gt;="&amp;DATE($B$3,6,3),'Leave log'!$F$7:$F$306,"Approved")&gt;0,"A",""))="A","A",IF(OR(DATE($B$3,6,3)&gt;EOMONTH(DATE($B$3,6,1),0),NETWORKDAYS.INTL(DATE($B$3,6,3),DATE($B$3,6,3),1,'Non-working days'!$A$6:$A$45)=0),"",IF(COUNTIFS('Leave log'!$A$7:$A$306,Employees!$A$32,'Leave log'!$B$7:$B$306,"&lt;="&amp;DATE($B$3,6,3),'Leave log'!$C$7:$C$306,"&gt;="&amp;DATE($B$3,6,3),'Leave log'!$F$7:$F$306,"Pending")&gt;0,"P",""))))</f>
        <v/>
      </c>
      <c r="E203" s="23" t="str">
        <f>IF(A203="","",IF(IF(OR(DATE($B$3,6,4)&gt;EOMONTH(DATE($B$3,6,1),0),NETWORKDAYS.INTL(DATE($B$3,6,4),DATE($B$3,6,4),1,'Non-working days'!$A$6:$A$45)=0),"",IF(COUNTIFS('Leave log'!$A$7:$A$306,Employees!$A$32,'Leave log'!$B$7:$B$306,"&lt;="&amp;DATE($B$3,6,4),'Leave log'!$C$7:$C$306,"&gt;="&amp;DATE($B$3,6,4),'Leave log'!$F$7:$F$306,"Approved")&gt;0,"A",""))="A","A",IF(OR(DATE($B$3,6,4)&gt;EOMONTH(DATE($B$3,6,1),0),NETWORKDAYS.INTL(DATE($B$3,6,4),DATE($B$3,6,4),1,'Non-working days'!$A$6:$A$45)=0),"",IF(COUNTIFS('Leave log'!$A$7:$A$306,Employees!$A$32,'Leave log'!$B$7:$B$306,"&lt;="&amp;DATE($B$3,6,4),'Leave log'!$C$7:$C$306,"&gt;="&amp;DATE($B$3,6,4),'Leave log'!$F$7:$F$306,"Pending")&gt;0,"P",""))))</f>
        <v/>
      </c>
      <c r="F203" s="23" t="str">
        <f>IF(A203="","",IF(IF(OR(DATE($B$3,6,5)&gt;EOMONTH(DATE($B$3,6,1),0),NETWORKDAYS.INTL(DATE($B$3,6,5),DATE($B$3,6,5),1,'Non-working days'!$A$6:$A$45)=0),"",IF(COUNTIFS('Leave log'!$A$7:$A$306,Employees!$A$32,'Leave log'!$B$7:$B$306,"&lt;="&amp;DATE($B$3,6,5),'Leave log'!$C$7:$C$306,"&gt;="&amp;DATE($B$3,6,5),'Leave log'!$F$7:$F$306,"Approved")&gt;0,"A",""))="A","A",IF(OR(DATE($B$3,6,5)&gt;EOMONTH(DATE($B$3,6,1),0),NETWORKDAYS.INTL(DATE($B$3,6,5),DATE($B$3,6,5),1,'Non-working days'!$A$6:$A$45)=0),"",IF(COUNTIFS('Leave log'!$A$7:$A$306,Employees!$A$32,'Leave log'!$B$7:$B$306,"&lt;="&amp;DATE($B$3,6,5),'Leave log'!$C$7:$C$306,"&gt;="&amp;DATE($B$3,6,5),'Leave log'!$F$7:$F$306,"Pending")&gt;0,"P",""))))</f>
        <v/>
      </c>
      <c r="G203" s="23" t="str">
        <f>IF(A203="","",IF(IF(OR(DATE($B$3,6,6)&gt;EOMONTH(DATE($B$3,6,1),0),NETWORKDAYS.INTL(DATE($B$3,6,6),DATE($B$3,6,6),1,'Non-working days'!$A$6:$A$45)=0),"",IF(COUNTIFS('Leave log'!$A$7:$A$306,Employees!$A$32,'Leave log'!$B$7:$B$306,"&lt;="&amp;DATE($B$3,6,6),'Leave log'!$C$7:$C$306,"&gt;="&amp;DATE($B$3,6,6),'Leave log'!$F$7:$F$306,"Approved")&gt;0,"A",""))="A","A",IF(OR(DATE($B$3,6,6)&gt;EOMONTH(DATE($B$3,6,1),0),NETWORKDAYS.INTL(DATE($B$3,6,6),DATE($B$3,6,6),1,'Non-working days'!$A$6:$A$45)=0),"",IF(COUNTIFS('Leave log'!$A$7:$A$306,Employees!$A$32,'Leave log'!$B$7:$B$306,"&lt;="&amp;DATE($B$3,6,6),'Leave log'!$C$7:$C$306,"&gt;="&amp;DATE($B$3,6,6),'Leave log'!$F$7:$F$306,"Pending")&gt;0,"P",""))))</f>
        <v/>
      </c>
      <c r="H203" s="23" t="str">
        <f>IF(A203="","",IF(IF(OR(DATE($B$3,6,7)&gt;EOMONTH(DATE($B$3,6,1),0),NETWORKDAYS.INTL(DATE($B$3,6,7),DATE($B$3,6,7),1,'Non-working days'!$A$6:$A$45)=0),"",IF(COUNTIFS('Leave log'!$A$7:$A$306,Employees!$A$32,'Leave log'!$B$7:$B$306,"&lt;="&amp;DATE($B$3,6,7),'Leave log'!$C$7:$C$306,"&gt;="&amp;DATE($B$3,6,7),'Leave log'!$F$7:$F$306,"Approved")&gt;0,"A",""))="A","A",IF(OR(DATE($B$3,6,7)&gt;EOMONTH(DATE($B$3,6,1),0),NETWORKDAYS.INTL(DATE($B$3,6,7),DATE($B$3,6,7),1,'Non-working days'!$A$6:$A$45)=0),"",IF(COUNTIFS('Leave log'!$A$7:$A$306,Employees!$A$32,'Leave log'!$B$7:$B$306,"&lt;="&amp;DATE($B$3,6,7),'Leave log'!$C$7:$C$306,"&gt;="&amp;DATE($B$3,6,7),'Leave log'!$F$7:$F$306,"Pending")&gt;0,"P",""))))</f>
        <v/>
      </c>
      <c r="I203" s="23" t="str">
        <f>IF(A203="","",IF(IF(OR(DATE($B$3,6,8)&gt;EOMONTH(DATE($B$3,6,1),0),NETWORKDAYS.INTL(DATE($B$3,6,8),DATE($B$3,6,8),1,'Non-working days'!$A$6:$A$45)=0),"",IF(COUNTIFS('Leave log'!$A$7:$A$306,Employees!$A$32,'Leave log'!$B$7:$B$306,"&lt;="&amp;DATE($B$3,6,8),'Leave log'!$C$7:$C$306,"&gt;="&amp;DATE($B$3,6,8),'Leave log'!$F$7:$F$306,"Approved")&gt;0,"A",""))="A","A",IF(OR(DATE($B$3,6,8)&gt;EOMONTH(DATE($B$3,6,1),0),NETWORKDAYS.INTL(DATE($B$3,6,8),DATE($B$3,6,8),1,'Non-working days'!$A$6:$A$45)=0),"",IF(COUNTIFS('Leave log'!$A$7:$A$306,Employees!$A$32,'Leave log'!$B$7:$B$306,"&lt;="&amp;DATE($B$3,6,8),'Leave log'!$C$7:$C$306,"&gt;="&amp;DATE($B$3,6,8),'Leave log'!$F$7:$F$306,"Pending")&gt;0,"P",""))))</f>
        <v/>
      </c>
      <c r="J203" s="23" t="str">
        <f>IF(A203="","",IF(IF(OR(DATE($B$3,6,9)&gt;EOMONTH(DATE($B$3,6,1),0),NETWORKDAYS.INTL(DATE($B$3,6,9),DATE($B$3,6,9),1,'Non-working days'!$A$6:$A$45)=0),"",IF(COUNTIFS('Leave log'!$A$7:$A$306,Employees!$A$32,'Leave log'!$B$7:$B$306,"&lt;="&amp;DATE($B$3,6,9),'Leave log'!$C$7:$C$306,"&gt;="&amp;DATE($B$3,6,9),'Leave log'!$F$7:$F$306,"Approved")&gt;0,"A",""))="A","A",IF(OR(DATE($B$3,6,9)&gt;EOMONTH(DATE($B$3,6,1),0),NETWORKDAYS.INTL(DATE($B$3,6,9),DATE($B$3,6,9),1,'Non-working days'!$A$6:$A$45)=0),"",IF(COUNTIFS('Leave log'!$A$7:$A$306,Employees!$A$32,'Leave log'!$B$7:$B$306,"&lt;="&amp;DATE($B$3,6,9),'Leave log'!$C$7:$C$306,"&gt;="&amp;DATE($B$3,6,9),'Leave log'!$F$7:$F$306,"Pending")&gt;0,"P",""))))</f>
        <v/>
      </c>
      <c r="K203" s="23" t="str">
        <f>IF(A203="","",IF(IF(OR(DATE($B$3,6,10)&gt;EOMONTH(DATE($B$3,6,1),0),NETWORKDAYS.INTL(DATE($B$3,6,10),DATE($B$3,6,10),1,'Non-working days'!$A$6:$A$45)=0),"",IF(COUNTIFS('Leave log'!$A$7:$A$306,Employees!$A$32,'Leave log'!$B$7:$B$306,"&lt;="&amp;DATE($B$3,6,10),'Leave log'!$C$7:$C$306,"&gt;="&amp;DATE($B$3,6,10),'Leave log'!$F$7:$F$306,"Approved")&gt;0,"A",""))="A","A",IF(OR(DATE($B$3,6,10)&gt;EOMONTH(DATE($B$3,6,1),0),NETWORKDAYS.INTL(DATE($B$3,6,10),DATE($B$3,6,10),1,'Non-working days'!$A$6:$A$45)=0),"",IF(COUNTIFS('Leave log'!$A$7:$A$306,Employees!$A$32,'Leave log'!$B$7:$B$306,"&lt;="&amp;DATE($B$3,6,10),'Leave log'!$C$7:$C$306,"&gt;="&amp;DATE($B$3,6,10),'Leave log'!$F$7:$F$306,"Pending")&gt;0,"P",""))))</f>
        <v/>
      </c>
      <c r="L203" s="23" t="str">
        <f>IF(A203="","",IF(IF(OR(DATE($B$3,6,11)&gt;EOMONTH(DATE($B$3,6,1),0),NETWORKDAYS.INTL(DATE($B$3,6,11),DATE($B$3,6,11),1,'Non-working days'!$A$6:$A$45)=0),"",IF(COUNTIFS('Leave log'!$A$7:$A$306,Employees!$A$32,'Leave log'!$B$7:$B$306,"&lt;="&amp;DATE($B$3,6,11),'Leave log'!$C$7:$C$306,"&gt;="&amp;DATE($B$3,6,11),'Leave log'!$F$7:$F$306,"Approved")&gt;0,"A",""))="A","A",IF(OR(DATE($B$3,6,11)&gt;EOMONTH(DATE($B$3,6,1),0),NETWORKDAYS.INTL(DATE($B$3,6,11),DATE($B$3,6,11),1,'Non-working days'!$A$6:$A$45)=0),"",IF(COUNTIFS('Leave log'!$A$7:$A$306,Employees!$A$32,'Leave log'!$B$7:$B$306,"&lt;="&amp;DATE($B$3,6,11),'Leave log'!$C$7:$C$306,"&gt;="&amp;DATE($B$3,6,11),'Leave log'!$F$7:$F$306,"Pending")&gt;0,"P",""))))</f>
        <v/>
      </c>
      <c r="M203" s="23" t="str">
        <f>IF(A203="","",IF(IF(OR(DATE($B$3,6,12)&gt;EOMONTH(DATE($B$3,6,1),0),NETWORKDAYS.INTL(DATE($B$3,6,12),DATE($B$3,6,12),1,'Non-working days'!$A$6:$A$45)=0),"",IF(COUNTIFS('Leave log'!$A$7:$A$306,Employees!$A$32,'Leave log'!$B$7:$B$306,"&lt;="&amp;DATE($B$3,6,12),'Leave log'!$C$7:$C$306,"&gt;="&amp;DATE($B$3,6,12),'Leave log'!$F$7:$F$306,"Approved")&gt;0,"A",""))="A","A",IF(OR(DATE($B$3,6,12)&gt;EOMONTH(DATE($B$3,6,1),0),NETWORKDAYS.INTL(DATE($B$3,6,12),DATE($B$3,6,12),1,'Non-working days'!$A$6:$A$45)=0),"",IF(COUNTIFS('Leave log'!$A$7:$A$306,Employees!$A$32,'Leave log'!$B$7:$B$306,"&lt;="&amp;DATE($B$3,6,12),'Leave log'!$C$7:$C$306,"&gt;="&amp;DATE($B$3,6,12),'Leave log'!$F$7:$F$306,"Pending")&gt;0,"P",""))))</f>
        <v/>
      </c>
      <c r="N203" s="23" t="str">
        <f>IF(A203="","",IF(IF(OR(DATE($B$3,6,13)&gt;EOMONTH(DATE($B$3,6,1),0),NETWORKDAYS.INTL(DATE($B$3,6,13),DATE($B$3,6,13),1,'Non-working days'!$A$6:$A$45)=0),"",IF(COUNTIFS('Leave log'!$A$7:$A$306,Employees!$A$32,'Leave log'!$B$7:$B$306,"&lt;="&amp;DATE($B$3,6,13),'Leave log'!$C$7:$C$306,"&gt;="&amp;DATE($B$3,6,13),'Leave log'!$F$7:$F$306,"Approved")&gt;0,"A",""))="A","A",IF(OR(DATE($B$3,6,13)&gt;EOMONTH(DATE($B$3,6,1),0),NETWORKDAYS.INTL(DATE($B$3,6,13),DATE($B$3,6,13),1,'Non-working days'!$A$6:$A$45)=0),"",IF(COUNTIFS('Leave log'!$A$7:$A$306,Employees!$A$32,'Leave log'!$B$7:$B$306,"&lt;="&amp;DATE($B$3,6,13),'Leave log'!$C$7:$C$306,"&gt;="&amp;DATE($B$3,6,13),'Leave log'!$F$7:$F$306,"Pending")&gt;0,"P",""))))</f>
        <v/>
      </c>
      <c r="O203" s="23" t="str">
        <f>IF(A203="","",IF(IF(OR(DATE($B$3,6,14)&gt;EOMONTH(DATE($B$3,6,1),0),NETWORKDAYS.INTL(DATE($B$3,6,14),DATE($B$3,6,14),1,'Non-working days'!$A$6:$A$45)=0),"",IF(COUNTIFS('Leave log'!$A$7:$A$306,Employees!$A$32,'Leave log'!$B$7:$B$306,"&lt;="&amp;DATE($B$3,6,14),'Leave log'!$C$7:$C$306,"&gt;="&amp;DATE($B$3,6,14),'Leave log'!$F$7:$F$306,"Approved")&gt;0,"A",""))="A","A",IF(OR(DATE($B$3,6,14)&gt;EOMONTH(DATE($B$3,6,1),0),NETWORKDAYS.INTL(DATE($B$3,6,14),DATE($B$3,6,14),1,'Non-working days'!$A$6:$A$45)=0),"",IF(COUNTIFS('Leave log'!$A$7:$A$306,Employees!$A$32,'Leave log'!$B$7:$B$306,"&lt;="&amp;DATE($B$3,6,14),'Leave log'!$C$7:$C$306,"&gt;="&amp;DATE($B$3,6,14),'Leave log'!$F$7:$F$306,"Pending")&gt;0,"P",""))))</f>
        <v/>
      </c>
      <c r="P203" s="23" t="str">
        <f>IF(A203="","",IF(IF(OR(DATE($B$3,6,15)&gt;EOMONTH(DATE($B$3,6,1),0),NETWORKDAYS.INTL(DATE($B$3,6,15),DATE($B$3,6,15),1,'Non-working days'!$A$6:$A$45)=0),"",IF(COUNTIFS('Leave log'!$A$7:$A$306,Employees!$A$32,'Leave log'!$B$7:$B$306,"&lt;="&amp;DATE($B$3,6,15),'Leave log'!$C$7:$C$306,"&gt;="&amp;DATE($B$3,6,15),'Leave log'!$F$7:$F$306,"Approved")&gt;0,"A",""))="A","A",IF(OR(DATE($B$3,6,15)&gt;EOMONTH(DATE($B$3,6,1),0),NETWORKDAYS.INTL(DATE($B$3,6,15),DATE($B$3,6,15),1,'Non-working days'!$A$6:$A$45)=0),"",IF(COUNTIFS('Leave log'!$A$7:$A$306,Employees!$A$32,'Leave log'!$B$7:$B$306,"&lt;="&amp;DATE($B$3,6,15),'Leave log'!$C$7:$C$306,"&gt;="&amp;DATE($B$3,6,15),'Leave log'!$F$7:$F$306,"Pending")&gt;0,"P",""))))</f>
        <v/>
      </c>
      <c r="Q203" s="23" t="str">
        <f>IF(A203="","",IF(IF(OR(DATE($B$3,6,16)&gt;EOMONTH(DATE($B$3,6,1),0),NETWORKDAYS.INTL(DATE($B$3,6,16),DATE($B$3,6,16),1,'Non-working days'!$A$6:$A$45)=0),"",IF(COUNTIFS('Leave log'!$A$7:$A$306,Employees!$A$32,'Leave log'!$B$7:$B$306,"&lt;="&amp;DATE($B$3,6,16),'Leave log'!$C$7:$C$306,"&gt;="&amp;DATE($B$3,6,16),'Leave log'!$F$7:$F$306,"Approved")&gt;0,"A",""))="A","A",IF(OR(DATE($B$3,6,16)&gt;EOMONTH(DATE($B$3,6,1),0),NETWORKDAYS.INTL(DATE($B$3,6,16),DATE($B$3,6,16),1,'Non-working days'!$A$6:$A$45)=0),"",IF(COUNTIFS('Leave log'!$A$7:$A$306,Employees!$A$32,'Leave log'!$B$7:$B$306,"&lt;="&amp;DATE($B$3,6,16),'Leave log'!$C$7:$C$306,"&gt;="&amp;DATE($B$3,6,16),'Leave log'!$F$7:$F$306,"Pending")&gt;0,"P",""))))</f>
        <v/>
      </c>
      <c r="R203" s="23" t="str">
        <f>IF(A203="","",IF(IF(OR(DATE($B$3,6,17)&gt;EOMONTH(DATE($B$3,6,1),0),NETWORKDAYS.INTL(DATE($B$3,6,17),DATE($B$3,6,17),1,'Non-working days'!$A$6:$A$45)=0),"",IF(COUNTIFS('Leave log'!$A$7:$A$306,Employees!$A$32,'Leave log'!$B$7:$B$306,"&lt;="&amp;DATE($B$3,6,17),'Leave log'!$C$7:$C$306,"&gt;="&amp;DATE($B$3,6,17),'Leave log'!$F$7:$F$306,"Approved")&gt;0,"A",""))="A","A",IF(OR(DATE($B$3,6,17)&gt;EOMONTH(DATE($B$3,6,1),0),NETWORKDAYS.INTL(DATE($B$3,6,17),DATE($B$3,6,17),1,'Non-working days'!$A$6:$A$45)=0),"",IF(COUNTIFS('Leave log'!$A$7:$A$306,Employees!$A$32,'Leave log'!$B$7:$B$306,"&lt;="&amp;DATE($B$3,6,17),'Leave log'!$C$7:$C$306,"&gt;="&amp;DATE($B$3,6,17),'Leave log'!$F$7:$F$306,"Pending")&gt;0,"P",""))))</f>
        <v/>
      </c>
      <c r="S203" s="23" t="str">
        <f>IF(A203="","",IF(IF(OR(DATE($B$3,6,18)&gt;EOMONTH(DATE($B$3,6,1),0),NETWORKDAYS.INTL(DATE($B$3,6,18),DATE($B$3,6,18),1,'Non-working days'!$A$6:$A$45)=0),"",IF(COUNTIFS('Leave log'!$A$7:$A$306,Employees!$A$32,'Leave log'!$B$7:$B$306,"&lt;="&amp;DATE($B$3,6,18),'Leave log'!$C$7:$C$306,"&gt;="&amp;DATE($B$3,6,18),'Leave log'!$F$7:$F$306,"Approved")&gt;0,"A",""))="A","A",IF(OR(DATE($B$3,6,18)&gt;EOMONTH(DATE($B$3,6,1),0),NETWORKDAYS.INTL(DATE($B$3,6,18),DATE($B$3,6,18),1,'Non-working days'!$A$6:$A$45)=0),"",IF(COUNTIFS('Leave log'!$A$7:$A$306,Employees!$A$32,'Leave log'!$B$7:$B$306,"&lt;="&amp;DATE($B$3,6,18),'Leave log'!$C$7:$C$306,"&gt;="&amp;DATE($B$3,6,18),'Leave log'!$F$7:$F$306,"Pending")&gt;0,"P",""))))</f>
        <v/>
      </c>
      <c r="T203" s="23" t="str">
        <f>IF(A203="","",IF(IF(OR(DATE($B$3,6,19)&gt;EOMONTH(DATE($B$3,6,1),0),NETWORKDAYS.INTL(DATE($B$3,6,19),DATE($B$3,6,19),1,'Non-working days'!$A$6:$A$45)=0),"",IF(COUNTIFS('Leave log'!$A$7:$A$306,Employees!$A$32,'Leave log'!$B$7:$B$306,"&lt;="&amp;DATE($B$3,6,19),'Leave log'!$C$7:$C$306,"&gt;="&amp;DATE($B$3,6,19),'Leave log'!$F$7:$F$306,"Approved")&gt;0,"A",""))="A","A",IF(OR(DATE($B$3,6,19)&gt;EOMONTH(DATE($B$3,6,1),0),NETWORKDAYS.INTL(DATE($B$3,6,19),DATE($B$3,6,19),1,'Non-working days'!$A$6:$A$45)=0),"",IF(COUNTIFS('Leave log'!$A$7:$A$306,Employees!$A$32,'Leave log'!$B$7:$B$306,"&lt;="&amp;DATE($B$3,6,19),'Leave log'!$C$7:$C$306,"&gt;="&amp;DATE($B$3,6,19),'Leave log'!$F$7:$F$306,"Pending")&gt;0,"P",""))))</f>
        <v/>
      </c>
      <c r="U203" s="23" t="str">
        <f>IF(A203="","",IF(IF(OR(DATE($B$3,6,20)&gt;EOMONTH(DATE($B$3,6,1),0),NETWORKDAYS.INTL(DATE($B$3,6,20),DATE($B$3,6,20),1,'Non-working days'!$A$6:$A$45)=0),"",IF(COUNTIFS('Leave log'!$A$7:$A$306,Employees!$A$32,'Leave log'!$B$7:$B$306,"&lt;="&amp;DATE($B$3,6,20),'Leave log'!$C$7:$C$306,"&gt;="&amp;DATE($B$3,6,20),'Leave log'!$F$7:$F$306,"Approved")&gt;0,"A",""))="A","A",IF(OR(DATE($B$3,6,20)&gt;EOMONTH(DATE($B$3,6,1),0),NETWORKDAYS.INTL(DATE($B$3,6,20),DATE($B$3,6,20),1,'Non-working days'!$A$6:$A$45)=0),"",IF(COUNTIFS('Leave log'!$A$7:$A$306,Employees!$A$32,'Leave log'!$B$7:$B$306,"&lt;="&amp;DATE($B$3,6,20),'Leave log'!$C$7:$C$306,"&gt;="&amp;DATE($B$3,6,20),'Leave log'!$F$7:$F$306,"Pending")&gt;0,"P",""))))</f>
        <v/>
      </c>
      <c r="V203" s="23" t="str">
        <f>IF(A203="","",IF(IF(OR(DATE($B$3,6,21)&gt;EOMONTH(DATE($B$3,6,1),0),NETWORKDAYS.INTL(DATE($B$3,6,21),DATE($B$3,6,21),1,'Non-working days'!$A$6:$A$45)=0),"",IF(COUNTIFS('Leave log'!$A$7:$A$306,Employees!$A$32,'Leave log'!$B$7:$B$306,"&lt;="&amp;DATE($B$3,6,21),'Leave log'!$C$7:$C$306,"&gt;="&amp;DATE($B$3,6,21),'Leave log'!$F$7:$F$306,"Approved")&gt;0,"A",""))="A","A",IF(OR(DATE($B$3,6,21)&gt;EOMONTH(DATE($B$3,6,1),0),NETWORKDAYS.INTL(DATE($B$3,6,21),DATE($B$3,6,21),1,'Non-working days'!$A$6:$A$45)=0),"",IF(COUNTIFS('Leave log'!$A$7:$A$306,Employees!$A$32,'Leave log'!$B$7:$B$306,"&lt;="&amp;DATE($B$3,6,21),'Leave log'!$C$7:$C$306,"&gt;="&amp;DATE($B$3,6,21),'Leave log'!$F$7:$F$306,"Pending")&gt;0,"P",""))))</f>
        <v/>
      </c>
      <c r="W203" s="23" t="str">
        <f>IF(A203="","",IF(IF(OR(DATE($B$3,6,22)&gt;EOMONTH(DATE($B$3,6,1),0),NETWORKDAYS.INTL(DATE($B$3,6,22),DATE($B$3,6,22),1,'Non-working days'!$A$6:$A$45)=0),"",IF(COUNTIFS('Leave log'!$A$7:$A$306,Employees!$A$32,'Leave log'!$B$7:$B$306,"&lt;="&amp;DATE($B$3,6,22),'Leave log'!$C$7:$C$306,"&gt;="&amp;DATE($B$3,6,22),'Leave log'!$F$7:$F$306,"Approved")&gt;0,"A",""))="A","A",IF(OR(DATE($B$3,6,22)&gt;EOMONTH(DATE($B$3,6,1),0),NETWORKDAYS.INTL(DATE($B$3,6,22),DATE($B$3,6,22),1,'Non-working days'!$A$6:$A$45)=0),"",IF(COUNTIFS('Leave log'!$A$7:$A$306,Employees!$A$32,'Leave log'!$B$7:$B$306,"&lt;="&amp;DATE($B$3,6,22),'Leave log'!$C$7:$C$306,"&gt;="&amp;DATE($B$3,6,22),'Leave log'!$F$7:$F$306,"Pending")&gt;0,"P",""))))</f>
        <v/>
      </c>
      <c r="X203" s="23" t="str">
        <f>IF(A203="","",IF(IF(OR(DATE($B$3,6,23)&gt;EOMONTH(DATE($B$3,6,1),0),NETWORKDAYS.INTL(DATE($B$3,6,23),DATE($B$3,6,23),1,'Non-working days'!$A$6:$A$45)=0),"",IF(COUNTIFS('Leave log'!$A$7:$A$306,Employees!$A$32,'Leave log'!$B$7:$B$306,"&lt;="&amp;DATE($B$3,6,23),'Leave log'!$C$7:$C$306,"&gt;="&amp;DATE($B$3,6,23),'Leave log'!$F$7:$F$306,"Approved")&gt;0,"A",""))="A","A",IF(OR(DATE($B$3,6,23)&gt;EOMONTH(DATE($B$3,6,1),0),NETWORKDAYS.INTL(DATE($B$3,6,23),DATE($B$3,6,23),1,'Non-working days'!$A$6:$A$45)=0),"",IF(COUNTIFS('Leave log'!$A$7:$A$306,Employees!$A$32,'Leave log'!$B$7:$B$306,"&lt;="&amp;DATE($B$3,6,23),'Leave log'!$C$7:$C$306,"&gt;="&amp;DATE($B$3,6,23),'Leave log'!$F$7:$F$306,"Pending")&gt;0,"P",""))))</f>
        <v/>
      </c>
      <c r="Y203" s="23" t="str">
        <f>IF(A203="","",IF(IF(OR(DATE($B$3,6,24)&gt;EOMONTH(DATE($B$3,6,1),0),NETWORKDAYS.INTL(DATE($B$3,6,24),DATE($B$3,6,24),1,'Non-working days'!$A$6:$A$45)=0),"",IF(COUNTIFS('Leave log'!$A$7:$A$306,Employees!$A$32,'Leave log'!$B$7:$B$306,"&lt;="&amp;DATE($B$3,6,24),'Leave log'!$C$7:$C$306,"&gt;="&amp;DATE($B$3,6,24),'Leave log'!$F$7:$F$306,"Approved")&gt;0,"A",""))="A","A",IF(OR(DATE($B$3,6,24)&gt;EOMONTH(DATE($B$3,6,1),0),NETWORKDAYS.INTL(DATE($B$3,6,24),DATE($B$3,6,24),1,'Non-working days'!$A$6:$A$45)=0),"",IF(COUNTIFS('Leave log'!$A$7:$A$306,Employees!$A$32,'Leave log'!$B$7:$B$306,"&lt;="&amp;DATE($B$3,6,24),'Leave log'!$C$7:$C$306,"&gt;="&amp;DATE($B$3,6,24),'Leave log'!$F$7:$F$306,"Pending")&gt;0,"P",""))))</f>
        <v/>
      </c>
      <c r="Z203" s="23" t="str">
        <f>IF(A203="","",IF(IF(OR(DATE($B$3,6,25)&gt;EOMONTH(DATE($B$3,6,1),0),NETWORKDAYS.INTL(DATE($B$3,6,25),DATE($B$3,6,25),1,'Non-working days'!$A$6:$A$45)=0),"",IF(COUNTIFS('Leave log'!$A$7:$A$306,Employees!$A$32,'Leave log'!$B$7:$B$306,"&lt;="&amp;DATE($B$3,6,25),'Leave log'!$C$7:$C$306,"&gt;="&amp;DATE($B$3,6,25),'Leave log'!$F$7:$F$306,"Approved")&gt;0,"A",""))="A","A",IF(OR(DATE($B$3,6,25)&gt;EOMONTH(DATE($B$3,6,1),0),NETWORKDAYS.INTL(DATE($B$3,6,25),DATE($B$3,6,25),1,'Non-working days'!$A$6:$A$45)=0),"",IF(COUNTIFS('Leave log'!$A$7:$A$306,Employees!$A$32,'Leave log'!$B$7:$B$306,"&lt;="&amp;DATE($B$3,6,25),'Leave log'!$C$7:$C$306,"&gt;="&amp;DATE($B$3,6,25),'Leave log'!$F$7:$F$306,"Pending")&gt;0,"P",""))))</f>
        <v/>
      </c>
      <c r="AA203" s="23" t="str">
        <f>IF(A203="","",IF(IF(OR(DATE($B$3,6,26)&gt;EOMONTH(DATE($B$3,6,1),0),NETWORKDAYS.INTL(DATE($B$3,6,26),DATE($B$3,6,26),1,'Non-working days'!$A$6:$A$45)=0),"",IF(COUNTIFS('Leave log'!$A$7:$A$306,Employees!$A$32,'Leave log'!$B$7:$B$306,"&lt;="&amp;DATE($B$3,6,26),'Leave log'!$C$7:$C$306,"&gt;="&amp;DATE($B$3,6,26),'Leave log'!$F$7:$F$306,"Approved")&gt;0,"A",""))="A","A",IF(OR(DATE($B$3,6,26)&gt;EOMONTH(DATE($B$3,6,1),0),NETWORKDAYS.INTL(DATE($B$3,6,26),DATE($B$3,6,26),1,'Non-working days'!$A$6:$A$45)=0),"",IF(COUNTIFS('Leave log'!$A$7:$A$306,Employees!$A$32,'Leave log'!$B$7:$B$306,"&lt;="&amp;DATE($B$3,6,26),'Leave log'!$C$7:$C$306,"&gt;="&amp;DATE($B$3,6,26),'Leave log'!$F$7:$F$306,"Pending")&gt;0,"P",""))))</f>
        <v/>
      </c>
      <c r="AB203" s="23" t="str">
        <f>IF(A203="","",IF(IF(OR(DATE($B$3,6,27)&gt;EOMONTH(DATE($B$3,6,1),0),NETWORKDAYS.INTL(DATE($B$3,6,27),DATE($B$3,6,27),1,'Non-working days'!$A$6:$A$45)=0),"",IF(COUNTIFS('Leave log'!$A$7:$A$306,Employees!$A$32,'Leave log'!$B$7:$B$306,"&lt;="&amp;DATE($B$3,6,27),'Leave log'!$C$7:$C$306,"&gt;="&amp;DATE($B$3,6,27),'Leave log'!$F$7:$F$306,"Approved")&gt;0,"A",""))="A","A",IF(OR(DATE($B$3,6,27)&gt;EOMONTH(DATE($B$3,6,1),0),NETWORKDAYS.INTL(DATE($B$3,6,27),DATE($B$3,6,27),1,'Non-working days'!$A$6:$A$45)=0),"",IF(COUNTIFS('Leave log'!$A$7:$A$306,Employees!$A$32,'Leave log'!$B$7:$B$306,"&lt;="&amp;DATE($B$3,6,27),'Leave log'!$C$7:$C$306,"&gt;="&amp;DATE($B$3,6,27),'Leave log'!$F$7:$F$306,"Pending")&gt;0,"P",""))))</f>
        <v/>
      </c>
      <c r="AC203" s="23" t="str">
        <f>IF(A203="","",IF(IF(OR(DATE($B$3,6,28)&gt;EOMONTH(DATE($B$3,6,1),0),NETWORKDAYS.INTL(DATE($B$3,6,28),DATE($B$3,6,28),1,'Non-working days'!$A$6:$A$45)=0),"",IF(COUNTIFS('Leave log'!$A$7:$A$306,Employees!$A$32,'Leave log'!$B$7:$B$306,"&lt;="&amp;DATE($B$3,6,28),'Leave log'!$C$7:$C$306,"&gt;="&amp;DATE($B$3,6,28),'Leave log'!$F$7:$F$306,"Approved")&gt;0,"A",""))="A","A",IF(OR(DATE($B$3,6,28)&gt;EOMONTH(DATE($B$3,6,1),0),NETWORKDAYS.INTL(DATE($B$3,6,28),DATE($B$3,6,28),1,'Non-working days'!$A$6:$A$45)=0),"",IF(COUNTIFS('Leave log'!$A$7:$A$306,Employees!$A$32,'Leave log'!$B$7:$B$306,"&lt;="&amp;DATE($B$3,6,28),'Leave log'!$C$7:$C$306,"&gt;="&amp;DATE($B$3,6,28),'Leave log'!$F$7:$F$306,"Pending")&gt;0,"P",""))))</f>
        <v/>
      </c>
      <c r="AD203" s="23" t="str">
        <f>IF(A203="","",IF(IF(OR(DATE($B$3,6,29)&gt;EOMONTH(DATE($B$3,6,1),0),NETWORKDAYS.INTL(DATE($B$3,6,29),DATE($B$3,6,29),1,'Non-working days'!$A$6:$A$45)=0),"",IF(COUNTIFS('Leave log'!$A$7:$A$306,Employees!$A$32,'Leave log'!$B$7:$B$306,"&lt;="&amp;DATE($B$3,6,29),'Leave log'!$C$7:$C$306,"&gt;="&amp;DATE($B$3,6,29),'Leave log'!$F$7:$F$306,"Approved")&gt;0,"A",""))="A","A",IF(OR(DATE($B$3,6,29)&gt;EOMONTH(DATE($B$3,6,1),0),NETWORKDAYS.INTL(DATE($B$3,6,29),DATE($B$3,6,29),1,'Non-working days'!$A$6:$A$45)=0),"",IF(COUNTIFS('Leave log'!$A$7:$A$306,Employees!$A$32,'Leave log'!$B$7:$B$306,"&lt;="&amp;DATE($B$3,6,29),'Leave log'!$C$7:$C$306,"&gt;="&amp;DATE($B$3,6,29),'Leave log'!$F$7:$F$306,"Pending")&gt;0,"P",""))))</f>
        <v/>
      </c>
      <c r="AE203" s="23" t="str">
        <f>IF(A203="","",IF(IF(OR(DATE($B$3,6,30)&gt;EOMONTH(DATE($B$3,6,1),0),NETWORKDAYS.INTL(DATE($B$3,6,30),DATE($B$3,6,30),1,'Non-working days'!$A$6:$A$45)=0),"",IF(COUNTIFS('Leave log'!$A$7:$A$306,Employees!$A$32,'Leave log'!$B$7:$B$306,"&lt;="&amp;DATE($B$3,6,30),'Leave log'!$C$7:$C$306,"&gt;="&amp;DATE($B$3,6,30),'Leave log'!$F$7:$F$306,"Approved")&gt;0,"A",""))="A","A",IF(OR(DATE($B$3,6,30)&gt;EOMONTH(DATE($B$3,6,1),0),NETWORKDAYS.INTL(DATE($B$3,6,30),DATE($B$3,6,30),1,'Non-working days'!$A$6:$A$45)=0),"",IF(COUNTIFS('Leave log'!$A$7:$A$306,Employees!$A$32,'Leave log'!$B$7:$B$306,"&lt;="&amp;DATE($B$3,6,30),'Leave log'!$C$7:$C$306,"&gt;="&amp;DATE($B$3,6,30),'Leave log'!$F$7:$F$306,"Pending")&gt;0,"P",""))))</f>
        <v/>
      </c>
      <c r="AF203" s="23" t="str">
        <f>IF(A203="","",IF(IF(OR(DATE($B$3,6,31)&gt;EOMONTH(DATE($B$3,6,1),0),NETWORKDAYS.INTL(DATE($B$3,6,31),DATE($B$3,6,31),1,'Non-working days'!$A$6:$A$45)=0),"",IF(COUNTIFS('Leave log'!$A$7:$A$306,Employees!$A$32,'Leave log'!$B$7:$B$306,"&lt;="&amp;DATE($B$3,6,31),'Leave log'!$C$7:$C$306,"&gt;="&amp;DATE($B$3,6,31),'Leave log'!$F$7:$F$306,"Approved")&gt;0,"A",""))="A","A",IF(OR(DATE($B$3,6,31)&gt;EOMONTH(DATE($B$3,6,1),0),NETWORKDAYS.INTL(DATE($B$3,6,31),DATE($B$3,6,31),1,'Non-working days'!$A$6:$A$45)=0),"",IF(COUNTIFS('Leave log'!$A$7:$A$306,Employees!$A$32,'Leave log'!$B$7:$B$306,"&lt;="&amp;DATE($B$3,6,31),'Leave log'!$C$7:$C$306,"&gt;="&amp;DATE($B$3,6,31),'Leave log'!$F$7:$F$306,"Pending")&gt;0,"P",""))))</f>
        <v/>
      </c>
    </row>
    <row r="204" spans="1:32" ht="18" customHeight="1" x14ac:dyDescent="0.3">
      <c r="A204" s="22" t="str">
        <f>IF(Employees!F33="Yes",Employees!B33,"")</f>
        <v/>
      </c>
      <c r="B204" s="23" t="str">
        <f>IF(A204="","",IF(IF(OR(DATE($B$3,6,1)&gt;EOMONTH(DATE($B$3,6,1),0),NETWORKDAYS.INTL(DATE($B$3,6,1),DATE($B$3,6,1),1,'Non-working days'!$A$6:$A$45)=0),"",IF(COUNTIFS('Leave log'!$A$7:$A$306,Employees!$A$33,'Leave log'!$B$7:$B$306,"&lt;="&amp;DATE($B$3,6,1),'Leave log'!$C$7:$C$306,"&gt;="&amp;DATE($B$3,6,1),'Leave log'!$F$7:$F$306,"Approved")&gt;0,"A",""))="A","A",IF(OR(DATE($B$3,6,1)&gt;EOMONTH(DATE($B$3,6,1),0),NETWORKDAYS.INTL(DATE($B$3,6,1),DATE($B$3,6,1),1,'Non-working days'!$A$6:$A$45)=0),"",IF(COUNTIFS('Leave log'!$A$7:$A$306,Employees!$A$33,'Leave log'!$B$7:$B$306,"&lt;="&amp;DATE($B$3,6,1),'Leave log'!$C$7:$C$306,"&gt;="&amp;DATE($B$3,6,1),'Leave log'!$F$7:$F$306,"Pending")&gt;0,"P",""))))</f>
        <v/>
      </c>
      <c r="C204" s="23" t="str">
        <f>IF(A204="","",IF(IF(OR(DATE($B$3,6,2)&gt;EOMONTH(DATE($B$3,6,1),0),NETWORKDAYS.INTL(DATE($B$3,6,2),DATE($B$3,6,2),1,'Non-working days'!$A$6:$A$45)=0),"",IF(COUNTIFS('Leave log'!$A$7:$A$306,Employees!$A$33,'Leave log'!$B$7:$B$306,"&lt;="&amp;DATE($B$3,6,2),'Leave log'!$C$7:$C$306,"&gt;="&amp;DATE($B$3,6,2),'Leave log'!$F$7:$F$306,"Approved")&gt;0,"A",""))="A","A",IF(OR(DATE($B$3,6,2)&gt;EOMONTH(DATE($B$3,6,1),0),NETWORKDAYS.INTL(DATE($B$3,6,2),DATE($B$3,6,2),1,'Non-working days'!$A$6:$A$45)=0),"",IF(COUNTIFS('Leave log'!$A$7:$A$306,Employees!$A$33,'Leave log'!$B$7:$B$306,"&lt;="&amp;DATE($B$3,6,2),'Leave log'!$C$7:$C$306,"&gt;="&amp;DATE($B$3,6,2),'Leave log'!$F$7:$F$306,"Pending")&gt;0,"P",""))))</f>
        <v/>
      </c>
      <c r="D204" s="23" t="str">
        <f>IF(A204="","",IF(IF(OR(DATE($B$3,6,3)&gt;EOMONTH(DATE($B$3,6,1),0),NETWORKDAYS.INTL(DATE($B$3,6,3),DATE($B$3,6,3),1,'Non-working days'!$A$6:$A$45)=0),"",IF(COUNTIFS('Leave log'!$A$7:$A$306,Employees!$A$33,'Leave log'!$B$7:$B$306,"&lt;="&amp;DATE($B$3,6,3),'Leave log'!$C$7:$C$306,"&gt;="&amp;DATE($B$3,6,3),'Leave log'!$F$7:$F$306,"Approved")&gt;0,"A",""))="A","A",IF(OR(DATE($B$3,6,3)&gt;EOMONTH(DATE($B$3,6,1),0),NETWORKDAYS.INTL(DATE($B$3,6,3),DATE($B$3,6,3),1,'Non-working days'!$A$6:$A$45)=0),"",IF(COUNTIFS('Leave log'!$A$7:$A$306,Employees!$A$33,'Leave log'!$B$7:$B$306,"&lt;="&amp;DATE($B$3,6,3),'Leave log'!$C$7:$C$306,"&gt;="&amp;DATE($B$3,6,3),'Leave log'!$F$7:$F$306,"Pending")&gt;0,"P",""))))</f>
        <v/>
      </c>
      <c r="E204" s="23" t="str">
        <f>IF(A204="","",IF(IF(OR(DATE($B$3,6,4)&gt;EOMONTH(DATE($B$3,6,1),0),NETWORKDAYS.INTL(DATE($B$3,6,4),DATE($B$3,6,4),1,'Non-working days'!$A$6:$A$45)=0),"",IF(COUNTIFS('Leave log'!$A$7:$A$306,Employees!$A$33,'Leave log'!$B$7:$B$306,"&lt;="&amp;DATE($B$3,6,4),'Leave log'!$C$7:$C$306,"&gt;="&amp;DATE($B$3,6,4),'Leave log'!$F$7:$F$306,"Approved")&gt;0,"A",""))="A","A",IF(OR(DATE($B$3,6,4)&gt;EOMONTH(DATE($B$3,6,1),0),NETWORKDAYS.INTL(DATE($B$3,6,4),DATE($B$3,6,4),1,'Non-working days'!$A$6:$A$45)=0),"",IF(COUNTIFS('Leave log'!$A$7:$A$306,Employees!$A$33,'Leave log'!$B$7:$B$306,"&lt;="&amp;DATE($B$3,6,4),'Leave log'!$C$7:$C$306,"&gt;="&amp;DATE($B$3,6,4),'Leave log'!$F$7:$F$306,"Pending")&gt;0,"P",""))))</f>
        <v/>
      </c>
      <c r="F204" s="23" t="str">
        <f>IF(A204="","",IF(IF(OR(DATE($B$3,6,5)&gt;EOMONTH(DATE($B$3,6,1),0),NETWORKDAYS.INTL(DATE($B$3,6,5),DATE($B$3,6,5),1,'Non-working days'!$A$6:$A$45)=0),"",IF(COUNTIFS('Leave log'!$A$7:$A$306,Employees!$A$33,'Leave log'!$B$7:$B$306,"&lt;="&amp;DATE($B$3,6,5),'Leave log'!$C$7:$C$306,"&gt;="&amp;DATE($B$3,6,5),'Leave log'!$F$7:$F$306,"Approved")&gt;0,"A",""))="A","A",IF(OR(DATE($B$3,6,5)&gt;EOMONTH(DATE($B$3,6,1),0),NETWORKDAYS.INTL(DATE($B$3,6,5),DATE($B$3,6,5),1,'Non-working days'!$A$6:$A$45)=0),"",IF(COUNTIFS('Leave log'!$A$7:$A$306,Employees!$A$33,'Leave log'!$B$7:$B$306,"&lt;="&amp;DATE($B$3,6,5),'Leave log'!$C$7:$C$306,"&gt;="&amp;DATE($B$3,6,5),'Leave log'!$F$7:$F$306,"Pending")&gt;0,"P",""))))</f>
        <v/>
      </c>
      <c r="G204" s="23" t="str">
        <f>IF(A204="","",IF(IF(OR(DATE($B$3,6,6)&gt;EOMONTH(DATE($B$3,6,1),0),NETWORKDAYS.INTL(DATE($B$3,6,6),DATE($B$3,6,6),1,'Non-working days'!$A$6:$A$45)=0),"",IF(COUNTIFS('Leave log'!$A$7:$A$306,Employees!$A$33,'Leave log'!$B$7:$B$306,"&lt;="&amp;DATE($B$3,6,6),'Leave log'!$C$7:$C$306,"&gt;="&amp;DATE($B$3,6,6),'Leave log'!$F$7:$F$306,"Approved")&gt;0,"A",""))="A","A",IF(OR(DATE($B$3,6,6)&gt;EOMONTH(DATE($B$3,6,1),0),NETWORKDAYS.INTL(DATE($B$3,6,6),DATE($B$3,6,6),1,'Non-working days'!$A$6:$A$45)=0),"",IF(COUNTIFS('Leave log'!$A$7:$A$306,Employees!$A$33,'Leave log'!$B$7:$B$306,"&lt;="&amp;DATE($B$3,6,6),'Leave log'!$C$7:$C$306,"&gt;="&amp;DATE($B$3,6,6),'Leave log'!$F$7:$F$306,"Pending")&gt;0,"P",""))))</f>
        <v/>
      </c>
      <c r="H204" s="23" t="str">
        <f>IF(A204="","",IF(IF(OR(DATE($B$3,6,7)&gt;EOMONTH(DATE($B$3,6,1),0),NETWORKDAYS.INTL(DATE($B$3,6,7),DATE($B$3,6,7),1,'Non-working days'!$A$6:$A$45)=0),"",IF(COUNTIFS('Leave log'!$A$7:$A$306,Employees!$A$33,'Leave log'!$B$7:$B$306,"&lt;="&amp;DATE($B$3,6,7),'Leave log'!$C$7:$C$306,"&gt;="&amp;DATE($B$3,6,7),'Leave log'!$F$7:$F$306,"Approved")&gt;0,"A",""))="A","A",IF(OR(DATE($B$3,6,7)&gt;EOMONTH(DATE($B$3,6,1),0),NETWORKDAYS.INTL(DATE($B$3,6,7),DATE($B$3,6,7),1,'Non-working days'!$A$6:$A$45)=0),"",IF(COUNTIFS('Leave log'!$A$7:$A$306,Employees!$A$33,'Leave log'!$B$7:$B$306,"&lt;="&amp;DATE($B$3,6,7),'Leave log'!$C$7:$C$306,"&gt;="&amp;DATE($B$3,6,7),'Leave log'!$F$7:$F$306,"Pending")&gt;0,"P",""))))</f>
        <v/>
      </c>
      <c r="I204" s="23" t="str">
        <f>IF(A204="","",IF(IF(OR(DATE($B$3,6,8)&gt;EOMONTH(DATE($B$3,6,1),0),NETWORKDAYS.INTL(DATE($B$3,6,8),DATE($B$3,6,8),1,'Non-working days'!$A$6:$A$45)=0),"",IF(COUNTIFS('Leave log'!$A$7:$A$306,Employees!$A$33,'Leave log'!$B$7:$B$306,"&lt;="&amp;DATE($B$3,6,8),'Leave log'!$C$7:$C$306,"&gt;="&amp;DATE($B$3,6,8),'Leave log'!$F$7:$F$306,"Approved")&gt;0,"A",""))="A","A",IF(OR(DATE($B$3,6,8)&gt;EOMONTH(DATE($B$3,6,1),0),NETWORKDAYS.INTL(DATE($B$3,6,8),DATE($B$3,6,8),1,'Non-working days'!$A$6:$A$45)=0),"",IF(COUNTIFS('Leave log'!$A$7:$A$306,Employees!$A$33,'Leave log'!$B$7:$B$306,"&lt;="&amp;DATE($B$3,6,8),'Leave log'!$C$7:$C$306,"&gt;="&amp;DATE($B$3,6,8),'Leave log'!$F$7:$F$306,"Pending")&gt;0,"P",""))))</f>
        <v/>
      </c>
      <c r="J204" s="23" t="str">
        <f>IF(A204="","",IF(IF(OR(DATE($B$3,6,9)&gt;EOMONTH(DATE($B$3,6,1),0),NETWORKDAYS.INTL(DATE($B$3,6,9),DATE($B$3,6,9),1,'Non-working days'!$A$6:$A$45)=0),"",IF(COUNTIFS('Leave log'!$A$7:$A$306,Employees!$A$33,'Leave log'!$B$7:$B$306,"&lt;="&amp;DATE($B$3,6,9),'Leave log'!$C$7:$C$306,"&gt;="&amp;DATE($B$3,6,9),'Leave log'!$F$7:$F$306,"Approved")&gt;0,"A",""))="A","A",IF(OR(DATE($B$3,6,9)&gt;EOMONTH(DATE($B$3,6,1),0),NETWORKDAYS.INTL(DATE($B$3,6,9),DATE($B$3,6,9),1,'Non-working days'!$A$6:$A$45)=0),"",IF(COUNTIFS('Leave log'!$A$7:$A$306,Employees!$A$33,'Leave log'!$B$7:$B$306,"&lt;="&amp;DATE($B$3,6,9),'Leave log'!$C$7:$C$306,"&gt;="&amp;DATE($B$3,6,9),'Leave log'!$F$7:$F$306,"Pending")&gt;0,"P",""))))</f>
        <v/>
      </c>
      <c r="K204" s="23" t="str">
        <f>IF(A204="","",IF(IF(OR(DATE($B$3,6,10)&gt;EOMONTH(DATE($B$3,6,1),0),NETWORKDAYS.INTL(DATE($B$3,6,10),DATE($B$3,6,10),1,'Non-working days'!$A$6:$A$45)=0),"",IF(COUNTIFS('Leave log'!$A$7:$A$306,Employees!$A$33,'Leave log'!$B$7:$B$306,"&lt;="&amp;DATE($B$3,6,10),'Leave log'!$C$7:$C$306,"&gt;="&amp;DATE($B$3,6,10),'Leave log'!$F$7:$F$306,"Approved")&gt;0,"A",""))="A","A",IF(OR(DATE($B$3,6,10)&gt;EOMONTH(DATE($B$3,6,1),0),NETWORKDAYS.INTL(DATE($B$3,6,10),DATE($B$3,6,10),1,'Non-working days'!$A$6:$A$45)=0),"",IF(COUNTIFS('Leave log'!$A$7:$A$306,Employees!$A$33,'Leave log'!$B$7:$B$306,"&lt;="&amp;DATE($B$3,6,10),'Leave log'!$C$7:$C$306,"&gt;="&amp;DATE($B$3,6,10),'Leave log'!$F$7:$F$306,"Pending")&gt;0,"P",""))))</f>
        <v/>
      </c>
      <c r="L204" s="23" t="str">
        <f>IF(A204="","",IF(IF(OR(DATE($B$3,6,11)&gt;EOMONTH(DATE($B$3,6,1),0),NETWORKDAYS.INTL(DATE($B$3,6,11),DATE($B$3,6,11),1,'Non-working days'!$A$6:$A$45)=0),"",IF(COUNTIFS('Leave log'!$A$7:$A$306,Employees!$A$33,'Leave log'!$B$7:$B$306,"&lt;="&amp;DATE($B$3,6,11),'Leave log'!$C$7:$C$306,"&gt;="&amp;DATE($B$3,6,11),'Leave log'!$F$7:$F$306,"Approved")&gt;0,"A",""))="A","A",IF(OR(DATE($B$3,6,11)&gt;EOMONTH(DATE($B$3,6,1),0),NETWORKDAYS.INTL(DATE($B$3,6,11),DATE($B$3,6,11),1,'Non-working days'!$A$6:$A$45)=0),"",IF(COUNTIFS('Leave log'!$A$7:$A$306,Employees!$A$33,'Leave log'!$B$7:$B$306,"&lt;="&amp;DATE($B$3,6,11),'Leave log'!$C$7:$C$306,"&gt;="&amp;DATE($B$3,6,11),'Leave log'!$F$7:$F$306,"Pending")&gt;0,"P",""))))</f>
        <v/>
      </c>
      <c r="M204" s="23" t="str">
        <f>IF(A204="","",IF(IF(OR(DATE($B$3,6,12)&gt;EOMONTH(DATE($B$3,6,1),0),NETWORKDAYS.INTL(DATE($B$3,6,12),DATE($B$3,6,12),1,'Non-working days'!$A$6:$A$45)=0),"",IF(COUNTIFS('Leave log'!$A$7:$A$306,Employees!$A$33,'Leave log'!$B$7:$B$306,"&lt;="&amp;DATE($B$3,6,12),'Leave log'!$C$7:$C$306,"&gt;="&amp;DATE($B$3,6,12),'Leave log'!$F$7:$F$306,"Approved")&gt;0,"A",""))="A","A",IF(OR(DATE($B$3,6,12)&gt;EOMONTH(DATE($B$3,6,1),0),NETWORKDAYS.INTL(DATE($B$3,6,12),DATE($B$3,6,12),1,'Non-working days'!$A$6:$A$45)=0),"",IF(COUNTIFS('Leave log'!$A$7:$A$306,Employees!$A$33,'Leave log'!$B$7:$B$306,"&lt;="&amp;DATE($B$3,6,12),'Leave log'!$C$7:$C$306,"&gt;="&amp;DATE($B$3,6,12),'Leave log'!$F$7:$F$306,"Pending")&gt;0,"P",""))))</f>
        <v/>
      </c>
      <c r="N204" s="23" t="str">
        <f>IF(A204="","",IF(IF(OR(DATE($B$3,6,13)&gt;EOMONTH(DATE($B$3,6,1),0),NETWORKDAYS.INTL(DATE($B$3,6,13),DATE($B$3,6,13),1,'Non-working days'!$A$6:$A$45)=0),"",IF(COUNTIFS('Leave log'!$A$7:$A$306,Employees!$A$33,'Leave log'!$B$7:$B$306,"&lt;="&amp;DATE($B$3,6,13),'Leave log'!$C$7:$C$306,"&gt;="&amp;DATE($B$3,6,13),'Leave log'!$F$7:$F$306,"Approved")&gt;0,"A",""))="A","A",IF(OR(DATE($B$3,6,13)&gt;EOMONTH(DATE($B$3,6,1),0),NETWORKDAYS.INTL(DATE($B$3,6,13),DATE($B$3,6,13),1,'Non-working days'!$A$6:$A$45)=0),"",IF(COUNTIFS('Leave log'!$A$7:$A$306,Employees!$A$33,'Leave log'!$B$7:$B$306,"&lt;="&amp;DATE($B$3,6,13),'Leave log'!$C$7:$C$306,"&gt;="&amp;DATE($B$3,6,13),'Leave log'!$F$7:$F$306,"Pending")&gt;0,"P",""))))</f>
        <v/>
      </c>
      <c r="O204" s="23" t="str">
        <f>IF(A204="","",IF(IF(OR(DATE($B$3,6,14)&gt;EOMONTH(DATE($B$3,6,1),0),NETWORKDAYS.INTL(DATE($B$3,6,14),DATE($B$3,6,14),1,'Non-working days'!$A$6:$A$45)=0),"",IF(COUNTIFS('Leave log'!$A$7:$A$306,Employees!$A$33,'Leave log'!$B$7:$B$306,"&lt;="&amp;DATE($B$3,6,14),'Leave log'!$C$7:$C$306,"&gt;="&amp;DATE($B$3,6,14),'Leave log'!$F$7:$F$306,"Approved")&gt;0,"A",""))="A","A",IF(OR(DATE($B$3,6,14)&gt;EOMONTH(DATE($B$3,6,1),0),NETWORKDAYS.INTL(DATE($B$3,6,14),DATE($B$3,6,14),1,'Non-working days'!$A$6:$A$45)=0),"",IF(COUNTIFS('Leave log'!$A$7:$A$306,Employees!$A$33,'Leave log'!$B$7:$B$306,"&lt;="&amp;DATE($B$3,6,14),'Leave log'!$C$7:$C$306,"&gt;="&amp;DATE($B$3,6,14),'Leave log'!$F$7:$F$306,"Pending")&gt;0,"P",""))))</f>
        <v/>
      </c>
      <c r="P204" s="23" t="str">
        <f>IF(A204="","",IF(IF(OR(DATE($B$3,6,15)&gt;EOMONTH(DATE($B$3,6,1),0),NETWORKDAYS.INTL(DATE($B$3,6,15),DATE($B$3,6,15),1,'Non-working days'!$A$6:$A$45)=0),"",IF(COUNTIFS('Leave log'!$A$7:$A$306,Employees!$A$33,'Leave log'!$B$7:$B$306,"&lt;="&amp;DATE($B$3,6,15),'Leave log'!$C$7:$C$306,"&gt;="&amp;DATE($B$3,6,15),'Leave log'!$F$7:$F$306,"Approved")&gt;0,"A",""))="A","A",IF(OR(DATE($B$3,6,15)&gt;EOMONTH(DATE($B$3,6,1),0),NETWORKDAYS.INTL(DATE($B$3,6,15),DATE($B$3,6,15),1,'Non-working days'!$A$6:$A$45)=0),"",IF(COUNTIFS('Leave log'!$A$7:$A$306,Employees!$A$33,'Leave log'!$B$7:$B$306,"&lt;="&amp;DATE($B$3,6,15),'Leave log'!$C$7:$C$306,"&gt;="&amp;DATE($B$3,6,15),'Leave log'!$F$7:$F$306,"Pending")&gt;0,"P",""))))</f>
        <v/>
      </c>
      <c r="Q204" s="23" t="str">
        <f>IF(A204="","",IF(IF(OR(DATE($B$3,6,16)&gt;EOMONTH(DATE($B$3,6,1),0),NETWORKDAYS.INTL(DATE($B$3,6,16),DATE($B$3,6,16),1,'Non-working days'!$A$6:$A$45)=0),"",IF(COUNTIFS('Leave log'!$A$7:$A$306,Employees!$A$33,'Leave log'!$B$7:$B$306,"&lt;="&amp;DATE($B$3,6,16),'Leave log'!$C$7:$C$306,"&gt;="&amp;DATE($B$3,6,16),'Leave log'!$F$7:$F$306,"Approved")&gt;0,"A",""))="A","A",IF(OR(DATE($B$3,6,16)&gt;EOMONTH(DATE($B$3,6,1),0),NETWORKDAYS.INTL(DATE($B$3,6,16),DATE($B$3,6,16),1,'Non-working days'!$A$6:$A$45)=0),"",IF(COUNTIFS('Leave log'!$A$7:$A$306,Employees!$A$33,'Leave log'!$B$7:$B$306,"&lt;="&amp;DATE($B$3,6,16),'Leave log'!$C$7:$C$306,"&gt;="&amp;DATE($B$3,6,16),'Leave log'!$F$7:$F$306,"Pending")&gt;0,"P",""))))</f>
        <v/>
      </c>
      <c r="R204" s="23" t="str">
        <f>IF(A204="","",IF(IF(OR(DATE($B$3,6,17)&gt;EOMONTH(DATE($B$3,6,1),0),NETWORKDAYS.INTL(DATE($B$3,6,17),DATE($B$3,6,17),1,'Non-working days'!$A$6:$A$45)=0),"",IF(COUNTIFS('Leave log'!$A$7:$A$306,Employees!$A$33,'Leave log'!$B$7:$B$306,"&lt;="&amp;DATE($B$3,6,17),'Leave log'!$C$7:$C$306,"&gt;="&amp;DATE($B$3,6,17),'Leave log'!$F$7:$F$306,"Approved")&gt;0,"A",""))="A","A",IF(OR(DATE($B$3,6,17)&gt;EOMONTH(DATE($B$3,6,1),0),NETWORKDAYS.INTL(DATE($B$3,6,17),DATE($B$3,6,17),1,'Non-working days'!$A$6:$A$45)=0),"",IF(COUNTIFS('Leave log'!$A$7:$A$306,Employees!$A$33,'Leave log'!$B$7:$B$306,"&lt;="&amp;DATE($B$3,6,17),'Leave log'!$C$7:$C$306,"&gt;="&amp;DATE($B$3,6,17),'Leave log'!$F$7:$F$306,"Pending")&gt;0,"P",""))))</f>
        <v/>
      </c>
      <c r="S204" s="23" t="str">
        <f>IF(A204="","",IF(IF(OR(DATE($B$3,6,18)&gt;EOMONTH(DATE($B$3,6,1),0),NETWORKDAYS.INTL(DATE($B$3,6,18),DATE($B$3,6,18),1,'Non-working days'!$A$6:$A$45)=0),"",IF(COUNTIFS('Leave log'!$A$7:$A$306,Employees!$A$33,'Leave log'!$B$7:$B$306,"&lt;="&amp;DATE($B$3,6,18),'Leave log'!$C$7:$C$306,"&gt;="&amp;DATE($B$3,6,18),'Leave log'!$F$7:$F$306,"Approved")&gt;0,"A",""))="A","A",IF(OR(DATE($B$3,6,18)&gt;EOMONTH(DATE($B$3,6,1),0),NETWORKDAYS.INTL(DATE($B$3,6,18),DATE($B$3,6,18),1,'Non-working days'!$A$6:$A$45)=0),"",IF(COUNTIFS('Leave log'!$A$7:$A$306,Employees!$A$33,'Leave log'!$B$7:$B$306,"&lt;="&amp;DATE($B$3,6,18),'Leave log'!$C$7:$C$306,"&gt;="&amp;DATE($B$3,6,18),'Leave log'!$F$7:$F$306,"Pending")&gt;0,"P",""))))</f>
        <v/>
      </c>
      <c r="T204" s="23" t="str">
        <f>IF(A204="","",IF(IF(OR(DATE($B$3,6,19)&gt;EOMONTH(DATE($B$3,6,1),0),NETWORKDAYS.INTL(DATE($B$3,6,19),DATE($B$3,6,19),1,'Non-working days'!$A$6:$A$45)=0),"",IF(COUNTIFS('Leave log'!$A$7:$A$306,Employees!$A$33,'Leave log'!$B$7:$B$306,"&lt;="&amp;DATE($B$3,6,19),'Leave log'!$C$7:$C$306,"&gt;="&amp;DATE($B$3,6,19),'Leave log'!$F$7:$F$306,"Approved")&gt;0,"A",""))="A","A",IF(OR(DATE($B$3,6,19)&gt;EOMONTH(DATE($B$3,6,1),0),NETWORKDAYS.INTL(DATE($B$3,6,19),DATE($B$3,6,19),1,'Non-working days'!$A$6:$A$45)=0),"",IF(COUNTIFS('Leave log'!$A$7:$A$306,Employees!$A$33,'Leave log'!$B$7:$B$306,"&lt;="&amp;DATE($B$3,6,19),'Leave log'!$C$7:$C$306,"&gt;="&amp;DATE($B$3,6,19),'Leave log'!$F$7:$F$306,"Pending")&gt;0,"P",""))))</f>
        <v/>
      </c>
      <c r="U204" s="23" t="str">
        <f>IF(A204="","",IF(IF(OR(DATE($B$3,6,20)&gt;EOMONTH(DATE($B$3,6,1),0),NETWORKDAYS.INTL(DATE($B$3,6,20),DATE($B$3,6,20),1,'Non-working days'!$A$6:$A$45)=0),"",IF(COUNTIFS('Leave log'!$A$7:$A$306,Employees!$A$33,'Leave log'!$B$7:$B$306,"&lt;="&amp;DATE($B$3,6,20),'Leave log'!$C$7:$C$306,"&gt;="&amp;DATE($B$3,6,20),'Leave log'!$F$7:$F$306,"Approved")&gt;0,"A",""))="A","A",IF(OR(DATE($B$3,6,20)&gt;EOMONTH(DATE($B$3,6,1),0),NETWORKDAYS.INTL(DATE($B$3,6,20),DATE($B$3,6,20),1,'Non-working days'!$A$6:$A$45)=0),"",IF(COUNTIFS('Leave log'!$A$7:$A$306,Employees!$A$33,'Leave log'!$B$7:$B$306,"&lt;="&amp;DATE($B$3,6,20),'Leave log'!$C$7:$C$306,"&gt;="&amp;DATE($B$3,6,20),'Leave log'!$F$7:$F$306,"Pending")&gt;0,"P",""))))</f>
        <v/>
      </c>
      <c r="V204" s="23" t="str">
        <f>IF(A204="","",IF(IF(OR(DATE($B$3,6,21)&gt;EOMONTH(DATE($B$3,6,1),0),NETWORKDAYS.INTL(DATE($B$3,6,21),DATE($B$3,6,21),1,'Non-working days'!$A$6:$A$45)=0),"",IF(COUNTIFS('Leave log'!$A$7:$A$306,Employees!$A$33,'Leave log'!$B$7:$B$306,"&lt;="&amp;DATE($B$3,6,21),'Leave log'!$C$7:$C$306,"&gt;="&amp;DATE($B$3,6,21),'Leave log'!$F$7:$F$306,"Approved")&gt;0,"A",""))="A","A",IF(OR(DATE($B$3,6,21)&gt;EOMONTH(DATE($B$3,6,1),0),NETWORKDAYS.INTL(DATE($B$3,6,21),DATE($B$3,6,21),1,'Non-working days'!$A$6:$A$45)=0),"",IF(COUNTIFS('Leave log'!$A$7:$A$306,Employees!$A$33,'Leave log'!$B$7:$B$306,"&lt;="&amp;DATE($B$3,6,21),'Leave log'!$C$7:$C$306,"&gt;="&amp;DATE($B$3,6,21),'Leave log'!$F$7:$F$306,"Pending")&gt;0,"P",""))))</f>
        <v/>
      </c>
      <c r="W204" s="23" t="str">
        <f>IF(A204="","",IF(IF(OR(DATE($B$3,6,22)&gt;EOMONTH(DATE($B$3,6,1),0),NETWORKDAYS.INTL(DATE($B$3,6,22),DATE($B$3,6,22),1,'Non-working days'!$A$6:$A$45)=0),"",IF(COUNTIFS('Leave log'!$A$7:$A$306,Employees!$A$33,'Leave log'!$B$7:$B$306,"&lt;="&amp;DATE($B$3,6,22),'Leave log'!$C$7:$C$306,"&gt;="&amp;DATE($B$3,6,22),'Leave log'!$F$7:$F$306,"Approved")&gt;0,"A",""))="A","A",IF(OR(DATE($B$3,6,22)&gt;EOMONTH(DATE($B$3,6,1),0),NETWORKDAYS.INTL(DATE($B$3,6,22),DATE($B$3,6,22),1,'Non-working days'!$A$6:$A$45)=0),"",IF(COUNTIFS('Leave log'!$A$7:$A$306,Employees!$A$33,'Leave log'!$B$7:$B$306,"&lt;="&amp;DATE($B$3,6,22),'Leave log'!$C$7:$C$306,"&gt;="&amp;DATE($B$3,6,22),'Leave log'!$F$7:$F$306,"Pending")&gt;0,"P",""))))</f>
        <v/>
      </c>
      <c r="X204" s="23" t="str">
        <f>IF(A204="","",IF(IF(OR(DATE($B$3,6,23)&gt;EOMONTH(DATE($B$3,6,1),0),NETWORKDAYS.INTL(DATE($B$3,6,23),DATE($B$3,6,23),1,'Non-working days'!$A$6:$A$45)=0),"",IF(COUNTIFS('Leave log'!$A$7:$A$306,Employees!$A$33,'Leave log'!$B$7:$B$306,"&lt;="&amp;DATE($B$3,6,23),'Leave log'!$C$7:$C$306,"&gt;="&amp;DATE($B$3,6,23),'Leave log'!$F$7:$F$306,"Approved")&gt;0,"A",""))="A","A",IF(OR(DATE($B$3,6,23)&gt;EOMONTH(DATE($B$3,6,1),0),NETWORKDAYS.INTL(DATE($B$3,6,23),DATE($B$3,6,23),1,'Non-working days'!$A$6:$A$45)=0),"",IF(COUNTIFS('Leave log'!$A$7:$A$306,Employees!$A$33,'Leave log'!$B$7:$B$306,"&lt;="&amp;DATE($B$3,6,23),'Leave log'!$C$7:$C$306,"&gt;="&amp;DATE($B$3,6,23),'Leave log'!$F$7:$F$306,"Pending")&gt;0,"P",""))))</f>
        <v/>
      </c>
      <c r="Y204" s="23" t="str">
        <f>IF(A204="","",IF(IF(OR(DATE($B$3,6,24)&gt;EOMONTH(DATE($B$3,6,1),0),NETWORKDAYS.INTL(DATE($B$3,6,24),DATE($B$3,6,24),1,'Non-working days'!$A$6:$A$45)=0),"",IF(COUNTIFS('Leave log'!$A$7:$A$306,Employees!$A$33,'Leave log'!$B$7:$B$306,"&lt;="&amp;DATE($B$3,6,24),'Leave log'!$C$7:$C$306,"&gt;="&amp;DATE($B$3,6,24),'Leave log'!$F$7:$F$306,"Approved")&gt;0,"A",""))="A","A",IF(OR(DATE($B$3,6,24)&gt;EOMONTH(DATE($B$3,6,1),0),NETWORKDAYS.INTL(DATE($B$3,6,24),DATE($B$3,6,24),1,'Non-working days'!$A$6:$A$45)=0),"",IF(COUNTIFS('Leave log'!$A$7:$A$306,Employees!$A$33,'Leave log'!$B$7:$B$306,"&lt;="&amp;DATE($B$3,6,24),'Leave log'!$C$7:$C$306,"&gt;="&amp;DATE($B$3,6,24),'Leave log'!$F$7:$F$306,"Pending")&gt;0,"P",""))))</f>
        <v/>
      </c>
      <c r="Z204" s="23" t="str">
        <f>IF(A204="","",IF(IF(OR(DATE($B$3,6,25)&gt;EOMONTH(DATE($B$3,6,1),0),NETWORKDAYS.INTL(DATE($B$3,6,25),DATE($B$3,6,25),1,'Non-working days'!$A$6:$A$45)=0),"",IF(COUNTIFS('Leave log'!$A$7:$A$306,Employees!$A$33,'Leave log'!$B$7:$B$306,"&lt;="&amp;DATE($B$3,6,25),'Leave log'!$C$7:$C$306,"&gt;="&amp;DATE($B$3,6,25),'Leave log'!$F$7:$F$306,"Approved")&gt;0,"A",""))="A","A",IF(OR(DATE($B$3,6,25)&gt;EOMONTH(DATE($B$3,6,1),0),NETWORKDAYS.INTL(DATE($B$3,6,25),DATE($B$3,6,25),1,'Non-working days'!$A$6:$A$45)=0),"",IF(COUNTIFS('Leave log'!$A$7:$A$306,Employees!$A$33,'Leave log'!$B$7:$B$306,"&lt;="&amp;DATE($B$3,6,25),'Leave log'!$C$7:$C$306,"&gt;="&amp;DATE($B$3,6,25),'Leave log'!$F$7:$F$306,"Pending")&gt;0,"P",""))))</f>
        <v/>
      </c>
      <c r="AA204" s="23" t="str">
        <f>IF(A204="","",IF(IF(OR(DATE($B$3,6,26)&gt;EOMONTH(DATE($B$3,6,1),0),NETWORKDAYS.INTL(DATE($B$3,6,26),DATE($B$3,6,26),1,'Non-working days'!$A$6:$A$45)=0),"",IF(COUNTIFS('Leave log'!$A$7:$A$306,Employees!$A$33,'Leave log'!$B$7:$B$306,"&lt;="&amp;DATE($B$3,6,26),'Leave log'!$C$7:$C$306,"&gt;="&amp;DATE($B$3,6,26),'Leave log'!$F$7:$F$306,"Approved")&gt;0,"A",""))="A","A",IF(OR(DATE($B$3,6,26)&gt;EOMONTH(DATE($B$3,6,1),0),NETWORKDAYS.INTL(DATE($B$3,6,26),DATE($B$3,6,26),1,'Non-working days'!$A$6:$A$45)=0),"",IF(COUNTIFS('Leave log'!$A$7:$A$306,Employees!$A$33,'Leave log'!$B$7:$B$306,"&lt;="&amp;DATE($B$3,6,26),'Leave log'!$C$7:$C$306,"&gt;="&amp;DATE($B$3,6,26),'Leave log'!$F$7:$F$306,"Pending")&gt;0,"P",""))))</f>
        <v/>
      </c>
      <c r="AB204" s="23" t="str">
        <f>IF(A204="","",IF(IF(OR(DATE($B$3,6,27)&gt;EOMONTH(DATE($B$3,6,1),0),NETWORKDAYS.INTL(DATE($B$3,6,27),DATE($B$3,6,27),1,'Non-working days'!$A$6:$A$45)=0),"",IF(COUNTIFS('Leave log'!$A$7:$A$306,Employees!$A$33,'Leave log'!$B$7:$B$306,"&lt;="&amp;DATE($B$3,6,27),'Leave log'!$C$7:$C$306,"&gt;="&amp;DATE($B$3,6,27),'Leave log'!$F$7:$F$306,"Approved")&gt;0,"A",""))="A","A",IF(OR(DATE($B$3,6,27)&gt;EOMONTH(DATE($B$3,6,1),0),NETWORKDAYS.INTL(DATE($B$3,6,27),DATE($B$3,6,27),1,'Non-working days'!$A$6:$A$45)=0),"",IF(COUNTIFS('Leave log'!$A$7:$A$306,Employees!$A$33,'Leave log'!$B$7:$B$306,"&lt;="&amp;DATE($B$3,6,27),'Leave log'!$C$7:$C$306,"&gt;="&amp;DATE($B$3,6,27),'Leave log'!$F$7:$F$306,"Pending")&gt;0,"P",""))))</f>
        <v/>
      </c>
      <c r="AC204" s="23" t="str">
        <f>IF(A204="","",IF(IF(OR(DATE($B$3,6,28)&gt;EOMONTH(DATE($B$3,6,1),0),NETWORKDAYS.INTL(DATE($B$3,6,28),DATE($B$3,6,28),1,'Non-working days'!$A$6:$A$45)=0),"",IF(COUNTIFS('Leave log'!$A$7:$A$306,Employees!$A$33,'Leave log'!$B$7:$B$306,"&lt;="&amp;DATE($B$3,6,28),'Leave log'!$C$7:$C$306,"&gt;="&amp;DATE($B$3,6,28),'Leave log'!$F$7:$F$306,"Approved")&gt;0,"A",""))="A","A",IF(OR(DATE($B$3,6,28)&gt;EOMONTH(DATE($B$3,6,1),0),NETWORKDAYS.INTL(DATE($B$3,6,28),DATE($B$3,6,28),1,'Non-working days'!$A$6:$A$45)=0),"",IF(COUNTIFS('Leave log'!$A$7:$A$306,Employees!$A$33,'Leave log'!$B$7:$B$306,"&lt;="&amp;DATE($B$3,6,28),'Leave log'!$C$7:$C$306,"&gt;="&amp;DATE($B$3,6,28),'Leave log'!$F$7:$F$306,"Pending")&gt;0,"P",""))))</f>
        <v/>
      </c>
      <c r="AD204" s="23" t="str">
        <f>IF(A204="","",IF(IF(OR(DATE($B$3,6,29)&gt;EOMONTH(DATE($B$3,6,1),0),NETWORKDAYS.INTL(DATE($B$3,6,29),DATE($B$3,6,29),1,'Non-working days'!$A$6:$A$45)=0),"",IF(COUNTIFS('Leave log'!$A$7:$A$306,Employees!$A$33,'Leave log'!$B$7:$B$306,"&lt;="&amp;DATE($B$3,6,29),'Leave log'!$C$7:$C$306,"&gt;="&amp;DATE($B$3,6,29),'Leave log'!$F$7:$F$306,"Approved")&gt;0,"A",""))="A","A",IF(OR(DATE($B$3,6,29)&gt;EOMONTH(DATE($B$3,6,1),0),NETWORKDAYS.INTL(DATE($B$3,6,29),DATE($B$3,6,29),1,'Non-working days'!$A$6:$A$45)=0),"",IF(COUNTIFS('Leave log'!$A$7:$A$306,Employees!$A$33,'Leave log'!$B$7:$B$306,"&lt;="&amp;DATE($B$3,6,29),'Leave log'!$C$7:$C$306,"&gt;="&amp;DATE($B$3,6,29),'Leave log'!$F$7:$F$306,"Pending")&gt;0,"P",""))))</f>
        <v/>
      </c>
      <c r="AE204" s="23" t="str">
        <f>IF(A204="","",IF(IF(OR(DATE($B$3,6,30)&gt;EOMONTH(DATE($B$3,6,1),0),NETWORKDAYS.INTL(DATE($B$3,6,30),DATE($B$3,6,30),1,'Non-working days'!$A$6:$A$45)=0),"",IF(COUNTIFS('Leave log'!$A$7:$A$306,Employees!$A$33,'Leave log'!$B$7:$B$306,"&lt;="&amp;DATE($B$3,6,30),'Leave log'!$C$7:$C$306,"&gt;="&amp;DATE($B$3,6,30),'Leave log'!$F$7:$F$306,"Approved")&gt;0,"A",""))="A","A",IF(OR(DATE($B$3,6,30)&gt;EOMONTH(DATE($B$3,6,1),0),NETWORKDAYS.INTL(DATE($B$3,6,30),DATE($B$3,6,30),1,'Non-working days'!$A$6:$A$45)=0),"",IF(COUNTIFS('Leave log'!$A$7:$A$306,Employees!$A$33,'Leave log'!$B$7:$B$306,"&lt;="&amp;DATE($B$3,6,30),'Leave log'!$C$7:$C$306,"&gt;="&amp;DATE($B$3,6,30),'Leave log'!$F$7:$F$306,"Pending")&gt;0,"P",""))))</f>
        <v/>
      </c>
      <c r="AF204" s="23" t="str">
        <f>IF(A204="","",IF(IF(OR(DATE($B$3,6,31)&gt;EOMONTH(DATE($B$3,6,1),0),NETWORKDAYS.INTL(DATE($B$3,6,31),DATE($B$3,6,31),1,'Non-working days'!$A$6:$A$45)=0),"",IF(COUNTIFS('Leave log'!$A$7:$A$306,Employees!$A$33,'Leave log'!$B$7:$B$306,"&lt;="&amp;DATE($B$3,6,31),'Leave log'!$C$7:$C$306,"&gt;="&amp;DATE($B$3,6,31),'Leave log'!$F$7:$F$306,"Approved")&gt;0,"A",""))="A","A",IF(OR(DATE($B$3,6,31)&gt;EOMONTH(DATE($B$3,6,1),0),NETWORKDAYS.INTL(DATE($B$3,6,31),DATE($B$3,6,31),1,'Non-working days'!$A$6:$A$45)=0),"",IF(COUNTIFS('Leave log'!$A$7:$A$306,Employees!$A$33,'Leave log'!$B$7:$B$306,"&lt;="&amp;DATE($B$3,6,31),'Leave log'!$C$7:$C$306,"&gt;="&amp;DATE($B$3,6,31),'Leave log'!$F$7:$F$306,"Pending")&gt;0,"P",""))))</f>
        <v/>
      </c>
    </row>
    <row r="205" spans="1:32" ht="18" customHeight="1" x14ac:dyDescent="0.3">
      <c r="A205" s="22" t="str">
        <f>IF(Employees!F34="Yes",Employees!B34,"")</f>
        <v/>
      </c>
      <c r="B205" s="23" t="str">
        <f>IF(A205="","",IF(IF(OR(DATE($B$3,6,1)&gt;EOMONTH(DATE($B$3,6,1),0),NETWORKDAYS.INTL(DATE($B$3,6,1),DATE($B$3,6,1),1,'Non-working days'!$A$6:$A$45)=0),"",IF(COUNTIFS('Leave log'!$A$7:$A$306,Employees!$A$34,'Leave log'!$B$7:$B$306,"&lt;="&amp;DATE($B$3,6,1),'Leave log'!$C$7:$C$306,"&gt;="&amp;DATE($B$3,6,1),'Leave log'!$F$7:$F$306,"Approved")&gt;0,"A",""))="A","A",IF(OR(DATE($B$3,6,1)&gt;EOMONTH(DATE($B$3,6,1),0),NETWORKDAYS.INTL(DATE($B$3,6,1),DATE($B$3,6,1),1,'Non-working days'!$A$6:$A$45)=0),"",IF(COUNTIFS('Leave log'!$A$7:$A$306,Employees!$A$34,'Leave log'!$B$7:$B$306,"&lt;="&amp;DATE($B$3,6,1),'Leave log'!$C$7:$C$306,"&gt;="&amp;DATE($B$3,6,1),'Leave log'!$F$7:$F$306,"Pending")&gt;0,"P",""))))</f>
        <v/>
      </c>
      <c r="C205" s="23" t="str">
        <f>IF(A205="","",IF(IF(OR(DATE($B$3,6,2)&gt;EOMONTH(DATE($B$3,6,1),0),NETWORKDAYS.INTL(DATE($B$3,6,2),DATE($B$3,6,2),1,'Non-working days'!$A$6:$A$45)=0),"",IF(COUNTIFS('Leave log'!$A$7:$A$306,Employees!$A$34,'Leave log'!$B$7:$B$306,"&lt;="&amp;DATE($B$3,6,2),'Leave log'!$C$7:$C$306,"&gt;="&amp;DATE($B$3,6,2),'Leave log'!$F$7:$F$306,"Approved")&gt;0,"A",""))="A","A",IF(OR(DATE($B$3,6,2)&gt;EOMONTH(DATE($B$3,6,1),0),NETWORKDAYS.INTL(DATE($B$3,6,2),DATE($B$3,6,2),1,'Non-working days'!$A$6:$A$45)=0),"",IF(COUNTIFS('Leave log'!$A$7:$A$306,Employees!$A$34,'Leave log'!$B$7:$B$306,"&lt;="&amp;DATE($B$3,6,2),'Leave log'!$C$7:$C$306,"&gt;="&amp;DATE($B$3,6,2),'Leave log'!$F$7:$F$306,"Pending")&gt;0,"P",""))))</f>
        <v/>
      </c>
      <c r="D205" s="23" t="str">
        <f>IF(A205="","",IF(IF(OR(DATE($B$3,6,3)&gt;EOMONTH(DATE($B$3,6,1),0),NETWORKDAYS.INTL(DATE($B$3,6,3),DATE($B$3,6,3),1,'Non-working days'!$A$6:$A$45)=0),"",IF(COUNTIFS('Leave log'!$A$7:$A$306,Employees!$A$34,'Leave log'!$B$7:$B$306,"&lt;="&amp;DATE($B$3,6,3),'Leave log'!$C$7:$C$306,"&gt;="&amp;DATE($B$3,6,3),'Leave log'!$F$7:$F$306,"Approved")&gt;0,"A",""))="A","A",IF(OR(DATE($B$3,6,3)&gt;EOMONTH(DATE($B$3,6,1),0),NETWORKDAYS.INTL(DATE($B$3,6,3),DATE($B$3,6,3),1,'Non-working days'!$A$6:$A$45)=0),"",IF(COUNTIFS('Leave log'!$A$7:$A$306,Employees!$A$34,'Leave log'!$B$7:$B$306,"&lt;="&amp;DATE($B$3,6,3),'Leave log'!$C$7:$C$306,"&gt;="&amp;DATE($B$3,6,3),'Leave log'!$F$7:$F$306,"Pending")&gt;0,"P",""))))</f>
        <v/>
      </c>
      <c r="E205" s="23" t="str">
        <f>IF(A205="","",IF(IF(OR(DATE($B$3,6,4)&gt;EOMONTH(DATE($B$3,6,1),0),NETWORKDAYS.INTL(DATE($B$3,6,4),DATE($B$3,6,4),1,'Non-working days'!$A$6:$A$45)=0),"",IF(COUNTIFS('Leave log'!$A$7:$A$306,Employees!$A$34,'Leave log'!$B$7:$B$306,"&lt;="&amp;DATE($B$3,6,4),'Leave log'!$C$7:$C$306,"&gt;="&amp;DATE($B$3,6,4),'Leave log'!$F$7:$F$306,"Approved")&gt;0,"A",""))="A","A",IF(OR(DATE($B$3,6,4)&gt;EOMONTH(DATE($B$3,6,1),0),NETWORKDAYS.INTL(DATE($B$3,6,4),DATE($B$3,6,4),1,'Non-working days'!$A$6:$A$45)=0),"",IF(COUNTIFS('Leave log'!$A$7:$A$306,Employees!$A$34,'Leave log'!$B$7:$B$306,"&lt;="&amp;DATE($B$3,6,4),'Leave log'!$C$7:$C$306,"&gt;="&amp;DATE($B$3,6,4),'Leave log'!$F$7:$F$306,"Pending")&gt;0,"P",""))))</f>
        <v/>
      </c>
      <c r="F205" s="23" t="str">
        <f>IF(A205="","",IF(IF(OR(DATE($B$3,6,5)&gt;EOMONTH(DATE($B$3,6,1),0),NETWORKDAYS.INTL(DATE($B$3,6,5),DATE($B$3,6,5),1,'Non-working days'!$A$6:$A$45)=0),"",IF(COUNTIFS('Leave log'!$A$7:$A$306,Employees!$A$34,'Leave log'!$B$7:$B$306,"&lt;="&amp;DATE($B$3,6,5),'Leave log'!$C$7:$C$306,"&gt;="&amp;DATE($B$3,6,5),'Leave log'!$F$7:$F$306,"Approved")&gt;0,"A",""))="A","A",IF(OR(DATE($B$3,6,5)&gt;EOMONTH(DATE($B$3,6,1),0),NETWORKDAYS.INTL(DATE($B$3,6,5),DATE($B$3,6,5),1,'Non-working days'!$A$6:$A$45)=0),"",IF(COUNTIFS('Leave log'!$A$7:$A$306,Employees!$A$34,'Leave log'!$B$7:$B$306,"&lt;="&amp;DATE($B$3,6,5),'Leave log'!$C$7:$C$306,"&gt;="&amp;DATE($B$3,6,5),'Leave log'!$F$7:$F$306,"Pending")&gt;0,"P",""))))</f>
        <v/>
      </c>
      <c r="G205" s="23" t="str">
        <f>IF(A205="","",IF(IF(OR(DATE($B$3,6,6)&gt;EOMONTH(DATE($B$3,6,1),0),NETWORKDAYS.INTL(DATE($B$3,6,6),DATE($B$3,6,6),1,'Non-working days'!$A$6:$A$45)=0),"",IF(COUNTIFS('Leave log'!$A$7:$A$306,Employees!$A$34,'Leave log'!$B$7:$B$306,"&lt;="&amp;DATE($B$3,6,6),'Leave log'!$C$7:$C$306,"&gt;="&amp;DATE($B$3,6,6),'Leave log'!$F$7:$F$306,"Approved")&gt;0,"A",""))="A","A",IF(OR(DATE($B$3,6,6)&gt;EOMONTH(DATE($B$3,6,1),0),NETWORKDAYS.INTL(DATE($B$3,6,6),DATE($B$3,6,6),1,'Non-working days'!$A$6:$A$45)=0),"",IF(COUNTIFS('Leave log'!$A$7:$A$306,Employees!$A$34,'Leave log'!$B$7:$B$306,"&lt;="&amp;DATE($B$3,6,6),'Leave log'!$C$7:$C$306,"&gt;="&amp;DATE($B$3,6,6),'Leave log'!$F$7:$F$306,"Pending")&gt;0,"P",""))))</f>
        <v/>
      </c>
      <c r="H205" s="23" t="str">
        <f>IF(A205="","",IF(IF(OR(DATE($B$3,6,7)&gt;EOMONTH(DATE($B$3,6,1),0),NETWORKDAYS.INTL(DATE($B$3,6,7),DATE($B$3,6,7),1,'Non-working days'!$A$6:$A$45)=0),"",IF(COUNTIFS('Leave log'!$A$7:$A$306,Employees!$A$34,'Leave log'!$B$7:$B$306,"&lt;="&amp;DATE($B$3,6,7),'Leave log'!$C$7:$C$306,"&gt;="&amp;DATE($B$3,6,7),'Leave log'!$F$7:$F$306,"Approved")&gt;0,"A",""))="A","A",IF(OR(DATE($B$3,6,7)&gt;EOMONTH(DATE($B$3,6,1),0),NETWORKDAYS.INTL(DATE($B$3,6,7),DATE($B$3,6,7),1,'Non-working days'!$A$6:$A$45)=0),"",IF(COUNTIFS('Leave log'!$A$7:$A$306,Employees!$A$34,'Leave log'!$B$7:$B$306,"&lt;="&amp;DATE($B$3,6,7),'Leave log'!$C$7:$C$306,"&gt;="&amp;DATE($B$3,6,7),'Leave log'!$F$7:$F$306,"Pending")&gt;0,"P",""))))</f>
        <v/>
      </c>
      <c r="I205" s="23" t="str">
        <f>IF(A205="","",IF(IF(OR(DATE($B$3,6,8)&gt;EOMONTH(DATE($B$3,6,1),0),NETWORKDAYS.INTL(DATE($B$3,6,8),DATE($B$3,6,8),1,'Non-working days'!$A$6:$A$45)=0),"",IF(COUNTIFS('Leave log'!$A$7:$A$306,Employees!$A$34,'Leave log'!$B$7:$B$306,"&lt;="&amp;DATE($B$3,6,8),'Leave log'!$C$7:$C$306,"&gt;="&amp;DATE($B$3,6,8),'Leave log'!$F$7:$F$306,"Approved")&gt;0,"A",""))="A","A",IF(OR(DATE($B$3,6,8)&gt;EOMONTH(DATE($B$3,6,1),0),NETWORKDAYS.INTL(DATE($B$3,6,8),DATE($B$3,6,8),1,'Non-working days'!$A$6:$A$45)=0),"",IF(COUNTIFS('Leave log'!$A$7:$A$306,Employees!$A$34,'Leave log'!$B$7:$B$306,"&lt;="&amp;DATE($B$3,6,8),'Leave log'!$C$7:$C$306,"&gt;="&amp;DATE($B$3,6,8),'Leave log'!$F$7:$F$306,"Pending")&gt;0,"P",""))))</f>
        <v/>
      </c>
      <c r="J205" s="23" t="str">
        <f>IF(A205="","",IF(IF(OR(DATE($B$3,6,9)&gt;EOMONTH(DATE($B$3,6,1),0),NETWORKDAYS.INTL(DATE($B$3,6,9),DATE($B$3,6,9),1,'Non-working days'!$A$6:$A$45)=0),"",IF(COUNTIFS('Leave log'!$A$7:$A$306,Employees!$A$34,'Leave log'!$B$7:$B$306,"&lt;="&amp;DATE($B$3,6,9),'Leave log'!$C$7:$C$306,"&gt;="&amp;DATE($B$3,6,9),'Leave log'!$F$7:$F$306,"Approved")&gt;0,"A",""))="A","A",IF(OR(DATE($B$3,6,9)&gt;EOMONTH(DATE($B$3,6,1),0),NETWORKDAYS.INTL(DATE($B$3,6,9),DATE($B$3,6,9),1,'Non-working days'!$A$6:$A$45)=0),"",IF(COUNTIFS('Leave log'!$A$7:$A$306,Employees!$A$34,'Leave log'!$B$7:$B$306,"&lt;="&amp;DATE($B$3,6,9),'Leave log'!$C$7:$C$306,"&gt;="&amp;DATE($B$3,6,9),'Leave log'!$F$7:$F$306,"Pending")&gt;0,"P",""))))</f>
        <v/>
      </c>
      <c r="K205" s="23" t="str">
        <f>IF(A205="","",IF(IF(OR(DATE($B$3,6,10)&gt;EOMONTH(DATE($B$3,6,1),0),NETWORKDAYS.INTL(DATE($B$3,6,10),DATE($B$3,6,10),1,'Non-working days'!$A$6:$A$45)=0),"",IF(COUNTIFS('Leave log'!$A$7:$A$306,Employees!$A$34,'Leave log'!$B$7:$B$306,"&lt;="&amp;DATE($B$3,6,10),'Leave log'!$C$7:$C$306,"&gt;="&amp;DATE($B$3,6,10),'Leave log'!$F$7:$F$306,"Approved")&gt;0,"A",""))="A","A",IF(OR(DATE($B$3,6,10)&gt;EOMONTH(DATE($B$3,6,1),0),NETWORKDAYS.INTL(DATE($B$3,6,10),DATE($B$3,6,10),1,'Non-working days'!$A$6:$A$45)=0),"",IF(COUNTIFS('Leave log'!$A$7:$A$306,Employees!$A$34,'Leave log'!$B$7:$B$306,"&lt;="&amp;DATE($B$3,6,10),'Leave log'!$C$7:$C$306,"&gt;="&amp;DATE($B$3,6,10),'Leave log'!$F$7:$F$306,"Pending")&gt;0,"P",""))))</f>
        <v/>
      </c>
      <c r="L205" s="23" t="str">
        <f>IF(A205="","",IF(IF(OR(DATE($B$3,6,11)&gt;EOMONTH(DATE($B$3,6,1),0),NETWORKDAYS.INTL(DATE($B$3,6,11),DATE($B$3,6,11),1,'Non-working days'!$A$6:$A$45)=0),"",IF(COUNTIFS('Leave log'!$A$7:$A$306,Employees!$A$34,'Leave log'!$B$7:$B$306,"&lt;="&amp;DATE($B$3,6,11),'Leave log'!$C$7:$C$306,"&gt;="&amp;DATE($B$3,6,11),'Leave log'!$F$7:$F$306,"Approved")&gt;0,"A",""))="A","A",IF(OR(DATE($B$3,6,11)&gt;EOMONTH(DATE($B$3,6,1),0),NETWORKDAYS.INTL(DATE($B$3,6,11),DATE($B$3,6,11),1,'Non-working days'!$A$6:$A$45)=0),"",IF(COUNTIFS('Leave log'!$A$7:$A$306,Employees!$A$34,'Leave log'!$B$7:$B$306,"&lt;="&amp;DATE($B$3,6,11),'Leave log'!$C$7:$C$306,"&gt;="&amp;DATE($B$3,6,11),'Leave log'!$F$7:$F$306,"Pending")&gt;0,"P",""))))</f>
        <v/>
      </c>
      <c r="M205" s="23" t="str">
        <f>IF(A205="","",IF(IF(OR(DATE($B$3,6,12)&gt;EOMONTH(DATE($B$3,6,1),0),NETWORKDAYS.INTL(DATE($B$3,6,12),DATE($B$3,6,12),1,'Non-working days'!$A$6:$A$45)=0),"",IF(COUNTIFS('Leave log'!$A$7:$A$306,Employees!$A$34,'Leave log'!$B$7:$B$306,"&lt;="&amp;DATE($B$3,6,12),'Leave log'!$C$7:$C$306,"&gt;="&amp;DATE($B$3,6,12),'Leave log'!$F$7:$F$306,"Approved")&gt;0,"A",""))="A","A",IF(OR(DATE($B$3,6,12)&gt;EOMONTH(DATE($B$3,6,1),0),NETWORKDAYS.INTL(DATE($B$3,6,12),DATE($B$3,6,12),1,'Non-working days'!$A$6:$A$45)=0),"",IF(COUNTIFS('Leave log'!$A$7:$A$306,Employees!$A$34,'Leave log'!$B$7:$B$306,"&lt;="&amp;DATE($B$3,6,12),'Leave log'!$C$7:$C$306,"&gt;="&amp;DATE($B$3,6,12),'Leave log'!$F$7:$F$306,"Pending")&gt;0,"P",""))))</f>
        <v/>
      </c>
      <c r="N205" s="23" t="str">
        <f>IF(A205="","",IF(IF(OR(DATE($B$3,6,13)&gt;EOMONTH(DATE($B$3,6,1),0),NETWORKDAYS.INTL(DATE($B$3,6,13),DATE($B$3,6,13),1,'Non-working days'!$A$6:$A$45)=0),"",IF(COUNTIFS('Leave log'!$A$7:$A$306,Employees!$A$34,'Leave log'!$B$7:$B$306,"&lt;="&amp;DATE($B$3,6,13),'Leave log'!$C$7:$C$306,"&gt;="&amp;DATE($B$3,6,13),'Leave log'!$F$7:$F$306,"Approved")&gt;0,"A",""))="A","A",IF(OR(DATE($B$3,6,13)&gt;EOMONTH(DATE($B$3,6,1),0),NETWORKDAYS.INTL(DATE($B$3,6,13),DATE($B$3,6,13),1,'Non-working days'!$A$6:$A$45)=0),"",IF(COUNTIFS('Leave log'!$A$7:$A$306,Employees!$A$34,'Leave log'!$B$7:$B$306,"&lt;="&amp;DATE($B$3,6,13),'Leave log'!$C$7:$C$306,"&gt;="&amp;DATE($B$3,6,13),'Leave log'!$F$7:$F$306,"Pending")&gt;0,"P",""))))</f>
        <v/>
      </c>
      <c r="O205" s="23" t="str">
        <f>IF(A205="","",IF(IF(OR(DATE($B$3,6,14)&gt;EOMONTH(DATE($B$3,6,1),0),NETWORKDAYS.INTL(DATE($B$3,6,14),DATE($B$3,6,14),1,'Non-working days'!$A$6:$A$45)=0),"",IF(COUNTIFS('Leave log'!$A$7:$A$306,Employees!$A$34,'Leave log'!$B$7:$B$306,"&lt;="&amp;DATE($B$3,6,14),'Leave log'!$C$7:$C$306,"&gt;="&amp;DATE($B$3,6,14),'Leave log'!$F$7:$F$306,"Approved")&gt;0,"A",""))="A","A",IF(OR(DATE($B$3,6,14)&gt;EOMONTH(DATE($B$3,6,1),0),NETWORKDAYS.INTL(DATE($B$3,6,14),DATE($B$3,6,14),1,'Non-working days'!$A$6:$A$45)=0),"",IF(COUNTIFS('Leave log'!$A$7:$A$306,Employees!$A$34,'Leave log'!$B$7:$B$306,"&lt;="&amp;DATE($B$3,6,14),'Leave log'!$C$7:$C$306,"&gt;="&amp;DATE($B$3,6,14),'Leave log'!$F$7:$F$306,"Pending")&gt;0,"P",""))))</f>
        <v/>
      </c>
      <c r="P205" s="23" t="str">
        <f>IF(A205="","",IF(IF(OR(DATE($B$3,6,15)&gt;EOMONTH(DATE($B$3,6,1),0),NETWORKDAYS.INTL(DATE($B$3,6,15),DATE($B$3,6,15),1,'Non-working days'!$A$6:$A$45)=0),"",IF(COUNTIFS('Leave log'!$A$7:$A$306,Employees!$A$34,'Leave log'!$B$7:$B$306,"&lt;="&amp;DATE($B$3,6,15),'Leave log'!$C$7:$C$306,"&gt;="&amp;DATE($B$3,6,15),'Leave log'!$F$7:$F$306,"Approved")&gt;0,"A",""))="A","A",IF(OR(DATE($B$3,6,15)&gt;EOMONTH(DATE($B$3,6,1),0),NETWORKDAYS.INTL(DATE($B$3,6,15),DATE($B$3,6,15),1,'Non-working days'!$A$6:$A$45)=0),"",IF(COUNTIFS('Leave log'!$A$7:$A$306,Employees!$A$34,'Leave log'!$B$7:$B$306,"&lt;="&amp;DATE($B$3,6,15),'Leave log'!$C$7:$C$306,"&gt;="&amp;DATE($B$3,6,15),'Leave log'!$F$7:$F$306,"Pending")&gt;0,"P",""))))</f>
        <v/>
      </c>
      <c r="Q205" s="23" t="str">
        <f>IF(A205="","",IF(IF(OR(DATE($B$3,6,16)&gt;EOMONTH(DATE($B$3,6,1),0),NETWORKDAYS.INTL(DATE($B$3,6,16),DATE($B$3,6,16),1,'Non-working days'!$A$6:$A$45)=0),"",IF(COUNTIFS('Leave log'!$A$7:$A$306,Employees!$A$34,'Leave log'!$B$7:$B$306,"&lt;="&amp;DATE($B$3,6,16),'Leave log'!$C$7:$C$306,"&gt;="&amp;DATE($B$3,6,16),'Leave log'!$F$7:$F$306,"Approved")&gt;0,"A",""))="A","A",IF(OR(DATE($B$3,6,16)&gt;EOMONTH(DATE($B$3,6,1),0),NETWORKDAYS.INTL(DATE($B$3,6,16),DATE($B$3,6,16),1,'Non-working days'!$A$6:$A$45)=0),"",IF(COUNTIFS('Leave log'!$A$7:$A$306,Employees!$A$34,'Leave log'!$B$7:$B$306,"&lt;="&amp;DATE($B$3,6,16),'Leave log'!$C$7:$C$306,"&gt;="&amp;DATE($B$3,6,16),'Leave log'!$F$7:$F$306,"Pending")&gt;0,"P",""))))</f>
        <v/>
      </c>
      <c r="R205" s="23" t="str">
        <f>IF(A205="","",IF(IF(OR(DATE($B$3,6,17)&gt;EOMONTH(DATE($B$3,6,1),0),NETWORKDAYS.INTL(DATE($B$3,6,17),DATE($B$3,6,17),1,'Non-working days'!$A$6:$A$45)=0),"",IF(COUNTIFS('Leave log'!$A$7:$A$306,Employees!$A$34,'Leave log'!$B$7:$B$306,"&lt;="&amp;DATE($B$3,6,17),'Leave log'!$C$7:$C$306,"&gt;="&amp;DATE($B$3,6,17),'Leave log'!$F$7:$F$306,"Approved")&gt;0,"A",""))="A","A",IF(OR(DATE($B$3,6,17)&gt;EOMONTH(DATE($B$3,6,1),0),NETWORKDAYS.INTL(DATE($B$3,6,17),DATE($B$3,6,17),1,'Non-working days'!$A$6:$A$45)=0),"",IF(COUNTIFS('Leave log'!$A$7:$A$306,Employees!$A$34,'Leave log'!$B$7:$B$306,"&lt;="&amp;DATE($B$3,6,17),'Leave log'!$C$7:$C$306,"&gt;="&amp;DATE($B$3,6,17),'Leave log'!$F$7:$F$306,"Pending")&gt;0,"P",""))))</f>
        <v/>
      </c>
      <c r="S205" s="23" t="str">
        <f>IF(A205="","",IF(IF(OR(DATE($B$3,6,18)&gt;EOMONTH(DATE($B$3,6,1),0),NETWORKDAYS.INTL(DATE($B$3,6,18),DATE($B$3,6,18),1,'Non-working days'!$A$6:$A$45)=0),"",IF(COUNTIFS('Leave log'!$A$7:$A$306,Employees!$A$34,'Leave log'!$B$7:$B$306,"&lt;="&amp;DATE($B$3,6,18),'Leave log'!$C$7:$C$306,"&gt;="&amp;DATE($B$3,6,18),'Leave log'!$F$7:$F$306,"Approved")&gt;0,"A",""))="A","A",IF(OR(DATE($B$3,6,18)&gt;EOMONTH(DATE($B$3,6,1),0),NETWORKDAYS.INTL(DATE($B$3,6,18),DATE($B$3,6,18),1,'Non-working days'!$A$6:$A$45)=0),"",IF(COUNTIFS('Leave log'!$A$7:$A$306,Employees!$A$34,'Leave log'!$B$7:$B$306,"&lt;="&amp;DATE($B$3,6,18),'Leave log'!$C$7:$C$306,"&gt;="&amp;DATE($B$3,6,18),'Leave log'!$F$7:$F$306,"Pending")&gt;0,"P",""))))</f>
        <v/>
      </c>
      <c r="T205" s="23" t="str">
        <f>IF(A205="","",IF(IF(OR(DATE($B$3,6,19)&gt;EOMONTH(DATE($B$3,6,1),0),NETWORKDAYS.INTL(DATE($B$3,6,19),DATE($B$3,6,19),1,'Non-working days'!$A$6:$A$45)=0),"",IF(COUNTIFS('Leave log'!$A$7:$A$306,Employees!$A$34,'Leave log'!$B$7:$B$306,"&lt;="&amp;DATE($B$3,6,19),'Leave log'!$C$7:$C$306,"&gt;="&amp;DATE($B$3,6,19),'Leave log'!$F$7:$F$306,"Approved")&gt;0,"A",""))="A","A",IF(OR(DATE($B$3,6,19)&gt;EOMONTH(DATE($B$3,6,1),0),NETWORKDAYS.INTL(DATE($B$3,6,19),DATE($B$3,6,19),1,'Non-working days'!$A$6:$A$45)=0),"",IF(COUNTIFS('Leave log'!$A$7:$A$306,Employees!$A$34,'Leave log'!$B$7:$B$306,"&lt;="&amp;DATE($B$3,6,19),'Leave log'!$C$7:$C$306,"&gt;="&amp;DATE($B$3,6,19),'Leave log'!$F$7:$F$306,"Pending")&gt;0,"P",""))))</f>
        <v/>
      </c>
      <c r="U205" s="23" t="str">
        <f>IF(A205="","",IF(IF(OR(DATE($B$3,6,20)&gt;EOMONTH(DATE($B$3,6,1),0),NETWORKDAYS.INTL(DATE($B$3,6,20),DATE($B$3,6,20),1,'Non-working days'!$A$6:$A$45)=0),"",IF(COUNTIFS('Leave log'!$A$7:$A$306,Employees!$A$34,'Leave log'!$B$7:$B$306,"&lt;="&amp;DATE($B$3,6,20),'Leave log'!$C$7:$C$306,"&gt;="&amp;DATE($B$3,6,20),'Leave log'!$F$7:$F$306,"Approved")&gt;0,"A",""))="A","A",IF(OR(DATE($B$3,6,20)&gt;EOMONTH(DATE($B$3,6,1),0),NETWORKDAYS.INTL(DATE($B$3,6,20),DATE($B$3,6,20),1,'Non-working days'!$A$6:$A$45)=0),"",IF(COUNTIFS('Leave log'!$A$7:$A$306,Employees!$A$34,'Leave log'!$B$7:$B$306,"&lt;="&amp;DATE($B$3,6,20),'Leave log'!$C$7:$C$306,"&gt;="&amp;DATE($B$3,6,20),'Leave log'!$F$7:$F$306,"Pending")&gt;0,"P",""))))</f>
        <v/>
      </c>
      <c r="V205" s="23" t="str">
        <f>IF(A205="","",IF(IF(OR(DATE($B$3,6,21)&gt;EOMONTH(DATE($B$3,6,1),0),NETWORKDAYS.INTL(DATE($B$3,6,21),DATE($B$3,6,21),1,'Non-working days'!$A$6:$A$45)=0),"",IF(COUNTIFS('Leave log'!$A$7:$A$306,Employees!$A$34,'Leave log'!$B$7:$B$306,"&lt;="&amp;DATE($B$3,6,21),'Leave log'!$C$7:$C$306,"&gt;="&amp;DATE($B$3,6,21),'Leave log'!$F$7:$F$306,"Approved")&gt;0,"A",""))="A","A",IF(OR(DATE($B$3,6,21)&gt;EOMONTH(DATE($B$3,6,1),0),NETWORKDAYS.INTL(DATE($B$3,6,21),DATE($B$3,6,21),1,'Non-working days'!$A$6:$A$45)=0),"",IF(COUNTIFS('Leave log'!$A$7:$A$306,Employees!$A$34,'Leave log'!$B$7:$B$306,"&lt;="&amp;DATE($B$3,6,21),'Leave log'!$C$7:$C$306,"&gt;="&amp;DATE($B$3,6,21),'Leave log'!$F$7:$F$306,"Pending")&gt;0,"P",""))))</f>
        <v/>
      </c>
      <c r="W205" s="23" t="str">
        <f>IF(A205="","",IF(IF(OR(DATE($B$3,6,22)&gt;EOMONTH(DATE($B$3,6,1),0),NETWORKDAYS.INTL(DATE($B$3,6,22),DATE($B$3,6,22),1,'Non-working days'!$A$6:$A$45)=0),"",IF(COUNTIFS('Leave log'!$A$7:$A$306,Employees!$A$34,'Leave log'!$B$7:$B$306,"&lt;="&amp;DATE($B$3,6,22),'Leave log'!$C$7:$C$306,"&gt;="&amp;DATE($B$3,6,22),'Leave log'!$F$7:$F$306,"Approved")&gt;0,"A",""))="A","A",IF(OR(DATE($B$3,6,22)&gt;EOMONTH(DATE($B$3,6,1),0),NETWORKDAYS.INTL(DATE($B$3,6,22),DATE($B$3,6,22),1,'Non-working days'!$A$6:$A$45)=0),"",IF(COUNTIFS('Leave log'!$A$7:$A$306,Employees!$A$34,'Leave log'!$B$7:$B$306,"&lt;="&amp;DATE($B$3,6,22),'Leave log'!$C$7:$C$306,"&gt;="&amp;DATE($B$3,6,22),'Leave log'!$F$7:$F$306,"Pending")&gt;0,"P",""))))</f>
        <v/>
      </c>
      <c r="X205" s="23" t="str">
        <f>IF(A205="","",IF(IF(OR(DATE($B$3,6,23)&gt;EOMONTH(DATE($B$3,6,1),0),NETWORKDAYS.INTL(DATE($B$3,6,23),DATE($B$3,6,23),1,'Non-working days'!$A$6:$A$45)=0),"",IF(COUNTIFS('Leave log'!$A$7:$A$306,Employees!$A$34,'Leave log'!$B$7:$B$306,"&lt;="&amp;DATE($B$3,6,23),'Leave log'!$C$7:$C$306,"&gt;="&amp;DATE($B$3,6,23),'Leave log'!$F$7:$F$306,"Approved")&gt;0,"A",""))="A","A",IF(OR(DATE($B$3,6,23)&gt;EOMONTH(DATE($B$3,6,1),0),NETWORKDAYS.INTL(DATE($B$3,6,23),DATE($B$3,6,23),1,'Non-working days'!$A$6:$A$45)=0),"",IF(COUNTIFS('Leave log'!$A$7:$A$306,Employees!$A$34,'Leave log'!$B$7:$B$306,"&lt;="&amp;DATE($B$3,6,23),'Leave log'!$C$7:$C$306,"&gt;="&amp;DATE($B$3,6,23),'Leave log'!$F$7:$F$306,"Pending")&gt;0,"P",""))))</f>
        <v/>
      </c>
      <c r="Y205" s="23" t="str">
        <f>IF(A205="","",IF(IF(OR(DATE($B$3,6,24)&gt;EOMONTH(DATE($B$3,6,1),0),NETWORKDAYS.INTL(DATE($B$3,6,24),DATE($B$3,6,24),1,'Non-working days'!$A$6:$A$45)=0),"",IF(COUNTIFS('Leave log'!$A$7:$A$306,Employees!$A$34,'Leave log'!$B$7:$B$306,"&lt;="&amp;DATE($B$3,6,24),'Leave log'!$C$7:$C$306,"&gt;="&amp;DATE($B$3,6,24),'Leave log'!$F$7:$F$306,"Approved")&gt;0,"A",""))="A","A",IF(OR(DATE($B$3,6,24)&gt;EOMONTH(DATE($B$3,6,1),0),NETWORKDAYS.INTL(DATE($B$3,6,24),DATE($B$3,6,24),1,'Non-working days'!$A$6:$A$45)=0),"",IF(COUNTIFS('Leave log'!$A$7:$A$306,Employees!$A$34,'Leave log'!$B$7:$B$306,"&lt;="&amp;DATE($B$3,6,24),'Leave log'!$C$7:$C$306,"&gt;="&amp;DATE($B$3,6,24),'Leave log'!$F$7:$F$306,"Pending")&gt;0,"P",""))))</f>
        <v/>
      </c>
      <c r="Z205" s="23" t="str">
        <f>IF(A205="","",IF(IF(OR(DATE($B$3,6,25)&gt;EOMONTH(DATE($B$3,6,1),0),NETWORKDAYS.INTL(DATE($B$3,6,25),DATE($B$3,6,25),1,'Non-working days'!$A$6:$A$45)=0),"",IF(COUNTIFS('Leave log'!$A$7:$A$306,Employees!$A$34,'Leave log'!$B$7:$B$306,"&lt;="&amp;DATE($B$3,6,25),'Leave log'!$C$7:$C$306,"&gt;="&amp;DATE($B$3,6,25),'Leave log'!$F$7:$F$306,"Approved")&gt;0,"A",""))="A","A",IF(OR(DATE($B$3,6,25)&gt;EOMONTH(DATE($B$3,6,1),0),NETWORKDAYS.INTL(DATE($B$3,6,25),DATE($B$3,6,25),1,'Non-working days'!$A$6:$A$45)=0),"",IF(COUNTIFS('Leave log'!$A$7:$A$306,Employees!$A$34,'Leave log'!$B$7:$B$306,"&lt;="&amp;DATE($B$3,6,25),'Leave log'!$C$7:$C$306,"&gt;="&amp;DATE($B$3,6,25),'Leave log'!$F$7:$F$306,"Pending")&gt;0,"P",""))))</f>
        <v/>
      </c>
      <c r="AA205" s="23" t="str">
        <f>IF(A205="","",IF(IF(OR(DATE($B$3,6,26)&gt;EOMONTH(DATE($B$3,6,1),0),NETWORKDAYS.INTL(DATE($B$3,6,26),DATE($B$3,6,26),1,'Non-working days'!$A$6:$A$45)=0),"",IF(COUNTIFS('Leave log'!$A$7:$A$306,Employees!$A$34,'Leave log'!$B$7:$B$306,"&lt;="&amp;DATE($B$3,6,26),'Leave log'!$C$7:$C$306,"&gt;="&amp;DATE($B$3,6,26),'Leave log'!$F$7:$F$306,"Approved")&gt;0,"A",""))="A","A",IF(OR(DATE($B$3,6,26)&gt;EOMONTH(DATE($B$3,6,1),0),NETWORKDAYS.INTL(DATE($B$3,6,26),DATE($B$3,6,26),1,'Non-working days'!$A$6:$A$45)=0),"",IF(COUNTIFS('Leave log'!$A$7:$A$306,Employees!$A$34,'Leave log'!$B$7:$B$306,"&lt;="&amp;DATE($B$3,6,26),'Leave log'!$C$7:$C$306,"&gt;="&amp;DATE($B$3,6,26),'Leave log'!$F$7:$F$306,"Pending")&gt;0,"P",""))))</f>
        <v/>
      </c>
      <c r="AB205" s="23" t="str">
        <f>IF(A205="","",IF(IF(OR(DATE($B$3,6,27)&gt;EOMONTH(DATE($B$3,6,1),0),NETWORKDAYS.INTL(DATE($B$3,6,27),DATE($B$3,6,27),1,'Non-working days'!$A$6:$A$45)=0),"",IF(COUNTIFS('Leave log'!$A$7:$A$306,Employees!$A$34,'Leave log'!$B$7:$B$306,"&lt;="&amp;DATE($B$3,6,27),'Leave log'!$C$7:$C$306,"&gt;="&amp;DATE($B$3,6,27),'Leave log'!$F$7:$F$306,"Approved")&gt;0,"A",""))="A","A",IF(OR(DATE($B$3,6,27)&gt;EOMONTH(DATE($B$3,6,1),0),NETWORKDAYS.INTL(DATE($B$3,6,27),DATE($B$3,6,27),1,'Non-working days'!$A$6:$A$45)=0),"",IF(COUNTIFS('Leave log'!$A$7:$A$306,Employees!$A$34,'Leave log'!$B$7:$B$306,"&lt;="&amp;DATE($B$3,6,27),'Leave log'!$C$7:$C$306,"&gt;="&amp;DATE($B$3,6,27),'Leave log'!$F$7:$F$306,"Pending")&gt;0,"P",""))))</f>
        <v/>
      </c>
      <c r="AC205" s="23" t="str">
        <f>IF(A205="","",IF(IF(OR(DATE($B$3,6,28)&gt;EOMONTH(DATE($B$3,6,1),0),NETWORKDAYS.INTL(DATE($B$3,6,28),DATE($B$3,6,28),1,'Non-working days'!$A$6:$A$45)=0),"",IF(COUNTIFS('Leave log'!$A$7:$A$306,Employees!$A$34,'Leave log'!$B$7:$B$306,"&lt;="&amp;DATE($B$3,6,28),'Leave log'!$C$7:$C$306,"&gt;="&amp;DATE($B$3,6,28),'Leave log'!$F$7:$F$306,"Approved")&gt;0,"A",""))="A","A",IF(OR(DATE($B$3,6,28)&gt;EOMONTH(DATE($B$3,6,1),0),NETWORKDAYS.INTL(DATE($B$3,6,28),DATE($B$3,6,28),1,'Non-working days'!$A$6:$A$45)=0),"",IF(COUNTIFS('Leave log'!$A$7:$A$306,Employees!$A$34,'Leave log'!$B$7:$B$306,"&lt;="&amp;DATE($B$3,6,28),'Leave log'!$C$7:$C$306,"&gt;="&amp;DATE($B$3,6,28),'Leave log'!$F$7:$F$306,"Pending")&gt;0,"P",""))))</f>
        <v/>
      </c>
      <c r="AD205" s="23" t="str">
        <f>IF(A205="","",IF(IF(OR(DATE($B$3,6,29)&gt;EOMONTH(DATE($B$3,6,1),0),NETWORKDAYS.INTL(DATE($B$3,6,29),DATE($B$3,6,29),1,'Non-working days'!$A$6:$A$45)=0),"",IF(COUNTIFS('Leave log'!$A$7:$A$306,Employees!$A$34,'Leave log'!$B$7:$B$306,"&lt;="&amp;DATE($B$3,6,29),'Leave log'!$C$7:$C$306,"&gt;="&amp;DATE($B$3,6,29),'Leave log'!$F$7:$F$306,"Approved")&gt;0,"A",""))="A","A",IF(OR(DATE($B$3,6,29)&gt;EOMONTH(DATE($B$3,6,1),0),NETWORKDAYS.INTL(DATE($B$3,6,29),DATE($B$3,6,29),1,'Non-working days'!$A$6:$A$45)=0),"",IF(COUNTIFS('Leave log'!$A$7:$A$306,Employees!$A$34,'Leave log'!$B$7:$B$306,"&lt;="&amp;DATE($B$3,6,29),'Leave log'!$C$7:$C$306,"&gt;="&amp;DATE($B$3,6,29),'Leave log'!$F$7:$F$306,"Pending")&gt;0,"P",""))))</f>
        <v/>
      </c>
      <c r="AE205" s="23" t="str">
        <f>IF(A205="","",IF(IF(OR(DATE($B$3,6,30)&gt;EOMONTH(DATE($B$3,6,1),0),NETWORKDAYS.INTL(DATE($B$3,6,30),DATE($B$3,6,30),1,'Non-working days'!$A$6:$A$45)=0),"",IF(COUNTIFS('Leave log'!$A$7:$A$306,Employees!$A$34,'Leave log'!$B$7:$B$306,"&lt;="&amp;DATE($B$3,6,30),'Leave log'!$C$7:$C$306,"&gt;="&amp;DATE($B$3,6,30),'Leave log'!$F$7:$F$306,"Approved")&gt;0,"A",""))="A","A",IF(OR(DATE($B$3,6,30)&gt;EOMONTH(DATE($B$3,6,1),0),NETWORKDAYS.INTL(DATE($B$3,6,30),DATE($B$3,6,30),1,'Non-working days'!$A$6:$A$45)=0),"",IF(COUNTIFS('Leave log'!$A$7:$A$306,Employees!$A$34,'Leave log'!$B$7:$B$306,"&lt;="&amp;DATE($B$3,6,30),'Leave log'!$C$7:$C$306,"&gt;="&amp;DATE($B$3,6,30),'Leave log'!$F$7:$F$306,"Pending")&gt;0,"P",""))))</f>
        <v/>
      </c>
      <c r="AF205" s="23" t="str">
        <f>IF(A205="","",IF(IF(OR(DATE($B$3,6,31)&gt;EOMONTH(DATE($B$3,6,1),0),NETWORKDAYS.INTL(DATE($B$3,6,31),DATE($B$3,6,31),1,'Non-working days'!$A$6:$A$45)=0),"",IF(COUNTIFS('Leave log'!$A$7:$A$306,Employees!$A$34,'Leave log'!$B$7:$B$306,"&lt;="&amp;DATE($B$3,6,31),'Leave log'!$C$7:$C$306,"&gt;="&amp;DATE($B$3,6,31),'Leave log'!$F$7:$F$306,"Approved")&gt;0,"A",""))="A","A",IF(OR(DATE($B$3,6,31)&gt;EOMONTH(DATE($B$3,6,1),0),NETWORKDAYS.INTL(DATE($B$3,6,31),DATE($B$3,6,31),1,'Non-working days'!$A$6:$A$45)=0),"",IF(COUNTIFS('Leave log'!$A$7:$A$306,Employees!$A$34,'Leave log'!$B$7:$B$306,"&lt;="&amp;DATE($B$3,6,31),'Leave log'!$C$7:$C$306,"&gt;="&amp;DATE($B$3,6,31),'Leave log'!$F$7:$F$306,"Pending")&gt;0,"P",""))))</f>
        <v/>
      </c>
    </row>
    <row r="206" spans="1:32" ht="18" customHeight="1" x14ac:dyDescent="0.3">
      <c r="A206" s="22" t="str">
        <f>IF(Employees!F35="Yes",Employees!B35,"")</f>
        <v/>
      </c>
      <c r="B206" s="23" t="str">
        <f>IF(A206="","",IF(IF(OR(DATE($B$3,6,1)&gt;EOMONTH(DATE($B$3,6,1),0),NETWORKDAYS.INTL(DATE($B$3,6,1),DATE($B$3,6,1),1,'Non-working days'!$A$6:$A$45)=0),"",IF(COUNTIFS('Leave log'!$A$7:$A$306,Employees!$A$35,'Leave log'!$B$7:$B$306,"&lt;="&amp;DATE($B$3,6,1),'Leave log'!$C$7:$C$306,"&gt;="&amp;DATE($B$3,6,1),'Leave log'!$F$7:$F$306,"Approved")&gt;0,"A",""))="A","A",IF(OR(DATE($B$3,6,1)&gt;EOMONTH(DATE($B$3,6,1),0),NETWORKDAYS.INTL(DATE($B$3,6,1),DATE($B$3,6,1),1,'Non-working days'!$A$6:$A$45)=0),"",IF(COUNTIFS('Leave log'!$A$7:$A$306,Employees!$A$35,'Leave log'!$B$7:$B$306,"&lt;="&amp;DATE($B$3,6,1),'Leave log'!$C$7:$C$306,"&gt;="&amp;DATE($B$3,6,1),'Leave log'!$F$7:$F$306,"Pending")&gt;0,"P",""))))</f>
        <v/>
      </c>
      <c r="C206" s="23" t="str">
        <f>IF(A206="","",IF(IF(OR(DATE($B$3,6,2)&gt;EOMONTH(DATE($B$3,6,1),0),NETWORKDAYS.INTL(DATE($B$3,6,2),DATE($B$3,6,2),1,'Non-working days'!$A$6:$A$45)=0),"",IF(COUNTIFS('Leave log'!$A$7:$A$306,Employees!$A$35,'Leave log'!$B$7:$B$306,"&lt;="&amp;DATE($B$3,6,2),'Leave log'!$C$7:$C$306,"&gt;="&amp;DATE($B$3,6,2),'Leave log'!$F$7:$F$306,"Approved")&gt;0,"A",""))="A","A",IF(OR(DATE($B$3,6,2)&gt;EOMONTH(DATE($B$3,6,1),0),NETWORKDAYS.INTL(DATE($B$3,6,2),DATE($B$3,6,2),1,'Non-working days'!$A$6:$A$45)=0),"",IF(COUNTIFS('Leave log'!$A$7:$A$306,Employees!$A$35,'Leave log'!$B$7:$B$306,"&lt;="&amp;DATE($B$3,6,2),'Leave log'!$C$7:$C$306,"&gt;="&amp;DATE($B$3,6,2),'Leave log'!$F$7:$F$306,"Pending")&gt;0,"P",""))))</f>
        <v/>
      </c>
      <c r="D206" s="23" t="str">
        <f>IF(A206="","",IF(IF(OR(DATE($B$3,6,3)&gt;EOMONTH(DATE($B$3,6,1),0),NETWORKDAYS.INTL(DATE($B$3,6,3),DATE($B$3,6,3),1,'Non-working days'!$A$6:$A$45)=0),"",IF(COUNTIFS('Leave log'!$A$7:$A$306,Employees!$A$35,'Leave log'!$B$7:$B$306,"&lt;="&amp;DATE($B$3,6,3),'Leave log'!$C$7:$C$306,"&gt;="&amp;DATE($B$3,6,3),'Leave log'!$F$7:$F$306,"Approved")&gt;0,"A",""))="A","A",IF(OR(DATE($B$3,6,3)&gt;EOMONTH(DATE($B$3,6,1),0),NETWORKDAYS.INTL(DATE($B$3,6,3),DATE($B$3,6,3),1,'Non-working days'!$A$6:$A$45)=0),"",IF(COUNTIFS('Leave log'!$A$7:$A$306,Employees!$A$35,'Leave log'!$B$7:$B$306,"&lt;="&amp;DATE($B$3,6,3),'Leave log'!$C$7:$C$306,"&gt;="&amp;DATE($B$3,6,3),'Leave log'!$F$7:$F$306,"Pending")&gt;0,"P",""))))</f>
        <v/>
      </c>
      <c r="E206" s="23" t="str">
        <f>IF(A206="","",IF(IF(OR(DATE($B$3,6,4)&gt;EOMONTH(DATE($B$3,6,1),0),NETWORKDAYS.INTL(DATE($B$3,6,4),DATE($B$3,6,4),1,'Non-working days'!$A$6:$A$45)=0),"",IF(COUNTIFS('Leave log'!$A$7:$A$306,Employees!$A$35,'Leave log'!$B$7:$B$306,"&lt;="&amp;DATE($B$3,6,4),'Leave log'!$C$7:$C$306,"&gt;="&amp;DATE($B$3,6,4),'Leave log'!$F$7:$F$306,"Approved")&gt;0,"A",""))="A","A",IF(OR(DATE($B$3,6,4)&gt;EOMONTH(DATE($B$3,6,1),0),NETWORKDAYS.INTL(DATE($B$3,6,4),DATE($B$3,6,4),1,'Non-working days'!$A$6:$A$45)=0),"",IF(COUNTIFS('Leave log'!$A$7:$A$306,Employees!$A$35,'Leave log'!$B$7:$B$306,"&lt;="&amp;DATE($B$3,6,4),'Leave log'!$C$7:$C$306,"&gt;="&amp;DATE($B$3,6,4),'Leave log'!$F$7:$F$306,"Pending")&gt;0,"P",""))))</f>
        <v/>
      </c>
      <c r="F206" s="23" t="str">
        <f>IF(A206="","",IF(IF(OR(DATE($B$3,6,5)&gt;EOMONTH(DATE($B$3,6,1),0),NETWORKDAYS.INTL(DATE($B$3,6,5),DATE($B$3,6,5),1,'Non-working days'!$A$6:$A$45)=0),"",IF(COUNTIFS('Leave log'!$A$7:$A$306,Employees!$A$35,'Leave log'!$B$7:$B$306,"&lt;="&amp;DATE($B$3,6,5),'Leave log'!$C$7:$C$306,"&gt;="&amp;DATE($B$3,6,5),'Leave log'!$F$7:$F$306,"Approved")&gt;0,"A",""))="A","A",IF(OR(DATE($B$3,6,5)&gt;EOMONTH(DATE($B$3,6,1),0),NETWORKDAYS.INTL(DATE($B$3,6,5),DATE($B$3,6,5),1,'Non-working days'!$A$6:$A$45)=0),"",IF(COUNTIFS('Leave log'!$A$7:$A$306,Employees!$A$35,'Leave log'!$B$7:$B$306,"&lt;="&amp;DATE($B$3,6,5),'Leave log'!$C$7:$C$306,"&gt;="&amp;DATE($B$3,6,5),'Leave log'!$F$7:$F$306,"Pending")&gt;0,"P",""))))</f>
        <v/>
      </c>
      <c r="G206" s="23" t="str">
        <f>IF(A206="","",IF(IF(OR(DATE($B$3,6,6)&gt;EOMONTH(DATE($B$3,6,1),0),NETWORKDAYS.INTL(DATE($B$3,6,6),DATE($B$3,6,6),1,'Non-working days'!$A$6:$A$45)=0),"",IF(COUNTIFS('Leave log'!$A$7:$A$306,Employees!$A$35,'Leave log'!$B$7:$B$306,"&lt;="&amp;DATE($B$3,6,6),'Leave log'!$C$7:$C$306,"&gt;="&amp;DATE($B$3,6,6),'Leave log'!$F$7:$F$306,"Approved")&gt;0,"A",""))="A","A",IF(OR(DATE($B$3,6,6)&gt;EOMONTH(DATE($B$3,6,1),0),NETWORKDAYS.INTL(DATE($B$3,6,6),DATE($B$3,6,6),1,'Non-working days'!$A$6:$A$45)=0),"",IF(COUNTIFS('Leave log'!$A$7:$A$306,Employees!$A$35,'Leave log'!$B$7:$B$306,"&lt;="&amp;DATE($B$3,6,6),'Leave log'!$C$7:$C$306,"&gt;="&amp;DATE($B$3,6,6),'Leave log'!$F$7:$F$306,"Pending")&gt;0,"P",""))))</f>
        <v/>
      </c>
      <c r="H206" s="23" t="str">
        <f>IF(A206="","",IF(IF(OR(DATE($B$3,6,7)&gt;EOMONTH(DATE($B$3,6,1),0),NETWORKDAYS.INTL(DATE($B$3,6,7),DATE($B$3,6,7),1,'Non-working days'!$A$6:$A$45)=0),"",IF(COUNTIFS('Leave log'!$A$7:$A$306,Employees!$A$35,'Leave log'!$B$7:$B$306,"&lt;="&amp;DATE($B$3,6,7),'Leave log'!$C$7:$C$306,"&gt;="&amp;DATE($B$3,6,7),'Leave log'!$F$7:$F$306,"Approved")&gt;0,"A",""))="A","A",IF(OR(DATE($B$3,6,7)&gt;EOMONTH(DATE($B$3,6,1),0),NETWORKDAYS.INTL(DATE($B$3,6,7),DATE($B$3,6,7),1,'Non-working days'!$A$6:$A$45)=0),"",IF(COUNTIFS('Leave log'!$A$7:$A$306,Employees!$A$35,'Leave log'!$B$7:$B$306,"&lt;="&amp;DATE($B$3,6,7),'Leave log'!$C$7:$C$306,"&gt;="&amp;DATE($B$3,6,7),'Leave log'!$F$7:$F$306,"Pending")&gt;0,"P",""))))</f>
        <v/>
      </c>
      <c r="I206" s="23" t="str">
        <f>IF(A206="","",IF(IF(OR(DATE($B$3,6,8)&gt;EOMONTH(DATE($B$3,6,1),0),NETWORKDAYS.INTL(DATE($B$3,6,8),DATE($B$3,6,8),1,'Non-working days'!$A$6:$A$45)=0),"",IF(COUNTIFS('Leave log'!$A$7:$A$306,Employees!$A$35,'Leave log'!$B$7:$B$306,"&lt;="&amp;DATE($B$3,6,8),'Leave log'!$C$7:$C$306,"&gt;="&amp;DATE($B$3,6,8),'Leave log'!$F$7:$F$306,"Approved")&gt;0,"A",""))="A","A",IF(OR(DATE($B$3,6,8)&gt;EOMONTH(DATE($B$3,6,1),0),NETWORKDAYS.INTL(DATE($B$3,6,8),DATE($B$3,6,8),1,'Non-working days'!$A$6:$A$45)=0),"",IF(COUNTIFS('Leave log'!$A$7:$A$306,Employees!$A$35,'Leave log'!$B$7:$B$306,"&lt;="&amp;DATE($B$3,6,8),'Leave log'!$C$7:$C$306,"&gt;="&amp;DATE($B$3,6,8),'Leave log'!$F$7:$F$306,"Pending")&gt;0,"P",""))))</f>
        <v/>
      </c>
      <c r="J206" s="23" t="str">
        <f>IF(A206="","",IF(IF(OR(DATE($B$3,6,9)&gt;EOMONTH(DATE($B$3,6,1),0),NETWORKDAYS.INTL(DATE($B$3,6,9),DATE($B$3,6,9),1,'Non-working days'!$A$6:$A$45)=0),"",IF(COUNTIFS('Leave log'!$A$7:$A$306,Employees!$A$35,'Leave log'!$B$7:$B$306,"&lt;="&amp;DATE($B$3,6,9),'Leave log'!$C$7:$C$306,"&gt;="&amp;DATE($B$3,6,9),'Leave log'!$F$7:$F$306,"Approved")&gt;0,"A",""))="A","A",IF(OR(DATE($B$3,6,9)&gt;EOMONTH(DATE($B$3,6,1),0),NETWORKDAYS.INTL(DATE($B$3,6,9),DATE($B$3,6,9),1,'Non-working days'!$A$6:$A$45)=0),"",IF(COUNTIFS('Leave log'!$A$7:$A$306,Employees!$A$35,'Leave log'!$B$7:$B$306,"&lt;="&amp;DATE($B$3,6,9),'Leave log'!$C$7:$C$306,"&gt;="&amp;DATE($B$3,6,9),'Leave log'!$F$7:$F$306,"Pending")&gt;0,"P",""))))</f>
        <v/>
      </c>
      <c r="K206" s="23" t="str">
        <f>IF(A206="","",IF(IF(OR(DATE($B$3,6,10)&gt;EOMONTH(DATE($B$3,6,1),0),NETWORKDAYS.INTL(DATE($B$3,6,10),DATE($B$3,6,10),1,'Non-working days'!$A$6:$A$45)=0),"",IF(COUNTIFS('Leave log'!$A$7:$A$306,Employees!$A$35,'Leave log'!$B$7:$B$306,"&lt;="&amp;DATE($B$3,6,10),'Leave log'!$C$7:$C$306,"&gt;="&amp;DATE($B$3,6,10),'Leave log'!$F$7:$F$306,"Approved")&gt;0,"A",""))="A","A",IF(OR(DATE($B$3,6,10)&gt;EOMONTH(DATE($B$3,6,1),0),NETWORKDAYS.INTL(DATE($B$3,6,10),DATE($B$3,6,10),1,'Non-working days'!$A$6:$A$45)=0),"",IF(COUNTIFS('Leave log'!$A$7:$A$306,Employees!$A$35,'Leave log'!$B$7:$B$306,"&lt;="&amp;DATE($B$3,6,10),'Leave log'!$C$7:$C$306,"&gt;="&amp;DATE($B$3,6,10),'Leave log'!$F$7:$F$306,"Pending")&gt;0,"P",""))))</f>
        <v/>
      </c>
      <c r="L206" s="23" t="str">
        <f>IF(A206="","",IF(IF(OR(DATE($B$3,6,11)&gt;EOMONTH(DATE($B$3,6,1),0),NETWORKDAYS.INTL(DATE($B$3,6,11),DATE($B$3,6,11),1,'Non-working days'!$A$6:$A$45)=0),"",IF(COUNTIFS('Leave log'!$A$7:$A$306,Employees!$A$35,'Leave log'!$B$7:$B$306,"&lt;="&amp;DATE($B$3,6,11),'Leave log'!$C$7:$C$306,"&gt;="&amp;DATE($B$3,6,11),'Leave log'!$F$7:$F$306,"Approved")&gt;0,"A",""))="A","A",IF(OR(DATE($B$3,6,11)&gt;EOMONTH(DATE($B$3,6,1),0),NETWORKDAYS.INTL(DATE($B$3,6,11),DATE($B$3,6,11),1,'Non-working days'!$A$6:$A$45)=0),"",IF(COUNTIFS('Leave log'!$A$7:$A$306,Employees!$A$35,'Leave log'!$B$7:$B$306,"&lt;="&amp;DATE($B$3,6,11),'Leave log'!$C$7:$C$306,"&gt;="&amp;DATE($B$3,6,11),'Leave log'!$F$7:$F$306,"Pending")&gt;0,"P",""))))</f>
        <v/>
      </c>
      <c r="M206" s="23" t="str">
        <f>IF(A206="","",IF(IF(OR(DATE($B$3,6,12)&gt;EOMONTH(DATE($B$3,6,1),0),NETWORKDAYS.INTL(DATE($B$3,6,12),DATE($B$3,6,12),1,'Non-working days'!$A$6:$A$45)=0),"",IF(COUNTIFS('Leave log'!$A$7:$A$306,Employees!$A$35,'Leave log'!$B$7:$B$306,"&lt;="&amp;DATE($B$3,6,12),'Leave log'!$C$7:$C$306,"&gt;="&amp;DATE($B$3,6,12),'Leave log'!$F$7:$F$306,"Approved")&gt;0,"A",""))="A","A",IF(OR(DATE($B$3,6,12)&gt;EOMONTH(DATE($B$3,6,1),0),NETWORKDAYS.INTL(DATE($B$3,6,12),DATE($B$3,6,12),1,'Non-working days'!$A$6:$A$45)=0),"",IF(COUNTIFS('Leave log'!$A$7:$A$306,Employees!$A$35,'Leave log'!$B$7:$B$306,"&lt;="&amp;DATE($B$3,6,12),'Leave log'!$C$7:$C$306,"&gt;="&amp;DATE($B$3,6,12),'Leave log'!$F$7:$F$306,"Pending")&gt;0,"P",""))))</f>
        <v/>
      </c>
      <c r="N206" s="23" t="str">
        <f>IF(A206="","",IF(IF(OR(DATE($B$3,6,13)&gt;EOMONTH(DATE($B$3,6,1),0),NETWORKDAYS.INTL(DATE($B$3,6,13),DATE($B$3,6,13),1,'Non-working days'!$A$6:$A$45)=0),"",IF(COUNTIFS('Leave log'!$A$7:$A$306,Employees!$A$35,'Leave log'!$B$7:$B$306,"&lt;="&amp;DATE($B$3,6,13),'Leave log'!$C$7:$C$306,"&gt;="&amp;DATE($B$3,6,13),'Leave log'!$F$7:$F$306,"Approved")&gt;0,"A",""))="A","A",IF(OR(DATE($B$3,6,13)&gt;EOMONTH(DATE($B$3,6,1),0),NETWORKDAYS.INTL(DATE($B$3,6,13),DATE($B$3,6,13),1,'Non-working days'!$A$6:$A$45)=0),"",IF(COUNTIFS('Leave log'!$A$7:$A$306,Employees!$A$35,'Leave log'!$B$7:$B$306,"&lt;="&amp;DATE($B$3,6,13),'Leave log'!$C$7:$C$306,"&gt;="&amp;DATE($B$3,6,13),'Leave log'!$F$7:$F$306,"Pending")&gt;0,"P",""))))</f>
        <v/>
      </c>
      <c r="O206" s="23" t="str">
        <f>IF(A206="","",IF(IF(OR(DATE($B$3,6,14)&gt;EOMONTH(DATE($B$3,6,1),0),NETWORKDAYS.INTL(DATE($B$3,6,14),DATE($B$3,6,14),1,'Non-working days'!$A$6:$A$45)=0),"",IF(COUNTIFS('Leave log'!$A$7:$A$306,Employees!$A$35,'Leave log'!$B$7:$B$306,"&lt;="&amp;DATE($B$3,6,14),'Leave log'!$C$7:$C$306,"&gt;="&amp;DATE($B$3,6,14),'Leave log'!$F$7:$F$306,"Approved")&gt;0,"A",""))="A","A",IF(OR(DATE($B$3,6,14)&gt;EOMONTH(DATE($B$3,6,1),0),NETWORKDAYS.INTL(DATE($B$3,6,14),DATE($B$3,6,14),1,'Non-working days'!$A$6:$A$45)=0),"",IF(COUNTIFS('Leave log'!$A$7:$A$306,Employees!$A$35,'Leave log'!$B$7:$B$306,"&lt;="&amp;DATE($B$3,6,14),'Leave log'!$C$7:$C$306,"&gt;="&amp;DATE($B$3,6,14),'Leave log'!$F$7:$F$306,"Pending")&gt;0,"P",""))))</f>
        <v/>
      </c>
      <c r="P206" s="23" t="str">
        <f>IF(A206="","",IF(IF(OR(DATE($B$3,6,15)&gt;EOMONTH(DATE($B$3,6,1),0),NETWORKDAYS.INTL(DATE($B$3,6,15),DATE($B$3,6,15),1,'Non-working days'!$A$6:$A$45)=0),"",IF(COUNTIFS('Leave log'!$A$7:$A$306,Employees!$A$35,'Leave log'!$B$7:$B$306,"&lt;="&amp;DATE($B$3,6,15),'Leave log'!$C$7:$C$306,"&gt;="&amp;DATE($B$3,6,15),'Leave log'!$F$7:$F$306,"Approved")&gt;0,"A",""))="A","A",IF(OR(DATE($B$3,6,15)&gt;EOMONTH(DATE($B$3,6,1),0),NETWORKDAYS.INTL(DATE($B$3,6,15),DATE($B$3,6,15),1,'Non-working days'!$A$6:$A$45)=0),"",IF(COUNTIFS('Leave log'!$A$7:$A$306,Employees!$A$35,'Leave log'!$B$7:$B$306,"&lt;="&amp;DATE($B$3,6,15),'Leave log'!$C$7:$C$306,"&gt;="&amp;DATE($B$3,6,15),'Leave log'!$F$7:$F$306,"Pending")&gt;0,"P",""))))</f>
        <v/>
      </c>
      <c r="Q206" s="23" t="str">
        <f>IF(A206="","",IF(IF(OR(DATE($B$3,6,16)&gt;EOMONTH(DATE($B$3,6,1),0),NETWORKDAYS.INTL(DATE($B$3,6,16),DATE($B$3,6,16),1,'Non-working days'!$A$6:$A$45)=0),"",IF(COUNTIFS('Leave log'!$A$7:$A$306,Employees!$A$35,'Leave log'!$B$7:$B$306,"&lt;="&amp;DATE($B$3,6,16),'Leave log'!$C$7:$C$306,"&gt;="&amp;DATE($B$3,6,16),'Leave log'!$F$7:$F$306,"Approved")&gt;0,"A",""))="A","A",IF(OR(DATE($B$3,6,16)&gt;EOMONTH(DATE($B$3,6,1),0),NETWORKDAYS.INTL(DATE($B$3,6,16),DATE($B$3,6,16),1,'Non-working days'!$A$6:$A$45)=0),"",IF(COUNTIFS('Leave log'!$A$7:$A$306,Employees!$A$35,'Leave log'!$B$7:$B$306,"&lt;="&amp;DATE($B$3,6,16),'Leave log'!$C$7:$C$306,"&gt;="&amp;DATE($B$3,6,16),'Leave log'!$F$7:$F$306,"Pending")&gt;0,"P",""))))</f>
        <v/>
      </c>
      <c r="R206" s="23" t="str">
        <f>IF(A206="","",IF(IF(OR(DATE($B$3,6,17)&gt;EOMONTH(DATE($B$3,6,1),0),NETWORKDAYS.INTL(DATE($B$3,6,17),DATE($B$3,6,17),1,'Non-working days'!$A$6:$A$45)=0),"",IF(COUNTIFS('Leave log'!$A$7:$A$306,Employees!$A$35,'Leave log'!$B$7:$B$306,"&lt;="&amp;DATE($B$3,6,17),'Leave log'!$C$7:$C$306,"&gt;="&amp;DATE($B$3,6,17),'Leave log'!$F$7:$F$306,"Approved")&gt;0,"A",""))="A","A",IF(OR(DATE($B$3,6,17)&gt;EOMONTH(DATE($B$3,6,1),0),NETWORKDAYS.INTL(DATE($B$3,6,17),DATE($B$3,6,17),1,'Non-working days'!$A$6:$A$45)=0),"",IF(COUNTIFS('Leave log'!$A$7:$A$306,Employees!$A$35,'Leave log'!$B$7:$B$306,"&lt;="&amp;DATE($B$3,6,17),'Leave log'!$C$7:$C$306,"&gt;="&amp;DATE($B$3,6,17),'Leave log'!$F$7:$F$306,"Pending")&gt;0,"P",""))))</f>
        <v/>
      </c>
      <c r="S206" s="23" t="str">
        <f>IF(A206="","",IF(IF(OR(DATE($B$3,6,18)&gt;EOMONTH(DATE($B$3,6,1),0),NETWORKDAYS.INTL(DATE($B$3,6,18),DATE($B$3,6,18),1,'Non-working days'!$A$6:$A$45)=0),"",IF(COUNTIFS('Leave log'!$A$7:$A$306,Employees!$A$35,'Leave log'!$B$7:$B$306,"&lt;="&amp;DATE($B$3,6,18),'Leave log'!$C$7:$C$306,"&gt;="&amp;DATE($B$3,6,18),'Leave log'!$F$7:$F$306,"Approved")&gt;0,"A",""))="A","A",IF(OR(DATE($B$3,6,18)&gt;EOMONTH(DATE($B$3,6,1),0),NETWORKDAYS.INTL(DATE($B$3,6,18),DATE($B$3,6,18),1,'Non-working days'!$A$6:$A$45)=0),"",IF(COUNTIFS('Leave log'!$A$7:$A$306,Employees!$A$35,'Leave log'!$B$7:$B$306,"&lt;="&amp;DATE($B$3,6,18),'Leave log'!$C$7:$C$306,"&gt;="&amp;DATE($B$3,6,18),'Leave log'!$F$7:$F$306,"Pending")&gt;0,"P",""))))</f>
        <v/>
      </c>
      <c r="T206" s="23" t="str">
        <f>IF(A206="","",IF(IF(OR(DATE($B$3,6,19)&gt;EOMONTH(DATE($B$3,6,1),0),NETWORKDAYS.INTL(DATE($B$3,6,19),DATE($B$3,6,19),1,'Non-working days'!$A$6:$A$45)=0),"",IF(COUNTIFS('Leave log'!$A$7:$A$306,Employees!$A$35,'Leave log'!$B$7:$B$306,"&lt;="&amp;DATE($B$3,6,19),'Leave log'!$C$7:$C$306,"&gt;="&amp;DATE($B$3,6,19),'Leave log'!$F$7:$F$306,"Approved")&gt;0,"A",""))="A","A",IF(OR(DATE($B$3,6,19)&gt;EOMONTH(DATE($B$3,6,1),0),NETWORKDAYS.INTL(DATE($B$3,6,19),DATE($B$3,6,19),1,'Non-working days'!$A$6:$A$45)=0),"",IF(COUNTIFS('Leave log'!$A$7:$A$306,Employees!$A$35,'Leave log'!$B$7:$B$306,"&lt;="&amp;DATE($B$3,6,19),'Leave log'!$C$7:$C$306,"&gt;="&amp;DATE($B$3,6,19),'Leave log'!$F$7:$F$306,"Pending")&gt;0,"P",""))))</f>
        <v/>
      </c>
      <c r="U206" s="23" t="str">
        <f>IF(A206="","",IF(IF(OR(DATE($B$3,6,20)&gt;EOMONTH(DATE($B$3,6,1),0),NETWORKDAYS.INTL(DATE($B$3,6,20),DATE($B$3,6,20),1,'Non-working days'!$A$6:$A$45)=0),"",IF(COUNTIFS('Leave log'!$A$7:$A$306,Employees!$A$35,'Leave log'!$B$7:$B$306,"&lt;="&amp;DATE($B$3,6,20),'Leave log'!$C$7:$C$306,"&gt;="&amp;DATE($B$3,6,20),'Leave log'!$F$7:$F$306,"Approved")&gt;0,"A",""))="A","A",IF(OR(DATE($B$3,6,20)&gt;EOMONTH(DATE($B$3,6,1),0),NETWORKDAYS.INTL(DATE($B$3,6,20),DATE($B$3,6,20),1,'Non-working days'!$A$6:$A$45)=0),"",IF(COUNTIFS('Leave log'!$A$7:$A$306,Employees!$A$35,'Leave log'!$B$7:$B$306,"&lt;="&amp;DATE($B$3,6,20),'Leave log'!$C$7:$C$306,"&gt;="&amp;DATE($B$3,6,20),'Leave log'!$F$7:$F$306,"Pending")&gt;0,"P",""))))</f>
        <v/>
      </c>
      <c r="V206" s="23" t="str">
        <f>IF(A206="","",IF(IF(OR(DATE($B$3,6,21)&gt;EOMONTH(DATE($B$3,6,1),0),NETWORKDAYS.INTL(DATE($B$3,6,21),DATE($B$3,6,21),1,'Non-working days'!$A$6:$A$45)=0),"",IF(COUNTIFS('Leave log'!$A$7:$A$306,Employees!$A$35,'Leave log'!$B$7:$B$306,"&lt;="&amp;DATE($B$3,6,21),'Leave log'!$C$7:$C$306,"&gt;="&amp;DATE($B$3,6,21),'Leave log'!$F$7:$F$306,"Approved")&gt;0,"A",""))="A","A",IF(OR(DATE($B$3,6,21)&gt;EOMONTH(DATE($B$3,6,1),0),NETWORKDAYS.INTL(DATE($B$3,6,21),DATE($B$3,6,21),1,'Non-working days'!$A$6:$A$45)=0),"",IF(COUNTIFS('Leave log'!$A$7:$A$306,Employees!$A$35,'Leave log'!$B$7:$B$306,"&lt;="&amp;DATE($B$3,6,21),'Leave log'!$C$7:$C$306,"&gt;="&amp;DATE($B$3,6,21),'Leave log'!$F$7:$F$306,"Pending")&gt;0,"P",""))))</f>
        <v/>
      </c>
      <c r="W206" s="23" t="str">
        <f>IF(A206="","",IF(IF(OR(DATE($B$3,6,22)&gt;EOMONTH(DATE($B$3,6,1),0),NETWORKDAYS.INTL(DATE($B$3,6,22),DATE($B$3,6,22),1,'Non-working days'!$A$6:$A$45)=0),"",IF(COUNTIFS('Leave log'!$A$7:$A$306,Employees!$A$35,'Leave log'!$B$7:$B$306,"&lt;="&amp;DATE($B$3,6,22),'Leave log'!$C$7:$C$306,"&gt;="&amp;DATE($B$3,6,22),'Leave log'!$F$7:$F$306,"Approved")&gt;0,"A",""))="A","A",IF(OR(DATE($B$3,6,22)&gt;EOMONTH(DATE($B$3,6,1),0),NETWORKDAYS.INTL(DATE($B$3,6,22),DATE($B$3,6,22),1,'Non-working days'!$A$6:$A$45)=0),"",IF(COUNTIFS('Leave log'!$A$7:$A$306,Employees!$A$35,'Leave log'!$B$7:$B$306,"&lt;="&amp;DATE($B$3,6,22),'Leave log'!$C$7:$C$306,"&gt;="&amp;DATE($B$3,6,22),'Leave log'!$F$7:$F$306,"Pending")&gt;0,"P",""))))</f>
        <v/>
      </c>
      <c r="X206" s="23" t="str">
        <f>IF(A206="","",IF(IF(OR(DATE($B$3,6,23)&gt;EOMONTH(DATE($B$3,6,1),0),NETWORKDAYS.INTL(DATE($B$3,6,23),DATE($B$3,6,23),1,'Non-working days'!$A$6:$A$45)=0),"",IF(COUNTIFS('Leave log'!$A$7:$A$306,Employees!$A$35,'Leave log'!$B$7:$B$306,"&lt;="&amp;DATE($B$3,6,23),'Leave log'!$C$7:$C$306,"&gt;="&amp;DATE($B$3,6,23),'Leave log'!$F$7:$F$306,"Approved")&gt;0,"A",""))="A","A",IF(OR(DATE($B$3,6,23)&gt;EOMONTH(DATE($B$3,6,1),0),NETWORKDAYS.INTL(DATE($B$3,6,23),DATE($B$3,6,23),1,'Non-working days'!$A$6:$A$45)=0),"",IF(COUNTIFS('Leave log'!$A$7:$A$306,Employees!$A$35,'Leave log'!$B$7:$B$306,"&lt;="&amp;DATE($B$3,6,23),'Leave log'!$C$7:$C$306,"&gt;="&amp;DATE($B$3,6,23),'Leave log'!$F$7:$F$306,"Pending")&gt;0,"P",""))))</f>
        <v/>
      </c>
      <c r="Y206" s="23" t="str">
        <f>IF(A206="","",IF(IF(OR(DATE($B$3,6,24)&gt;EOMONTH(DATE($B$3,6,1),0),NETWORKDAYS.INTL(DATE($B$3,6,24),DATE($B$3,6,24),1,'Non-working days'!$A$6:$A$45)=0),"",IF(COUNTIFS('Leave log'!$A$7:$A$306,Employees!$A$35,'Leave log'!$B$7:$B$306,"&lt;="&amp;DATE($B$3,6,24),'Leave log'!$C$7:$C$306,"&gt;="&amp;DATE($B$3,6,24),'Leave log'!$F$7:$F$306,"Approved")&gt;0,"A",""))="A","A",IF(OR(DATE($B$3,6,24)&gt;EOMONTH(DATE($B$3,6,1),0),NETWORKDAYS.INTL(DATE($B$3,6,24),DATE($B$3,6,24),1,'Non-working days'!$A$6:$A$45)=0),"",IF(COUNTIFS('Leave log'!$A$7:$A$306,Employees!$A$35,'Leave log'!$B$7:$B$306,"&lt;="&amp;DATE($B$3,6,24),'Leave log'!$C$7:$C$306,"&gt;="&amp;DATE($B$3,6,24),'Leave log'!$F$7:$F$306,"Pending")&gt;0,"P",""))))</f>
        <v/>
      </c>
      <c r="Z206" s="23" t="str">
        <f>IF(A206="","",IF(IF(OR(DATE($B$3,6,25)&gt;EOMONTH(DATE($B$3,6,1),0),NETWORKDAYS.INTL(DATE($B$3,6,25),DATE($B$3,6,25),1,'Non-working days'!$A$6:$A$45)=0),"",IF(COUNTIFS('Leave log'!$A$7:$A$306,Employees!$A$35,'Leave log'!$B$7:$B$306,"&lt;="&amp;DATE($B$3,6,25),'Leave log'!$C$7:$C$306,"&gt;="&amp;DATE($B$3,6,25),'Leave log'!$F$7:$F$306,"Approved")&gt;0,"A",""))="A","A",IF(OR(DATE($B$3,6,25)&gt;EOMONTH(DATE($B$3,6,1),0),NETWORKDAYS.INTL(DATE($B$3,6,25),DATE($B$3,6,25),1,'Non-working days'!$A$6:$A$45)=0),"",IF(COUNTIFS('Leave log'!$A$7:$A$306,Employees!$A$35,'Leave log'!$B$7:$B$306,"&lt;="&amp;DATE($B$3,6,25),'Leave log'!$C$7:$C$306,"&gt;="&amp;DATE($B$3,6,25),'Leave log'!$F$7:$F$306,"Pending")&gt;0,"P",""))))</f>
        <v/>
      </c>
      <c r="AA206" s="23" t="str">
        <f>IF(A206="","",IF(IF(OR(DATE($B$3,6,26)&gt;EOMONTH(DATE($B$3,6,1),0),NETWORKDAYS.INTL(DATE($B$3,6,26),DATE($B$3,6,26),1,'Non-working days'!$A$6:$A$45)=0),"",IF(COUNTIFS('Leave log'!$A$7:$A$306,Employees!$A$35,'Leave log'!$B$7:$B$306,"&lt;="&amp;DATE($B$3,6,26),'Leave log'!$C$7:$C$306,"&gt;="&amp;DATE($B$3,6,26),'Leave log'!$F$7:$F$306,"Approved")&gt;0,"A",""))="A","A",IF(OR(DATE($B$3,6,26)&gt;EOMONTH(DATE($B$3,6,1),0),NETWORKDAYS.INTL(DATE($B$3,6,26),DATE($B$3,6,26),1,'Non-working days'!$A$6:$A$45)=0),"",IF(COUNTIFS('Leave log'!$A$7:$A$306,Employees!$A$35,'Leave log'!$B$7:$B$306,"&lt;="&amp;DATE($B$3,6,26),'Leave log'!$C$7:$C$306,"&gt;="&amp;DATE($B$3,6,26),'Leave log'!$F$7:$F$306,"Pending")&gt;0,"P",""))))</f>
        <v/>
      </c>
      <c r="AB206" s="23" t="str">
        <f>IF(A206="","",IF(IF(OR(DATE($B$3,6,27)&gt;EOMONTH(DATE($B$3,6,1),0),NETWORKDAYS.INTL(DATE($B$3,6,27),DATE($B$3,6,27),1,'Non-working days'!$A$6:$A$45)=0),"",IF(COUNTIFS('Leave log'!$A$7:$A$306,Employees!$A$35,'Leave log'!$B$7:$B$306,"&lt;="&amp;DATE($B$3,6,27),'Leave log'!$C$7:$C$306,"&gt;="&amp;DATE($B$3,6,27),'Leave log'!$F$7:$F$306,"Approved")&gt;0,"A",""))="A","A",IF(OR(DATE($B$3,6,27)&gt;EOMONTH(DATE($B$3,6,1),0),NETWORKDAYS.INTL(DATE($B$3,6,27),DATE($B$3,6,27),1,'Non-working days'!$A$6:$A$45)=0),"",IF(COUNTIFS('Leave log'!$A$7:$A$306,Employees!$A$35,'Leave log'!$B$7:$B$306,"&lt;="&amp;DATE($B$3,6,27),'Leave log'!$C$7:$C$306,"&gt;="&amp;DATE($B$3,6,27),'Leave log'!$F$7:$F$306,"Pending")&gt;0,"P",""))))</f>
        <v/>
      </c>
      <c r="AC206" s="23" t="str">
        <f>IF(A206="","",IF(IF(OR(DATE($B$3,6,28)&gt;EOMONTH(DATE($B$3,6,1),0),NETWORKDAYS.INTL(DATE($B$3,6,28),DATE($B$3,6,28),1,'Non-working days'!$A$6:$A$45)=0),"",IF(COUNTIFS('Leave log'!$A$7:$A$306,Employees!$A$35,'Leave log'!$B$7:$B$306,"&lt;="&amp;DATE($B$3,6,28),'Leave log'!$C$7:$C$306,"&gt;="&amp;DATE($B$3,6,28),'Leave log'!$F$7:$F$306,"Approved")&gt;0,"A",""))="A","A",IF(OR(DATE($B$3,6,28)&gt;EOMONTH(DATE($B$3,6,1),0),NETWORKDAYS.INTL(DATE($B$3,6,28),DATE($B$3,6,28),1,'Non-working days'!$A$6:$A$45)=0),"",IF(COUNTIFS('Leave log'!$A$7:$A$306,Employees!$A$35,'Leave log'!$B$7:$B$306,"&lt;="&amp;DATE($B$3,6,28),'Leave log'!$C$7:$C$306,"&gt;="&amp;DATE($B$3,6,28),'Leave log'!$F$7:$F$306,"Pending")&gt;0,"P",""))))</f>
        <v/>
      </c>
      <c r="AD206" s="23" t="str">
        <f>IF(A206="","",IF(IF(OR(DATE($B$3,6,29)&gt;EOMONTH(DATE($B$3,6,1),0),NETWORKDAYS.INTL(DATE($B$3,6,29),DATE($B$3,6,29),1,'Non-working days'!$A$6:$A$45)=0),"",IF(COUNTIFS('Leave log'!$A$7:$A$306,Employees!$A$35,'Leave log'!$B$7:$B$306,"&lt;="&amp;DATE($B$3,6,29),'Leave log'!$C$7:$C$306,"&gt;="&amp;DATE($B$3,6,29),'Leave log'!$F$7:$F$306,"Approved")&gt;0,"A",""))="A","A",IF(OR(DATE($B$3,6,29)&gt;EOMONTH(DATE($B$3,6,1),0),NETWORKDAYS.INTL(DATE($B$3,6,29),DATE($B$3,6,29),1,'Non-working days'!$A$6:$A$45)=0),"",IF(COUNTIFS('Leave log'!$A$7:$A$306,Employees!$A$35,'Leave log'!$B$7:$B$306,"&lt;="&amp;DATE($B$3,6,29),'Leave log'!$C$7:$C$306,"&gt;="&amp;DATE($B$3,6,29),'Leave log'!$F$7:$F$306,"Pending")&gt;0,"P",""))))</f>
        <v/>
      </c>
      <c r="AE206" s="23" t="str">
        <f>IF(A206="","",IF(IF(OR(DATE($B$3,6,30)&gt;EOMONTH(DATE($B$3,6,1),0),NETWORKDAYS.INTL(DATE($B$3,6,30),DATE($B$3,6,30),1,'Non-working days'!$A$6:$A$45)=0),"",IF(COUNTIFS('Leave log'!$A$7:$A$306,Employees!$A$35,'Leave log'!$B$7:$B$306,"&lt;="&amp;DATE($B$3,6,30),'Leave log'!$C$7:$C$306,"&gt;="&amp;DATE($B$3,6,30),'Leave log'!$F$7:$F$306,"Approved")&gt;0,"A",""))="A","A",IF(OR(DATE($B$3,6,30)&gt;EOMONTH(DATE($B$3,6,1),0),NETWORKDAYS.INTL(DATE($B$3,6,30),DATE($B$3,6,30),1,'Non-working days'!$A$6:$A$45)=0),"",IF(COUNTIFS('Leave log'!$A$7:$A$306,Employees!$A$35,'Leave log'!$B$7:$B$306,"&lt;="&amp;DATE($B$3,6,30),'Leave log'!$C$7:$C$306,"&gt;="&amp;DATE($B$3,6,30),'Leave log'!$F$7:$F$306,"Pending")&gt;0,"P",""))))</f>
        <v/>
      </c>
      <c r="AF206" s="23" t="str">
        <f>IF(A206="","",IF(IF(OR(DATE($B$3,6,31)&gt;EOMONTH(DATE($B$3,6,1),0),NETWORKDAYS.INTL(DATE($B$3,6,31),DATE($B$3,6,31),1,'Non-working days'!$A$6:$A$45)=0),"",IF(COUNTIFS('Leave log'!$A$7:$A$306,Employees!$A$35,'Leave log'!$B$7:$B$306,"&lt;="&amp;DATE($B$3,6,31),'Leave log'!$C$7:$C$306,"&gt;="&amp;DATE($B$3,6,31),'Leave log'!$F$7:$F$306,"Approved")&gt;0,"A",""))="A","A",IF(OR(DATE($B$3,6,31)&gt;EOMONTH(DATE($B$3,6,1),0),NETWORKDAYS.INTL(DATE($B$3,6,31),DATE($B$3,6,31),1,'Non-working days'!$A$6:$A$45)=0),"",IF(COUNTIFS('Leave log'!$A$7:$A$306,Employees!$A$35,'Leave log'!$B$7:$B$306,"&lt;="&amp;DATE($B$3,6,31),'Leave log'!$C$7:$C$306,"&gt;="&amp;DATE($B$3,6,31),'Leave log'!$F$7:$F$306,"Pending")&gt;0,"P",""))))</f>
        <v/>
      </c>
    </row>
    <row r="209" spans="1:32" ht="15.6" x14ac:dyDescent="0.3">
      <c r="A209" s="31" t="s">
        <v>81</v>
      </c>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row>
    <row r="210" spans="1:32" x14ac:dyDescent="0.3">
      <c r="A210" s="20" t="s">
        <v>75</v>
      </c>
      <c r="B210" s="21">
        <v>1</v>
      </c>
      <c r="C210" s="21">
        <v>2</v>
      </c>
      <c r="D210" s="21">
        <v>3</v>
      </c>
      <c r="E210" s="21">
        <v>4</v>
      </c>
      <c r="F210" s="21">
        <v>5</v>
      </c>
      <c r="G210" s="21">
        <v>6</v>
      </c>
      <c r="H210" s="21">
        <v>7</v>
      </c>
      <c r="I210" s="21">
        <v>8</v>
      </c>
      <c r="J210" s="21">
        <v>9</v>
      </c>
      <c r="K210" s="21">
        <v>10</v>
      </c>
      <c r="L210" s="21">
        <v>11</v>
      </c>
      <c r="M210" s="21">
        <v>12</v>
      </c>
      <c r="N210" s="21">
        <v>13</v>
      </c>
      <c r="O210" s="21">
        <v>14</v>
      </c>
      <c r="P210" s="21">
        <v>15</v>
      </c>
      <c r="Q210" s="21">
        <v>16</v>
      </c>
      <c r="R210" s="21">
        <v>17</v>
      </c>
      <c r="S210" s="21">
        <v>18</v>
      </c>
      <c r="T210" s="21">
        <v>19</v>
      </c>
      <c r="U210" s="21">
        <v>20</v>
      </c>
      <c r="V210" s="21">
        <v>21</v>
      </c>
      <c r="W210" s="21">
        <v>22</v>
      </c>
      <c r="X210" s="21">
        <v>23</v>
      </c>
      <c r="Y210" s="21">
        <v>24</v>
      </c>
      <c r="Z210" s="21">
        <v>25</v>
      </c>
      <c r="AA210" s="21">
        <v>26</v>
      </c>
      <c r="AB210" s="21">
        <v>27</v>
      </c>
      <c r="AC210" s="21">
        <v>28</v>
      </c>
      <c r="AD210" s="21">
        <v>29</v>
      </c>
      <c r="AE210" s="21">
        <v>30</v>
      </c>
      <c r="AF210" s="21">
        <v>31</v>
      </c>
    </row>
    <row r="211" spans="1:32" ht="18" customHeight="1" x14ac:dyDescent="0.3">
      <c r="A211" s="22" t="str">
        <f>IF(Employees!F6="Yes",Employees!B6,"")</f>
        <v>Alex Morgan</v>
      </c>
      <c r="B211" s="23" t="str">
        <f>IF(A211="","",IF(IF(OR(DATE($B$3,7,1)&gt;EOMONTH(DATE($B$3,7,1),0),NETWORKDAYS.INTL(DATE($B$3,7,1),DATE($B$3,7,1),1,'Non-working days'!$A$6:$A$45)=0),"",IF(COUNTIFS('Leave log'!$A$7:$A$306,Employees!$A$6,'Leave log'!$B$7:$B$306,"&lt;="&amp;DATE($B$3,7,1),'Leave log'!$C$7:$C$306,"&gt;="&amp;DATE($B$3,7,1),'Leave log'!$F$7:$F$306,"Approved")&gt;0,"A",""))="A","A",IF(OR(DATE($B$3,7,1)&gt;EOMONTH(DATE($B$3,7,1),0),NETWORKDAYS.INTL(DATE($B$3,7,1),DATE($B$3,7,1),1,'Non-working days'!$A$6:$A$45)=0),"",IF(COUNTIFS('Leave log'!$A$7:$A$306,Employees!$A$6,'Leave log'!$B$7:$B$306,"&lt;="&amp;DATE($B$3,7,1),'Leave log'!$C$7:$C$306,"&gt;="&amp;DATE($B$3,7,1),'Leave log'!$F$7:$F$306,"Pending")&gt;0,"P",""))))</f>
        <v/>
      </c>
      <c r="C211" s="23" t="str">
        <f>IF(A211="","",IF(IF(OR(DATE($B$3,7,2)&gt;EOMONTH(DATE($B$3,7,1),0),NETWORKDAYS.INTL(DATE($B$3,7,2),DATE($B$3,7,2),1,'Non-working days'!$A$6:$A$45)=0),"",IF(COUNTIFS('Leave log'!$A$7:$A$306,Employees!$A$6,'Leave log'!$B$7:$B$306,"&lt;="&amp;DATE($B$3,7,2),'Leave log'!$C$7:$C$306,"&gt;="&amp;DATE($B$3,7,2),'Leave log'!$F$7:$F$306,"Approved")&gt;0,"A",""))="A","A",IF(OR(DATE($B$3,7,2)&gt;EOMONTH(DATE($B$3,7,1),0),NETWORKDAYS.INTL(DATE($B$3,7,2),DATE($B$3,7,2),1,'Non-working days'!$A$6:$A$45)=0),"",IF(COUNTIFS('Leave log'!$A$7:$A$306,Employees!$A$6,'Leave log'!$B$7:$B$306,"&lt;="&amp;DATE($B$3,7,2),'Leave log'!$C$7:$C$306,"&gt;="&amp;DATE($B$3,7,2),'Leave log'!$F$7:$F$306,"Pending")&gt;0,"P",""))))</f>
        <v/>
      </c>
      <c r="D211" s="23" t="str">
        <f>IF(A211="","",IF(IF(OR(DATE($B$3,7,3)&gt;EOMONTH(DATE($B$3,7,1),0),NETWORKDAYS.INTL(DATE($B$3,7,3),DATE($B$3,7,3),1,'Non-working days'!$A$6:$A$45)=0),"",IF(COUNTIFS('Leave log'!$A$7:$A$306,Employees!$A$6,'Leave log'!$B$7:$B$306,"&lt;="&amp;DATE($B$3,7,3),'Leave log'!$C$7:$C$306,"&gt;="&amp;DATE($B$3,7,3),'Leave log'!$F$7:$F$306,"Approved")&gt;0,"A",""))="A","A",IF(OR(DATE($B$3,7,3)&gt;EOMONTH(DATE($B$3,7,1),0),NETWORKDAYS.INTL(DATE($B$3,7,3),DATE($B$3,7,3),1,'Non-working days'!$A$6:$A$45)=0),"",IF(COUNTIFS('Leave log'!$A$7:$A$306,Employees!$A$6,'Leave log'!$B$7:$B$306,"&lt;="&amp;DATE($B$3,7,3),'Leave log'!$C$7:$C$306,"&gt;="&amp;DATE($B$3,7,3),'Leave log'!$F$7:$F$306,"Pending")&gt;0,"P",""))))</f>
        <v/>
      </c>
      <c r="E211" s="23" t="str">
        <f>IF(A211="","",IF(IF(OR(DATE($B$3,7,4)&gt;EOMONTH(DATE($B$3,7,1),0),NETWORKDAYS.INTL(DATE($B$3,7,4),DATE($B$3,7,4),1,'Non-working days'!$A$6:$A$45)=0),"",IF(COUNTIFS('Leave log'!$A$7:$A$306,Employees!$A$6,'Leave log'!$B$7:$B$306,"&lt;="&amp;DATE($B$3,7,4),'Leave log'!$C$7:$C$306,"&gt;="&amp;DATE($B$3,7,4),'Leave log'!$F$7:$F$306,"Approved")&gt;0,"A",""))="A","A",IF(OR(DATE($B$3,7,4)&gt;EOMONTH(DATE($B$3,7,1),0),NETWORKDAYS.INTL(DATE($B$3,7,4),DATE($B$3,7,4),1,'Non-working days'!$A$6:$A$45)=0),"",IF(COUNTIFS('Leave log'!$A$7:$A$306,Employees!$A$6,'Leave log'!$B$7:$B$306,"&lt;="&amp;DATE($B$3,7,4),'Leave log'!$C$7:$C$306,"&gt;="&amp;DATE($B$3,7,4),'Leave log'!$F$7:$F$306,"Pending")&gt;0,"P",""))))</f>
        <v/>
      </c>
      <c r="F211" s="23" t="str">
        <f>IF(A211="","",IF(IF(OR(DATE($B$3,7,5)&gt;EOMONTH(DATE($B$3,7,1),0),NETWORKDAYS.INTL(DATE($B$3,7,5),DATE($B$3,7,5),1,'Non-working days'!$A$6:$A$45)=0),"",IF(COUNTIFS('Leave log'!$A$7:$A$306,Employees!$A$6,'Leave log'!$B$7:$B$306,"&lt;="&amp;DATE($B$3,7,5),'Leave log'!$C$7:$C$306,"&gt;="&amp;DATE($B$3,7,5),'Leave log'!$F$7:$F$306,"Approved")&gt;0,"A",""))="A","A",IF(OR(DATE($B$3,7,5)&gt;EOMONTH(DATE($B$3,7,1),0),NETWORKDAYS.INTL(DATE($B$3,7,5),DATE($B$3,7,5),1,'Non-working days'!$A$6:$A$45)=0),"",IF(COUNTIFS('Leave log'!$A$7:$A$306,Employees!$A$6,'Leave log'!$B$7:$B$306,"&lt;="&amp;DATE($B$3,7,5),'Leave log'!$C$7:$C$306,"&gt;="&amp;DATE($B$3,7,5),'Leave log'!$F$7:$F$306,"Pending")&gt;0,"P",""))))</f>
        <v/>
      </c>
      <c r="G211" s="23" t="str">
        <f>IF(A211="","",IF(IF(OR(DATE($B$3,7,6)&gt;EOMONTH(DATE($B$3,7,1),0),NETWORKDAYS.INTL(DATE($B$3,7,6),DATE($B$3,7,6),1,'Non-working days'!$A$6:$A$45)=0),"",IF(COUNTIFS('Leave log'!$A$7:$A$306,Employees!$A$6,'Leave log'!$B$7:$B$306,"&lt;="&amp;DATE($B$3,7,6),'Leave log'!$C$7:$C$306,"&gt;="&amp;DATE($B$3,7,6),'Leave log'!$F$7:$F$306,"Approved")&gt;0,"A",""))="A","A",IF(OR(DATE($B$3,7,6)&gt;EOMONTH(DATE($B$3,7,1),0),NETWORKDAYS.INTL(DATE($B$3,7,6),DATE($B$3,7,6),1,'Non-working days'!$A$6:$A$45)=0),"",IF(COUNTIFS('Leave log'!$A$7:$A$306,Employees!$A$6,'Leave log'!$B$7:$B$306,"&lt;="&amp;DATE($B$3,7,6),'Leave log'!$C$7:$C$306,"&gt;="&amp;DATE($B$3,7,6),'Leave log'!$F$7:$F$306,"Pending")&gt;0,"P",""))))</f>
        <v/>
      </c>
      <c r="H211" s="23" t="str">
        <f>IF(A211="","",IF(IF(OR(DATE($B$3,7,7)&gt;EOMONTH(DATE($B$3,7,1),0),NETWORKDAYS.INTL(DATE($B$3,7,7),DATE($B$3,7,7),1,'Non-working days'!$A$6:$A$45)=0),"",IF(COUNTIFS('Leave log'!$A$7:$A$306,Employees!$A$6,'Leave log'!$B$7:$B$306,"&lt;="&amp;DATE($B$3,7,7),'Leave log'!$C$7:$C$306,"&gt;="&amp;DATE($B$3,7,7),'Leave log'!$F$7:$F$306,"Approved")&gt;0,"A",""))="A","A",IF(OR(DATE($B$3,7,7)&gt;EOMONTH(DATE($B$3,7,1),0),NETWORKDAYS.INTL(DATE($B$3,7,7),DATE($B$3,7,7),1,'Non-working days'!$A$6:$A$45)=0),"",IF(COUNTIFS('Leave log'!$A$7:$A$306,Employees!$A$6,'Leave log'!$B$7:$B$306,"&lt;="&amp;DATE($B$3,7,7),'Leave log'!$C$7:$C$306,"&gt;="&amp;DATE($B$3,7,7),'Leave log'!$F$7:$F$306,"Pending")&gt;0,"P",""))))</f>
        <v/>
      </c>
      <c r="I211" s="23" t="str">
        <f>IF(A211="","",IF(IF(OR(DATE($B$3,7,8)&gt;EOMONTH(DATE($B$3,7,1),0),NETWORKDAYS.INTL(DATE($B$3,7,8),DATE($B$3,7,8),1,'Non-working days'!$A$6:$A$45)=0),"",IF(COUNTIFS('Leave log'!$A$7:$A$306,Employees!$A$6,'Leave log'!$B$7:$B$306,"&lt;="&amp;DATE($B$3,7,8),'Leave log'!$C$7:$C$306,"&gt;="&amp;DATE($B$3,7,8),'Leave log'!$F$7:$F$306,"Approved")&gt;0,"A",""))="A","A",IF(OR(DATE($B$3,7,8)&gt;EOMONTH(DATE($B$3,7,1),0),NETWORKDAYS.INTL(DATE($B$3,7,8),DATE($B$3,7,8),1,'Non-working days'!$A$6:$A$45)=0),"",IF(COUNTIFS('Leave log'!$A$7:$A$306,Employees!$A$6,'Leave log'!$B$7:$B$306,"&lt;="&amp;DATE($B$3,7,8),'Leave log'!$C$7:$C$306,"&gt;="&amp;DATE($B$3,7,8),'Leave log'!$F$7:$F$306,"Pending")&gt;0,"P",""))))</f>
        <v/>
      </c>
      <c r="J211" s="23" t="str">
        <f>IF(A211="","",IF(IF(OR(DATE($B$3,7,9)&gt;EOMONTH(DATE($B$3,7,1),0),NETWORKDAYS.INTL(DATE($B$3,7,9),DATE($B$3,7,9),1,'Non-working days'!$A$6:$A$45)=0),"",IF(COUNTIFS('Leave log'!$A$7:$A$306,Employees!$A$6,'Leave log'!$B$7:$B$306,"&lt;="&amp;DATE($B$3,7,9),'Leave log'!$C$7:$C$306,"&gt;="&amp;DATE($B$3,7,9),'Leave log'!$F$7:$F$306,"Approved")&gt;0,"A",""))="A","A",IF(OR(DATE($B$3,7,9)&gt;EOMONTH(DATE($B$3,7,1),0),NETWORKDAYS.INTL(DATE($B$3,7,9),DATE($B$3,7,9),1,'Non-working days'!$A$6:$A$45)=0),"",IF(COUNTIFS('Leave log'!$A$7:$A$306,Employees!$A$6,'Leave log'!$B$7:$B$306,"&lt;="&amp;DATE($B$3,7,9),'Leave log'!$C$7:$C$306,"&gt;="&amp;DATE($B$3,7,9),'Leave log'!$F$7:$F$306,"Pending")&gt;0,"P",""))))</f>
        <v/>
      </c>
      <c r="K211" s="23" t="str">
        <f>IF(A211="","",IF(IF(OR(DATE($B$3,7,10)&gt;EOMONTH(DATE($B$3,7,1),0),NETWORKDAYS.INTL(DATE($B$3,7,10),DATE($B$3,7,10),1,'Non-working days'!$A$6:$A$45)=0),"",IF(COUNTIFS('Leave log'!$A$7:$A$306,Employees!$A$6,'Leave log'!$B$7:$B$306,"&lt;="&amp;DATE($B$3,7,10),'Leave log'!$C$7:$C$306,"&gt;="&amp;DATE($B$3,7,10),'Leave log'!$F$7:$F$306,"Approved")&gt;0,"A",""))="A","A",IF(OR(DATE($B$3,7,10)&gt;EOMONTH(DATE($B$3,7,1),0),NETWORKDAYS.INTL(DATE($B$3,7,10),DATE($B$3,7,10),1,'Non-working days'!$A$6:$A$45)=0),"",IF(COUNTIFS('Leave log'!$A$7:$A$306,Employees!$A$6,'Leave log'!$B$7:$B$306,"&lt;="&amp;DATE($B$3,7,10),'Leave log'!$C$7:$C$306,"&gt;="&amp;DATE($B$3,7,10),'Leave log'!$F$7:$F$306,"Pending")&gt;0,"P",""))))</f>
        <v/>
      </c>
      <c r="L211" s="23" t="str">
        <f>IF(A211="","",IF(IF(OR(DATE($B$3,7,11)&gt;EOMONTH(DATE($B$3,7,1),0),NETWORKDAYS.INTL(DATE($B$3,7,11),DATE($B$3,7,11),1,'Non-working days'!$A$6:$A$45)=0),"",IF(COUNTIFS('Leave log'!$A$7:$A$306,Employees!$A$6,'Leave log'!$B$7:$B$306,"&lt;="&amp;DATE($B$3,7,11),'Leave log'!$C$7:$C$306,"&gt;="&amp;DATE($B$3,7,11),'Leave log'!$F$7:$F$306,"Approved")&gt;0,"A",""))="A","A",IF(OR(DATE($B$3,7,11)&gt;EOMONTH(DATE($B$3,7,1),0),NETWORKDAYS.INTL(DATE($B$3,7,11),DATE($B$3,7,11),1,'Non-working days'!$A$6:$A$45)=0),"",IF(COUNTIFS('Leave log'!$A$7:$A$306,Employees!$A$6,'Leave log'!$B$7:$B$306,"&lt;="&amp;DATE($B$3,7,11),'Leave log'!$C$7:$C$306,"&gt;="&amp;DATE($B$3,7,11),'Leave log'!$F$7:$F$306,"Pending")&gt;0,"P",""))))</f>
        <v/>
      </c>
      <c r="M211" s="23" t="str">
        <f>IF(A211="","",IF(IF(OR(DATE($B$3,7,12)&gt;EOMONTH(DATE($B$3,7,1),0),NETWORKDAYS.INTL(DATE($B$3,7,12),DATE($B$3,7,12),1,'Non-working days'!$A$6:$A$45)=0),"",IF(COUNTIFS('Leave log'!$A$7:$A$306,Employees!$A$6,'Leave log'!$B$7:$B$306,"&lt;="&amp;DATE($B$3,7,12),'Leave log'!$C$7:$C$306,"&gt;="&amp;DATE($B$3,7,12),'Leave log'!$F$7:$F$306,"Approved")&gt;0,"A",""))="A","A",IF(OR(DATE($B$3,7,12)&gt;EOMONTH(DATE($B$3,7,1),0),NETWORKDAYS.INTL(DATE($B$3,7,12),DATE($B$3,7,12),1,'Non-working days'!$A$6:$A$45)=0),"",IF(COUNTIFS('Leave log'!$A$7:$A$306,Employees!$A$6,'Leave log'!$B$7:$B$306,"&lt;="&amp;DATE($B$3,7,12),'Leave log'!$C$7:$C$306,"&gt;="&amp;DATE($B$3,7,12),'Leave log'!$F$7:$F$306,"Pending")&gt;0,"P",""))))</f>
        <v/>
      </c>
      <c r="N211" s="23" t="str">
        <f>IF(A211="","",IF(IF(OR(DATE($B$3,7,13)&gt;EOMONTH(DATE($B$3,7,1),0),NETWORKDAYS.INTL(DATE($B$3,7,13),DATE($B$3,7,13),1,'Non-working days'!$A$6:$A$45)=0),"",IF(COUNTIFS('Leave log'!$A$7:$A$306,Employees!$A$6,'Leave log'!$B$7:$B$306,"&lt;="&amp;DATE($B$3,7,13),'Leave log'!$C$7:$C$306,"&gt;="&amp;DATE($B$3,7,13),'Leave log'!$F$7:$F$306,"Approved")&gt;0,"A",""))="A","A",IF(OR(DATE($B$3,7,13)&gt;EOMONTH(DATE($B$3,7,1),0),NETWORKDAYS.INTL(DATE($B$3,7,13),DATE($B$3,7,13),1,'Non-working days'!$A$6:$A$45)=0),"",IF(COUNTIFS('Leave log'!$A$7:$A$306,Employees!$A$6,'Leave log'!$B$7:$B$306,"&lt;="&amp;DATE($B$3,7,13),'Leave log'!$C$7:$C$306,"&gt;="&amp;DATE($B$3,7,13),'Leave log'!$F$7:$F$306,"Pending")&gt;0,"P",""))))</f>
        <v/>
      </c>
      <c r="O211" s="23" t="str">
        <f>IF(A211="","",IF(IF(OR(DATE($B$3,7,14)&gt;EOMONTH(DATE($B$3,7,1),0),NETWORKDAYS.INTL(DATE($B$3,7,14),DATE($B$3,7,14),1,'Non-working days'!$A$6:$A$45)=0),"",IF(COUNTIFS('Leave log'!$A$7:$A$306,Employees!$A$6,'Leave log'!$B$7:$B$306,"&lt;="&amp;DATE($B$3,7,14),'Leave log'!$C$7:$C$306,"&gt;="&amp;DATE($B$3,7,14),'Leave log'!$F$7:$F$306,"Approved")&gt;0,"A",""))="A","A",IF(OR(DATE($B$3,7,14)&gt;EOMONTH(DATE($B$3,7,1),0),NETWORKDAYS.INTL(DATE($B$3,7,14),DATE($B$3,7,14),1,'Non-working days'!$A$6:$A$45)=0),"",IF(COUNTIFS('Leave log'!$A$7:$A$306,Employees!$A$6,'Leave log'!$B$7:$B$306,"&lt;="&amp;DATE($B$3,7,14),'Leave log'!$C$7:$C$306,"&gt;="&amp;DATE($B$3,7,14),'Leave log'!$F$7:$F$306,"Pending")&gt;0,"P",""))))</f>
        <v/>
      </c>
      <c r="P211" s="23" t="str">
        <f>IF(A211="","",IF(IF(OR(DATE($B$3,7,15)&gt;EOMONTH(DATE($B$3,7,1),0),NETWORKDAYS.INTL(DATE($B$3,7,15),DATE($B$3,7,15),1,'Non-working days'!$A$6:$A$45)=0),"",IF(COUNTIFS('Leave log'!$A$7:$A$306,Employees!$A$6,'Leave log'!$B$7:$B$306,"&lt;="&amp;DATE($B$3,7,15),'Leave log'!$C$7:$C$306,"&gt;="&amp;DATE($B$3,7,15),'Leave log'!$F$7:$F$306,"Approved")&gt;0,"A",""))="A","A",IF(OR(DATE($B$3,7,15)&gt;EOMONTH(DATE($B$3,7,1),0),NETWORKDAYS.INTL(DATE($B$3,7,15),DATE($B$3,7,15),1,'Non-working days'!$A$6:$A$45)=0),"",IF(COUNTIFS('Leave log'!$A$7:$A$306,Employees!$A$6,'Leave log'!$B$7:$B$306,"&lt;="&amp;DATE($B$3,7,15),'Leave log'!$C$7:$C$306,"&gt;="&amp;DATE($B$3,7,15),'Leave log'!$F$7:$F$306,"Pending")&gt;0,"P",""))))</f>
        <v/>
      </c>
      <c r="Q211" s="23" t="str">
        <f>IF(A211="","",IF(IF(OR(DATE($B$3,7,16)&gt;EOMONTH(DATE($B$3,7,1),0),NETWORKDAYS.INTL(DATE($B$3,7,16),DATE($B$3,7,16),1,'Non-working days'!$A$6:$A$45)=0),"",IF(COUNTIFS('Leave log'!$A$7:$A$306,Employees!$A$6,'Leave log'!$B$7:$B$306,"&lt;="&amp;DATE($B$3,7,16),'Leave log'!$C$7:$C$306,"&gt;="&amp;DATE($B$3,7,16),'Leave log'!$F$7:$F$306,"Approved")&gt;0,"A",""))="A","A",IF(OR(DATE($B$3,7,16)&gt;EOMONTH(DATE($B$3,7,1),0),NETWORKDAYS.INTL(DATE($B$3,7,16),DATE($B$3,7,16),1,'Non-working days'!$A$6:$A$45)=0),"",IF(COUNTIFS('Leave log'!$A$7:$A$306,Employees!$A$6,'Leave log'!$B$7:$B$306,"&lt;="&amp;DATE($B$3,7,16),'Leave log'!$C$7:$C$306,"&gt;="&amp;DATE($B$3,7,16),'Leave log'!$F$7:$F$306,"Pending")&gt;0,"P",""))))</f>
        <v/>
      </c>
      <c r="R211" s="23" t="str">
        <f>IF(A211="","",IF(IF(OR(DATE($B$3,7,17)&gt;EOMONTH(DATE($B$3,7,1),0),NETWORKDAYS.INTL(DATE($B$3,7,17),DATE($B$3,7,17),1,'Non-working days'!$A$6:$A$45)=0),"",IF(COUNTIFS('Leave log'!$A$7:$A$306,Employees!$A$6,'Leave log'!$B$7:$B$306,"&lt;="&amp;DATE($B$3,7,17),'Leave log'!$C$7:$C$306,"&gt;="&amp;DATE($B$3,7,17),'Leave log'!$F$7:$F$306,"Approved")&gt;0,"A",""))="A","A",IF(OR(DATE($B$3,7,17)&gt;EOMONTH(DATE($B$3,7,1),0),NETWORKDAYS.INTL(DATE($B$3,7,17),DATE($B$3,7,17),1,'Non-working days'!$A$6:$A$45)=0),"",IF(COUNTIFS('Leave log'!$A$7:$A$306,Employees!$A$6,'Leave log'!$B$7:$B$306,"&lt;="&amp;DATE($B$3,7,17),'Leave log'!$C$7:$C$306,"&gt;="&amp;DATE($B$3,7,17),'Leave log'!$F$7:$F$306,"Pending")&gt;0,"P",""))))</f>
        <v/>
      </c>
      <c r="S211" s="23" t="str">
        <f>IF(A211="","",IF(IF(OR(DATE($B$3,7,18)&gt;EOMONTH(DATE($B$3,7,1),0),NETWORKDAYS.INTL(DATE($B$3,7,18),DATE($B$3,7,18),1,'Non-working days'!$A$6:$A$45)=0),"",IF(COUNTIFS('Leave log'!$A$7:$A$306,Employees!$A$6,'Leave log'!$B$7:$B$306,"&lt;="&amp;DATE($B$3,7,18),'Leave log'!$C$7:$C$306,"&gt;="&amp;DATE($B$3,7,18),'Leave log'!$F$7:$F$306,"Approved")&gt;0,"A",""))="A","A",IF(OR(DATE($B$3,7,18)&gt;EOMONTH(DATE($B$3,7,1),0),NETWORKDAYS.INTL(DATE($B$3,7,18),DATE($B$3,7,18),1,'Non-working days'!$A$6:$A$45)=0),"",IF(COUNTIFS('Leave log'!$A$7:$A$306,Employees!$A$6,'Leave log'!$B$7:$B$306,"&lt;="&amp;DATE($B$3,7,18),'Leave log'!$C$7:$C$306,"&gt;="&amp;DATE($B$3,7,18),'Leave log'!$F$7:$F$306,"Pending")&gt;0,"P",""))))</f>
        <v/>
      </c>
      <c r="T211" s="23" t="str">
        <f>IF(A211="","",IF(IF(OR(DATE($B$3,7,19)&gt;EOMONTH(DATE($B$3,7,1),0),NETWORKDAYS.INTL(DATE($B$3,7,19),DATE($B$3,7,19),1,'Non-working days'!$A$6:$A$45)=0),"",IF(COUNTIFS('Leave log'!$A$7:$A$306,Employees!$A$6,'Leave log'!$B$7:$B$306,"&lt;="&amp;DATE($B$3,7,19),'Leave log'!$C$7:$C$306,"&gt;="&amp;DATE($B$3,7,19),'Leave log'!$F$7:$F$306,"Approved")&gt;0,"A",""))="A","A",IF(OR(DATE($B$3,7,19)&gt;EOMONTH(DATE($B$3,7,1),0),NETWORKDAYS.INTL(DATE($B$3,7,19),DATE($B$3,7,19),1,'Non-working days'!$A$6:$A$45)=0),"",IF(COUNTIFS('Leave log'!$A$7:$A$306,Employees!$A$6,'Leave log'!$B$7:$B$306,"&lt;="&amp;DATE($B$3,7,19),'Leave log'!$C$7:$C$306,"&gt;="&amp;DATE($B$3,7,19),'Leave log'!$F$7:$F$306,"Pending")&gt;0,"P",""))))</f>
        <v/>
      </c>
      <c r="U211" s="23" t="str">
        <f>IF(A211="","",IF(IF(OR(DATE($B$3,7,20)&gt;EOMONTH(DATE($B$3,7,1),0),NETWORKDAYS.INTL(DATE($B$3,7,20),DATE($B$3,7,20),1,'Non-working days'!$A$6:$A$45)=0),"",IF(COUNTIFS('Leave log'!$A$7:$A$306,Employees!$A$6,'Leave log'!$B$7:$B$306,"&lt;="&amp;DATE($B$3,7,20),'Leave log'!$C$7:$C$306,"&gt;="&amp;DATE($B$3,7,20),'Leave log'!$F$7:$F$306,"Approved")&gt;0,"A",""))="A","A",IF(OR(DATE($B$3,7,20)&gt;EOMONTH(DATE($B$3,7,1),0),NETWORKDAYS.INTL(DATE($B$3,7,20),DATE($B$3,7,20),1,'Non-working days'!$A$6:$A$45)=0),"",IF(COUNTIFS('Leave log'!$A$7:$A$306,Employees!$A$6,'Leave log'!$B$7:$B$306,"&lt;="&amp;DATE($B$3,7,20),'Leave log'!$C$7:$C$306,"&gt;="&amp;DATE($B$3,7,20),'Leave log'!$F$7:$F$306,"Pending")&gt;0,"P",""))))</f>
        <v/>
      </c>
      <c r="V211" s="23" t="str">
        <f>IF(A211="","",IF(IF(OR(DATE($B$3,7,21)&gt;EOMONTH(DATE($B$3,7,1),0),NETWORKDAYS.INTL(DATE($B$3,7,21),DATE($B$3,7,21),1,'Non-working days'!$A$6:$A$45)=0),"",IF(COUNTIFS('Leave log'!$A$7:$A$306,Employees!$A$6,'Leave log'!$B$7:$B$306,"&lt;="&amp;DATE($B$3,7,21),'Leave log'!$C$7:$C$306,"&gt;="&amp;DATE($B$3,7,21),'Leave log'!$F$7:$F$306,"Approved")&gt;0,"A",""))="A","A",IF(OR(DATE($B$3,7,21)&gt;EOMONTH(DATE($B$3,7,1),0),NETWORKDAYS.INTL(DATE($B$3,7,21),DATE($B$3,7,21),1,'Non-working days'!$A$6:$A$45)=0),"",IF(COUNTIFS('Leave log'!$A$7:$A$306,Employees!$A$6,'Leave log'!$B$7:$B$306,"&lt;="&amp;DATE($B$3,7,21),'Leave log'!$C$7:$C$306,"&gt;="&amp;DATE($B$3,7,21),'Leave log'!$F$7:$F$306,"Pending")&gt;0,"P",""))))</f>
        <v/>
      </c>
      <c r="W211" s="23" t="str">
        <f>IF(A211="","",IF(IF(OR(DATE($B$3,7,22)&gt;EOMONTH(DATE($B$3,7,1),0),NETWORKDAYS.INTL(DATE($B$3,7,22),DATE($B$3,7,22),1,'Non-working days'!$A$6:$A$45)=0),"",IF(COUNTIFS('Leave log'!$A$7:$A$306,Employees!$A$6,'Leave log'!$B$7:$B$306,"&lt;="&amp;DATE($B$3,7,22),'Leave log'!$C$7:$C$306,"&gt;="&amp;DATE($B$3,7,22),'Leave log'!$F$7:$F$306,"Approved")&gt;0,"A",""))="A","A",IF(OR(DATE($B$3,7,22)&gt;EOMONTH(DATE($B$3,7,1),0),NETWORKDAYS.INTL(DATE($B$3,7,22),DATE($B$3,7,22),1,'Non-working days'!$A$6:$A$45)=0),"",IF(COUNTIFS('Leave log'!$A$7:$A$306,Employees!$A$6,'Leave log'!$B$7:$B$306,"&lt;="&amp;DATE($B$3,7,22),'Leave log'!$C$7:$C$306,"&gt;="&amp;DATE($B$3,7,22),'Leave log'!$F$7:$F$306,"Pending")&gt;0,"P",""))))</f>
        <v/>
      </c>
      <c r="X211" s="23" t="str">
        <f>IF(A211="","",IF(IF(OR(DATE($B$3,7,23)&gt;EOMONTH(DATE($B$3,7,1),0),NETWORKDAYS.INTL(DATE($B$3,7,23),DATE($B$3,7,23),1,'Non-working days'!$A$6:$A$45)=0),"",IF(COUNTIFS('Leave log'!$A$7:$A$306,Employees!$A$6,'Leave log'!$B$7:$B$306,"&lt;="&amp;DATE($B$3,7,23),'Leave log'!$C$7:$C$306,"&gt;="&amp;DATE($B$3,7,23),'Leave log'!$F$7:$F$306,"Approved")&gt;0,"A",""))="A","A",IF(OR(DATE($B$3,7,23)&gt;EOMONTH(DATE($B$3,7,1),0),NETWORKDAYS.INTL(DATE($B$3,7,23),DATE($B$3,7,23),1,'Non-working days'!$A$6:$A$45)=0),"",IF(COUNTIFS('Leave log'!$A$7:$A$306,Employees!$A$6,'Leave log'!$B$7:$B$306,"&lt;="&amp;DATE($B$3,7,23),'Leave log'!$C$7:$C$306,"&gt;="&amp;DATE($B$3,7,23),'Leave log'!$F$7:$F$306,"Pending")&gt;0,"P",""))))</f>
        <v/>
      </c>
      <c r="Y211" s="23" t="str">
        <f>IF(A211="","",IF(IF(OR(DATE($B$3,7,24)&gt;EOMONTH(DATE($B$3,7,1),0),NETWORKDAYS.INTL(DATE($B$3,7,24),DATE($B$3,7,24),1,'Non-working days'!$A$6:$A$45)=0),"",IF(COUNTIFS('Leave log'!$A$7:$A$306,Employees!$A$6,'Leave log'!$B$7:$B$306,"&lt;="&amp;DATE($B$3,7,24),'Leave log'!$C$7:$C$306,"&gt;="&amp;DATE($B$3,7,24),'Leave log'!$F$7:$F$306,"Approved")&gt;0,"A",""))="A","A",IF(OR(DATE($B$3,7,24)&gt;EOMONTH(DATE($B$3,7,1),0),NETWORKDAYS.INTL(DATE($B$3,7,24),DATE($B$3,7,24),1,'Non-working days'!$A$6:$A$45)=0),"",IF(COUNTIFS('Leave log'!$A$7:$A$306,Employees!$A$6,'Leave log'!$B$7:$B$306,"&lt;="&amp;DATE($B$3,7,24),'Leave log'!$C$7:$C$306,"&gt;="&amp;DATE($B$3,7,24),'Leave log'!$F$7:$F$306,"Pending")&gt;0,"P",""))))</f>
        <v/>
      </c>
      <c r="Z211" s="23" t="str">
        <f>IF(A211="","",IF(IF(OR(DATE($B$3,7,25)&gt;EOMONTH(DATE($B$3,7,1),0),NETWORKDAYS.INTL(DATE($B$3,7,25),DATE($B$3,7,25),1,'Non-working days'!$A$6:$A$45)=0),"",IF(COUNTIFS('Leave log'!$A$7:$A$306,Employees!$A$6,'Leave log'!$B$7:$B$306,"&lt;="&amp;DATE($B$3,7,25),'Leave log'!$C$7:$C$306,"&gt;="&amp;DATE($B$3,7,25),'Leave log'!$F$7:$F$306,"Approved")&gt;0,"A",""))="A","A",IF(OR(DATE($B$3,7,25)&gt;EOMONTH(DATE($B$3,7,1),0),NETWORKDAYS.INTL(DATE($B$3,7,25),DATE($B$3,7,25),1,'Non-working days'!$A$6:$A$45)=0),"",IF(COUNTIFS('Leave log'!$A$7:$A$306,Employees!$A$6,'Leave log'!$B$7:$B$306,"&lt;="&amp;DATE($B$3,7,25),'Leave log'!$C$7:$C$306,"&gt;="&amp;DATE($B$3,7,25),'Leave log'!$F$7:$F$306,"Pending")&gt;0,"P",""))))</f>
        <v/>
      </c>
      <c r="AA211" s="23" t="str">
        <f>IF(A211="","",IF(IF(OR(DATE($B$3,7,26)&gt;EOMONTH(DATE($B$3,7,1),0),NETWORKDAYS.INTL(DATE($B$3,7,26),DATE($B$3,7,26),1,'Non-working days'!$A$6:$A$45)=0),"",IF(COUNTIFS('Leave log'!$A$7:$A$306,Employees!$A$6,'Leave log'!$B$7:$B$306,"&lt;="&amp;DATE($B$3,7,26),'Leave log'!$C$7:$C$306,"&gt;="&amp;DATE($B$3,7,26),'Leave log'!$F$7:$F$306,"Approved")&gt;0,"A",""))="A","A",IF(OR(DATE($B$3,7,26)&gt;EOMONTH(DATE($B$3,7,1),0),NETWORKDAYS.INTL(DATE($B$3,7,26),DATE($B$3,7,26),1,'Non-working days'!$A$6:$A$45)=0),"",IF(COUNTIFS('Leave log'!$A$7:$A$306,Employees!$A$6,'Leave log'!$B$7:$B$306,"&lt;="&amp;DATE($B$3,7,26),'Leave log'!$C$7:$C$306,"&gt;="&amp;DATE($B$3,7,26),'Leave log'!$F$7:$F$306,"Pending")&gt;0,"P",""))))</f>
        <v/>
      </c>
      <c r="AB211" s="23" t="str">
        <f>IF(A211="","",IF(IF(OR(DATE($B$3,7,27)&gt;EOMONTH(DATE($B$3,7,1),0),NETWORKDAYS.INTL(DATE($B$3,7,27),DATE($B$3,7,27),1,'Non-working days'!$A$6:$A$45)=0),"",IF(COUNTIFS('Leave log'!$A$7:$A$306,Employees!$A$6,'Leave log'!$B$7:$B$306,"&lt;="&amp;DATE($B$3,7,27),'Leave log'!$C$7:$C$306,"&gt;="&amp;DATE($B$3,7,27),'Leave log'!$F$7:$F$306,"Approved")&gt;0,"A",""))="A","A",IF(OR(DATE($B$3,7,27)&gt;EOMONTH(DATE($B$3,7,1),0),NETWORKDAYS.INTL(DATE($B$3,7,27),DATE($B$3,7,27),1,'Non-working days'!$A$6:$A$45)=0),"",IF(COUNTIFS('Leave log'!$A$7:$A$306,Employees!$A$6,'Leave log'!$B$7:$B$306,"&lt;="&amp;DATE($B$3,7,27),'Leave log'!$C$7:$C$306,"&gt;="&amp;DATE($B$3,7,27),'Leave log'!$F$7:$F$306,"Pending")&gt;0,"P",""))))</f>
        <v/>
      </c>
      <c r="AC211" s="23" t="str">
        <f>IF(A211="","",IF(IF(OR(DATE($B$3,7,28)&gt;EOMONTH(DATE($B$3,7,1),0),NETWORKDAYS.INTL(DATE($B$3,7,28),DATE($B$3,7,28),1,'Non-working days'!$A$6:$A$45)=0),"",IF(COUNTIFS('Leave log'!$A$7:$A$306,Employees!$A$6,'Leave log'!$B$7:$B$306,"&lt;="&amp;DATE($B$3,7,28),'Leave log'!$C$7:$C$306,"&gt;="&amp;DATE($B$3,7,28),'Leave log'!$F$7:$F$306,"Approved")&gt;0,"A",""))="A","A",IF(OR(DATE($B$3,7,28)&gt;EOMONTH(DATE($B$3,7,1),0),NETWORKDAYS.INTL(DATE($B$3,7,28),DATE($B$3,7,28),1,'Non-working days'!$A$6:$A$45)=0),"",IF(COUNTIFS('Leave log'!$A$7:$A$306,Employees!$A$6,'Leave log'!$B$7:$B$306,"&lt;="&amp;DATE($B$3,7,28),'Leave log'!$C$7:$C$306,"&gt;="&amp;DATE($B$3,7,28),'Leave log'!$F$7:$F$306,"Pending")&gt;0,"P",""))))</f>
        <v/>
      </c>
      <c r="AD211" s="23" t="str">
        <f>IF(A211="","",IF(IF(OR(DATE($B$3,7,29)&gt;EOMONTH(DATE($B$3,7,1),0),NETWORKDAYS.INTL(DATE($B$3,7,29),DATE($B$3,7,29),1,'Non-working days'!$A$6:$A$45)=0),"",IF(COUNTIFS('Leave log'!$A$7:$A$306,Employees!$A$6,'Leave log'!$B$7:$B$306,"&lt;="&amp;DATE($B$3,7,29),'Leave log'!$C$7:$C$306,"&gt;="&amp;DATE($B$3,7,29),'Leave log'!$F$7:$F$306,"Approved")&gt;0,"A",""))="A","A",IF(OR(DATE($B$3,7,29)&gt;EOMONTH(DATE($B$3,7,1),0),NETWORKDAYS.INTL(DATE($B$3,7,29),DATE($B$3,7,29),1,'Non-working days'!$A$6:$A$45)=0),"",IF(COUNTIFS('Leave log'!$A$7:$A$306,Employees!$A$6,'Leave log'!$B$7:$B$306,"&lt;="&amp;DATE($B$3,7,29),'Leave log'!$C$7:$C$306,"&gt;="&amp;DATE($B$3,7,29),'Leave log'!$F$7:$F$306,"Pending")&gt;0,"P",""))))</f>
        <v/>
      </c>
      <c r="AE211" s="23" t="str">
        <f>IF(A211="","",IF(IF(OR(DATE($B$3,7,30)&gt;EOMONTH(DATE($B$3,7,1),0),NETWORKDAYS.INTL(DATE($B$3,7,30),DATE($B$3,7,30),1,'Non-working days'!$A$6:$A$45)=0),"",IF(COUNTIFS('Leave log'!$A$7:$A$306,Employees!$A$6,'Leave log'!$B$7:$B$306,"&lt;="&amp;DATE($B$3,7,30),'Leave log'!$C$7:$C$306,"&gt;="&amp;DATE($B$3,7,30),'Leave log'!$F$7:$F$306,"Approved")&gt;0,"A",""))="A","A",IF(OR(DATE($B$3,7,30)&gt;EOMONTH(DATE($B$3,7,1),0),NETWORKDAYS.INTL(DATE($B$3,7,30),DATE($B$3,7,30),1,'Non-working days'!$A$6:$A$45)=0),"",IF(COUNTIFS('Leave log'!$A$7:$A$306,Employees!$A$6,'Leave log'!$B$7:$B$306,"&lt;="&amp;DATE($B$3,7,30),'Leave log'!$C$7:$C$306,"&gt;="&amp;DATE($B$3,7,30),'Leave log'!$F$7:$F$306,"Pending")&gt;0,"P",""))))</f>
        <v/>
      </c>
      <c r="AF211" s="23" t="str">
        <f>IF(A211="","",IF(IF(OR(DATE($B$3,7,31)&gt;EOMONTH(DATE($B$3,7,1),0),NETWORKDAYS.INTL(DATE($B$3,7,31),DATE($B$3,7,31),1,'Non-working days'!$A$6:$A$45)=0),"",IF(COUNTIFS('Leave log'!$A$7:$A$306,Employees!$A$6,'Leave log'!$B$7:$B$306,"&lt;="&amp;DATE($B$3,7,31),'Leave log'!$C$7:$C$306,"&gt;="&amp;DATE($B$3,7,31),'Leave log'!$F$7:$F$306,"Approved")&gt;0,"A",""))="A","A",IF(OR(DATE($B$3,7,31)&gt;EOMONTH(DATE($B$3,7,1),0),NETWORKDAYS.INTL(DATE($B$3,7,31),DATE($B$3,7,31),1,'Non-working days'!$A$6:$A$45)=0),"",IF(COUNTIFS('Leave log'!$A$7:$A$306,Employees!$A$6,'Leave log'!$B$7:$B$306,"&lt;="&amp;DATE($B$3,7,31),'Leave log'!$C$7:$C$306,"&gt;="&amp;DATE($B$3,7,31),'Leave log'!$F$7:$F$306,"Pending")&gt;0,"P",""))))</f>
        <v/>
      </c>
    </row>
    <row r="212" spans="1:32" ht="18" customHeight="1" x14ac:dyDescent="0.3">
      <c r="A212" s="22" t="str">
        <f>IF(Employees!F7="Yes",Employees!B7,"")</f>
        <v/>
      </c>
      <c r="B212" s="23" t="str">
        <f>IF(A212="","",IF(IF(OR(DATE($B$3,7,1)&gt;EOMONTH(DATE($B$3,7,1),0),NETWORKDAYS.INTL(DATE($B$3,7,1),DATE($B$3,7,1),1,'Non-working days'!$A$6:$A$45)=0),"",IF(COUNTIFS('Leave log'!$A$7:$A$306,Employees!$A$7,'Leave log'!$B$7:$B$306,"&lt;="&amp;DATE($B$3,7,1),'Leave log'!$C$7:$C$306,"&gt;="&amp;DATE($B$3,7,1),'Leave log'!$F$7:$F$306,"Approved")&gt;0,"A",""))="A","A",IF(OR(DATE($B$3,7,1)&gt;EOMONTH(DATE($B$3,7,1),0),NETWORKDAYS.INTL(DATE($B$3,7,1),DATE($B$3,7,1),1,'Non-working days'!$A$6:$A$45)=0),"",IF(COUNTIFS('Leave log'!$A$7:$A$306,Employees!$A$7,'Leave log'!$B$7:$B$306,"&lt;="&amp;DATE($B$3,7,1),'Leave log'!$C$7:$C$306,"&gt;="&amp;DATE($B$3,7,1),'Leave log'!$F$7:$F$306,"Pending")&gt;0,"P",""))))</f>
        <v/>
      </c>
      <c r="C212" s="23" t="str">
        <f>IF(A212="","",IF(IF(OR(DATE($B$3,7,2)&gt;EOMONTH(DATE($B$3,7,1),0),NETWORKDAYS.INTL(DATE($B$3,7,2),DATE($B$3,7,2),1,'Non-working days'!$A$6:$A$45)=0),"",IF(COUNTIFS('Leave log'!$A$7:$A$306,Employees!$A$7,'Leave log'!$B$7:$B$306,"&lt;="&amp;DATE($B$3,7,2),'Leave log'!$C$7:$C$306,"&gt;="&amp;DATE($B$3,7,2),'Leave log'!$F$7:$F$306,"Approved")&gt;0,"A",""))="A","A",IF(OR(DATE($B$3,7,2)&gt;EOMONTH(DATE($B$3,7,1),0),NETWORKDAYS.INTL(DATE($B$3,7,2),DATE($B$3,7,2),1,'Non-working days'!$A$6:$A$45)=0),"",IF(COUNTIFS('Leave log'!$A$7:$A$306,Employees!$A$7,'Leave log'!$B$7:$B$306,"&lt;="&amp;DATE($B$3,7,2),'Leave log'!$C$7:$C$306,"&gt;="&amp;DATE($B$3,7,2),'Leave log'!$F$7:$F$306,"Pending")&gt;0,"P",""))))</f>
        <v/>
      </c>
      <c r="D212" s="23" t="str">
        <f>IF(A212="","",IF(IF(OR(DATE($B$3,7,3)&gt;EOMONTH(DATE($B$3,7,1),0),NETWORKDAYS.INTL(DATE($B$3,7,3),DATE($B$3,7,3),1,'Non-working days'!$A$6:$A$45)=0),"",IF(COUNTIFS('Leave log'!$A$7:$A$306,Employees!$A$7,'Leave log'!$B$7:$B$306,"&lt;="&amp;DATE($B$3,7,3),'Leave log'!$C$7:$C$306,"&gt;="&amp;DATE($B$3,7,3),'Leave log'!$F$7:$F$306,"Approved")&gt;0,"A",""))="A","A",IF(OR(DATE($B$3,7,3)&gt;EOMONTH(DATE($B$3,7,1),0),NETWORKDAYS.INTL(DATE($B$3,7,3),DATE($B$3,7,3),1,'Non-working days'!$A$6:$A$45)=0),"",IF(COUNTIFS('Leave log'!$A$7:$A$306,Employees!$A$7,'Leave log'!$B$7:$B$306,"&lt;="&amp;DATE($B$3,7,3),'Leave log'!$C$7:$C$306,"&gt;="&amp;DATE($B$3,7,3),'Leave log'!$F$7:$F$306,"Pending")&gt;0,"P",""))))</f>
        <v/>
      </c>
      <c r="E212" s="23" t="str">
        <f>IF(A212="","",IF(IF(OR(DATE($B$3,7,4)&gt;EOMONTH(DATE($B$3,7,1),0),NETWORKDAYS.INTL(DATE($B$3,7,4),DATE($B$3,7,4),1,'Non-working days'!$A$6:$A$45)=0),"",IF(COUNTIFS('Leave log'!$A$7:$A$306,Employees!$A$7,'Leave log'!$B$7:$B$306,"&lt;="&amp;DATE($B$3,7,4),'Leave log'!$C$7:$C$306,"&gt;="&amp;DATE($B$3,7,4),'Leave log'!$F$7:$F$306,"Approved")&gt;0,"A",""))="A","A",IF(OR(DATE($B$3,7,4)&gt;EOMONTH(DATE($B$3,7,1),0),NETWORKDAYS.INTL(DATE($B$3,7,4),DATE($B$3,7,4),1,'Non-working days'!$A$6:$A$45)=0),"",IF(COUNTIFS('Leave log'!$A$7:$A$306,Employees!$A$7,'Leave log'!$B$7:$B$306,"&lt;="&amp;DATE($B$3,7,4),'Leave log'!$C$7:$C$306,"&gt;="&amp;DATE($B$3,7,4),'Leave log'!$F$7:$F$306,"Pending")&gt;0,"P",""))))</f>
        <v/>
      </c>
      <c r="F212" s="23" t="str">
        <f>IF(A212="","",IF(IF(OR(DATE($B$3,7,5)&gt;EOMONTH(DATE($B$3,7,1),0),NETWORKDAYS.INTL(DATE($B$3,7,5),DATE($B$3,7,5),1,'Non-working days'!$A$6:$A$45)=0),"",IF(COUNTIFS('Leave log'!$A$7:$A$306,Employees!$A$7,'Leave log'!$B$7:$B$306,"&lt;="&amp;DATE($B$3,7,5),'Leave log'!$C$7:$C$306,"&gt;="&amp;DATE($B$3,7,5),'Leave log'!$F$7:$F$306,"Approved")&gt;0,"A",""))="A","A",IF(OR(DATE($B$3,7,5)&gt;EOMONTH(DATE($B$3,7,1),0),NETWORKDAYS.INTL(DATE($B$3,7,5),DATE($B$3,7,5),1,'Non-working days'!$A$6:$A$45)=0),"",IF(COUNTIFS('Leave log'!$A$7:$A$306,Employees!$A$7,'Leave log'!$B$7:$B$306,"&lt;="&amp;DATE($B$3,7,5),'Leave log'!$C$7:$C$306,"&gt;="&amp;DATE($B$3,7,5),'Leave log'!$F$7:$F$306,"Pending")&gt;0,"P",""))))</f>
        <v/>
      </c>
      <c r="G212" s="23" t="str">
        <f>IF(A212="","",IF(IF(OR(DATE($B$3,7,6)&gt;EOMONTH(DATE($B$3,7,1),0),NETWORKDAYS.INTL(DATE($B$3,7,6),DATE($B$3,7,6),1,'Non-working days'!$A$6:$A$45)=0),"",IF(COUNTIFS('Leave log'!$A$7:$A$306,Employees!$A$7,'Leave log'!$B$7:$B$306,"&lt;="&amp;DATE($B$3,7,6),'Leave log'!$C$7:$C$306,"&gt;="&amp;DATE($B$3,7,6),'Leave log'!$F$7:$F$306,"Approved")&gt;0,"A",""))="A","A",IF(OR(DATE($B$3,7,6)&gt;EOMONTH(DATE($B$3,7,1),0),NETWORKDAYS.INTL(DATE($B$3,7,6),DATE($B$3,7,6),1,'Non-working days'!$A$6:$A$45)=0),"",IF(COUNTIFS('Leave log'!$A$7:$A$306,Employees!$A$7,'Leave log'!$B$7:$B$306,"&lt;="&amp;DATE($B$3,7,6),'Leave log'!$C$7:$C$306,"&gt;="&amp;DATE($B$3,7,6),'Leave log'!$F$7:$F$306,"Pending")&gt;0,"P",""))))</f>
        <v/>
      </c>
      <c r="H212" s="23" t="str">
        <f>IF(A212="","",IF(IF(OR(DATE($B$3,7,7)&gt;EOMONTH(DATE($B$3,7,1),0),NETWORKDAYS.INTL(DATE($B$3,7,7),DATE($B$3,7,7),1,'Non-working days'!$A$6:$A$45)=0),"",IF(COUNTIFS('Leave log'!$A$7:$A$306,Employees!$A$7,'Leave log'!$B$7:$B$306,"&lt;="&amp;DATE($B$3,7,7),'Leave log'!$C$7:$C$306,"&gt;="&amp;DATE($B$3,7,7),'Leave log'!$F$7:$F$306,"Approved")&gt;0,"A",""))="A","A",IF(OR(DATE($B$3,7,7)&gt;EOMONTH(DATE($B$3,7,1),0),NETWORKDAYS.INTL(DATE($B$3,7,7),DATE($B$3,7,7),1,'Non-working days'!$A$6:$A$45)=0),"",IF(COUNTIFS('Leave log'!$A$7:$A$306,Employees!$A$7,'Leave log'!$B$7:$B$306,"&lt;="&amp;DATE($B$3,7,7),'Leave log'!$C$7:$C$306,"&gt;="&amp;DATE($B$3,7,7),'Leave log'!$F$7:$F$306,"Pending")&gt;0,"P",""))))</f>
        <v/>
      </c>
      <c r="I212" s="23" t="str">
        <f>IF(A212="","",IF(IF(OR(DATE($B$3,7,8)&gt;EOMONTH(DATE($B$3,7,1),0),NETWORKDAYS.INTL(DATE($B$3,7,8),DATE($B$3,7,8),1,'Non-working days'!$A$6:$A$45)=0),"",IF(COUNTIFS('Leave log'!$A$7:$A$306,Employees!$A$7,'Leave log'!$B$7:$B$306,"&lt;="&amp;DATE($B$3,7,8),'Leave log'!$C$7:$C$306,"&gt;="&amp;DATE($B$3,7,8),'Leave log'!$F$7:$F$306,"Approved")&gt;0,"A",""))="A","A",IF(OR(DATE($B$3,7,8)&gt;EOMONTH(DATE($B$3,7,1),0),NETWORKDAYS.INTL(DATE($B$3,7,8),DATE($B$3,7,8),1,'Non-working days'!$A$6:$A$45)=0),"",IF(COUNTIFS('Leave log'!$A$7:$A$306,Employees!$A$7,'Leave log'!$B$7:$B$306,"&lt;="&amp;DATE($B$3,7,8),'Leave log'!$C$7:$C$306,"&gt;="&amp;DATE($B$3,7,8),'Leave log'!$F$7:$F$306,"Pending")&gt;0,"P",""))))</f>
        <v/>
      </c>
      <c r="J212" s="23" t="str">
        <f>IF(A212="","",IF(IF(OR(DATE($B$3,7,9)&gt;EOMONTH(DATE($B$3,7,1),0),NETWORKDAYS.INTL(DATE($B$3,7,9),DATE($B$3,7,9),1,'Non-working days'!$A$6:$A$45)=0),"",IF(COUNTIFS('Leave log'!$A$7:$A$306,Employees!$A$7,'Leave log'!$B$7:$B$306,"&lt;="&amp;DATE($B$3,7,9),'Leave log'!$C$7:$C$306,"&gt;="&amp;DATE($B$3,7,9),'Leave log'!$F$7:$F$306,"Approved")&gt;0,"A",""))="A","A",IF(OR(DATE($B$3,7,9)&gt;EOMONTH(DATE($B$3,7,1),0),NETWORKDAYS.INTL(DATE($B$3,7,9),DATE($B$3,7,9),1,'Non-working days'!$A$6:$A$45)=0),"",IF(COUNTIFS('Leave log'!$A$7:$A$306,Employees!$A$7,'Leave log'!$B$7:$B$306,"&lt;="&amp;DATE($B$3,7,9),'Leave log'!$C$7:$C$306,"&gt;="&amp;DATE($B$3,7,9),'Leave log'!$F$7:$F$306,"Pending")&gt;0,"P",""))))</f>
        <v/>
      </c>
      <c r="K212" s="23" t="str">
        <f>IF(A212="","",IF(IF(OR(DATE($B$3,7,10)&gt;EOMONTH(DATE($B$3,7,1),0),NETWORKDAYS.INTL(DATE($B$3,7,10),DATE($B$3,7,10),1,'Non-working days'!$A$6:$A$45)=0),"",IF(COUNTIFS('Leave log'!$A$7:$A$306,Employees!$A$7,'Leave log'!$B$7:$B$306,"&lt;="&amp;DATE($B$3,7,10),'Leave log'!$C$7:$C$306,"&gt;="&amp;DATE($B$3,7,10),'Leave log'!$F$7:$F$306,"Approved")&gt;0,"A",""))="A","A",IF(OR(DATE($B$3,7,10)&gt;EOMONTH(DATE($B$3,7,1),0),NETWORKDAYS.INTL(DATE($B$3,7,10),DATE($B$3,7,10),1,'Non-working days'!$A$6:$A$45)=0),"",IF(COUNTIFS('Leave log'!$A$7:$A$306,Employees!$A$7,'Leave log'!$B$7:$B$306,"&lt;="&amp;DATE($B$3,7,10),'Leave log'!$C$7:$C$306,"&gt;="&amp;DATE($B$3,7,10),'Leave log'!$F$7:$F$306,"Pending")&gt;0,"P",""))))</f>
        <v/>
      </c>
      <c r="L212" s="23" t="str">
        <f>IF(A212="","",IF(IF(OR(DATE($B$3,7,11)&gt;EOMONTH(DATE($B$3,7,1),0),NETWORKDAYS.INTL(DATE($B$3,7,11),DATE($B$3,7,11),1,'Non-working days'!$A$6:$A$45)=0),"",IF(COUNTIFS('Leave log'!$A$7:$A$306,Employees!$A$7,'Leave log'!$B$7:$B$306,"&lt;="&amp;DATE($B$3,7,11),'Leave log'!$C$7:$C$306,"&gt;="&amp;DATE($B$3,7,11),'Leave log'!$F$7:$F$306,"Approved")&gt;0,"A",""))="A","A",IF(OR(DATE($B$3,7,11)&gt;EOMONTH(DATE($B$3,7,1),0),NETWORKDAYS.INTL(DATE($B$3,7,11),DATE($B$3,7,11),1,'Non-working days'!$A$6:$A$45)=0),"",IF(COUNTIFS('Leave log'!$A$7:$A$306,Employees!$A$7,'Leave log'!$B$7:$B$306,"&lt;="&amp;DATE($B$3,7,11),'Leave log'!$C$7:$C$306,"&gt;="&amp;DATE($B$3,7,11),'Leave log'!$F$7:$F$306,"Pending")&gt;0,"P",""))))</f>
        <v/>
      </c>
      <c r="M212" s="23" t="str">
        <f>IF(A212="","",IF(IF(OR(DATE($B$3,7,12)&gt;EOMONTH(DATE($B$3,7,1),0),NETWORKDAYS.INTL(DATE($B$3,7,12),DATE($B$3,7,12),1,'Non-working days'!$A$6:$A$45)=0),"",IF(COUNTIFS('Leave log'!$A$7:$A$306,Employees!$A$7,'Leave log'!$B$7:$B$306,"&lt;="&amp;DATE($B$3,7,12),'Leave log'!$C$7:$C$306,"&gt;="&amp;DATE($B$3,7,12),'Leave log'!$F$7:$F$306,"Approved")&gt;0,"A",""))="A","A",IF(OR(DATE($B$3,7,12)&gt;EOMONTH(DATE($B$3,7,1),0),NETWORKDAYS.INTL(DATE($B$3,7,12),DATE($B$3,7,12),1,'Non-working days'!$A$6:$A$45)=0),"",IF(COUNTIFS('Leave log'!$A$7:$A$306,Employees!$A$7,'Leave log'!$B$7:$B$306,"&lt;="&amp;DATE($B$3,7,12),'Leave log'!$C$7:$C$306,"&gt;="&amp;DATE($B$3,7,12),'Leave log'!$F$7:$F$306,"Pending")&gt;0,"P",""))))</f>
        <v/>
      </c>
      <c r="N212" s="23" t="str">
        <f>IF(A212="","",IF(IF(OR(DATE($B$3,7,13)&gt;EOMONTH(DATE($B$3,7,1),0),NETWORKDAYS.INTL(DATE($B$3,7,13),DATE($B$3,7,13),1,'Non-working days'!$A$6:$A$45)=0),"",IF(COUNTIFS('Leave log'!$A$7:$A$306,Employees!$A$7,'Leave log'!$B$7:$B$306,"&lt;="&amp;DATE($B$3,7,13),'Leave log'!$C$7:$C$306,"&gt;="&amp;DATE($B$3,7,13),'Leave log'!$F$7:$F$306,"Approved")&gt;0,"A",""))="A","A",IF(OR(DATE($B$3,7,13)&gt;EOMONTH(DATE($B$3,7,1),0),NETWORKDAYS.INTL(DATE($B$3,7,13),DATE($B$3,7,13),1,'Non-working days'!$A$6:$A$45)=0),"",IF(COUNTIFS('Leave log'!$A$7:$A$306,Employees!$A$7,'Leave log'!$B$7:$B$306,"&lt;="&amp;DATE($B$3,7,13),'Leave log'!$C$7:$C$306,"&gt;="&amp;DATE($B$3,7,13),'Leave log'!$F$7:$F$306,"Pending")&gt;0,"P",""))))</f>
        <v/>
      </c>
      <c r="O212" s="23" t="str">
        <f>IF(A212="","",IF(IF(OR(DATE($B$3,7,14)&gt;EOMONTH(DATE($B$3,7,1),0),NETWORKDAYS.INTL(DATE($B$3,7,14),DATE($B$3,7,14),1,'Non-working days'!$A$6:$A$45)=0),"",IF(COUNTIFS('Leave log'!$A$7:$A$306,Employees!$A$7,'Leave log'!$B$7:$B$306,"&lt;="&amp;DATE($B$3,7,14),'Leave log'!$C$7:$C$306,"&gt;="&amp;DATE($B$3,7,14),'Leave log'!$F$7:$F$306,"Approved")&gt;0,"A",""))="A","A",IF(OR(DATE($B$3,7,14)&gt;EOMONTH(DATE($B$3,7,1),0),NETWORKDAYS.INTL(DATE($B$3,7,14),DATE($B$3,7,14),1,'Non-working days'!$A$6:$A$45)=0),"",IF(COUNTIFS('Leave log'!$A$7:$A$306,Employees!$A$7,'Leave log'!$B$7:$B$306,"&lt;="&amp;DATE($B$3,7,14),'Leave log'!$C$7:$C$306,"&gt;="&amp;DATE($B$3,7,14),'Leave log'!$F$7:$F$306,"Pending")&gt;0,"P",""))))</f>
        <v/>
      </c>
      <c r="P212" s="23" t="str">
        <f>IF(A212="","",IF(IF(OR(DATE($B$3,7,15)&gt;EOMONTH(DATE($B$3,7,1),0),NETWORKDAYS.INTL(DATE($B$3,7,15),DATE($B$3,7,15),1,'Non-working days'!$A$6:$A$45)=0),"",IF(COUNTIFS('Leave log'!$A$7:$A$306,Employees!$A$7,'Leave log'!$B$7:$B$306,"&lt;="&amp;DATE($B$3,7,15),'Leave log'!$C$7:$C$306,"&gt;="&amp;DATE($B$3,7,15),'Leave log'!$F$7:$F$306,"Approved")&gt;0,"A",""))="A","A",IF(OR(DATE($B$3,7,15)&gt;EOMONTH(DATE($B$3,7,1),0),NETWORKDAYS.INTL(DATE($B$3,7,15),DATE($B$3,7,15),1,'Non-working days'!$A$6:$A$45)=0),"",IF(COUNTIFS('Leave log'!$A$7:$A$306,Employees!$A$7,'Leave log'!$B$7:$B$306,"&lt;="&amp;DATE($B$3,7,15),'Leave log'!$C$7:$C$306,"&gt;="&amp;DATE($B$3,7,15),'Leave log'!$F$7:$F$306,"Pending")&gt;0,"P",""))))</f>
        <v/>
      </c>
      <c r="Q212" s="23" t="str">
        <f>IF(A212="","",IF(IF(OR(DATE($B$3,7,16)&gt;EOMONTH(DATE($B$3,7,1),0),NETWORKDAYS.INTL(DATE($B$3,7,16),DATE($B$3,7,16),1,'Non-working days'!$A$6:$A$45)=0),"",IF(COUNTIFS('Leave log'!$A$7:$A$306,Employees!$A$7,'Leave log'!$B$7:$B$306,"&lt;="&amp;DATE($B$3,7,16),'Leave log'!$C$7:$C$306,"&gt;="&amp;DATE($B$3,7,16),'Leave log'!$F$7:$F$306,"Approved")&gt;0,"A",""))="A","A",IF(OR(DATE($B$3,7,16)&gt;EOMONTH(DATE($B$3,7,1),0),NETWORKDAYS.INTL(DATE($B$3,7,16),DATE($B$3,7,16),1,'Non-working days'!$A$6:$A$45)=0),"",IF(COUNTIFS('Leave log'!$A$7:$A$306,Employees!$A$7,'Leave log'!$B$7:$B$306,"&lt;="&amp;DATE($B$3,7,16),'Leave log'!$C$7:$C$306,"&gt;="&amp;DATE($B$3,7,16),'Leave log'!$F$7:$F$306,"Pending")&gt;0,"P",""))))</f>
        <v/>
      </c>
      <c r="R212" s="23" t="str">
        <f>IF(A212="","",IF(IF(OR(DATE($B$3,7,17)&gt;EOMONTH(DATE($B$3,7,1),0),NETWORKDAYS.INTL(DATE($B$3,7,17),DATE($B$3,7,17),1,'Non-working days'!$A$6:$A$45)=0),"",IF(COUNTIFS('Leave log'!$A$7:$A$306,Employees!$A$7,'Leave log'!$B$7:$B$306,"&lt;="&amp;DATE($B$3,7,17),'Leave log'!$C$7:$C$306,"&gt;="&amp;DATE($B$3,7,17),'Leave log'!$F$7:$F$306,"Approved")&gt;0,"A",""))="A","A",IF(OR(DATE($B$3,7,17)&gt;EOMONTH(DATE($B$3,7,1),0),NETWORKDAYS.INTL(DATE($B$3,7,17),DATE($B$3,7,17),1,'Non-working days'!$A$6:$A$45)=0),"",IF(COUNTIFS('Leave log'!$A$7:$A$306,Employees!$A$7,'Leave log'!$B$7:$B$306,"&lt;="&amp;DATE($B$3,7,17),'Leave log'!$C$7:$C$306,"&gt;="&amp;DATE($B$3,7,17),'Leave log'!$F$7:$F$306,"Pending")&gt;0,"P",""))))</f>
        <v/>
      </c>
      <c r="S212" s="23" t="str">
        <f>IF(A212="","",IF(IF(OR(DATE($B$3,7,18)&gt;EOMONTH(DATE($B$3,7,1),0),NETWORKDAYS.INTL(DATE($B$3,7,18),DATE($B$3,7,18),1,'Non-working days'!$A$6:$A$45)=0),"",IF(COUNTIFS('Leave log'!$A$7:$A$306,Employees!$A$7,'Leave log'!$B$7:$B$306,"&lt;="&amp;DATE($B$3,7,18),'Leave log'!$C$7:$C$306,"&gt;="&amp;DATE($B$3,7,18),'Leave log'!$F$7:$F$306,"Approved")&gt;0,"A",""))="A","A",IF(OR(DATE($B$3,7,18)&gt;EOMONTH(DATE($B$3,7,1),0),NETWORKDAYS.INTL(DATE($B$3,7,18),DATE($B$3,7,18),1,'Non-working days'!$A$6:$A$45)=0),"",IF(COUNTIFS('Leave log'!$A$7:$A$306,Employees!$A$7,'Leave log'!$B$7:$B$306,"&lt;="&amp;DATE($B$3,7,18),'Leave log'!$C$7:$C$306,"&gt;="&amp;DATE($B$3,7,18),'Leave log'!$F$7:$F$306,"Pending")&gt;0,"P",""))))</f>
        <v/>
      </c>
      <c r="T212" s="23" t="str">
        <f>IF(A212="","",IF(IF(OR(DATE($B$3,7,19)&gt;EOMONTH(DATE($B$3,7,1),0),NETWORKDAYS.INTL(DATE($B$3,7,19),DATE($B$3,7,19),1,'Non-working days'!$A$6:$A$45)=0),"",IF(COUNTIFS('Leave log'!$A$7:$A$306,Employees!$A$7,'Leave log'!$B$7:$B$306,"&lt;="&amp;DATE($B$3,7,19),'Leave log'!$C$7:$C$306,"&gt;="&amp;DATE($B$3,7,19),'Leave log'!$F$7:$F$306,"Approved")&gt;0,"A",""))="A","A",IF(OR(DATE($B$3,7,19)&gt;EOMONTH(DATE($B$3,7,1),0),NETWORKDAYS.INTL(DATE($B$3,7,19),DATE($B$3,7,19),1,'Non-working days'!$A$6:$A$45)=0),"",IF(COUNTIFS('Leave log'!$A$7:$A$306,Employees!$A$7,'Leave log'!$B$7:$B$306,"&lt;="&amp;DATE($B$3,7,19),'Leave log'!$C$7:$C$306,"&gt;="&amp;DATE($B$3,7,19),'Leave log'!$F$7:$F$306,"Pending")&gt;0,"P",""))))</f>
        <v/>
      </c>
      <c r="U212" s="23" t="str">
        <f>IF(A212="","",IF(IF(OR(DATE($B$3,7,20)&gt;EOMONTH(DATE($B$3,7,1),0),NETWORKDAYS.INTL(DATE($B$3,7,20),DATE($B$3,7,20),1,'Non-working days'!$A$6:$A$45)=0),"",IF(COUNTIFS('Leave log'!$A$7:$A$306,Employees!$A$7,'Leave log'!$B$7:$B$306,"&lt;="&amp;DATE($B$3,7,20),'Leave log'!$C$7:$C$306,"&gt;="&amp;DATE($B$3,7,20),'Leave log'!$F$7:$F$306,"Approved")&gt;0,"A",""))="A","A",IF(OR(DATE($B$3,7,20)&gt;EOMONTH(DATE($B$3,7,1),0),NETWORKDAYS.INTL(DATE($B$3,7,20),DATE($B$3,7,20),1,'Non-working days'!$A$6:$A$45)=0),"",IF(COUNTIFS('Leave log'!$A$7:$A$306,Employees!$A$7,'Leave log'!$B$7:$B$306,"&lt;="&amp;DATE($B$3,7,20),'Leave log'!$C$7:$C$306,"&gt;="&amp;DATE($B$3,7,20),'Leave log'!$F$7:$F$306,"Pending")&gt;0,"P",""))))</f>
        <v/>
      </c>
      <c r="V212" s="23" t="str">
        <f>IF(A212="","",IF(IF(OR(DATE($B$3,7,21)&gt;EOMONTH(DATE($B$3,7,1),0),NETWORKDAYS.INTL(DATE($B$3,7,21),DATE($B$3,7,21),1,'Non-working days'!$A$6:$A$45)=0),"",IF(COUNTIFS('Leave log'!$A$7:$A$306,Employees!$A$7,'Leave log'!$B$7:$B$306,"&lt;="&amp;DATE($B$3,7,21),'Leave log'!$C$7:$C$306,"&gt;="&amp;DATE($B$3,7,21),'Leave log'!$F$7:$F$306,"Approved")&gt;0,"A",""))="A","A",IF(OR(DATE($B$3,7,21)&gt;EOMONTH(DATE($B$3,7,1),0),NETWORKDAYS.INTL(DATE($B$3,7,21),DATE($B$3,7,21),1,'Non-working days'!$A$6:$A$45)=0),"",IF(COUNTIFS('Leave log'!$A$7:$A$306,Employees!$A$7,'Leave log'!$B$7:$B$306,"&lt;="&amp;DATE($B$3,7,21),'Leave log'!$C$7:$C$306,"&gt;="&amp;DATE($B$3,7,21),'Leave log'!$F$7:$F$306,"Pending")&gt;0,"P",""))))</f>
        <v/>
      </c>
      <c r="W212" s="23" t="str">
        <f>IF(A212="","",IF(IF(OR(DATE($B$3,7,22)&gt;EOMONTH(DATE($B$3,7,1),0),NETWORKDAYS.INTL(DATE($B$3,7,22),DATE($B$3,7,22),1,'Non-working days'!$A$6:$A$45)=0),"",IF(COUNTIFS('Leave log'!$A$7:$A$306,Employees!$A$7,'Leave log'!$B$7:$B$306,"&lt;="&amp;DATE($B$3,7,22),'Leave log'!$C$7:$C$306,"&gt;="&amp;DATE($B$3,7,22),'Leave log'!$F$7:$F$306,"Approved")&gt;0,"A",""))="A","A",IF(OR(DATE($B$3,7,22)&gt;EOMONTH(DATE($B$3,7,1),0),NETWORKDAYS.INTL(DATE($B$3,7,22),DATE($B$3,7,22),1,'Non-working days'!$A$6:$A$45)=0),"",IF(COUNTIFS('Leave log'!$A$7:$A$306,Employees!$A$7,'Leave log'!$B$7:$B$306,"&lt;="&amp;DATE($B$3,7,22),'Leave log'!$C$7:$C$306,"&gt;="&amp;DATE($B$3,7,22),'Leave log'!$F$7:$F$306,"Pending")&gt;0,"P",""))))</f>
        <v/>
      </c>
      <c r="X212" s="23" t="str">
        <f>IF(A212="","",IF(IF(OR(DATE($B$3,7,23)&gt;EOMONTH(DATE($B$3,7,1),0),NETWORKDAYS.INTL(DATE($B$3,7,23),DATE($B$3,7,23),1,'Non-working days'!$A$6:$A$45)=0),"",IF(COUNTIFS('Leave log'!$A$7:$A$306,Employees!$A$7,'Leave log'!$B$7:$B$306,"&lt;="&amp;DATE($B$3,7,23),'Leave log'!$C$7:$C$306,"&gt;="&amp;DATE($B$3,7,23),'Leave log'!$F$7:$F$306,"Approved")&gt;0,"A",""))="A","A",IF(OR(DATE($B$3,7,23)&gt;EOMONTH(DATE($B$3,7,1),0),NETWORKDAYS.INTL(DATE($B$3,7,23),DATE($B$3,7,23),1,'Non-working days'!$A$6:$A$45)=0),"",IF(COUNTIFS('Leave log'!$A$7:$A$306,Employees!$A$7,'Leave log'!$B$7:$B$306,"&lt;="&amp;DATE($B$3,7,23),'Leave log'!$C$7:$C$306,"&gt;="&amp;DATE($B$3,7,23),'Leave log'!$F$7:$F$306,"Pending")&gt;0,"P",""))))</f>
        <v/>
      </c>
      <c r="Y212" s="23" t="str">
        <f>IF(A212="","",IF(IF(OR(DATE($B$3,7,24)&gt;EOMONTH(DATE($B$3,7,1),0),NETWORKDAYS.INTL(DATE($B$3,7,24),DATE($B$3,7,24),1,'Non-working days'!$A$6:$A$45)=0),"",IF(COUNTIFS('Leave log'!$A$7:$A$306,Employees!$A$7,'Leave log'!$B$7:$B$306,"&lt;="&amp;DATE($B$3,7,24),'Leave log'!$C$7:$C$306,"&gt;="&amp;DATE($B$3,7,24),'Leave log'!$F$7:$F$306,"Approved")&gt;0,"A",""))="A","A",IF(OR(DATE($B$3,7,24)&gt;EOMONTH(DATE($B$3,7,1),0),NETWORKDAYS.INTL(DATE($B$3,7,24),DATE($B$3,7,24),1,'Non-working days'!$A$6:$A$45)=0),"",IF(COUNTIFS('Leave log'!$A$7:$A$306,Employees!$A$7,'Leave log'!$B$7:$B$306,"&lt;="&amp;DATE($B$3,7,24),'Leave log'!$C$7:$C$306,"&gt;="&amp;DATE($B$3,7,24),'Leave log'!$F$7:$F$306,"Pending")&gt;0,"P",""))))</f>
        <v/>
      </c>
      <c r="Z212" s="23" t="str">
        <f>IF(A212="","",IF(IF(OR(DATE($B$3,7,25)&gt;EOMONTH(DATE($B$3,7,1),0),NETWORKDAYS.INTL(DATE($B$3,7,25),DATE($B$3,7,25),1,'Non-working days'!$A$6:$A$45)=0),"",IF(COUNTIFS('Leave log'!$A$7:$A$306,Employees!$A$7,'Leave log'!$B$7:$B$306,"&lt;="&amp;DATE($B$3,7,25),'Leave log'!$C$7:$C$306,"&gt;="&amp;DATE($B$3,7,25),'Leave log'!$F$7:$F$306,"Approved")&gt;0,"A",""))="A","A",IF(OR(DATE($B$3,7,25)&gt;EOMONTH(DATE($B$3,7,1),0),NETWORKDAYS.INTL(DATE($B$3,7,25),DATE($B$3,7,25),1,'Non-working days'!$A$6:$A$45)=0),"",IF(COUNTIFS('Leave log'!$A$7:$A$306,Employees!$A$7,'Leave log'!$B$7:$B$306,"&lt;="&amp;DATE($B$3,7,25),'Leave log'!$C$7:$C$306,"&gt;="&amp;DATE($B$3,7,25),'Leave log'!$F$7:$F$306,"Pending")&gt;0,"P",""))))</f>
        <v/>
      </c>
      <c r="AA212" s="23" t="str">
        <f>IF(A212="","",IF(IF(OR(DATE($B$3,7,26)&gt;EOMONTH(DATE($B$3,7,1),0),NETWORKDAYS.INTL(DATE($B$3,7,26),DATE($B$3,7,26),1,'Non-working days'!$A$6:$A$45)=0),"",IF(COUNTIFS('Leave log'!$A$7:$A$306,Employees!$A$7,'Leave log'!$B$7:$B$306,"&lt;="&amp;DATE($B$3,7,26),'Leave log'!$C$7:$C$306,"&gt;="&amp;DATE($B$3,7,26),'Leave log'!$F$7:$F$306,"Approved")&gt;0,"A",""))="A","A",IF(OR(DATE($B$3,7,26)&gt;EOMONTH(DATE($B$3,7,1),0),NETWORKDAYS.INTL(DATE($B$3,7,26),DATE($B$3,7,26),1,'Non-working days'!$A$6:$A$45)=0),"",IF(COUNTIFS('Leave log'!$A$7:$A$306,Employees!$A$7,'Leave log'!$B$7:$B$306,"&lt;="&amp;DATE($B$3,7,26),'Leave log'!$C$7:$C$306,"&gt;="&amp;DATE($B$3,7,26),'Leave log'!$F$7:$F$306,"Pending")&gt;0,"P",""))))</f>
        <v/>
      </c>
      <c r="AB212" s="23" t="str">
        <f>IF(A212="","",IF(IF(OR(DATE($B$3,7,27)&gt;EOMONTH(DATE($B$3,7,1),0),NETWORKDAYS.INTL(DATE($B$3,7,27),DATE($B$3,7,27),1,'Non-working days'!$A$6:$A$45)=0),"",IF(COUNTIFS('Leave log'!$A$7:$A$306,Employees!$A$7,'Leave log'!$B$7:$B$306,"&lt;="&amp;DATE($B$3,7,27),'Leave log'!$C$7:$C$306,"&gt;="&amp;DATE($B$3,7,27),'Leave log'!$F$7:$F$306,"Approved")&gt;0,"A",""))="A","A",IF(OR(DATE($B$3,7,27)&gt;EOMONTH(DATE($B$3,7,1),0),NETWORKDAYS.INTL(DATE($B$3,7,27),DATE($B$3,7,27),1,'Non-working days'!$A$6:$A$45)=0),"",IF(COUNTIFS('Leave log'!$A$7:$A$306,Employees!$A$7,'Leave log'!$B$7:$B$306,"&lt;="&amp;DATE($B$3,7,27),'Leave log'!$C$7:$C$306,"&gt;="&amp;DATE($B$3,7,27),'Leave log'!$F$7:$F$306,"Pending")&gt;0,"P",""))))</f>
        <v/>
      </c>
      <c r="AC212" s="23" t="str">
        <f>IF(A212="","",IF(IF(OR(DATE($B$3,7,28)&gt;EOMONTH(DATE($B$3,7,1),0),NETWORKDAYS.INTL(DATE($B$3,7,28),DATE($B$3,7,28),1,'Non-working days'!$A$6:$A$45)=0),"",IF(COUNTIFS('Leave log'!$A$7:$A$306,Employees!$A$7,'Leave log'!$B$7:$B$306,"&lt;="&amp;DATE($B$3,7,28),'Leave log'!$C$7:$C$306,"&gt;="&amp;DATE($B$3,7,28),'Leave log'!$F$7:$F$306,"Approved")&gt;0,"A",""))="A","A",IF(OR(DATE($B$3,7,28)&gt;EOMONTH(DATE($B$3,7,1),0),NETWORKDAYS.INTL(DATE($B$3,7,28),DATE($B$3,7,28),1,'Non-working days'!$A$6:$A$45)=0),"",IF(COUNTIFS('Leave log'!$A$7:$A$306,Employees!$A$7,'Leave log'!$B$7:$B$306,"&lt;="&amp;DATE($B$3,7,28),'Leave log'!$C$7:$C$306,"&gt;="&amp;DATE($B$3,7,28),'Leave log'!$F$7:$F$306,"Pending")&gt;0,"P",""))))</f>
        <v/>
      </c>
      <c r="AD212" s="23" t="str">
        <f>IF(A212="","",IF(IF(OR(DATE($B$3,7,29)&gt;EOMONTH(DATE($B$3,7,1),0),NETWORKDAYS.INTL(DATE($B$3,7,29),DATE($B$3,7,29),1,'Non-working days'!$A$6:$A$45)=0),"",IF(COUNTIFS('Leave log'!$A$7:$A$306,Employees!$A$7,'Leave log'!$B$7:$B$306,"&lt;="&amp;DATE($B$3,7,29),'Leave log'!$C$7:$C$306,"&gt;="&amp;DATE($B$3,7,29),'Leave log'!$F$7:$F$306,"Approved")&gt;0,"A",""))="A","A",IF(OR(DATE($B$3,7,29)&gt;EOMONTH(DATE($B$3,7,1),0),NETWORKDAYS.INTL(DATE($B$3,7,29),DATE($B$3,7,29),1,'Non-working days'!$A$6:$A$45)=0),"",IF(COUNTIFS('Leave log'!$A$7:$A$306,Employees!$A$7,'Leave log'!$B$7:$B$306,"&lt;="&amp;DATE($B$3,7,29),'Leave log'!$C$7:$C$306,"&gt;="&amp;DATE($B$3,7,29),'Leave log'!$F$7:$F$306,"Pending")&gt;0,"P",""))))</f>
        <v/>
      </c>
      <c r="AE212" s="23" t="str">
        <f>IF(A212="","",IF(IF(OR(DATE($B$3,7,30)&gt;EOMONTH(DATE($B$3,7,1),0),NETWORKDAYS.INTL(DATE($B$3,7,30),DATE($B$3,7,30),1,'Non-working days'!$A$6:$A$45)=0),"",IF(COUNTIFS('Leave log'!$A$7:$A$306,Employees!$A$7,'Leave log'!$B$7:$B$306,"&lt;="&amp;DATE($B$3,7,30),'Leave log'!$C$7:$C$306,"&gt;="&amp;DATE($B$3,7,30),'Leave log'!$F$7:$F$306,"Approved")&gt;0,"A",""))="A","A",IF(OR(DATE($B$3,7,30)&gt;EOMONTH(DATE($B$3,7,1),0),NETWORKDAYS.INTL(DATE($B$3,7,30),DATE($B$3,7,30),1,'Non-working days'!$A$6:$A$45)=0),"",IF(COUNTIFS('Leave log'!$A$7:$A$306,Employees!$A$7,'Leave log'!$B$7:$B$306,"&lt;="&amp;DATE($B$3,7,30),'Leave log'!$C$7:$C$306,"&gt;="&amp;DATE($B$3,7,30),'Leave log'!$F$7:$F$306,"Pending")&gt;0,"P",""))))</f>
        <v/>
      </c>
      <c r="AF212" s="23" t="str">
        <f>IF(A212="","",IF(IF(OR(DATE($B$3,7,31)&gt;EOMONTH(DATE($B$3,7,1),0),NETWORKDAYS.INTL(DATE($B$3,7,31),DATE($B$3,7,31),1,'Non-working days'!$A$6:$A$45)=0),"",IF(COUNTIFS('Leave log'!$A$7:$A$306,Employees!$A$7,'Leave log'!$B$7:$B$306,"&lt;="&amp;DATE($B$3,7,31),'Leave log'!$C$7:$C$306,"&gt;="&amp;DATE($B$3,7,31),'Leave log'!$F$7:$F$306,"Approved")&gt;0,"A",""))="A","A",IF(OR(DATE($B$3,7,31)&gt;EOMONTH(DATE($B$3,7,1),0),NETWORKDAYS.INTL(DATE($B$3,7,31),DATE($B$3,7,31),1,'Non-working days'!$A$6:$A$45)=0),"",IF(COUNTIFS('Leave log'!$A$7:$A$306,Employees!$A$7,'Leave log'!$B$7:$B$306,"&lt;="&amp;DATE($B$3,7,31),'Leave log'!$C$7:$C$306,"&gt;="&amp;DATE($B$3,7,31),'Leave log'!$F$7:$F$306,"Pending")&gt;0,"P",""))))</f>
        <v/>
      </c>
    </row>
    <row r="213" spans="1:32" ht="18" customHeight="1" x14ac:dyDescent="0.3">
      <c r="A213" s="22" t="str">
        <f>IF(Employees!F8="Yes",Employees!B8,"")</f>
        <v/>
      </c>
      <c r="B213" s="23" t="str">
        <f>IF(A213="","",IF(IF(OR(DATE($B$3,7,1)&gt;EOMONTH(DATE($B$3,7,1),0),NETWORKDAYS.INTL(DATE($B$3,7,1),DATE($B$3,7,1),1,'Non-working days'!$A$6:$A$45)=0),"",IF(COUNTIFS('Leave log'!$A$7:$A$306,Employees!$A$8,'Leave log'!$B$7:$B$306,"&lt;="&amp;DATE($B$3,7,1),'Leave log'!$C$7:$C$306,"&gt;="&amp;DATE($B$3,7,1),'Leave log'!$F$7:$F$306,"Approved")&gt;0,"A",""))="A","A",IF(OR(DATE($B$3,7,1)&gt;EOMONTH(DATE($B$3,7,1),0),NETWORKDAYS.INTL(DATE($B$3,7,1),DATE($B$3,7,1),1,'Non-working days'!$A$6:$A$45)=0),"",IF(COUNTIFS('Leave log'!$A$7:$A$306,Employees!$A$8,'Leave log'!$B$7:$B$306,"&lt;="&amp;DATE($B$3,7,1),'Leave log'!$C$7:$C$306,"&gt;="&amp;DATE($B$3,7,1),'Leave log'!$F$7:$F$306,"Pending")&gt;0,"P",""))))</f>
        <v/>
      </c>
      <c r="C213" s="23" t="str">
        <f>IF(A213="","",IF(IF(OR(DATE($B$3,7,2)&gt;EOMONTH(DATE($B$3,7,1),0),NETWORKDAYS.INTL(DATE($B$3,7,2),DATE($B$3,7,2),1,'Non-working days'!$A$6:$A$45)=0),"",IF(COUNTIFS('Leave log'!$A$7:$A$306,Employees!$A$8,'Leave log'!$B$7:$B$306,"&lt;="&amp;DATE($B$3,7,2),'Leave log'!$C$7:$C$306,"&gt;="&amp;DATE($B$3,7,2),'Leave log'!$F$7:$F$306,"Approved")&gt;0,"A",""))="A","A",IF(OR(DATE($B$3,7,2)&gt;EOMONTH(DATE($B$3,7,1),0),NETWORKDAYS.INTL(DATE($B$3,7,2),DATE($B$3,7,2),1,'Non-working days'!$A$6:$A$45)=0),"",IF(COUNTIFS('Leave log'!$A$7:$A$306,Employees!$A$8,'Leave log'!$B$7:$B$306,"&lt;="&amp;DATE($B$3,7,2),'Leave log'!$C$7:$C$306,"&gt;="&amp;DATE($B$3,7,2),'Leave log'!$F$7:$F$306,"Pending")&gt;0,"P",""))))</f>
        <v/>
      </c>
      <c r="D213" s="23" t="str">
        <f>IF(A213="","",IF(IF(OR(DATE($B$3,7,3)&gt;EOMONTH(DATE($B$3,7,1),0),NETWORKDAYS.INTL(DATE($B$3,7,3),DATE($B$3,7,3),1,'Non-working days'!$A$6:$A$45)=0),"",IF(COUNTIFS('Leave log'!$A$7:$A$306,Employees!$A$8,'Leave log'!$B$7:$B$306,"&lt;="&amp;DATE($B$3,7,3),'Leave log'!$C$7:$C$306,"&gt;="&amp;DATE($B$3,7,3),'Leave log'!$F$7:$F$306,"Approved")&gt;0,"A",""))="A","A",IF(OR(DATE($B$3,7,3)&gt;EOMONTH(DATE($B$3,7,1),0),NETWORKDAYS.INTL(DATE($B$3,7,3),DATE($B$3,7,3),1,'Non-working days'!$A$6:$A$45)=0),"",IF(COUNTIFS('Leave log'!$A$7:$A$306,Employees!$A$8,'Leave log'!$B$7:$B$306,"&lt;="&amp;DATE($B$3,7,3),'Leave log'!$C$7:$C$306,"&gt;="&amp;DATE($B$3,7,3),'Leave log'!$F$7:$F$306,"Pending")&gt;0,"P",""))))</f>
        <v/>
      </c>
      <c r="E213" s="23" t="str">
        <f>IF(A213="","",IF(IF(OR(DATE($B$3,7,4)&gt;EOMONTH(DATE($B$3,7,1),0),NETWORKDAYS.INTL(DATE($B$3,7,4),DATE($B$3,7,4),1,'Non-working days'!$A$6:$A$45)=0),"",IF(COUNTIFS('Leave log'!$A$7:$A$306,Employees!$A$8,'Leave log'!$B$7:$B$306,"&lt;="&amp;DATE($B$3,7,4),'Leave log'!$C$7:$C$306,"&gt;="&amp;DATE($B$3,7,4),'Leave log'!$F$7:$F$306,"Approved")&gt;0,"A",""))="A","A",IF(OR(DATE($B$3,7,4)&gt;EOMONTH(DATE($B$3,7,1),0),NETWORKDAYS.INTL(DATE($B$3,7,4),DATE($B$3,7,4),1,'Non-working days'!$A$6:$A$45)=0),"",IF(COUNTIFS('Leave log'!$A$7:$A$306,Employees!$A$8,'Leave log'!$B$7:$B$306,"&lt;="&amp;DATE($B$3,7,4),'Leave log'!$C$7:$C$306,"&gt;="&amp;DATE($B$3,7,4),'Leave log'!$F$7:$F$306,"Pending")&gt;0,"P",""))))</f>
        <v/>
      </c>
      <c r="F213" s="23" t="str">
        <f>IF(A213="","",IF(IF(OR(DATE($B$3,7,5)&gt;EOMONTH(DATE($B$3,7,1),0),NETWORKDAYS.INTL(DATE($B$3,7,5),DATE($B$3,7,5),1,'Non-working days'!$A$6:$A$45)=0),"",IF(COUNTIFS('Leave log'!$A$7:$A$306,Employees!$A$8,'Leave log'!$B$7:$B$306,"&lt;="&amp;DATE($B$3,7,5),'Leave log'!$C$7:$C$306,"&gt;="&amp;DATE($B$3,7,5),'Leave log'!$F$7:$F$306,"Approved")&gt;0,"A",""))="A","A",IF(OR(DATE($B$3,7,5)&gt;EOMONTH(DATE($B$3,7,1),0),NETWORKDAYS.INTL(DATE($B$3,7,5),DATE($B$3,7,5),1,'Non-working days'!$A$6:$A$45)=0),"",IF(COUNTIFS('Leave log'!$A$7:$A$306,Employees!$A$8,'Leave log'!$B$7:$B$306,"&lt;="&amp;DATE($B$3,7,5),'Leave log'!$C$7:$C$306,"&gt;="&amp;DATE($B$3,7,5),'Leave log'!$F$7:$F$306,"Pending")&gt;0,"P",""))))</f>
        <v/>
      </c>
      <c r="G213" s="23" t="str">
        <f>IF(A213="","",IF(IF(OR(DATE($B$3,7,6)&gt;EOMONTH(DATE($B$3,7,1),0),NETWORKDAYS.INTL(DATE($B$3,7,6),DATE($B$3,7,6),1,'Non-working days'!$A$6:$A$45)=0),"",IF(COUNTIFS('Leave log'!$A$7:$A$306,Employees!$A$8,'Leave log'!$B$7:$B$306,"&lt;="&amp;DATE($B$3,7,6),'Leave log'!$C$7:$C$306,"&gt;="&amp;DATE($B$3,7,6),'Leave log'!$F$7:$F$306,"Approved")&gt;0,"A",""))="A","A",IF(OR(DATE($B$3,7,6)&gt;EOMONTH(DATE($B$3,7,1),0),NETWORKDAYS.INTL(DATE($B$3,7,6),DATE($B$3,7,6),1,'Non-working days'!$A$6:$A$45)=0),"",IF(COUNTIFS('Leave log'!$A$7:$A$306,Employees!$A$8,'Leave log'!$B$7:$B$306,"&lt;="&amp;DATE($B$3,7,6),'Leave log'!$C$7:$C$306,"&gt;="&amp;DATE($B$3,7,6),'Leave log'!$F$7:$F$306,"Pending")&gt;0,"P",""))))</f>
        <v/>
      </c>
      <c r="H213" s="23" t="str">
        <f>IF(A213="","",IF(IF(OR(DATE($B$3,7,7)&gt;EOMONTH(DATE($B$3,7,1),0),NETWORKDAYS.INTL(DATE($B$3,7,7),DATE($B$3,7,7),1,'Non-working days'!$A$6:$A$45)=0),"",IF(COUNTIFS('Leave log'!$A$7:$A$306,Employees!$A$8,'Leave log'!$B$7:$B$306,"&lt;="&amp;DATE($B$3,7,7),'Leave log'!$C$7:$C$306,"&gt;="&amp;DATE($B$3,7,7),'Leave log'!$F$7:$F$306,"Approved")&gt;0,"A",""))="A","A",IF(OR(DATE($B$3,7,7)&gt;EOMONTH(DATE($B$3,7,1),0),NETWORKDAYS.INTL(DATE($B$3,7,7),DATE($B$3,7,7),1,'Non-working days'!$A$6:$A$45)=0),"",IF(COUNTIFS('Leave log'!$A$7:$A$306,Employees!$A$8,'Leave log'!$B$7:$B$306,"&lt;="&amp;DATE($B$3,7,7),'Leave log'!$C$7:$C$306,"&gt;="&amp;DATE($B$3,7,7),'Leave log'!$F$7:$F$306,"Pending")&gt;0,"P",""))))</f>
        <v/>
      </c>
      <c r="I213" s="23" t="str">
        <f>IF(A213="","",IF(IF(OR(DATE($B$3,7,8)&gt;EOMONTH(DATE($B$3,7,1),0),NETWORKDAYS.INTL(DATE($B$3,7,8),DATE($B$3,7,8),1,'Non-working days'!$A$6:$A$45)=0),"",IF(COUNTIFS('Leave log'!$A$7:$A$306,Employees!$A$8,'Leave log'!$B$7:$B$306,"&lt;="&amp;DATE($B$3,7,8),'Leave log'!$C$7:$C$306,"&gt;="&amp;DATE($B$3,7,8),'Leave log'!$F$7:$F$306,"Approved")&gt;0,"A",""))="A","A",IF(OR(DATE($B$3,7,8)&gt;EOMONTH(DATE($B$3,7,1),0),NETWORKDAYS.INTL(DATE($B$3,7,8),DATE($B$3,7,8),1,'Non-working days'!$A$6:$A$45)=0),"",IF(COUNTIFS('Leave log'!$A$7:$A$306,Employees!$A$8,'Leave log'!$B$7:$B$306,"&lt;="&amp;DATE($B$3,7,8),'Leave log'!$C$7:$C$306,"&gt;="&amp;DATE($B$3,7,8),'Leave log'!$F$7:$F$306,"Pending")&gt;0,"P",""))))</f>
        <v/>
      </c>
      <c r="J213" s="23" t="str">
        <f>IF(A213="","",IF(IF(OR(DATE($B$3,7,9)&gt;EOMONTH(DATE($B$3,7,1),0),NETWORKDAYS.INTL(DATE($B$3,7,9),DATE($B$3,7,9),1,'Non-working days'!$A$6:$A$45)=0),"",IF(COUNTIFS('Leave log'!$A$7:$A$306,Employees!$A$8,'Leave log'!$B$7:$B$306,"&lt;="&amp;DATE($B$3,7,9),'Leave log'!$C$7:$C$306,"&gt;="&amp;DATE($B$3,7,9),'Leave log'!$F$7:$F$306,"Approved")&gt;0,"A",""))="A","A",IF(OR(DATE($B$3,7,9)&gt;EOMONTH(DATE($B$3,7,1),0),NETWORKDAYS.INTL(DATE($B$3,7,9),DATE($B$3,7,9),1,'Non-working days'!$A$6:$A$45)=0),"",IF(COUNTIFS('Leave log'!$A$7:$A$306,Employees!$A$8,'Leave log'!$B$7:$B$306,"&lt;="&amp;DATE($B$3,7,9),'Leave log'!$C$7:$C$306,"&gt;="&amp;DATE($B$3,7,9),'Leave log'!$F$7:$F$306,"Pending")&gt;0,"P",""))))</f>
        <v/>
      </c>
      <c r="K213" s="23" t="str">
        <f>IF(A213="","",IF(IF(OR(DATE($B$3,7,10)&gt;EOMONTH(DATE($B$3,7,1),0),NETWORKDAYS.INTL(DATE($B$3,7,10),DATE($B$3,7,10),1,'Non-working days'!$A$6:$A$45)=0),"",IF(COUNTIFS('Leave log'!$A$7:$A$306,Employees!$A$8,'Leave log'!$B$7:$B$306,"&lt;="&amp;DATE($B$3,7,10),'Leave log'!$C$7:$C$306,"&gt;="&amp;DATE($B$3,7,10),'Leave log'!$F$7:$F$306,"Approved")&gt;0,"A",""))="A","A",IF(OR(DATE($B$3,7,10)&gt;EOMONTH(DATE($B$3,7,1),0),NETWORKDAYS.INTL(DATE($B$3,7,10),DATE($B$3,7,10),1,'Non-working days'!$A$6:$A$45)=0),"",IF(COUNTIFS('Leave log'!$A$7:$A$306,Employees!$A$8,'Leave log'!$B$7:$B$306,"&lt;="&amp;DATE($B$3,7,10),'Leave log'!$C$7:$C$306,"&gt;="&amp;DATE($B$3,7,10),'Leave log'!$F$7:$F$306,"Pending")&gt;0,"P",""))))</f>
        <v/>
      </c>
      <c r="L213" s="23" t="str">
        <f>IF(A213="","",IF(IF(OR(DATE($B$3,7,11)&gt;EOMONTH(DATE($B$3,7,1),0),NETWORKDAYS.INTL(DATE($B$3,7,11),DATE($B$3,7,11),1,'Non-working days'!$A$6:$A$45)=0),"",IF(COUNTIFS('Leave log'!$A$7:$A$306,Employees!$A$8,'Leave log'!$B$7:$B$306,"&lt;="&amp;DATE($B$3,7,11),'Leave log'!$C$7:$C$306,"&gt;="&amp;DATE($B$3,7,11),'Leave log'!$F$7:$F$306,"Approved")&gt;0,"A",""))="A","A",IF(OR(DATE($B$3,7,11)&gt;EOMONTH(DATE($B$3,7,1),0),NETWORKDAYS.INTL(DATE($B$3,7,11),DATE($B$3,7,11),1,'Non-working days'!$A$6:$A$45)=0),"",IF(COUNTIFS('Leave log'!$A$7:$A$306,Employees!$A$8,'Leave log'!$B$7:$B$306,"&lt;="&amp;DATE($B$3,7,11),'Leave log'!$C$7:$C$306,"&gt;="&amp;DATE($B$3,7,11),'Leave log'!$F$7:$F$306,"Pending")&gt;0,"P",""))))</f>
        <v/>
      </c>
      <c r="M213" s="23" t="str">
        <f>IF(A213="","",IF(IF(OR(DATE($B$3,7,12)&gt;EOMONTH(DATE($B$3,7,1),0),NETWORKDAYS.INTL(DATE($B$3,7,12),DATE($B$3,7,12),1,'Non-working days'!$A$6:$A$45)=0),"",IF(COUNTIFS('Leave log'!$A$7:$A$306,Employees!$A$8,'Leave log'!$B$7:$B$306,"&lt;="&amp;DATE($B$3,7,12),'Leave log'!$C$7:$C$306,"&gt;="&amp;DATE($B$3,7,12),'Leave log'!$F$7:$F$306,"Approved")&gt;0,"A",""))="A","A",IF(OR(DATE($B$3,7,12)&gt;EOMONTH(DATE($B$3,7,1),0),NETWORKDAYS.INTL(DATE($B$3,7,12),DATE($B$3,7,12),1,'Non-working days'!$A$6:$A$45)=0),"",IF(COUNTIFS('Leave log'!$A$7:$A$306,Employees!$A$8,'Leave log'!$B$7:$B$306,"&lt;="&amp;DATE($B$3,7,12),'Leave log'!$C$7:$C$306,"&gt;="&amp;DATE($B$3,7,12),'Leave log'!$F$7:$F$306,"Pending")&gt;0,"P",""))))</f>
        <v/>
      </c>
      <c r="N213" s="23" t="str">
        <f>IF(A213="","",IF(IF(OR(DATE($B$3,7,13)&gt;EOMONTH(DATE($B$3,7,1),0),NETWORKDAYS.INTL(DATE($B$3,7,13),DATE($B$3,7,13),1,'Non-working days'!$A$6:$A$45)=0),"",IF(COUNTIFS('Leave log'!$A$7:$A$306,Employees!$A$8,'Leave log'!$B$7:$B$306,"&lt;="&amp;DATE($B$3,7,13),'Leave log'!$C$7:$C$306,"&gt;="&amp;DATE($B$3,7,13),'Leave log'!$F$7:$F$306,"Approved")&gt;0,"A",""))="A","A",IF(OR(DATE($B$3,7,13)&gt;EOMONTH(DATE($B$3,7,1),0),NETWORKDAYS.INTL(DATE($B$3,7,13),DATE($B$3,7,13),1,'Non-working days'!$A$6:$A$45)=0),"",IF(COUNTIFS('Leave log'!$A$7:$A$306,Employees!$A$8,'Leave log'!$B$7:$B$306,"&lt;="&amp;DATE($B$3,7,13),'Leave log'!$C$7:$C$306,"&gt;="&amp;DATE($B$3,7,13),'Leave log'!$F$7:$F$306,"Pending")&gt;0,"P",""))))</f>
        <v/>
      </c>
      <c r="O213" s="23" t="str">
        <f>IF(A213="","",IF(IF(OR(DATE($B$3,7,14)&gt;EOMONTH(DATE($B$3,7,1),0),NETWORKDAYS.INTL(DATE($B$3,7,14),DATE($B$3,7,14),1,'Non-working days'!$A$6:$A$45)=0),"",IF(COUNTIFS('Leave log'!$A$7:$A$306,Employees!$A$8,'Leave log'!$B$7:$B$306,"&lt;="&amp;DATE($B$3,7,14),'Leave log'!$C$7:$C$306,"&gt;="&amp;DATE($B$3,7,14),'Leave log'!$F$7:$F$306,"Approved")&gt;0,"A",""))="A","A",IF(OR(DATE($B$3,7,14)&gt;EOMONTH(DATE($B$3,7,1),0),NETWORKDAYS.INTL(DATE($B$3,7,14),DATE($B$3,7,14),1,'Non-working days'!$A$6:$A$45)=0),"",IF(COUNTIFS('Leave log'!$A$7:$A$306,Employees!$A$8,'Leave log'!$B$7:$B$306,"&lt;="&amp;DATE($B$3,7,14),'Leave log'!$C$7:$C$306,"&gt;="&amp;DATE($B$3,7,14),'Leave log'!$F$7:$F$306,"Pending")&gt;0,"P",""))))</f>
        <v/>
      </c>
      <c r="P213" s="23" t="str">
        <f>IF(A213="","",IF(IF(OR(DATE($B$3,7,15)&gt;EOMONTH(DATE($B$3,7,1),0),NETWORKDAYS.INTL(DATE($B$3,7,15),DATE($B$3,7,15),1,'Non-working days'!$A$6:$A$45)=0),"",IF(COUNTIFS('Leave log'!$A$7:$A$306,Employees!$A$8,'Leave log'!$B$7:$B$306,"&lt;="&amp;DATE($B$3,7,15),'Leave log'!$C$7:$C$306,"&gt;="&amp;DATE($B$3,7,15),'Leave log'!$F$7:$F$306,"Approved")&gt;0,"A",""))="A","A",IF(OR(DATE($B$3,7,15)&gt;EOMONTH(DATE($B$3,7,1),0),NETWORKDAYS.INTL(DATE($B$3,7,15),DATE($B$3,7,15),1,'Non-working days'!$A$6:$A$45)=0),"",IF(COUNTIFS('Leave log'!$A$7:$A$306,Employees!$A$8,'Leave log'!$B$7:$B$306,"&lt;="&amp;DATE($B$3,7,15),'Leave log'!$C$7:$C$306,"&gt;="&amp;DATE($B$3,7,15),'Leave log'!$F$7:$F$306,"Pending")&gt;0,"P",""))))</f>
        <v/>
      </c>
      <c r="Q213" s="23" t="str">
        <f>IF(A213="","",IF(IF(OR(DATE($B$3,7,16)&gt;EOMONTH(DATE($B$3,7,1),0),NETWORKDAYS.INTL(DATE($B$3,7,16),DATE($B$3,7,16),1,'Non-working days'!$A$6:$A$45)=0),"",IF(COUNTIFS('Leave log'!$A$7:$A$306,Employees!$A$8,'Leave log'!$B$7:$B$306,"&lt;="&amp;DATE($B$3,7,16),'Leave log'!$C$7:$C$306,"&gt;="&amp;DATE($B$3,7,16),'Leave log'!$F$7:$F$306,"Approved")&gt;0,"A",""))="A","A",IF(OR(DATE($B$3,7,16)&gt;EOMONTH(DATE($B$3,7,1),0),NETWORKDAYS.INTL(DATE($B$3,7,16),DATE($B$3,7,16),1,'Non-working days'!$A$6:$A$45)=0),"",IF(COUNTIFS('Leave log'!$A$7:$A$306,Employees!$A$8,'Leave log'!$B$7:$B$306,"&lt;="&amp;DATE($B$3,7,16),'Leave log'!$C$7:$C$306,"&gt;="&amp;DATE($B$3,7,16),'Leave log'!$F$7:$F$306,"Pending")&gt;0,"P",""))))</f>
        <v/>
      </c>
      <c r="R213" s="23" t="str">
        <f>IF(A213="","",IF(IF(OR(DATE($B$3,7,17)&gt;EOMONTH(DATE($B$3,7,1),0),NETWORKDAYS.INTL(DATE($B$3,7,17),DATE($B$3,7,17),1,'Non-working days'!$A$6:$A$45)=0),"",IF(COUNTIFS('Leave log'!$A$7:$A$306,Employees!$A$8,'Leave log'!$B$7:$B$306,"&lt;="&amp;DATE($B$3,7,17),'Leave log'!$C$7:$C$306,"&gt;="&amp;DATE($B$3,7,17),'Leave log'!$F$7:$F$306,"Approved")&gt;0,"A",""))="A","A",IF(OR(DATE($B$3,7,17)&gt;EOMONTH(DATE($B$3,7,1),0),NETWORKDAYS.INTL(DATE($B$3,7,17),DATE($B$3,7,17),1,'Non-working days'!$A$6:$A$45)=0),"",IF(COUNTIFS('Leave log'!$A$7:$A$306,Employees!$A$8,'Leave log'!$B$7:$B$306,"&lt;="&amp;DATE($B$3,7,17),'Leave log'!$C$7:$C$306,"&gt;="&amp;DATE($B$3,7,17),'Leave log'!$F$7:$F$306,"Pending")&gt;0,"P",""))))</f>
        <v/>
      </c>
      <c r="S213" s="23" t="str">
        <f>IF(A213="","",IF(IF(OR(DATE($B$3,7,18)&gt;EOMONTH(DATE($B$3,7,1),0),NETWORKDAYS.INTL(DATE($B$3,7,18),DATE($B$3,7,18),1,'Non-working days'!$A$6:$A$45)=0),"",IF(COUNTIFS('Leave log'!$A$7:$A$306,Employees!$A$8,'Leave log'!$B$7:$B$306,"&lt;="&amp;DATE($B$3,7,18),'Leave log'!$C$7:$C$306,"&gt;="&amp;DATE($B$3,7,18),'Leave log'!$F$7:$F$306,"Approved")&gt;0,"A",""))="A","A",IF(OR(DATE($B$3,7,18)&gt;EOMONTH(DATE($B$3,7,1),0),NETWORKDAYS.INTL(DATE($B$3,7,18),DATE($B$3,7,18),1,'Non-working days'!$A$6:$A$45)=0),"",IF(COUNTIFS('Leave log'!$A$7:$A$306,Employees!$A$8,'Leave log'!$B$7:$B$306,"&lt;="&amp;DATE($B$3,7,18),'Leave log'!$C$7:$C$306,"&gt;="&amp;DATE($B$3,7,18),'Leave log'!$F$7:$F$306,"Pending")&gt;0,"P",""))))</f>
        <v/>
      </c>
      <c r="T213" s="23" t="str">
        <f>IF(A213="","",IF(IF(OR(DATE($B$3,7,19)&gt;EOMONTH(DATE($B$3,7,1),0),NETWORKDAYS.INTL(DATE($B$3,7,19),DATE($B$3,7,19),1,'Non-working days'!$A$6:$A$45)=0),"",IF(COUNTIFS('Leave log'!$A$7:$A$306,Employees!$A$8,'Leave log'!$B$7:$B$306,"&lt;="&amp;DATE($B$3,7,19),'Leave log'!$C$7:$C$306,"&gt;="&amp;DATE($B$3,7,19),'Leave log'!$F$7:$F$306,"Approved")&gt;0,"A",""))="A","A",IF(OR(DATE($B$3,7,19)&gt;EOMONTH(DATE($B$3,7,1),0),NETWORKDAYS.INTL(DATE($B$3,7,19),DATE($B$3,7,19),1,'Non-working days'!$A$6:$A$45)=0),"",IF(COUNTIFS('Leave log'!$A$7:$A$306,Employees!$A$8,'Leave log'!$B$7:$B$306,"&lt;="&amp;DATE($B$3,7,19),'Leave log'!$C$7:$C$306,"&gt;="&amp;DATE($B$3,7,19),'Leave log'!$F$7:$F$306,"Pending")&gt;0,"P",""))))</f>
        <v/>
      </c>
      <c r="U213" s="23" t="str">
        <f>IF(A213="","",IF(IF(OR(DATE($B$3,7,20)&gt;EOMONTH(DATE($B$3,7,1),0),NETWORKDAYS.INTL(DATE($B$3,7,20),DATE($B$3,7,20),1,'Non-working days'!$A$6:$A$45)=0),"",IF(COUNTIFS('Leave log'!$A$7:$A$306,Employees!$A$8,'Leave log'!$B$7:$B$306,"&lt;="&amp;DATE($B$3,7,20),'Leave log'!$C$7:$C$306,"&gt;="&amp;DATE($B$3,7,20),'Leave log'!$F$7:$F$306,"Approved")&gt;0,"A",""))="A","A",IF(OR(DATE($B$3,7,20)&gt;EOMONTH(DATE($B$3,7,1),0),NETWORKDAYS.INTL(DATE($B$3,7,20),DATE($B$3,7,20),1,'Non-working days'!$A$6:$A$45)=0),"",IF(COUNTIFS('Leave log'!$A$7:$A$306,Employees!$A$8,'Leave log'!$B$7:$B$306,"&lt;="&amp;DATE($B$3,7,20),'Leave log'!$C$7:$C$306,"&gt;="&amp;DATE($B$3,7,20),'Leave log'!$F$7:$F$306,"Pending")&gt;0,"P",""))))</f>
        <v/>
      </c>
      <c r="V213" s="23" t="str">
        <f>IF(A213="","",IF(IF(OR(DATE($B$3,7,21)&gt;EOMONTH(DATE($B$3,7,1),0),NETWORKDAYS.INTL(DATE($B$3,7,21),DATE($B$3,7,21),1,'Non-working days'!$A$6:$A$45)=0),"",IF(COUNTIFS('Leave log'!$A$7:$A$306,Employees!$A$8,'Leave log'!$B$7:$B$306,"&lt;="&amp;DATE($B$3,7,21),'Leave log'!$C$7:$C$306,"&gt;="&amp;DATE($B$3,7,21),'Leave log'!$F$7:$F$306,"Approved")&gt;0,"A",""))="A","A",IF(OR(DATE($B$3,7,21)&gt;EOMONTH(DATE($B$3,7,1),0),NETWORKDAYS.INTL(DATE($B$3,7,21),DATE($B$3,7,21),1,'Non-working days'!$A$6:$A$45)=0),"",IF(COUNTIFS('Leave log'!$A$7:$A$306,Employees!$A$8,'Leave log'!$B$7:$B$306,"&lt;="&amp;DATE($B$3,7,21),'Leave log'!$C$7:$C$306,"&gt;="&amp;DATE($B$3,7,21),'Leave log'!$F$7:$F$306,"Pending")&gt;0,"P",""))))</f>
        <v/>
      </c>
      <c r="W213" s="23" t="str">
        <f>IF(A213="","",IF(IF(OR(DATE($B$3,7,22)&gt;EOMONTH(DATE($B$3,7,1),0),NETWORKDAYS.INTL(DATE($B$3,7,22),DATE($B$3,7,22),1,'Non-working days'!$A$6:$A$45)=0),"",IF(COUNTIFS('Leave log'!$A$7:$A$306,Employees!$A$8,'Leave log'!$B$7:$B$306,"&lt;="&amp;DATE($B$3,7,22),'Leave log'!$C$7:$C$306,"&gt;="&amp;DATE($B$3,7,22),'Leave log'!$F$7:$F$306,"Approved")&gt;0,"A",""))="A","A",IF(OR(DATE($B$3,7,22)&gt;EOMONTH(DATE($B$3,7,1),0),NETWORKDAYS.INTL(DATE($B$3,7,22),DATE($B$3,7,22),1,'Non-working days'!$A$6:$A$45)=0),"",IF(COUNTIFS('Leave log'!$A$7:$A$306,Employees!$A$8,'Leave log'!$B$7:$B$306,"&lt;="&amp;DATE($B$3,7,22),'Leave log'!$C$7:$C$306,"&gt;="&amp;DATE($B$3,7,22),'Leave log'!$F$7:$F$306,"Pending")&gt;0,"P",""))))</f>
        <v/>
      </c>
      <c r="X213" s="23" t="str">
        <f>IF(A213="","",IF(IF(OR(DATE($B$3,7,23)&gt;EOMONTH(DATE($B$3,7,1),0),NETWORKDAYS.INTL(DATE($B$3,7,23),DATE($B$3,7,23),1,'Non-working days'!$A$6:$A$45)=0),"",IF(COUNTIFS('Leave log'!$A$7:$A$306,Employees!$A$8,'Leave log'!$B$7:$B$306,"&lt;="&amp;DATE($B$3,7,23),'Leave log'!$C$7:$C$306,"&gt;="&amp;DATE($B$3,7,23),'Leave log'!$F$7:$F$306,"Approved")&gt;0,"A",""))="A","A",IF(OR(DATE($B$3,7,23)&gt;EOMONTH(DATE($B$3,7,1),0),NETWORKDAYS.INTL(DATE($B$3,7,23),DATE($B$3,7,23),1,'Non-working days'!$A$6:$A$45)=0),"",IF(COUNTIFS('Leave log'!$A$7:$A$306,Employees!$A$8,'Leave log'!$B$7:$B$306,"&lt;="&amp;DATE($B$3,7,23),'Leave log'!$C$7:$C$306,"&gt;="&amp;DATE($B$3,7,23),'Leave log'!$F$7:$F$306,"Pending")&gt;0,"P",""))))</f>
        <v/>
      </c>
      <c r="Y213" s="23" t="str">
        <f>IF(A213="","",IF(IF(OR(DATE($B$3,7,24)&gt;EOMONTH(DATE($B$3,7,1),0),NETWORKDAYS.INTL(DATE($B$3,7,24),DATE($B$3,7,24),1,'Non-working days'!$A$6:$A$45)=0),"",IF(COUNTIFS('Leave log'!$A$7:$A$306,Employees!$A$8,'Leave log'!$B$7:$B$306,"&lt;="&amp;DATE($B$3,7,24),'Leave log'!$C$7:$C$306,"&gt;="&amp;DATE($B$3,7,24),'Leave log'!$F$7:$F$306,"Approved")&gt;0,"A",""))="A","A",IF(OR(DATE($B$3,7,24)&gt;EOMONTH(DATE($B$3,7,1),0),NETWORKDAYS.INTL(DATE($B$3,7,24),DATE($B$3,7,24),1,'Non-working days'!$A$6:$A$45)=0),"",IF(COUNTIFS('Leave log'!$A$7:$A$306,Employees!$A$8,'Leave log'!$B$7:$B$306,"&lt;="&amp;DATE($B$3,7,24),'Leave log'!$C$7:$C$306,"&gt;="&amp;DATE($B$3,7,24),'Leave log'!$F$7:$F$306,"Pending")&gt;0,"P",""))))</f>
        <v/>
      </c>
      <c r="Z213" s="23" t="str">
        <f>IF(A213="","",IF(IF(OR(DATE($B$3,7,25)&gt;EOMONTH(DATE($B$3,7,1),0),NETWORKDAYS.INTL(DATE($B$3,7,25),DATE($B$3,7,25),1,'Non-working days'!$A$6:$A$45)=0),"",IF(COUNTIFS('Leave log'!$A$7:$A$306,Employees!$A$8,'Leave log'!$B$7:$B$306,"&lt;="&amp;DATE($B$3,7,25),'Leave log'!$C$7:$C$306,"&gt;="&amp;DATE($B$3,7,25),'Leave log'!$F$7:$F$306,"Approved")&gt;0,"A",""))="A","A",IF(OR(DATE($B$3,7,25)&gt;EOMONTH(DATE($B$3,7,1),0),NETWORKDAYS.INTL(DATE($B$3,7,25),DATE($B$3,7,25),1,'Non-working days'!$A$6:$A$45)=0),"",IF(COUNTIFS('Leave log'!$A$7:$A$306,Employees!$A$8,'Leave log'!$B$7:$B$306,"&lt;="&amp;DATE($B$3,7,25),'Leave log'!$C$7:$C$306,"&gt;="&amp;DATE($B$3,7,25),'Leave log'!$F$7:$F$306,"Pending")&gt;0,"P",""))))</f>
        <v/>
      </c>
      <c r="AA213" s="23" t="str">
        <f>IF(A213="","",IF(IF(OR(DATE($B$3,7,26)&gt;EOMONTH(DATE($B$3,7,1),0),NETWORKDAYS.INTL(DATE($B$3,7,26),DATE($B$3,7,26),1,'Non-working days'!$A$6:$A$45)=0),"",IF(COUNTIFS('Leave log'!$A$7:$A$306,Employees!$A$8,'Leave log'!$B$7:$B$306,"&lt;="&amp;DATE($B$3,7,26),'Leave log'!$C$7:$C$306,"&gt;="&amp;DATE($B$3,7,26),'Leave log'!$F$7:$F$306,"Approved")&gt;0,"A",""))="A","A",IF(OR(DATE($B$3,7,26)&gt;EOMONTH(DATE($B$3,7,1),0),NETWORKDAYS.INTL(DATE($B$3,7,26),DATE($B$3,7,26),1,'Non-working days'!$A$6:$A$45)=0),"",IF(COUNTIFS('Leave log'!$A$7:$A$306,Employees!$A$8,'Leave log'!$B$7:$B$306,"&lt;="&amp;DATE($B$3,7,26),'Leave log'!$C$7:$C$306,"&gt;="&amp;DATE($B$3,7,26),'Leave log'!$F$7:$F$306,"Pending")&gt;0,"P",""))))</f>
        <v/>
      </c>
      <c r="AB213" s="23" t="str">
        <f>IF(A213="","",IF(IF(OR(DATE($B$3,7,27)&gt;EOMONTH(DATE($B$3,7,1),0),NETWORKDAYS.INTL(DATE($B$3,7,27),DATE($B$3,7,27),1,'Non-working days'!$A$6:$A$45)=0),"",IF(COUNTIFS('Leave log'!$A$7:$A$306,Employees!$A$8,'Leave log'!$B$7:$B$306,"&lt;="&amp;DATE($B$3,7,27),'Leave log'!$C$7:$C$306,"&gt;="&amp;DATE($B$3,7,27),'Leave log'!$F$7:$F$306,"Approved")&gt;0,"A",""))="A","A",IF(OR(DATE($B$3,7,27)&gt;EOMONTH(DATE($B$3,7,1),0),NETWORKDAYS.INTL(DATE($B$3,7,27),DATE($B$3,7,27),1,'Non-working days'!$A$6:$A$45)=0),"",IF(COUNTIFS('Leave log'!$A$7:$A$306,Employees!$A$8,'Leave log'!$B$7:$B$306,"&lt;="&amp;DATE($B$3,7,27),'Leave log'!$C$7:$C$306,"&gt;="&amp;DATE($B$3,7,27),'Leave log'!$F$7:$F$306,"Pending")&gt;0,"P",""))))</f>
        <v/>
      </c>
      <c r="AC213" s="23" t="str">
        <f>IF(A213="","",IF(IF(OR(DATE($B$3,7,28)&gt;EOMONTH(DATE($B$3,7,1),0),NETWORKDAYS.INTL(DATE($B$3,7,28),DATE($B$3,7,28),1,'Non-working days'!$A$6:$A$45)=0),"",IF(COUNTIFS('Leave log'!$A$7:$A$306,Employees!$A$8,'Leave log'!$B$7:$B$306,"&lt;="&amp;DATE($B$3,7,28),'Leave log'!$C$7:$C$306,"&gt;="&amp;DATE($B$3,7,28),'Leave log'!$F$7:$F$306,"Approved")&gt;0,"A",""))="A","A",IF(OR(DATE($B$3,7,28)&gt;EOMONTH(DATE($B$3,7,1),0),NETWORKDAYS.INTL(DATE($B$3,7,28),DATE($B$3,7,28),1,'Non-working days'!$A$6:$A$45)=0),"",IF(COUNTIFS('Leave log'!$A$7:$A$306,Employees!$A$8,'Leave log'!$B$7:$B$306,"&lt;="&amp;DATE($B$3,7,28),'Leave log'!$C$7:$C$306,"&gt;="&amp;DATE($B$3,7,28),'Leave log'!$F$7:$F$306,"Pending")&gt;0,"P",""))))</f>
        <v/>
      </c>
      <c r="AD213" s="23" t="str">
        <f>IF(A213="","",IF(IF(OR(DATE($B$3,7,29)&gt;EOMONTH(DATE($B$3,7,1),0),NETWORKDAYS.INTL(DATE($B$3,7,29),DATE($B$3,7,29),1,'Non-working days'!$A$6:$A$45)=0),"",IF(COUNTIFS('Leave log'!$A$7:$A$306,Employees!$A$8,'Leave log'!$B$7:$B$306,"&lt;="&amp;DATE($B$3,7,29),'Leave log'!$C$7:$C$306,"&gt;="&amp;DATE($B$3,7,29),'Leave log'!$F$7:$F$306,"Approved")&gt;0,"A",""))="A","A",IF(OR(DATE($B$3,7,29)&gt;EOMONTH(DATE($B$3,7,1),0),NETWORKDAYS.INTL(DATE($B$3,7,29),DATE($B$3,7,29),1,'Non-working days'!$A$6:$A$45)=0),"",IF(COUNTIFS('Leave log'!$A$7:$A$306,Employees!$A$8,'Leave log'!$B$7:$B$306,"&lt;="&amp;DATE($B$3,7,29),'Leave log'!$C$7:$C$306,"&gt;="&amp;DATE($B$3,7,29),'Leave log'!$F$7:$F$306,"Pending")&gt;0,"P",""))))</f>
        <v/>
      </c>
      <c r="AE213" s="23" t="str">
        <f>IF(A213="","",IF(IF(OR(DATE($B$3,7,30)&gt;EOMONTH(DATE($B$3,7,1),0),NETWORKDAYS.INTL(DATE($B$3,7,30),DATE($B$3,7,30),1,'Non-working days'!$A$6:$A$45)=0),"",IF(COUNTIFS('Leave log'!$A$7:$A$306,Employees!$A$8,'Leave log'!$B$7:$B$306,"&lt;="&amp;DATE($B$3,7,30),'Leave log'!$C$7:$C$306,"&gt;="&amp;DATE($B$3,7,30),'Leave log'!$F$7:$F$306,"Approved")&gt;0,"A",""))="A","A",IF(OR(DATE($B$3,7,30)&gt;EOMONTH(DATE($B$3,7,1),0),NETWORKDAYS.INTL(DATE($B$3,7,30),DATE($B$3,7,30),1,'Non-working days'!$A$6:$A$45)=0),"",IF(COUNTIFS('Leave log'!$A$7:$A$306,Employees!$A$8,'Leave log'!$B$7:$B$306,"&lt;="&amp;DATE($B$3,7,30),'Leave log'!$C$7:$C$306,"&gt;="&amp;DATE($B$3,7,30),'Leave log'!$F$7:$F$306,"Pending")&gt;0,"P",""))))</f>
        <v/>
      </c>
      <c r="AF213" s="23" t="str">
        <f>IF(A213="","",IF(IF(OR(DATE($B$3,7,31)&gt;EOMONTH(DATE($B$3,7,1),0),NETWORKDAYS.INTL(DATE($B$3,7,31),DATE($B$3,7,31),1,'Non-working days'!$A$6:$A$45)=0),"",IF(COUNTIFS('Leave log'!$A$7:$A$306,Employees!$A$8,'Leave log'!$B$7:$B$306,"&lt;="&amp;DATE($B$3,7,31),'Leave log'!$C$7:$C$306,"&gt;="&amp;DATE($B$3,7,31),'Leave log'!$F$7:$F$306,"Approved")&gt;0,"A",""))="A","A",IF(OR(DATE($B$3,7,31)&gt;EOMONTH(DATE($B$3,7,1),0),NETWORKDAYS.INTL(DATE($B$3,7,31),DATE($B$3,7,31),1,'Non-working days'!$A$6:$A$45)=0),"",IF(COUNTIFS('Leave log'!$A$7:$A$306,Employees!$A$8,'Leave log'!$B$7:$B$306,"&lt;="&amp;DATE($B$3,7,31),'Leave log'!$C$7:$C$306,"&gt;="&amp;DATE($B$3,7,31),'Leave log'!$F$7:$F$306,"Pending")&gt;0,"P",""))))</f>
        <v/>
      </c>
    </row>
    <row r="214" spans="1:32" ht="18" customHeight="1" x14ac:dyDescent="0.3">
      <c r="A214" s="22" t="str">
        <f>IF(Employees!F9="Yes",Employees!B9,"")</f>
        <v/>
      </c>
      <c r="B214" s="23" t="str">
        <f>IF(A214="","",IF(IF(OR(DATE($B$3,7,1)&gt;EOMONTH(DATE($B$3,7,1),0),NETWORKDAYS.INTL(DATE($B$3,7,1),DATE($B$3,7,1),1,'Non-working days'!$A$6:$A$45)=0),"",IF(COUNTIFS('Leave log'!$A$7:$A$306,Employees!$A$9,'Leave log'!$B$7:$B$306,"&lt;="&amp;DATE($B$3,7,1),'Leave log'!$C$7:$C$306,"&gt;="&amp;DATE($B$3,7,1),'Leave log'!$F$7:$F$306,"Approved")&gt;0,"A",""))="A","A",IF(OR(DATE($B$3,7,1)&gt;EOMONTH(DATE($B$3,7,1),0),NETWORKDAYS.INTL(DATE($B$3,7,1),DATE($B$3,7,1),1,'Non-working days'!$A$6:$A$45)=0),"",IF(COUNTIFS('Leave log'!$A$7:$A$306,Employees!$A$9,'Leave log'!$B$7:$B$306,"&lt;="&amp;DATE($B$3,7,1),'Leave log'!$C$7:$C$306,"&gt;="&amp;DATE($B$3,7,1),'Leave log'!$F$7:$F$306,"Pending")&gt;0,"P",""))))</f>
        <v/>
      </c>
      <c r="C214" s="23" t="str">
        <f>IF(A214="","",IF(IF(OR(DATE($B$3,7,2)&gt;EOMONTH(DATE($B$3,7,1),0),NETWORKDAYS.INTL(DATE($B$3,7,2),DATE($B$3,7,2),1,'Non-working days'!$A$6:$A$45)=0),"",IF(COUNTIFS('Leave log'!$A$7:$A$306,Employees!$A$9,'Leave log'!$B$7:$B$306,"&lt;="&amp;DATE($B$3,7,2),'Leave log'!$C$7:$C$306,"&gt;="&amp;DATE($B$3,7,2),'Leave log'!$F$7:$F$306,"Approved")&gt;0,"A",""))="A","A",IF(OR(DATE($B$3,7,2)&gt;EOMONTH(DATE($B$3,7,1),0),NETWORKDAYS.INTL(DATE($B$3,7,2),DATE($B$3,7,2),1,'Non-working days'!$A$6:$A$45)=0),"",IF(COUNTIFS('Leave log'!$A$7:$A$306,Employees!$A$9,'Leave log'!$B$7:$B$306,"&lt;="&amp;DATE($B$3,7,2),'Leave log'!$C$7:$C$306,"&gt;="&amp;DATE($B$3,7,2),'Leave log'!$F$7:$F$306,"Pending")&gt;0,"P",""))))</f>
        <v/>
      </c>
      <c r="D214" s="23" t="str">
        <f>IF(A214="","",IF(IF(OR(DATE($B$3,7,3)&gt;EOMONTH(DATE($B$3,7,1),0),NETWORKDAYS.INTL(DATE($B$3,7,3),DATE($B$3,7,3),1,'Non-working days'!$A$6:$A$45)=0),"",IF(COUNTIFS('Leave log'!$A$7:$A$306,Employees!$A$9,'Leave log'!$B$7:$B$306,"&lt;="&amp;DATE($B$3,7,3),'Leave log'!$C$7:$C$306,"&gt;="&amp;DATE($B$3,7,3),'Leave log'!$F$7:$F$306,"Approved")&gt;0,"A",""))="A","A",IF(OR(DATE($B$3,7,3)&gt;EOMONTH(DATE($B$3,7,1),0),NETWORKDAYS.INTL(DATE($B$3,7,3),DATE($B$3,7,3),1,'Non-working days'!$A$6:$A$45)=0),"",IF(COUNTIFS('Leave log'!$A$7:$A$306,Employees!$A$9,'Leave log'!$B$7:$B$306,"&lt;="&amp;DATE($B$3,7,3),'Leave log'!$C$7:$C$306,"&gt;="&amp;DATE($B$3,7,3),'Leave log'!$F$7:$F$306,"Pending")&gt;0,"P",""))))</f>
        <v/>
      </c>
      <c r="E214" s="23" t="str">
        <f>IF(A214="","",IF(IF(OR(DATE($B$3,7,4)&gt;EOMONTH(DATE($B$3,7,1),0),NETWORKDAYS.INTL(DATE($B$3,7,4),DATE($B$3,7,4),1,'Non-working days'!$A$6:$A$45)=0),"",IF(COUNTIFS('Leave log'!$A$7:$A$306,Employees!$A$9,'Leave log'!$B$7:$B$306,"&lt;="&amp;DATE($B$3,7,4),'Leave log'!$C$7:$C$306,"&gt;="&amp;DATE($B$3,7,4),'Leave log'!$F$7:$F$306,"Approved")&gt;0,"A",""))="A","A",IF(OR(DATE($B$3,7,4)&gt;EOMONTH(DATE($B$3,7,1),0),NETWORKDAYS.INTL(DATE($B$3,7,4),DATE($B$3,7,4),1,'Non-working days'!$A$6:$A$45)=0),"",IF(COUNTIFS('Leave log'!$A$7:$A$306,Employees!$A$9,'Leave log'!$B$7:$B$306,"&lt;="&amp;DATE($B$3,7,4),'Leave log'!$C$7:$C$306,"&gt;="&amp;DATE($B$3,7,4),'Leave log'!$F$7:$F$306,"Pending")&gt;0,"P",""))))</f>
        <v/>
      </c>
      <c r="F214" s="23" t="str">
        <f>IF(A214="","",IF(IF(OR(DATE($B$3,7,5)&gt;EOMONTH(DATE($B$3,7,1),0),NETWORKDAYS.INTL(DATE($B$3,7,5),DATE($B$3,7,5),1,'Non-working days'!$A$6:$A$45)=0),"",IF(COUNTIFS('Leave log'!$A$7:$A$306,Employees!$A$9,'Leave log'!$B$7:$B$306,"&lt;="&amp;DATE($B$3,7,5),'Leave log'!$C$7:$C$306,"&gt;="&amp;DATE($B$3,7,5),'Leave log'!$F$7:$F$306,"Approved")&gt;0,"A",""))="A","A",IF(OR(DATE($B$3,7,5)&gt;EOMONTH(DATE($B$3,7,1),0),NETWORKDAYS.INTL(DATE($B$3,7,5),DATE($B$3,7,5),1,'Non-working days'!$A$6:$A$45)=0),"",IF(COUNTIFS('Leave log'!$A$7:$A$306,Employees!$A$9,'Leave log'!$B$7:$B$306,"&lt;="&amp;DATE($B$3,7,5),'Leave log'!$C$7:$C$306,"&gt;="&amp;DATE($B$3,7,5),'Leave log'!$F$7:$F$306,"Pending")&gt;0,"P",""))))</f>
        <v/>
      </c>
      <c r="G214" s="23" t="str">
        <f>IF(A214="","",IF(IF(OR(DATE($B$3,7,6)&gt;EOMONTH(DATE($B$3,7,1),0),NETWORKDAYS.INTL(DATE($B$3,7,6),DATE($B$3,7,6),1,'Non-working days'!$A$6:$A$45)=0),"",IF(COUNTIFS('Leave log'!$A$7:$A$306,Employees!$A$9,'Leave log'!$B$7:$B$306,"&lt;="&amp;DATE($B$3,7,6),'Leave log'!$C$7:$C$306,"&gt;="&amp;DATE($B$3,7,6),'Leave log'!$F$7:$F$306,"Approved")&gt;0,"A",""))="A","A",IF(OR(DATE($B$3,7,6)&gt;EOMONTH(DATE($B$3,7,1),0),NETWORKDAYS.INTL(DATE($B$3,7,6),DATE($B$3,7,6),1,'Non-working days'!$A$6:$A$45)=0),"",IF(COUNTIFS('Leave log'!$A$7:$A$306,Employees!$A$9,'Leave log'!$B$7:$B$306,"&lt;="&amp;DATE($B$3,7,6),'Leave log'!$C$7:$C$306,"&gt;="&amp;DATE($B$3,7,6),'Leave log'!$F$7:$F$306,"Pending")&gt;0,"P",""))))</f>
        <v/>
      </c>
      <c r="H214" s="23" t="str">
        <f>IF(A214="","",IF(IF(OR(DATE($B$3,7,7)&gt;EOMONTH(DATE($B$3,7,1),0),NETWORKDAYS.INTL(DATE($B$3,7,7),DATE($B$3,7,7),1,'Non-working days'!$A$6:$A$45)=0),"",IF(COUNTIFS('Leave log'!$A$7:$A$306,Employees!$A$9,'Leave log'!$B$7:$B$306,"&lt;="&amp;DATE($B$3,7,7),'Leave log'!$C$7:$C$306,"&gt;="&amp;DATE($B$3,7,7),'Leave log'!$F$7:$F$306,"Approved")&gt;0,"A",""))="A","A",IF(OR(DATE($B$3,7,7)&gt;EOMONTH(DATE($B$3,7,1),0),NETWORKDAYS.INTL(DATE($B$3,7,7),DATE($B$3,7,7),1,'Non-working days'!$A$6:$A$45)=0),"",IF(COUNTIFS('Leave log'!$A$7:$A$306,Employees!$A$9,'Leave log'!$B$7:$B$306,"&lt;="&amp;DATE($B$3,7,7),'Leave log'!$C$7:$C$306,"&gt;="&amp;DATE($B$3,7,7),'Leave log'!$F$7:$F$306,"Pending")&gt;0,"P",""))))</f>
        <v/>
      </c>
      <c r="I214" s="23" t="str">
        <f>IF(A214="","",IF(IF(OR(DATE($B$3,7,8)&gt;EOMONTH(DATE($B$3,7,1),0),NETWORKDAYS.INTL(DATE($B$3,7,8),DATE($B$3,7,8),1,'Non-working days'!$A$6:$A$45)=0),"",IF(COUNTIFS('Leave log'!$A$7:$A$306,Employees!$A$9,'Leave log'!$B$7:$B$306,"&lt;="&amp;DATE($B$3,7,8),'Leave log'!$C$7:$C$306,"&gt;="&amp;DATE($B$3,7,8),'Leave log'!$F$7:$F$306,"Approved")&gt;0,"A",""))="A","A",IF(OR(DATE($B$3,7,8)&gt;EOMONTH(DATE($B$3,7,1),0),NETWORKDAYS.INTL(DATE($B$3,7,8),DATE($B$3,7,8),1,'Non-working days'!$A$6:$A$45)=0),"",IF(COUNTIFS('Leave log'!$A$7:$A$306,Employees!$A$9,'Leave log'!$B$7:$B$306,"&lt;="&amp;DATE($B$3,7,8),'Leave log'!$C$7:$C$306,"&gt;="&amp;DATE($B$3,7,8),'Leave log'!$F$7:$F$306,"Pending")&gt;0,"P",""))))</f>
        <v/>
      </c>
      <c r="J214" s="23" t="str">
        <f>IF(A214="","",IF(IF(OR(DATE($B$3,7,9)&gt;EOMONTH(DATE($B$3,7,1),0),NETWORKDAYS.INTL(DATE($B$3,7,9),DATE($B$3,7,9),1,'Non-working days'!$A$6:$A$45)=0),"",IF(COUNTIFS('Leave log'!$A$7:$A$306,Employees!$A$9,'Leave log'!$B$7:$B$306,"&lt;="&amp;DATE($B$3,7,9),'Leave log'!$C$7:$C$306,"&gt;="&amp;DATE($B$3,7,9),'Leave log'!$F$7:$F$306,"Approved")&gt;0,"A",""))="A","A",IF(OR(DATE($B$3,7,9)&gt;EOMONTH(DATE($B$3,7,1),0),NETWORKDAYS.INTL(DATE($B$3,7,9),DATE($B$3,7,9),1,'Non-working days'!$A$6:$A$45)=0),"",IF(COUNTIFS('Leave log'!$A$7:$A$306,Employees!$A$9,'Leave log'!$B$7:$B$306,"&lt;="&amp;DATE($B$3,7,9),'Leave log'!$C$7:$C$306,"&gt;="&amp;DATE($B$3,7,9),'Leave log'!$F$7:$F$306,"Pending")&gt;0,"P",""))))</f>
        <v/>
      </c>
      <c r="K214" s="23" t="str">
        <f>IF(A214="","",IF(IF(OR(DATE($B$3,7,10)&gt;EOMONTH(DATE($B$3,7,1),0),NETWORKDAYS.INTL(DATE($B$3,7,10),DATE($B$3,7,10),1,'Non-working days'!$A$6:$A$45)=0),"",IF(COUNTIFS('Leave log'!$A$7:$A$306,Employees!$A$9,'Leave log'!$B$7:$B$306,"&lt;="&amp;DATE($B$3,7,10),'Leave log'!$C$7:$C$306,"&gt;="&amp;DATE($B$3,7,10),'Leave log'!$F$7:$F$306,"Approved")&gt;0,"A",""))="A","A",IF(OR(DATE($B$3,7,10)&gt;EOMONTH(DATE($B$3,7,1),0),NETWORKDAYS.INTL(DATE($B$3,7,10),DATE($B$3,7,10),1,'Non-working days'!$A$6:$A$45)=0),"",IF(COUNTIFS('Leave log'!$A$7:$A$306,Employees!$A$9,'Leave log'!$B$7:$B$306,"&lt;="&amp;DATE($B$3,7,10),'Leave log'!$C$7:$C$306,"&gt;="&amp;DATE($B$3,7,10),'Leave log'!$F$7:$F$306,"Pending")&gt;0,"P",""))))</f>
        <v/>
      </c>
      <c r="L214" s="23" t="str">
        <f>IF(A214="","",IF(IF(OR(DATE($B$3,7,11)&gt;EOMONTH(DATE($B$3,7,1),0),NETWORKDAYS.INTL(DATE($B$3,7,11),DATE($B$3,7,11),1,'Non-working days'!$A$6:$A$45)=0),"",IF(COUNTIFS('Leave log'!$A$7:$A$306,Employees!$A$9,'Leave log'!$B$7:$B$306,"&lt;="&amp;DATE($B$3,7,11),'Leave log'!$C$7:$C$306,"&gt;="&amp;DATE($B$3,7,11),'Leave log'!$F$7:$F$306,"Approved")&gt;0,"A",""))="A","A",IF(OR(DATE($B$3,7,11)&gt;EOMONTH(DATE($B$3,7,1),0),NETWORKDAYS.INTL(DATE($B$3,7,11),DATE($B$3,7,11),1,'Non-working days'!$A$6:$A$45)=0),"",IF(COUNTIFS('Leave log'!$A$7:$A$306,Employees!$A$9,'Leave log'!$B$7:$B$306,"&lt;="&amp;DATE($B$3,7,11),'Leave log'!$C$7:$C$306,"&gt;="&amp;DATE($B$3,7,11),'Leave log'!$F$7:$F$306,"Pending")&gt;0,"P",""))))</f>
        <v/>
      </c>
      <c r="M214" s="23" t="str">
        <f>IF(A214="","",IF(IF(OR(DATE($B$3,7,12)&gt;EOMONTH(DATE($B$3,7,1),0),NETWORKDAYS.INTL(DATE($B$3,7,12),DATE($B$3,7,12),1,'Non-working days'!$A$6:$A$45)=0),"",IF(COUNTIFS('Leave log'!$A$7:$A$306,Employees!$A$9,'Leave log'!$B$7:$B$306,"&lt;="&amp;DATE($B$3,7,12),'Leave log'!$C$7:$C$306,"&gt;="&amp;DATE($B$3,7,12),'Leave log'!$F$7:$F$306,"Approved")&gt;0,"A",""))="A","A",IF(OR(DATE($B$3,7,12)&gt;EOMONTH(DATE($B$3,7,1),0),NETWORKDAYS.INTL(DATE($B$3,7,12),DATE($B$3,7,12),1,'Non-working days'!$A$6:$A$45)=0),"",IF(COUNTIFS('Leave log'!$A$7:$A$306,Employees!$A$9,'Leave log'!$B$7:$B$306,"&lt;="&amp;DATE($B$3,7,12),'Leave log'!$C$7:$C$306,"&gt;="&amp;DATE($B$3,7,12),'Leave log'!$F$7:$F$306,"Pending")&gt;0,"P",""))))</f>
        <v/>
      </c>
      <c r="N214" s="23" t="str">
        <f>IF(A214="","",IF(IF(OR(DATE($B$3,7,13)&gt;EOMONTH(DATE($B$3,7,1),0),NETWORKDAYS.INTL(DATE($B$3,7,13),DATE($B$3,7,13),1,'Non-working days'!$A$6:$A$45)=0),"",IF(COUNTIFS('Leave log'!$A$7:$A$306,Employees!$A$9,'Leave log'!$B$7:$B$306,"&lt;="&amp;DATE($B$3,7,13),'Leave log'!$C$7:$C$306,"&gt;="&amp;DATE($B$3,7,13),'Leave log'!$F$7:$F$306,"Approved")&gt;0,"A",""))="A","A",IF(OR(DATE($B$3,7,13)&gt;EOMONTH(DATE($B$3,7,1),0),NETWORKDAYS.INTL(DATE($B$3,7,13),DATE($B$3,7,13),1,'Non-working days'!$A$6:$A$45)=0),"",IF(COUNTIFS('Leave log'!$A$7:$A$306,Employees!$A$9,'Leave log'!$B$7:$B$306,"&lt;="&amp;DATE($B$3,7,13),'Leave log'!$C$7:$C$306,"&gt;="&amp;DATE($B$3,7,13),'Leave log'!$F$7:$F$306,"Pending")&gt;0,"P",""))))</f>
        <v/>
      </c>
      <c r="O214" s="23" t="str">
        <f>IF(A214="","",IF(IF(OR(DATE($B$3,7,14)&gt;EOMONTH(DATE($B$3,7,1),0),NETWORKDAYS.INTL(DATE($B$3,7,14),DATE($B$3,7,14),1,'Non-working days'!$A$6:$A$45)=0),"",IF(COUNTIFS('Leave log'!$A$7:$A$306,Employees!$A$9,'Leave log'!$B$7:$B$306,"&lt;="&amp;DATE($B$3,7,14),'Leave log'!$C$7:$C$306,"&gt;="&amp;DATE($B$3,7,14),'Leave log'!$F$7:$F$306,"Approved")&gt;0,"A",""))="A","A",IF(OR(DATE($B$3,7,14)&gt;EOMONTH(DATE($B$3,7,1),0),NETWORKDAYS.INTL(DATE($B$3,7,14),DATE($B$3,7,14),1,'Non-working days'!$A$6:$A$45)=0),"",IF(COUNTIFS('Leave log'!$A$7:$A$306,Employees!$A$9,'Leave log'!$B$7:$B$306,"&lt;="&amp;DATE($B$3,7,14),'Leave log'!$C$7:$C$306,"&gt;="&amp;DATE($B$3,7,14),'Leave log'!$F$7:$F$306,"Pending")&gt;0,"P",""))))</f>
        <v/>
      </c>
      <c r="P214" s="23" t="str">
        <f>IF(A214="","",IF(IF(OR(DATE($B$3,7,15)&gt;EOMONTH(DATE($B$3,7,1),0),NETWORKDAYS.INTL(DATE($B$3,7,15),DATE($B$3,7,15),1,'Non-working days'!$A$6:$A$45)=0),"",IF(COUNTIFS('Leave log'!$A$7:$A$306,Employees!$A$9,'Leave log'!$B$7:$B$306,"&lt;="&amp;DATE($B$3,7,15),'Leave log'!$C$7:$C$306,"&gt;="&amp;DATE($B$3,7,15),'Leave log'!$F$7:$F$306,"Approved")&gt;0,"A",""))="A","A",IF(OR(DATE($B$3,7,15)&gt;EOMONTH(DATE($B$3,7,1),0),NETWORKDAYS.INTL(DATE($B$3,7,15),DATE($B$3,7,15),1,'Non-working days'!$A$6:$A$45)=0),"",IF(COUNTIFS('Leave log'!$A$7:$A$306,Employees!$A$9,'Leave log'!$B$7:$B$306,"&lt;="&amp;DATE($B$3,7,15),'Leave log'!$C$7:$C$306,"&gt;="&amp;DATE($B$3,7,15),'Leave log'!$F$7:$F$306,"Pending")&gt;0,"P",""))))</f>
        <v/>
      </c>
      <c r="Q214" s="23" t="str">
        <f>IF(A214="","",IF(IF(OR(DATE($B$3,7,16)&gt;EOMONTH(DATE($B$3,7,1),0),NETWORKDAYS.INTL(DATE($B$3,7,16),DATE($B$3,7,16),1,'Non-working days'!$A$6:$A$45)=0),"",IF(COUNTIFS('Leave log'!$A$7:$A$306,Employees!$A$9,'Leave log'!$B$7:$B$306,"&lt;="&amp;DATE($B$3,7,16),'Leave log'!$C$7:$C$306,"&gt;="&amp;DATE($B$3,7,16),'Leave log'!$F$7:$F$306,"Approved")&gt;0,"A",""))="A","A",IF(OR(DATE($B$3,7,16)&gt;EOMONTH(DATE($B$3,7,1),0),NETWORKDAYS.INTL(DATE($B$3,7,16),DATE($B$3,7,16),1,'Non-working days'!$A$6:$A$45)=0),"",IF(COUNTIFS('Leave log'!$A$7:$A$306,Employees!$A$9,'Leave log'!$B$7:$B$306,"&lt;="&amp;DATE($B$3,7,16),'Leave log'!$C$7:$C$306,"&gt;="&amp;DATE($B$3,7,16),'Leave log'!$F$7:$F$306,"Pending")&gt;0,"P",""))))</f>
        <v/>
      </c>
      <c r="R214" s="23" t="str">
        <f>IF(A214="","",IF(IF(OR(DATE($B$3,7,17)&gt;EOMONTH(DATE($B$3,7,1),0),NETWORKDAYS.INTL(DATE($B$3,7,17),DATE($B$3,7,17),1,'Non-working days'!$A$6:$A$45)=0),"",IF(COUNTIFS('Leave log'!$A$7:$A$306,Employees!$A$9,'Leave log'!$B$7:$B$306,"&lt;="&amp;DATE($B$3,7,17),'Leave log'!$C$7:$C$306,"&gt;="&amp;DATE($B$3,7,17),'Leave log'!$F$7:$F$306,"Approved")&gt;0,"A",""))="A","A",IF(OR(DATE($B$3,7,17)&gt;EOMONTH(DATE($B$3,7,1),0),NETWORKDAYS.INTL(DATE($B$3,7,17),DATE($B$3,7,17),1,'Non-working days'!$A$6:$A$45)=0),"",IF(COUNTIFS('Leave log'!$A$7:$A$306,Employees!$A$9,'Leave log'!$B$7:$B$306,"&lt;="&amp;DATE($B$3,7,17),'Leave log'!$C$7:$C$306,"&gt;="&amp;DATE($B$3,7,17),'Leave log'!$F$7:$F$306,"Pending")&gt;0,"P",""))))</f>
        <v/>
      </c>
      <c r="S214" s="23" t="str">
        <f>IF(A214="","",IF(IF(OR(DATE($B$3,7,18)&gt;EOMONTH(DATE($B$3,7,1),0),NETWORKDAYS.INTL(DATE($B$3,7,18),DATE($B$3,7,18),1,'Non-working days'!$A$6:$A$45)=0),"",IF(COUNTIFS('Leave log'!$A$7:$A$306,Employees!$A$9,'Leave log'!$B$7:$B$306,"&lt;="&amp;DATE($B$3,7,18),'Leave log'!$C$7:$C$306,"&gt;="&amp;DATE($B$3,7,18),'Leave log'!$F$7:$F$306,"Approved")&gt;0,"A",""))="A","A",IF(OR(DATE($B$3,7,18)&gt;EOMONTH(DATE($B$3,7,1),0),NETWORKDAYS.INTL(DATE($B$3,7,18),DATE($B$3,7,18),1,'Non-working days'!$A$6:$A$45)=0),"",IF(COUNTIFS('Leave log'!$A$7:$A$306,Employees!$A$9,'Leave log'!$B$7:$B$306,"&lt;="&amp;DATE($B$3,7,18),'Leave log'!$C$7:$C$306,"&gt;="&amp;DATE($B$3,7,18),'Leave log'!$F$7:$F$306,"Pending")&gt;0,"P",""))))</f>
        <v/>
      </c>
      <c r="T214" s="23" t="str">
        <f>IF(A214="","",IF(IF(OR(DATE($B$3,7,19)&gt;EOMONTH(DATE($B$3,7,1),0),NETWORKDAYS.INTL(DATE($B$3,7,19),DATE($B$3,7,19),1,'Non-working days'!$A$6:$A$45)=0),"",IF(COUNTIFS('Leave log'!$A$7:$A$306,Employees!$A$9,'Leave log'!$B$7:$B$306,"&lt;="&amp;DATE($B$3,7,19),'Leave log'!$C$7:$C$306,"&gt;="&amp;DATE($B$3,7,19),'Leave log'!$F$7:$F$306,"Approved")&gt;0,"A",""))="A","A",IF(OR(DATE($B$3,7,19)&gt;EOMONTH(DATE($B$3,7,1),0),NETWORKDAYS.INTL(DATE($B$3,7,19),DATE($B$3,7,19),1,'Non-working days'!$A$6:$A$45)=0),"",IF(COUNTIFS('Leave log'!$A$7:$A$306,Employees!$A$9,'Leave log'!$B$7:$B$306,"&lt;="&amp;DATE($B$3,7,19),'Leave log'!$C$7:$C$306,"&gt;="&amp;DATE($B$3,7,19),'Leave log'!$F$7:$F$306,"Pending")&gt;0,"P",""))))</f>
        <v/>
      </c>
      <c r="U214" s="23" t="str">
        <f>IF(A214="","",IF(IF(OR(DATE($B$3,7,20)&gt;EOMONTH(DATE($B$3,7,1),0),NETWORKDAYS.INTL(DATE($B$3,7,20),DATE($B$3,7,20),1,'Non-working days'!$A$6:$A$45)=0),"",IF(COUNTIFS('Leave log'!$A$7:$A$306,Employees!$A$9,'Leave log'!$B$7:$B$306,"&lt;="&amp;DATE($B$3,7,20),'Leave log'!$C$7:$C$306,"&gt;="&amp;DATE($B$3,7,20),'Leave log'!$F$7:$F$306,"Approved")&gt;0,"A",""))="A","A",IF(OR(DATE($B$3,7,20)&gt;EOMONTH(DATE($B$3,7,1),0),NETWORKDAYS.INTL(DATE($B$3,7,20),DATE($B$3,7,20),1,'Non-working days'!$A$6:$A$45)=0),"",IF(COUNTIFS('Leave log'!$A$7:$A$306,Employees!$A$9,'Leave log'!$B$7:$B$306,"&lt;="&amp;DATE($B$3,7,20),'Leave log'!$C$7:$C$306,"&gt;="&amp;DATE($B$3,7,20),'Leave log'!$F$7:$F$306,"Pending")&gt;0,"P",""))))</f>
        <v/>
      </c>
      <c r="V214" s="23" t="str">
        <f>IF(A214="","",IF(IF(OR(DATE($B$3,7,21)&gt;EOMONTH(DATE($B$3,7,1),0),NETWORKDAYS.INTL(DATE($B$3,7,21),DATE($B$3,7,21),1,'Non-working days'!$A$6:$A$45)=0),"",IF(COUNTIFS('Leave log'!$A$7:$A$306,Employees!$A$9,'Leave log'!$B$7:$B$306,"&lt;="&amp;DATE($B$3,7,21),'Leave log'!$C$7:$C$306,"&gt;="&amp;DATE($B$3,7,21),'Leave log'!$F$7:$F$306,"Approved")&gt;0,"A",""))="A","A",IF(OR(DATE($B$3,7,21)&gt;EOMONTH(DATE($B$3,7,1),0),NETWORKDAYS.INTL(DATE($B$3,7,21),DATE($B$3,7,21),1,'Non-working days'!$A$6:$A$45)=0),"",IF(COUNTIFS('Leave log'!$A$7:$A$306,Employees!$A$9,'Leave log'!$B$7:$B$306,"&lt;="&amp;DATE($B$3,7,21),'Leave log'!$C$7:$C$306,"&gt;="&amp;DATE($B$3,7,21),'Leave log'!$F$7:$F$306,"Pending")&gt;0,"P",""))))</f>
        <v/>
      </c>
      <c r="W214" s="23" t="str">
        <f>IF(A214="","",IF(IF(OR(DATE($B$3,7,22)&gt;EOMONTH(DATE($B$3,7,1),0),NETWORKDAYS.INTL(DATE($B$3,7,22),DATE($B$3,7,22),1,'Non-working days'!$A$6:$A$45)=0),"",IF(COUNTIFS('Leave log'!$A$7:$A$306,Employees!$A$9,'Leave log'!$B$7:$B$306,"&lt;="&amp;DATE($B$3,7,22),'Leave log'!$C$7:$C$306,"&gt;="&amp;DATE($B$3,7,22),'Leave log'!$F$7:$F$306,"Approved")&gt;0,"A",""))="A","A",IF(OR(DATE($B$3,7,22)&gt;EOMONTH(DATE($B$3,7,1),0),NETWORKDAYS.INTL(DATE($B$3,7,22),DATE($B$3,7,22),1,'Non-working days'!$A$6:$A$45)=0),"",IF(COUNTIFS('Leave log'!$A$7:$A$306,Employees!$A$9,'Leave log'!$B$7:$B$306,"&lt;="&amp;DATE($B$3,7,22),'Leave log'!$C$7:$C$306,"&gt;="&amp;DATE($B$3,7,22),'Leave log'!$F$7:$F$306,"Pending")&gt;0,"P",""))))</f>
        <v/>
      </c>
      <c r="X214" s="23" t="str">
        <f>IF(A214="","",IF(IF(OR(DATE($B$3,7,23)&gt;EOMONTH(DATE($B$3,7,1),0),NETWORKDAYS.INTL(DATE($B$3,7,23),DATE($B$3,7,23),1,'Non-working days'!$A$6:$A$45)=0),"",IF(COUNTIFS('Leave log'!$A$7:$A$306,Employees!$A$9,'Leave log'!$B$7:$B$306,"&lt;="&amp;DATE($B$3,7,23),'Leave log'!$C$7:$C$306,"&gt;="&amp;DATE($B$3,7,23),'Leave log'!$F$7:$F$306,"Approved")&gt;0,"A",""))="A","A",IF(OR(DATE($B$3,7,23)&gt;EOMONTH(DATE($B$3,7,1),0),NETWORKDAYS.INTL(DATE($B$3,7,23),DATE($B$3,7,23),1,'Non-working days'!$A$6:$A$45)=0),"",IF(COUNTIFS('Leave log'!$A$7:$A$306,Employees!$A$9,'Leave log'!$B$7:$B$306,"&lt;="&amp;DATE($B$3,7,23),'Leave log'!$C$7:$C$306,"&gt;="&amp;DATE($B$3,7,23),'Leave log'!$F$7:$F$306,"Pending")&gt;0,"P",""))))</f>
        <v/>
      </c>
      <c r="Y214" s="23" t="str">
        <f>IF(A214="","",IF(IF(OR(DATE($B$3,7,24)&gt;EOMONTH(DATE($B$3,7,1),0),NETWORKDAYS.INTL(DATE($B$3,7,24),DATE($B$3,7,24),1,'Non-working days'!$A$6:$A$45)=0),"",IF(COUNTIFS('Leave log'!$A$7:$A$306,Employees!$A$9,'Leave log'!$B$7:$B$306,"&lt;="&amp;DATE($B$3,7,24),'Leave log'!$C$7:$C$306,"&gt;="&amp;DATE($B$3,7,24),'Leave log'!$F$7:$F$306,"Approved")&gt;0,"A",""))="A","A",IF(OR(DATE($B$3,7,24)&gt;EOMONTH(DATE($B$3,7,1),0),NETWORKDAYS.INTL(DATE($B$3,7,24),DATE($B$3,7,24),1,'Non-working days'!$A$6:$A$45)=0),"",IF(COUNTIFS('Leave log'!$A$7:$A$306,Employees!$A$9,'Leave log'!$B$7:$B$306,"&lt;="&amp;DATE($B$3,7,24),'Leave log'!$C$7:$C$306,"&gt;="&amp;DATE($B$3,7,24),'Leave log'!$F$7:$F$306,"Pending")&gt;0,"P",""))))</f>
        <v/>
      </c>
      <c r="Z214" s="23" t="str">
        <f>IF(A214="","",IF(IF(OR(DATE($B$3,7,25)&gt;EOMONTH(DATE($B$3,7,1),0),NETWORKDAYS.INTL(DATE($B$3,7,25),DATE($B$3,7,25),1,'Non-working days'!$A$6:$A$45)=0),"",IF(COUNTIFS('Leave log'!$A$7:$A$306,Employees!$A$9,'Leave log'!$B$7:$B$306,"&lt;="&amp;DATE($B$3,7,25),'Leave log'!$C$7:$C$306,"&gt;="&amp;DATE($B$3,7,25),'Leave log'!$F$7:$F$306,"Approved")&gt;0,"A",""))="A","A",IF(OR(DATE($B$3,7,25)&gt;EOMONTH(DATE($B$3,7,1),0),NETWORKDAYS.INTL(DATE($B$3,7,25),DATE($B$3,7,25),1,'Non-working days'!$A$6:$A$45)=0),"",IF(COUNTIFS('Leave log'!$A$7:$A$306,Employees!$A$9,'Leave log'!$B$7:$B$306,"&lt;="&amp;DATE($B$3,7,25),'Leave log'!$C$7:$C$306,"&gt;="&amp;DATE($B$3,7,25),'Leave log'!$F$7:$F$306,"Pending")&gt;0,"P",""))))</f>
        <v/>
      </c>
      <c r="AA214" s="23" t="str">
        <f>IF(A214="","",IF(IF(OR(DATE($B$3,7,26)&gt;EOMONTH(DATE($B$3,7,1),0),NETWORKDAYS.INTL(DATE($B$3,7,26),DATE($B$3,7,26),1,'Non-working days'!$A$6:$A$45)=0),"",IF(COUNTIFS('Leave log'!$A$7:$A$306,Employees!$A$9,'Leave log'!$B$7:$B$306,"&lt;="&amp;DATE($B$3,7,26),'Leave log'!$C$7:$C$306,"&gt;="&amp;DATE($B$3,7,26),'Leave log'!$F$7:$F$306,"Approved")&gt;0,"A",""))="A","A",IF(OR(DATE($B$3,7,26)&gt;EOMONTH(DATE($B$3,7,1),0),NETWORKDAYS.INTL(DATE($B$3,7,26),DATE($B$3,7,26),1,'Non-working days'!$A$6:$A$45)=0),"",IF(COUNTIFS('Leave log'!$A$7:$A$306,Employees!$A$9,'Leave log'!$B$7:$B$306,"&lt;="&amp;DATE($B$3,7,26),'Leave log'!$C$7:$C$306,"&gt;="&amp;DATE($B$3,7,26),'Leave log'!$F$7:$F$306,"Pending")&gt;0,"P",""))))</f>
        <v/>
      </c>
      <c r="AB214" s="23" t="str">
        <f>IF(A214="","",IF(IF(OR(DATE($B$3,7,27)&gt;EOMONTH(DATE($B$3,7,1),0),NETWORKDAYS.INTL(DATE($B$3,7,27),DATE($B$3,7,27),1,'Non-working days'!$A$6:$A$45)=0),"",IF(COUNTIFS('Leave log'!$A$7:$A$306,Employees!$A$9,'Leave log'!$B$7:$B$306,"&lt;="&amp;DATE($B$3,7,27),'Leave log'!$C$7:$C$306,"&gt;="&amp;DATE($B$3,7,27),'Leave log'!$F$7:$F$306,"Approved")&gt;0,"A",""))="A","A",IF(OR(DATE($B$3,7,27)&gt;EOMONTH(DATE($B$3,7,1),0),NETWORKDAYS.INTL(DATE($B$3,7,27),DATE($B$3,7,27),1,'Non-working days'!$A$6:$A$45)=0),"",IF(COUNTIFS('Leave log'!$A$7:$A$306,Employees!$A$9,'Leave log'!$B$7:$B$306,"&lt;="&amp;DATE($B$3,7,27),'Leave log'!$C$7:$C$306,"&gt;="&amp;DATE($B$3,7,27),'Leave log'!$F$7:$F$306,"Pending")&gt;0,"P",""))))</f>
        <v/>
      </c>
      <c r="AC214" s="23" t="str">
        <f>IF(A214="","",IF(IF(OR(DATE($B$3,7,28)&gt;EOMONTH(DATE($B$3,7,1),0),NETWORKDAYS.INTL(DATE($B$3,7,28),DATE($B$3,7,28),1,'Non-working days'!$A$6:$A$45)=0),"",IF(COUNTIFS('Leave log'!$A$7:$A$306,Employees!$A$9,'Leave log'!$B$7:$B$306,"&lt;="&amp;DATE($B$3,7,28),'Leave log'!$C$7:$C$306,"&gt;="&amp;DATE($B$3,7,28),'Leave log'!$F$7:$F$306,"Approved")&gt;0,"A",""))="A","A",IF(OR(DATE($B$3,7,28)&gt;EOMONTH(DATE($B$3,7,1),0),NETWORKDAYS.INTL(DATE($B$3,7,28),DATE($B$3,7,28),1,'Non-working days'!$A$6:$A$45)=0),"",IF(COUNTIFS('Leave log'!$A$7:$A$306,Employees!$A$9,'Leave log'!$B$7:$B$306,"&lt;="&amp;DATE($B$3,7,28),'Leave log'!$C$7:$C$306,"&gt;="&amp;DATE($B$3,7,28),'Leave log'!$F$7:$F$306,"Pending")&gt;0,"P",""))))</f>
        <v/>
      </c>
      <c r="AD214" s="23" t="str">
        <f>IF(A214="","",IF(IF(OR(DATE($B$3,7,29)&gt;EOMONTH(DATE($B$3,7,1),0),NETWORKDAYS.INTL(DATE($B$3,7,29),DATE($B$3,7,29),1,'Non-working days'!$A$6:$A$45)=0),"",IF(COUNTIFS('Leave log'!$A$7:$A$306,Employees!$A$9,'Leave log'!$B$7:$B$306,"&lt;="&amp;DATE($B$3,7,29),'Leave log'!$C$7:$C$306,"&gt;="&amp;DATE($B$3,7,29),'Leave log'!$F$7:$F$306,"Approved")&gt;0,"A",""))="A","A",IF(OR(DATE($B$3,7,29)&gt;EOMONTH(DATE($B$3,7,1),0),NETWORKDAYS.INTL(DATE($B$3,7,29),DATE($B$3,7,29),1,'Non-working days'!$A$6:$A$45)=0),"",IF(COUNTIFS('Leave log'!$A$7:$A$306,Employees!$A$9,'Leave log'!$B$7:$B$306,"&lt;="&amp;DATE($B$3,7,29),'Leave log'!$C$7:$C$306,"&gt;="&amp;DATE($B$3,7,29),'Leave log'!$F$7:$F$306,"Pending")&gt;0,"P",""))))</f>
        <v/>
      </c>
      <c r="AE214" s="23" t="str">
        <f>IF(A214="","",IF(IF(OR(DATE($B$3,7,30)&gt;EOMONTH(DATE($B$3,7,1),0),NETWORKDAYS.INTL(DATE($B$3,7,30),DATE($B$3,7,30),1,'Non-working days'!$A$6:$A$45)=0),"",IF(COUNTIFS('Leave log'!$A$7:$A$306,Employees!$A$9,'Leave log'!$B$7:$B$306,"&lt;="&amp;DATE($B$3,7,30),'Leave log'!$C$7:$C$306,"&gt;="&amp;DATE($B$3,7,30),'Leave log'!$F$7:$F$306,"Approved")&gt;0,"A",""))="A","A",IF(OR(DATE($B$3,7,30)&gt;EOMONTH(DATE($B$3,7,1),0),NETWORKDAYS.INTL(DATE($B$3,7,30),DATE($B$3,7,30),1,'Non-working days'!$A$6:$A$45)=0),"",IF(COUNTIFS('Leave log'!$A$7:$A$306,Employees!$A$9,'Leave log'!$B$7:$B$306,"&lt;="&amp;DATE($B$3,7,30),'Leave log'!$C$7:$C$306,"&gt;="&amp;DATE($B$3,7,30),'Leave log'!$F$7:$F$306,"Pending")&gt;0,"P",""))))</f>
        <v/>
      </c>
      <c r="AF214" s="23" t="str">
        <f>IF(A214="","",IF(IF(OR(DATE($B$3,7,31)&gt;EOMONTH(DATE($B$3,7,1),0),NETWORKDAYS.INTL(DATE($B$3,7,31),DATE($B$3,7,31),1,'Non-working days'!$A$6:$A$45)=0),"",IF(COUNTIFS('Leave log'!$A$7:$A$306,Employees!$A$9,'Leave log'!$B$7:$B$306,"&lt;="&amp;DATE($B$3,7,31),'Leave log'!$C$7:$C$306,"&gt;="&amp;DATE($B$3,7,31),'Leave log'!$F$7:$F$306,"Approved")&gt;0,"A",""))="A","A",IF(OR(DATE($B$3,7,31)&gt;EOMONTH(DATE($B$3,7,1),0),NETWORKDAYS.INTL(DATE($B$3,7,31),DATE($B$3,7,31),1,'Non-working days'!$A$6:$A$45)=0),"",IF(COUNTIFS('Leave log'!$A$7:$A$306,Employees!$A$9,'Leave log'!$B$7:$B$306,"&lt;="&amp;DATE($B$3,7,31),'Leave log'!$C$7:$C$306,"&gt;="&amp;DATE($B$3,7,31),'Leave log'!$F$7:$F$306,"Pending")&gt;0,"P",""))))</f>
        <v/>
      </c>
    </row>
    <row r="215" spans="1:32" ht="18" customHeight="1" x14ac:dyDescent="0.3">
      <c r="A215" s="22" t="str">
        <f>IF(Employees!F10="Yes",Employees!B10,"")</f>
        <v/>
      </c>
      <c r="B215" s="23" t="str">
        <f>IF(A215="","",IF(IF(OR(DATE($B$3,7,1)&gt;EOMONTH(DATE($B$3,7,1),0),NETWORKDAYS.INTL(DATE($B$3,7,1),DATE($B$3,7,1),1,'Non-working days'!$A$6:$A$45)=0),"",IF(COUNTIFS('Leave log'!$A$7:$A$306,Employees!$A$10,'Leave log'!$B$7:$B$306,"&lt;="&amp;DATE($B$3,7,1),'Leave log'!$C$7:$C$306,"&gt;="&amp;DATE($B$3,7,1),'Leave log'!$F$7:$F$306,"Approved")&gt;0,"A",""))="A","A",IF(OR(DATE($B$3,7,1)&gt;EOMONTH(DATE($B$3,7,1),0),NETWORKDAYS.INTL(DATE($B$3,7,1),DATE($B$3,7,1),1,'Non-working days'!$A$6:$A$45)=0),"",IF(COUNTIFS('Leave log'!$A$7:$A$306,Employees!$A$10,'Leave log'!$B$7:$B$306,"&lt;="&amp;DATE($B$3,7,1),'Leave log'!$C$7:$C$306,"&gt;="&amp;DATE($B$3,7,1),'Leave log'!$F$7:$F$306,"Pending")&gt;0,"P",""))))</f>
        <v/>
      </c>
      <c r="C215" s="23" t="str">
        <f>IF(A215="","",IF(IF(OR(DATE($B$3,7,2)&gt;EOMONTH(DATE($B$3,7,1),0),NETWORKDAYS.INTL(DATE($B$3,7,2),DATE($B$3,7,2),1,'Non-working days'!$A$6:$A$45)=0),"",IF(COUNTIFS('Leave log'!$A$7:$A$306,Employees!$A$10,'Leave log'!$B$7:$B$306,"&lt;="&amp;DATE($B$3,7,2),'Leave log'!$C$7:$C$306,"&gt;="&amp;DATE($B$3,7,2),'Leave log'!$F$7:$F$306,"Approved")&gt;0,"A",""))="A","A",IF(OR(DATE($B$3,7,2)&gt;EOMONTH(DATE($B$3,7,1),0),NETWORKDAYS.INTL(DATE($B$3,7,2),DATE($B$3,7,2),1,'Non-working days'!$A$6:$A$45)=0),"",IF(COUNTIFS('Leave log'!$A$7:$A$306,Employees!$A$10,'Leave log'!$B$7:$B$306,"&lt;="&amp;DATE($B$3,7,2),'Leave log'!$C$7:$C$306,"&gt;="&amp;DATE($B$3,7,2),'Leave log'!$F$7:$F$306,"Pending")&gt;0,"P",""))))</f>
        <v/>
      </c>
      <c r="D215" s="23" t="str">
        <f>IF(A215="","",IF(IF(OR(DATE($B$3,7,3)&gt;EOMONTH(DATE($B$3,7,1),0),NETWORKDAYS.INTL(DATE($B$3,7,3),DATE($B$3,7,3),1,'Non-working days'!$A$6:$A$45)=0),"",IF(COUNTIFS('Leave log'!$A$7:$A$306,Employees!$A$10,'Leave log'!$B$7:$B$306,"&lt;="&amp;DATE($B$3,7,3),'Leave log'!$C$7:$C$306,"&gt;="&amp;DATE($B$3,7,3),'Leave log'!$F$7:$F$306,"Approved")&gt;0,"A",""))="A","A",IF(OR(DATE($B$3,7,3)&gt;EOMONTH(DATE($B$3,7,1),0),NETWORKDAYS.INTL(DATE($B$3,7,3),DATE($B$3,7,3),1,'Non-working days'!$A$6:$A$45)=0),"",IF(COUNTIFS('Leave log'!$A$7:$A$306,Employees!$A$10,'Leave log'!$B$7:$B$306,"&lt;="&amp;DATE($B$3,7,3),'Leave log'!$C$7:$C$306,"&gt;="&amp;DATE($B$3,7,3),'Leave log'!$F$7:$F$306,"Pending")&gt;0,"P",""))))</f>
        <v/>
      </c>
      <c r="E215" s="23" t="str">
        <f>IF(A215="","",IF(IF(OR(DATE($B$3,7,4)&gt;EOMONTH(DATE($B$3,7,1),0),NETWORKDAYS.INTL(DATE($B$3,7,4),DATE($B$3,7,4),1,'Non-working days'!$A$6:$A$45)=0),"",IF(COUNTIFS('Leave log'!$A$7:$A$306,Employees!$A$10,'Leave log'!$B$7:$B$306,"&lt;="&amp;DATE($B$3,7,4),'Leave log'!$C$7:$C$306,"&gt;="&amp;DATE($B$3,7,4),'Leave log'!$F$7:$F$306,"Approved")&gt;0,"A",""))="A","A",IF(OR(DATE($B$3,7,4)&gt;EOMONTH(DATE($B$3,7,1),0),NETWORKDAYS.INTL(DATE($B$3,7,4),DATE($B$3,7,4),1,'Non-working days'!$A$6:$A$45)=0),"",IF(COUNTIFS('Leave log'!$A$7:$A$306,Employees!$A$10,'Leave log'!$B$7:$B$306,"&lt;="&amp;DATE($B$3,7,4),'Leave log'!$C$7:$C$306,"&gt;="&amp;DATE($B$3,7,4),'Leave log'!$F$7:$F$306,"Pending")&gt;0,"P",""))))</f>
        <v/>
      </c>
      <c r="F215" s="23" t="str">
        <f>IF(A215="","",IF(IF(OR(DATE($B$3,7,5)&gt;EOMONTH(DATE($B$3,7,1),0),NETWORKDAYS.INTL(DATE($B$3,7,5),DATE($B$3,7,5),1,'Non-working days'!$A$6:$A$45)=0),"",IF(COUNTIFS('Leave log'!$A$7:$A$306,Employees!$A$10,'Leave log'!$B$7:$B$306,"&lt;="&amp;DATE($B$3,7,5),'Leave log'!$C$7:$C$306,"&gt;="&amp;DATE($B$3,7,5),'Leave log'!$F$7:$F$306,"Approved")&gt;0,"A",""))="A","A",IF(OR(DATE($B$3,7,5)&gt;EOMONTH(DATE($B$3,7,1),0),NETWORKDAYS.INTL(DATE($B$3,7,5),DATE($B$3,7,5),1,'Non-working days'!$A$6:$A$45)=0),"",IF(COUNTIFS('Leave log'!$A$7:$A$306,Employees!$A$10,'Leave log'!$B$7:$B$306,"&lt;="&amp;DATE($B$3,7,5),'Leave log'!$C$7:$C$306,"&gt;="&amp;DATE($B$3,7,5),'Leave log'!$F$7:$F$306,"Pending")&gt;0,"P",""))))</f>
        <v/>
      </c>
      <c r="G215" s="23" t="str">
        <f>IF(A215="","",IF(IF(OR(DATE($B$3,7,6)&gt;EOMONTH(DATE($B$3,7,1),0),NETWORKDAYS.INTL(DATE($B$3,7,6),DATE($B$3,7,6),1,'Non-working days'!$A$6:$A$45)=0),"",IF(COUNTIFS('Leave log'!$A$7:$A$306,Employees!$A$10,'Leave log'!$B$7:$B$306,"&lt;="&amp;DATE($B$3,7,6),'Leave log'!$C$7:$C$306,"&gt;="&amp;DATE($B$3,7,6),'Leave log'!$F$7:$F$306,"Approved")&gt;0,"A",""))="A","A",IF(OR(DATE($B$3,7,6)&gt;EOMONTH(DATE($B$3,7,1),0),NETWORKDAYS.INTL(DATE($B$3,7,6),DATE($B$3,7,6),1,'Non-working days'!$A$6:$A$45)=0),"",IF(COUNTIFS('Leave log'!$A$7:$A$306,Employees!$A$10,'Leave log'!$B$7:$B$306,"&lt;="&amp;DATE($B$3,7,6),'Leave log'!$C$7:$C$306,"&gt;="&amp;DATE($B$3,7,6),'Leave log'!$F$7:$F$306,"Pending")&gt;0,"P",""))))</f>
        <v/>
      </c>
      <c r="H215" s="23" t="str">
        <f>IF(A215="","",IF(IF(OR(DATE($B$3,7,7)&gt;EOMONTH(DATE($B$3,7,1),0),NETWORKDAYS.INTL(DATE($B$3,7,7),DATE($B$3,7,7),1,'Non-working days'!$A$6:$A$45)=0),"",IF(COUNTIFS('Leave log'!$A$7:$A$306,Employees!$A$10,'Leave log'!$B$7:$B$306,"&lt;="&amp;DATE($B$3,7,7),'Leave log'!$C$7:$C$306,"&gt;="&amp;DATE($B$3,7,7),'Leave log'!$F$7:$F$306,"Approved")&gt;0,"A",""))="A","A",IF(OR(DATE($B$3,7,7)&gt;EOMONTH(DATE($B$3,7,1),0),NETWORKDAYS.INTL(DATE($B$3,7,7),DATE($B$3,7,7),1,'Non-working days'!$A$6:$A$45)=0),"",IF(COUNTIFS('Leave log'!$A$7:$A$306,Employees!$A$10,'Leave log'!$B$7:$B$306,"&lt;="&amp;DATE($B$3,7,7),'Leave log'!$C$7:$C$306,"&gt;="&amp;DATE($B$3,7,7),'Leave log'!$F$7:$F$306,"Pending")&gt;0,"P",""))))</f>
        <v/>
      </c>
      <c r="I215" s="23" t="str">
        <f>IF(A215="","",IF(IF(OR(DATE($B$3,7,8)&gt;EOMONTH(DATE($B$3,7,1),0),NETWORKDAYS.INTL(DATE($B$3,7,8),DATE($B$3,7,8),1,'Non-working days'!$A$6:$A$45)=0),"",IF(COUNTIFS('Leave log'!$A$7:$A$306,Employees!$A$10,'Leave log'!$B$7:$B$306,"&lt;="&amp;DATE($B$3,7,8),'Leave log'!$C$7:$C$306,"&gt;="&amp;DATE($B$3,7,8),'Leave log'!$F$7:$F$306,"Approved")&gt;0,"A",""))="A","A",IF(OR(DATE($B$3,7,8)&gt;EOMONTH(DATE($B$3,7,1),0),NETWORKDAYS.INTL(DATE($B$3,7,8),DATE($B$3,7,8),1,'Non-working days'!$A$6:$A$45)=0),"",IF(COUNTIFS('Leave log'!$A$7:$A$306,Employees!$A$10,'Leave log'!$B$7:$B$306,"&lt;="&amp;DATE($B$3,7,8),'Leave log'!$C$7:$C$306,"&gt;="&amp;DATE($B$3,7,8),'Leave log'!$F$7:$F$306,"Pending")&gt;0,"P",""))))</f>
        <v/>
      </c>
      <c r="J215" s="23" t="str">
        <f>IF(A215="","",IF(IF(OR(DATE($B$3,7,9)&gt;EOMONTH(DATE($B$3,7,1),0),NETWORKDAYS.INTL(DATE($B$3,7,9),DATE($B$3,7,9),1,'Non-working days'!$A$6:$A$45)=0),"",IF(COUNTIFS('Leave log'!$A$7:$A$306,Employees!$A$10,'Leave log'!$B$7:$B$306,"&lt;="&amp;DATE($B$3,7,9),'Leave log'!$C$7:$C$306,"&gt;="&amp;DATE($B$3,7,9),'Leave log'!$F$7:$F$306,"Approved")&gt;0,"A",""))="A","A",IF(OR(DATE($B$3,7,9)&gt;EOMONTH(DATE($B$3,7,1),0),NETWORKDAYS.INTL(DATE($B$3,7,9),DATE($B$3,7,9),1,'Non-working days'!$A$6:$A$45)=0),"",IF(COUNTIFS('Leave log'!$A$7:$A$306,Employees!$A$10,'Leave log'!$B$7:$B$306,"&lt;="&amp;DATE($B$3,7,9),'Leave log'!$C$7:$C$306,"&gt;="&amp;DATE($B$3,7,9),'Leave log'!$F$7:$F$306,"Pending")&gt;0,"P",""))))</f>
        <v/>
      </c>
      <c r="K215" s="23" t="str">
        <f>IF(A215="","",IF(IF(OR(DATE($B$3,7,10)&gt;EOMONTH(DATE($B$3,7,1),0),NETWORKDAYS.INTL(DATE($B$3,7,10),DATE($B$3,7,10),1,'Non-working days'!$A$6:$A$45)=0),"",IF(COUNTIFS('Leave log'!$A$7:$A$306,Employees!$A$10,'Leave log'!$B$7:$B$306,"&lt;="&amp;DATE($B$3,7,10),'Leave log'!$C$7:$C$306,"&gt;="&amp;DATE($B$3,7,10),'Leave log'!$F$7:$F$306,"Approved")&gt;0,"A",""))="A","A",IF(OR(DATE($B$3,7,10)&gt;EOMONTH(DATE($B$3,7,1),0),NETWORKDAYS.INTL(DATE($B$3,7,10),DATE($B$3,7,10),1,'Non-working days'!$A$6:$A$45)=0),"",IF(COUNTIFS('Leave log'!$A$7:$A$306,Employees!$A$10,'Leave log'!$B$7:$B$306,"&lt;="&amp;DATE($B$3,7,10),'Leave log'!$C$7:$C$306,"&gt;="&amp;DATE($B$3,7,10),'Leave log'!$F$7:$F$306,"Pending")&gt;0,"P",""))))</f>
        <v/>
      </c>
      <c r="L215" s="23" t="str">
        <f>IF(A215="","",IF(IF(OR(DATE($B$3,7,11)&gt;EOMONTH(DATE($B$3,7,1),0),NETWORKDAYS.INTL(DATE($B$3,7,11),DATE($B$3,7,11),1,'Non-working days'!$A$6:$A$45)=0),"",IF(COUNTIFS('Leave log'!$A$7:$A$306,Employees!$A$10,'Leave log'!$B$7:$B$306,"&lt;="&amp;DATE($B$3,7,11),'Leave log'!$C$7:$C$306,"&gt;="&amp;DATE($B$3,7,11),'Leave log'!$F$7:$F$306,"Approved")&gt;0,"A",""))="A","A",IF(OR(DATE($B$3,7,11)&gt;EOMONTH(DATE($B$3,7,1),0),NETWORKDAYS.INTL(DATE($B$3,7,11),DATE($B$3,7,11),1,'Non-working days'!$A$6:$A$45)=0),"",IF(COUNTIFS('Leave log'!$A$7:$A$306,Employees!$A$10,'Leave log'!$B$7:$B$306,"&lt;="&amp;DATE($B$3,7,11),'Leave log'!$C$7:$C$306,"&gt;="&amp;DATE($B$3,7,11),'Leave log'!$F$7:$F$306,"Pending")&gt;0,"P",""))))</f>
        <v/>
      </c>
      <c r="M215" s="23" t="str">
        <f>IF(A215="","",IF(IF(OR(DATE($B$3,7,12)&gt;EOMONTH(DATE($B$3,7,1),0),NETWORKDAYS.INTL(DATE($B$3,7,12),DATE($B$3,7,12),1,'Non-working days'!$A$6:$A$45)=0),"",IF(COUNTIFS('Leave log'!$A$7:$A$306,Employees!$A$10,'Leave log'!$B$7:$B$306,"&lt;="&amp;DATE($B$3,7,12),'Leave log'!$C$7:$C$306,"&gt;="&amp;DATE($B$3,7,12),'Leave log'!$F$7:$F$306,"Approved")&gt;0,"A",""))="A","A",IF(OR(DATE($B$3,7,12)&gt;EOMONTH(DATE($B$3,7,1),0),NETWORKDAYS.INTL(DATE($B$3,7,12),DATE($B$3,7,12),1,'Non-working days'!$A$6:$A$45)=0),"",IF(COUNTIFS('Leave log'!$A$7:$A$306,Employees!$A$10,'Leave log'!$B$7:$B$306,"&lt;="&amp;DATE($B$3,7,12),'Leave log'!$C$7:$C$306,"&gt;="&amp;DATE($B$3,7,12),'Leave log'!$F$7:$F$306,"Pending")&gt;0,"P",""))))</f>
        <v/>
      </c>
      <c r="N215" s="23" t="str">
        <f>IF(A215="","",IF(IF(OR(DATE($B$3,7,13)&gt;EOMONTH(DATE($B$3,7,1),0),NETWORKDAYS.INTL(DATE($B$3,7,13),DATE($B$3,7,13),1,'Non-working days'!$A$6:$A$45)=0),"",IF(COUNTIFS('Leave log'!$A$7:$A$306,Employees!$A$10,'Leave log'!$B$7:$B$306,"&lt;="&amp;DATE($B$3,7,13),'Leave log'!$C$7:$C$306,"&gt;="&amp;DATE($B$3,7,13),'Leave log'!$F$7:$F$306,"Approved")&gt;0,"A",""))="A","A",IF(OR(DATE($B$3,7,13)&gt;EOMONTH(DATE($B$3,7,1),0),NETWORKDAYS.INTL(DATE($B$3,7,13),DATE($B$3,7,13),1,'Non-working days'!$A$6:$A$45)=0),"",IF(COUNTIFS('Leave log'!$A$7:$A$306,Employees!$A$10,'Leave log'!$B$7:$B$306,"&lt;="&amp;DATE($B$3,7,13),'Leave log'!$C$7:$C$306,"&gt;="&amp;DATE($B$3,7,13),'Leave log'!$F$7:$F$306,"Pending")&gt;0,"P",""))))</f>
        <v/>
      </c>
      <c r="O215" s="23" t="str">
        <f>IF(A215="","",IF(IF(OR(DATE($B$3,7,14)&gt;EOMONTH(DATE($B$3,7,1),0),NETWORKDAYS.INTL(DATE($B$3,7,14),DATE($B$3,7,14),1,'Non-working days'!$A$6:$A$45)=0),"",IF(COUNTIFS('Leave log'!$A$7:$A$306,Employees!$A$10,'Leave log'!$B$7:$B$306,"&lt;="&amp;DATE($B$3,7,14),'Leave log'!$C$7:$C$306,"&gt;="&amp;DATE($B$3,7,14),'Leave log'!$F$7:$F$306,"Approved")&gt;0,"A",""))="A","A",IF(OR(DATE($B$3,7,14)&gt;EOMONTH(DATE($B$3,7,1),0),NETWORKDAYS.INTL(DATE($B$3,7,14),DATE($B$3,7,14),1,'Non-working days'!$A$6:$A$45)=0),"",IF(COUNTIFS('Leave log'!$A$7:$A$306,Employees!$A$10,'Leave log'!$B$7:$B$306,"&lt;="&amp;DATE($B$3,7,14),'Leave log'!$C$7:$C$306,"&gt;="&amp;DATE($B$3,7,14),'Leave log'!$F$7:$F$306,"Pending")&gt;0,"P",""))))</f>
        <v/>
      </c>
      <c r="P215" s="23" t="str">
        <f>IF(A215="","",IF(IF(OR(DATE($B$3,7,15)&gt;EOMONTH(DATE($B$3,7,1),0),NETWORKDAYS.INTL(DATE($B$3,7,15),DATE($B$3,7,15),1,'Non-working days'!$A$6:$A$45)=0),"",IF(COUNTIFS('Leave log'!$A$7:$A$306,Employees!$A$10,'Leave log'!$B$7:$B$306,"&lt;="&amp;DATE($B$3,7,15),'Leave log'!$C$7:$C$306,"&gt;="&amp;DATE($B$3,7,15),'Leave log'!$F$7:$F$306,"Approved")&gt;0,"A",""))="A","A",IF(OR(DATE($B$3,7,15)&gt;EOMONTH(DATE($B$3,7,1),0),NETWORKDAYS.INTL(DATE($B$3,7,15),DATE($B$3,7,15),1,'Non-working days'!$A$6:$A$45)=0),"",IF(COUNTIFS('Leave log'!$A$7:$A$306,Employees!$A$10,'Leave log'!$B$7:$B$306,"&lt;="&amp;DATE($B$3,7,15),'Leave log'!$C$7:$C$306,"&gt;="&amp;DATE($B$3,7,15),'Leave log'!$F$7:$F$306,"Pending")&gt;0,"P",""))))</f>
        <v/>
      </c>
      <c r="Q215" s="23" t="str">
        <f>IF(A215="","",IF(IF(OR(DATE($B$3,7,16)&gt;EOMONTH(DATE($B$3,7,1),0),NETWORKDAYS.INTL(DATE($B$3,7,16),DATE($B$3,7,16),1,'Non-working days'!$A$6:$A$45)=0),"",IF(COUNTIFS('Leave log'!$A$7:$A$306,Employees!$A$10,'Leave log'!$B$7:$B$306,"&lt;="&amp;DATE($B$3,7,16),'Leave log'!$C$7:$C$306,"&gt;="&amp;DATE($B$3,7,16),'Leave log'!$F$7:$F$306,"Approved")&gt;0,"A",""))="A","A",IF(OR(DATE($B$3,7,16)&gt;EOMONTH(DATE($B$3,7,1),0),NETWORKDAYS.INTL(DATE($B$3,7,16),DATE($B$3,7,16),1,'Non-working days'!$A$6:$A$45)=0),"",IF(COUNTIFS('Leave log'!$A$7:$A$306,Employees!$A$10,'Leave log'!$B$7:$B$306,"&lt;="&amp;DATE($B$3,7,16),'Leave log'!$C$7:$C$306,"&gt;="&amp;DATE($B$3,7,16),'Leave log'!$F$7:$F$306,"Pending")&gt;0,"P",""))))</f>
        <v/>
      </c>
      <c r="R215" s="23" t="str">
        <f>IF(A215="","",IF(IF(OR(DATE($B$3,7,17)&gt;EOMONTH(DATE($B$3,7,1),0),NETWORKDAYS.INTL(DATE($B$3,7,17),DATE($B$3,7,17),1,'Non-working days'!$A$6:$A$45)=0),"",IF(COUNTIFS('Leave log'!$A$7:$A$306,Employees!$A$10,'Leave log'!$B$7:$B$306,"&lt;="&amp;DATE($B$3,7,17),'Leave log'!$C$7:$C$306,"&gt;="&amp;DATE($B$3,7,17),'Leave log'!$F$7:$F$306,"Approved")&gt;0,"A",""))="A","A",IF(OR(DATE($B$3,7,17)&gt;EOMONTH(DATE($B$3,7,1),0),NETWORKDAYS.INTL(DATE($B$3,7,17),DATE($B$3,7,17),1,'Non-working days'!$A$6:$A$45)=0),"",IF(COUNTIFS('Leave log'!$A$7:$A$306,Employees!$A$10,'Leave log'!$B$7:$B$306,"&lt;="&amp;DATE($B$3,7,17),'Leave log'!$C$7:$C$306,"&gt;="&amp;DATE($B$3,7,17),'Leave log'!$F$7:$F$306,"Pending")&gt;0,"P",""))))</f>
        <v/>
      </c>
      <c r="S215" s="23" t="str">
        <f>IF(A215="","",IF(IF(OR(DATE($B$3,7,18)&gt;EOMONTH(DATE($B$3,7,1),0),NETWORKDAYS.INTL(DATE($B$3,7,18),DATE($B$3,7,18),1,'Non-working days'!$A$6:$A$45)=0),"",IF(COUNTIFS('Leave log'!$A$7:$A$306,Employees!$A$10,'Leave log'!$B$7:$B$306,"&lt;="&amp;DATE($B$3,7,18),'Leave log'!$C$7:$C$306,"&gt;="&amp;DATE($B$3,7,18),'Leave log'!$F$7:$F$306,"Approved")&gt;0,"A",""))="A","A",IF(OR(DATE($B$3,7,18)&gt;EOMONTH(DATE($B$3,7,1),0),NETWORKDAYS.INTL(DATE($B$3,7,18),DATE($B$3,7,18),1,'Non-working days'!$A$6:$A$45)=0),"",IF(COUNTIFS('Leave log'!$A$7:$A$306,Employees!$A$10,'Leave log'!$B$7:$B$306,"&lt;="&amp;DATE($B$3,7,18),'Leave log'!$C$7:$C$306,"&gt;="&amp;DATE($B$3,7,18),'Leave log'!$F$7:$F$306,"Pending")&gt;0,"P",""))))</f>
        <v/>
      </c>
      <c r="T215" s="23" t="str">
        <f>IF(A215="","",IF(IF(OR(DATE($B$3,7,19)&gt;EOMONTH(DATE($B$3,7,1),0),NETWORKDAYS.INTL(DATE($B$3,7,19),DATE($B$3,7,19),1,'Non-working days'!$A$6:$A$45)=0),"",IF(COUNTIFS('Leave log'!$A$7:$A$306,Employees!$A$10,'Leave log'!$B$7:$B$306,"&lt;="&amp;DATE($B$3,7,19),'Leave log'!$C$7:$C$306,"&gt;="&amp;DATE($B$3,7,19),'Leave log'!$F$7:$F$306,"Approved")&gt;0,"A",""))="A","A",IF(OR(DATE($B$3,7,19)&gt;EOMONTH(DATE($B$3,7,1),0),NETWORKDAYS.INTL(DATE($B$3,7,19),DATE($B$3,7,19),1,'Non-working days'!$A$6:$A$45)=0),"",IF(COUNTIFS('Leave log'!$A$7:$A$306,Employees!$A$10,'Leave log'!$B$7:$B$306,"&lt;="&amp;DATE($B$3,7,19),'Leave log'!$C$7:$C$306,"&gt;="&amp;DATE($B$3,7,19),'Leave log'!$F$7:$F$306,"Pending")&gt;0,"P",""))))</f>
        <v/>
      </c>
      <c r="U215" s="23" t="str">
        <f>IF(A215="","",IF(IF(OR(DATE($B$3,7,20)&gt;EOMONTH(DATE($B$3,7,1),0),NETWORKDAYS.INTL(DATE($B$3,7,20),DATE($B$3,7,20),1,'Non-working days'!$A$6:$A$45)=0),"",IF(COUNTIFS('Leave log'!$A$7:$A$306,Employees!$A$10,'Leave log'!$B$7:$B$306,"&lt;="&amp;DATE($B$3,7,20),'Leave log'!$C$7:$C$306,"&gt;="&amp;DATE($B$3,7,20),'Leave log'!$F$7:$F$306,"Approved")&gt;0,"A",""))="A","A",IF(OR(DATE($B$3,7,20)&gt;EOMONTH(DATE($B$3,7,1),0),NETWORKDAYS.INTL(DATE($B$3,7,20),DATE($B$3,7,20),1,'Non-working days'!$A$6:$A$45)=0),"",IF(COUNTIFS('Leave log'!$A$7:$A$306,Employees!$A$10,'Leave log'!$B$7:$B$306,"&lt;="&amp;DATE($B$3,7,20),'Leave log'!$C$7:$C$306,"&gt;="&amp;DATE($B$3,7,20),'Leave log'!$F$7:$F$306,"Pending")&gt;0,"P",""))))</f>
        <v/>
      </c>
      <c r="V215" s="23" t="str">
        <f>IF(A215="","",IF(IF(OR(DATE($B$3,7,21)&gt;EOMONTH(DATE($B$3,7,1),0),NETWORKDAYS.INTL(DATE($B$3,7,21),DATE($B$3,7,21),1,'Non-working days'!$A$6:$A$45)=0),"",IF(COUNTIFS('Leave log'!$A$7:$A$306,Employees!$A$10,'Leave log'!$B$7:$B$306,"&lt;="&amp;DATE($B$3,7,21),'Leave log'!$C$7:$C$306,"&gt;="&amp;DATE($B$3,7,21),'Leave log'!$F$7:$F$306,"Approved")&gt;0,"A",""))="A","A",IF(OR(DATE($B$3,7,21)&gt;EOMONTH(DATE($B$3,7,1),0),NETWORKDAYS.INTL(DATE($B$3,7,21),DATE($B$3,7,21),1,'Non-working days'!$A$6:$A$45)=0),"",IF(COUNTIFS('Leave log'!$A$7:$A$306,Employees!$A$10,'Leave log'!$B$7:$B$306,"&lt;="&amp;DATE($B$3,7,21),'Leave log'!$C$7:$C$306,"&gt;="&amp;DATE($B$3,7,21),'Leave log'!$F$7:$F$306,"Pending")&gt;0,"P",""))))</f>
        <v/>
      </c>
      <c r="W215" s="23" t="str">
        <f>IF(A215="","",IF(IF(OR(DATE($B$3,7,22)&gt;EOMONTH(DATE($B$3,7,1),0),NETWORKDAYS.INTL(DATE($B$3,7,22),DATE($B$3,7,22),1,'Non-working days'!$A$6:$A$45)=0),"",IF(COUNTIFS('Leave log'!$A$7:$A$306,Employees!$A$10,'Leave log'!$B$7:$B$306,"&lt;="&amp;DATE($B$3,7,22),'Leave log'!$C$7:$C$306,"&gt;="&amp;DATE($B$3,7,22),'Leave log'!$F$7:$F$306,"Approved")&gt;0,"A",""))="A","A",IF(OR(DATE($B$3,7,22)&gt;EOMONTH(DATE($B$3,7,1),0),NETWORKDAYS.INTL(DATE($B$3,7,22),DATE($B$3,7,22),1,'Non-working days'!$A$6:$A$45)=0),"",IF(COUNTIFS('Leave log'!$A$7:$A$306,Employees!$A$10,'Leave log'!$B$7:$B$306,"&lt;="&amp;DATE($B$3,7,22),'Leave log'!$C$7:$C$306,"&gt;="&amp;DATE($B$3,7,22),'Leave log'!$F$7:$F$306,"Pending")&gt;0,"P",""))))</f>
        <v/>
      </c>
      <c r="X215" s="23" t="str">
        <f>IF(A215="","",IF(IF(OR(DATE($B$3,7,23)&gt;EOMONTH(DATE($B$3,7,1),0),NETWORKDAYS.INTL(DATE($B$3,7,23),DATE($B$3,7,23),1,'Non-working days'!$A$6:$A$45)=0),"",IF(COUNTIFS('Leave log'!$A$7:$A$306,Employees!$A$10,'Leave log'!$B$7:$B$306,"&lt;="&amp;DATE($B$3,7,23),'Leave log'!$C$7:$C$306,"&gt;="&amp;DATE($B$3,7,23),'Leave log'!$F$7:$F$306,"Approved")&gt;0,"A",""))="A","A",IF(OR(DATE($B$3,7,23)&gt;EOMONTH(DATE($B$3,7,1),0),NETWORKDAYS.INTL(DATE($B$3,7,23),DATE($B$3,7,23),1,'Non-working days'!$A$6:$A$45)=0),"",IF(COUNTIFS('Leave log'!$A$7:$A$306,Employees!$A$10,'Leave log'!$B$7:$B$306,"&lt;="&amp;DATE($B$3,7,23),'Leave log'!$C$7:$C$306,"&gt;="&amp;DATE($B$3,7,23),'Leave log'!$F$7:$F$306,"Pending")&gt;0,"P",""))))</f>
        <v/>
      </c>
      <c r="Y215" s="23" t="str">
        <f>IF(A215="","",IF(IF(OR(DATE($B$3,7,24)&gt;EOMONTH(DATE($B$3,7,1),0),NETWORKDAYS.INTL(DATE($B$3,7,24),DATE($B$3,7,24),1,'Non-working days'!$A$6:$A$45)=0),"",IF(COUNTIFS('Leave log'!$A$7:$A$306,Employees!$A$10,'Leave log'!$B$7:$B$306,"&lt;="&amp;DATE($B$3,7,24),'Leave log'!$C$7:$C$306,"&gt;="&amp;DATE($B$3,7,24),'Leave log'!$F$7:$F$306,"Approved")&gt;0,"A",""))="A","A",IF(OR(DATE($B$3,7,24)&gt;EOMONTH(DATE($B$3,7,1),0),NETWORKDAYS.INTL(DATE($B$3,7,24),DATE($B$3,7,24),1,'Non-working days'!$A$6:$A$45)=0),"",IF(COUNTIFS('Leave log'!$A$7:$A$306,Employees!$A$10,'Leave log'!$B$7:$B$306,"&lt;="&amp;DATE($B$3,7,24),'Leave log'!$C$7:$C$306,"&gt;="&amp;DATE($B$3,7,24),'Leave log'!$F$7:$F$306,"Pending")&gt;0,"P",""))))</f>
        <v/>
      </c>
      <c r="Z215" s="23" t="str">
        <f>IF(A215="","",IF(IF(OR(DATE($B$3,7,25)&gt;EOMONTH(DATE($B$3,7,1),0),NETWORKDAYS.INTL(DATE($B$3,7,25),DATE($B$3,7,25),1,'Non-working days'!$A$6:$A$45)=0),"",IF(COUNTIFS('Leave log'!$A$7:$A$306,Employees!$A$10,'Leave log'!$B$7:$B$306,"&lt;="&amp;DATE($B$3,7,25),'Leave log'!$C$7:$C$306,"&gt;="&amp;DATE($B$3,7,25),'Leave log'!$F$7:$F$306,"Approved")&gt;0,"A",""))="A","A",IF(OR(DATE($B$3,7,25)&gt;EOMONTH(DATE($B$3,7,1),0),NETWORKDAYS.INTL(DATE($B$3,7,25),DATE($B$3,7,25),1,'Non-working days'!$A$6:$A$45)=0),"",IF(COUNTIFS('Leave log'!$A$7:$A$306,Employees!$A$10,'Leave log'!$B$7:$B$306,"&lt;="&amp;DATE($B$3,7,25),'Leave log'!$C$7:$C$306,"&gt;="&amp;DATE($B$3,7,25),'Leave log'!$F$7:$F$306,"Pending")&gt;0,"P",""))))</f>
        <v/>
      </c>
      <c r="AA215" s="23" t="str">
        <f>IF(A215="","",IF(IF(OR(DATE($B$3,7,26)&gt;EOMONTH(DATE($B$3,7,1),0),NETWORKDAYS.INTL(DATE($B$3,7,26),DATE($B$3,7,26),1,'Non-working days'!$A$6:$A$45)=0),"",IF(COUNTIFS('Leave log'!$A$7:$A$306,Employees!$A$10,'Leave log'!$B$7:$B$306,"&lt;="&amp;DATE($B$3,7,26),'Leave log'!$C$7:$C$306,"&gt;="&amp;DATE($B$3,7,26),'Leave log'!$F$7:$F$306,"Approved")&gt;0,"A",""))="A","A",IF(OR(DATE($B$3,7,26)&gt;EOMONTH(DATE($B$3,7,1),0),NETWORKDAYS.INTL(DATE($B$3,7,26),DATE($B$3,7,26),1,'Non-working days'!$A$6:$A$45)=0),"",IF(COUNTIFS('Leave log'!$A$7:$A$306,Employees!$A$10,'Leave log'!$B$7:$B$306,"&lt;="&amp;DATE($B$3,7,26),'Leave log'!$C$7:$C$306,"&gt;="&amp;DATE($B$3,7,26),'Leave log'!$F$7:$F$306,"Pending")&gt;0,"P",""))))</f>
        <v/>
      </c>
      <c r="AB215" s="23" t="str">
        <f>IF(A215="","",IF(IF(OR(DATE($B$3,7,27)&gt;EOMONTH(DATE($B$3,7,1),0),NETWORKDAYS.INTL(DATE($B$3,7,27),DATE($B$3,7,27),1,'Non-working days'!$A$6:$A$45)=0),"",IF(COUNTIFS('Leave log'!$A$7:$A$306,Employees!$A$10,'Leave log'!$B$7:$B$306,"&lt;="&amp;DATE($B$3,7,27),'Leave log'!$C$7:$C$306,"&gt;="&amp;DATE($B$3,7,27),'Leave log'!$F$7:$F$306,"Approved")&gt;0,"A",""))="A","A",IF(OR(DATE($B$3,7,27)&gt;EOMONTH(DATE($B$3,7,1),0),NETWORKDAYS.INTL(DATE($B$3,7,27),DATE($B$3,7,27),1,'Non-working days'!$A$6:$A$45)=0),"",IF(COUNTIFS('Leave log'!$A$7:$A$306,Employees!$A$10,'Leave log'!$B$7:$B$306,"&lt;="&amp;DATE($B$3,7,27),'Leave log'!$C$7:$C$306,"&gt;="&amp;DATE($B$3,7,27),'Leave log'!$F$7:$F$306,"Pending")&gt;0,"P",""))))</f>
        <v/>
      </c>
      <c r="AC215" s="23" t="str">
        <f>IF(A215="","",IF(IF(OR(DATE($B$3,7,28)&gt;EOMONTH(DATE($B$3,7,1),0),NETWORKDAYS.INTL(DATE($B$3,7,28),DATE($B$3,7,28),1,'Non-working days'!$A$6:$A$45)=0),"",IF(COUNTIFS('Leave log'!$A$7:$A$306,Employees!$A$10,'Leave log'!$B$7:$B$306,"&lt;="&amp;DATE($B$3,7,28),'Leave log'!$C$7:$C$306,"&gt;="&amp;DATE($B$3,7,28),'Leave log'!$F$7:$F$306,"Approved")&gt;0,"A",""))="A","A",IF(OR(DATE($B$3,7,28)&gt;EOMONTH(DATE($B$3,7,1),0),NETWORKDAYS.INTL(DATE($B$3,7,28),DATE($B$3,7,28),1,'Non-working days'!$A$6:$A$45)=0),"",IF(COUNTIFS('Leave log'!$A$7:$A$306,Employees!$A$10,'Leave log'!$B$7:$B$306,"&lt;="&amp;DATE($B$3,7,28),'Leave log'!$C$7:$C$306,"&gt;="&amp;DATE($B$3,7,28),'Leave log'!$F$7:$F$306,"Pending")&gt;0,"P",""))))</f>
        <v/>
      </c>
      <c r="AD215" s="23" t="str">
        <f>IF(A215="","",IF(IF(OR(DATE($B$3,7,29)&gt;EOMONTH(DATE($B$3,7,1),0),NETWORKDAYS.INTL(DATE($B$3,7,29),DATE($B$3,7,29),1,'Non-working days'!$A$6:$A$45)=0),"",IF(COUNTIFS('Leave log'!$A$7:$A$306,Employees!$A$10,'Leave log'!$B$7:$B$306,"&lt;="&amp;DATE($B$3,7,29),'Leave log'!$C$7:$C$306,"&gt;="&amp;DATE($B$3,7,29),'Leave log'!$F$7:$F$306,"Approved")&gt;0,"A",""))="A","A",IF(OR(DATE($B$3,7,29)&gt;EOMONTH(DATE($B$3,7,1),0),NETWORKDAYS.INTL(DATE($B$3,7,29),DATE($B$3,7,29),1,'Non-working days'!$A$6:$A$45)=0),"",IF(COUNTIFS('Leave log'!$A$7:$A$306,Employees!$A$10,'Leave log'!$B$7:$B$306,"&lt;="&amp;DATE($B$3,7,29),'Leave log'!$C$7:$C$306,"&gt;="&amp;DATE($B$3,7,29),'Leave log'!$F$7:$F$306,"Pending")&gt;0,"P",""))))</f>
        <v/>
      </c>
      <c r="AE215" s="23" t="str">
        <f>IF(A215="","",IF(IF(OR(DATE($B$3,7,30)&gt;EOMONTH(DATE($B$3,7,1),0),NETWORKDAYS.INTL(DATE($B$3,7,30),DATE($B$3,7,30),1,'Non-working days'!$A$6:$A$45)=0),"",IF(COUNTIFS('Leave log'!$A$7:$A$306,Employees!$A$10,'Leave log'!$B$7:$B$306,"&lt;="&amp;DATE($B$3,7,30),'Leave log'!$C$7:$C$306,"&gt;="&amp;DATE($B$3,7,30),'Leave log'!$F$7:$F$306,"Approved")&gt;0,"A",""))="A","A",IF(OR(DATE($B$3,7,30)&gt;EOMONTH(DATE($B$3,7,1),0),NETWORKDAYS.INTL(DATE($B$3,7,30),DATE($B$3,7,30),1,'Non-working days'!$A$6:$A$45)=0),"",IF(COUNTIFS('Leave log'!$A$7:$A$306,Employees!$A$10,'Leave log'!$B$7:$B$306,"&lt;="&amp;DATE($B$3,7,30),'Leave log'!$C$7:$C$306,"&gt;="&amp;DATE($B$3,7,30),'Leave log'!$F$7:$F$306,"Pending")&gt;0,"P",""))))</f>
        <v/>
      </c>
      <c r="AF215" s="23" t="str">
        <f>IF(A215="","",IF(IF(OR(DATE($B$3,7,31)&gt;EOMONTH(DATE($B$3,7,1),0),NETWORKDAYS.INTL(DATE($B$3,7,31),DATE($B$3,7,31),1,'Non-working days'!$A$6:$A$45)=0),"",IF(COUNTIFS('Leave log'!$A$7:$A$306,Employees!$A$10,'Leave log'!$B$7:$B$306,"&lt;="&amp;DATE($B$3,7,31),'Leave log'!$C$7:$C$306,"&gt;="&amp;DATE($B$3,7,31),'Leave log'!$F$7:$F$306,"Approved")&gt;0,"A",""))="A","A",IF(OR(DATE($B$3,7,31)&gt;EOMONTH(DATE($B$3,7,1),0),NETWORKDAYS.INTL(DATE($B$3,7,31),DATE($B$3,7,31),1,'Non-working days'!$A$6:$A$45)=0),"",IF(COUNTIFS('Leave log'!$A$7:$A$306,Employees!$A$10,'Leave log'!$B$7:$B$306,"&lt;="&amp;DATE($B$3,7,31),'Leave log'!$C$7:$C$306,"&gt;="&amp;DATE($B$3,7,31),'Leave log'!$F$7:$F$306,"Pending")&gt;0,"P",""))))</f>
        <v/>
      </c>
    </row>
    <row r="216" spans="1:32" ht="18" customHeight="1" x14ac:dyDescent="0.3">
      <c r="A216" s="22" t="str">
        <f>IF(Employees!F11="Yes",Employees!B11,"")</f>
        <v/>
      </c>
      <c r="B216" s="23" t="str">
        <f>IF(A216="","",IF(IF(OR(DATE($B$3,7,1)&gt;EOMONTH(DATE($B$3,7,1),0),NETWORKDAYS.INTL(DATE($B$3,7,1),DATE($B$3,7,1),1,'Non-working days'!$A$6:$A$45)=0),"",IF(COUNTIFS('Leave log'!$A$7:$A$306,Employees!$A$11,'Leave log'!$B$7:$B$306,"&lt;="&amp;DATE($B$3,7,1),'Leave log'!$C$7:$C$306,"&gt;="&amp;DATE($B$3,7,1),'Leave log'!$F$7:$F$306,"Approved")&gt;0,"A",""))="A","A",IF(OR(DATE($B$3,7,1)&gt;EOMONTH(DATE($B$3,7,1),0),NETWORKDAYS.INTL(DATE($B$3,7,1),DATE($B$3,7,1),1,'Non-working days'!$A$6:$A$45)=0),"",IF(COUNTIFS('Leave log'!$A$7:$A$306,Employees!$A$11,'Leave log'!$B$7:$B$306,"&lt;="&amp;DATE($B$3,7,1),'Leave log'!$C$7:$C$306,"&gt;="&amp;DATE($B$3,7,1),'Leave log'!$F$7:$F$306,"Pending")&gt;0,"P",""))))</f>
        <v/>
      </c>
      <c r="C216" s="23" t="str">
        <f>IF(A216="","",IF(IF(OR(DATE($B$3,7,2)&gt;EOMONTH(DATE($B$3,7,1),0),NETWORKDAYS.INTL(DATE($B$3,7,2),DATE($B$3,7,2),1,'Non-working days'!$A$6:$A$45)=0),"",IF(COUNTIFS('Leave log'!$A$7:$A$306,Employees!$A$11,'Leave log'!$B$7:$B$306,"&lt;="&amp;DATE($B$3,7,2),'Leave log'!$C$7:$C$306,"&gt;="&amp;DATE($B$3,7,2),'Leave log'!$F$7:$F$306,"Approved")&gt;0,"A",""))="A","A",IF(OR(DATE($B$3,7,2)&gt;EOMONTH(DATE($B$3,7,1),0),NETWORKDAYS.INTL(DATE($B$3,7,2),DATE($B$3,7,2),1,'Non-working days'!$A$6:$A$45)=0),"",IF(COUNTIFS('Leave log'!$A$7:$A$306,Employees!$A$11,'Leave log'!$B$7:$B$306,"&lt;="&amp;DATE($B$3,7,2),'Leave log'!$C$7:$C$306,"&gt;="&amp;DATE($B$3,7,2),'Leave log'!$F$7:$F$306,"Pending")&gt;0,"P",""))))</f>
        <v/>
      </c>
      <c r="D216" s="23" t="str">
        <f>IF(A216="","",IF(IF(OR(DATE($B$3,7,3)&gt;EOMONTH(DATE($B$3,7,1),0),NETWORKDAYS.INTL(DATE($B$3,7,3),DATE($B$3,7,3),1,'Non-working days'!$A$6:$A$45)=0),"",IF(COUNTIFS('Leave log'!$A$7:$A$306,Employees!$A$11,'Leave log'!$B$7:$B$306,"&lt;="&amp;DATE($B$3,7,3),'Leave log'!$C$7:$C$306,"&gt;="&amp;DATE($B$3,7,3),'Leave log'!$F$7:$F$306,"Approved")&gt;0,"A",""))="A","A",IF(OR(DATE($B$3,7,3)&gt;EOMONTH(DATE($B$3,7,1),0),NETWORKDAYS.INTL(DATE($B$3,7,3),DATE($B$3,7,3),1,'Non-working days'!$A$6:$A$45)=0),"",IF(COUNTIFS('Leave log'!$A$7:$A$306,Employees!$A$11,'Leave log'!$B$7:$B$306,"&lt;="&amp;DATE($B$3,7,3),'Leave log'!$C$7:$C$306,"&gt;="&amp;DATE($B$3,7,3),'Leave log'!$F$7:$F$306,"Pending")&gt;0,"P",""))))</f>
        <v/>
      </c>
      <c r="E216" s="23" t="str">
        <f>IF(A216="","",IF(IF(OR(DATE($B$3,7,4)&gt;EOMONTH(DATE($B$3,7,1),0),NETWORKDAYS.INTL(DATE($B$3,7,4),DATE($B$3,7,4),1,'Non-working days'!$A$6:$A$45)=0),"",IF(COUNTIFS('Leave log'!$A$7:$A$306,Employees!$A$11,'Leave log'!$B$7:$B$306,"&lt;="&amp;DATE($B$3,7,4),'Leave log'!$C$7:$C$306,"&gt;="&amp;DATE($B$3,7,4),'Leave log'!$F$7:$F$306,"Approved")&gt;0,"A",""))="A","A",IF(OR(DATE($B$3,7,4)&gt;EOMONTH(DATE($B$3,7,1),0),NETWORKDAYS.INTL(DATE($B$3,7,4),DATE($B$3,7,4),1,'Non-working days'!$A$6:$A$45)=0),"",IF(COUNTIFS('Leave log'!$A$7:$A$306,Employees!$A$11,'Leave log'!$B$7:$B$306,"&lt;="&amp;DATE($B$3,7,4),'Leave log'!$C$7:$C$306,"&gt;="&amp;DATE($B$3,7,4),'Leave log'!$F$7:$F$306,"Pending")&gt;0,"P",""))))</f>
        <v/>
      </c>
      <c r="F216" s="23" t="str">
        <f>IF(A216="","",IF(IF(OR(DATE($B$3,7,5)&gt;EOMONTH(DATE($B$3,7,1),0),NETWORKDAYS.INTL(DATE($B$3,7,5),DATE($B$3,7,5),1,'Non-working days'!$A$6:$A$45)=0),"",IF(COUNTIFS('Leave log'!$A$7:$A$306,Employees!$A$11,'Leave log'!$B$7:$B$306,"&lt;="&amp;DATE($B$3,7,5),'Leave log'!$C$7:$C$306,"&gt;="&amp;DATE($B$3,7,5),'Leave log'!$F$7:$F$306,"Approved")&gt;0,"A",""))="A","A",IF(OR(DATE($B$3,7,5)&gt;EOMONTH(DATE($B$3,7,1),0),NETWORKDAYS.INTL(DATE($B$3,7,5),DATE($B$3,7,5),1,'Non-working days'!$A$6:$A$45)=0),"",IF(COUNTIFS('Leave log'!$A$7:$A$306,Employees!$A$11,'Leave log'!$B$7:$B$306,"&lt;="&amp;DATE($B$3,7,5),'Leave log'!$C$7:$C$306,"&gt;="&amp;DATE($B$3,7,5),'Leave log'!$F$7:$F$306,"Pending")&gt;0,"P",""))))</f>
        <v/>
      </c>
      <c r="G216" s="23" t="str">
        <f>IF(A216="","",IF(IF(OR(DATE($B$3,7,6)&gt;EOMONTH(DATE($B$3,7,1),0),NETWORKDAYS.INTL(DATE($B$3,7,6),DATE($B$3,7,6),1,'Non-working days'!$A$6:$A$45)=0),"",IF(COUNTIFS('Leave log'!$A$7:$A$306,Employees!$A$11,'Leave log'!$B$7:$B$306,"&lt;="&amp;DATE($B$3,7,6),'Leave log'!$C$7:$C$306,"&gt;="&amp;DATE($B$3,7,6),'Leave log'!$F$7:$F$306,"Approved")&gt;0,"A",""))="A","A",IF(OR(DATE($B$3,7,6)&gt;EOMONTH(DATE($B$3,7,1),0),NETWORKDAYS.INTL(DATE($B$3,7,6),DATE($B$3,7,6),1,'Non-working days'!$A$6:$A$45)=0),"",IF(COUNTIFS('Leave log'!$A$7:$A$306,Employees!$A$11,'Leave log'!$B$7:$B$306,"&lt;="&amp;DATE($B$3,7,6),'Leave log'!$C$7:$C$306,"&gt;="&amp;DATE($B$3,7,6),'Leave log'!$F$7:$F$306,"Pending")&gt;0,"P",""))))</f>
        <v/>
      </c>
      <c r="H216" s="23" t="str">
        <f>IF(A216="","",IF(IF(OR(DATE($B$3,7,7)&gt;EOMONTH(DATE($B$3,7,1),0),NETWORKDAYS.INTL(DATE($B$3,7,7),DATE($B$3,7,7),1,'Non-working days'!$A$6:$A$45)=0),"",IF(COUNTIFS('Leave log'!$A$7:$A$306,Employees!$A$11,'Leave log'!$B$7:$B$306,"&lt;="&amp;DATE($B$3,7,7),'Leave log'!$C$7:$C$306,"&gt;="&amp;DATE($B$3,7,7),'Leave log'!$F$7:$F$306,"Approved")&gt;0,"A",""))="A","A",IF(OR(DATE($B$3,7,7)&gt;EOMONTH(DATE($B$3,7,1),0),NETWORKDAYS.INTL(DATE($B$3,7,7),DATE($B$3,7,7),1,'Non-working days'!$A$6:$A$45)=0),"",IF(COUNTIFS('Leave log'!$A$7:$A$306,Employees!$A$11,'Leave log'!$B$7:$B$306,"&lt;="&amp;DATE($B$3,7,7),'Leave log'!$C$7:$C$306,"&gt;="&amp;DATE($B$3,7,7),'Leave log'!$F$7:$F$306,"Pending")&gt;0,"P",""))))</f>
        <v/>
      </c>
      <c r="I216" s="23" t="str">
        <f>IF(A216="","",IF(IF(OR(DATE($B$3,7,8)&gt;EOMONTH(DATE($B$3,7,1),0),NETWORKDAYS.INTL(DATE($B$3,7,8),DATE($B$3,7,8),1,'Non-working days'!$A$6:$A$45)=0),"",IF(COUNTIFS('Leave log'!$A$7:$A$306,Employees!$A$11,'Leave log'!$B$7:$B$306,"&lt;="&amp;DATE($B$3,7,8),'Leave log'!$C$7:$C$306,"&gt;="&amp;DATE($B$3,7,8),'Leave log'!$F$7:$F$306,"Approved")&gt;0,"A",""))="A","A",IF(OR(DATE($B$3,7,8)&gt;EOMONTH(DATE($B$3,7,1),0),NETWORKDAYS.INTL(DATE($B$3,7,8),DATE($B$3,7,8),1,'Non-working days'!$A$6:$A$45)=0),"",IF(COUNTIFS('Leave log'!$A$7:$A$306,Employees!$A$11,'Leave log'!$B$7:$B$306,"&lt;="&amp;DATE($B$3,7,8),'Leave log'!$C$7:$C$306,"&gt;="&amp;DATE($B$3,7,8),'Leave log'!$F$7:$F$306,"Pending")&gt;0,"P",""))))</f>
        <v/>
      </c>
      <c r="J216" s="23" t="str">
        <f>IF(A216="","",IF(IF(OR(DATE($B$3,7,9)&gt;EOMONTH(DATE($B$3,7,1),0),NETWORKDAYS.INTL(DATE($B$3,7,9),DATE($B$3,7,9),1,'Non-working days'!$A$6:$A$45)=0),"",IF(COUNTIFS('Leave log'!$A$7:$A$306,Employees!$A$11,'Leave log'!$B$7:$B$306,"&lt;="&amp;DATE($B$3,7,9),'Leave log'!$C$7:$C$306,"&gt;="&amp;DATE($B$3,7,9),'Leave log'!$F$7:$F$306,"Approved")&gt;0,"A",""))="A","A",IF(OR(DATE($B$3,7,9)&gt;EOMONTH(DATE($B$3,7,1),0),NETWORKDAYS.INTL(DATE($B$3,7,9),DATE($B$3,7,9),1,'Non-working days'!$A$6:$A$45)=0),"",IF(COUNTIFS('Leave log'!$A$7:$A$306,Employees!$A$11,'Leave log'!$B$7:$B$306,"&lt;="&amp;DATE($B$3,7,9),'Leave log'!$C$7:$C$306,"&gt;="&amp;DATE($B$3,7,9),'Leave log'!$F$7:$F$306,"Pending")&gt;0,"P",""))))</f>
        <v/>
      </c>
      <c r="K216" s="23" t="str">
        <f>IF(A216="","",IF(IF(OR(DATE($B$3,7,10)&gt;EOMONTH(DATE($B$3,7,1),0),NETWORKDAYS.INTL(DATE($B$3,7,10),DATE($B$3,7,10),1,'Non-working days'!$A$6:$A$45)=0),"",IF(COUNTIFS('Leave log'!$A$7:$A$306,Employees!$A$11,'Leave log'!$B$7:$B$306,"&lt;="&amp;DATE($B$3,7,10),'Leave log'!$C$7:$C$306,"&gt;="&amp;DATE($B$3,7,10),'Leave log'!$F$7:$F$306,"Approved")&gt;0,"A",""))="A","A",IF(OR(DATE($B$3,7,10)&gt;EOMONTH(DATE($B$3,7,1),0),NETWORKDAYS.INTL(DATE($B$3,7,10),DATE($B$3,7,10),1,'Non-working days'!$A$6:$A$45)=0),"",IF(COUNTIFS('Leave log'!$A$7:$A$306,Employees!$A$11,'Leave log'!$B$7:$B$306,"&lt;="&amp;DATE($B$3,7,10),'Leave log'!$C$7:$C$306,"&gt;="&amp;DATE($B$3,7,10),'Leave log'!$F$7:$F$306,"Pending")&gt;0,"P",""))))</f>
        <v/>
      </c>
      <c r="L216" s="23" t="str">
        <f>IF(A216="","",IF(IF(OR(DATE($B$3,7,11)&gt;EOMONTH(DATE($B$3,7,1),0),NETWORKDAYS.INTL(DATE($B$3,7,11),DATE($B$3,7,11),1,'Non-working days'!$A$6:$A$45)=0),"",IF(COUNTIFS('Leave log'!$A$7:$A$306,Employees!$A$11,'Leave log'!$B$7:$B$306,"&lt;="&amp;DATE($B$3,7,11),'Leave log'!$C$7:$C$306,"&gt;="&amp;DATE($B$3,7,11),'Leave log'!$F$7:$F$306,"Approved")&gt;0,"A",""))="A","A",IF(OR(DATE($B$3,7,11)&gt;EOMONTH(DATE($B$3,7,1),0),NETWORKDAYS.INTL(DATE($B$3,7,11),DATE($B$3,7,11),1,'Non-working days'!$A$6:$A$45)=0),"",IF(COUNTIFS('Leave log'!$A$7:$A$306,Employees!$A$11,'Leave log'!$B$7:$B$306,"&lt;="&amp;DATE($B$3,7,11),'Leave log'!$C$7:$C$306,"&gt;="&amp;DATE($B$3,7,11),'Leave log'!$F$7:$F$306,"Pending")&gt;0,"P",""))))</f>
        <v/>
      </c>
      <c r="M216" s="23" t="str">
        <f>IF(A216="","",IF(IF(OR(DATE($B$3,7,12)&gt;EOMONTH(DATE($B$3,7,1),0),NETWORKDAYS.INTL(DATE($B$3,7,12),DATE($B$3,7,12),1,'Non-working days'!$A$6:$A$45)=0),"",IF(COUNTIFS('Leave log'!$A$7:$A$306,Employees!$A$11,'Leave log'!$B$7:$B$306,"&lt;="&amp;DATE($B$3,7,12),'Leave log'!$C$7:$C$306,"&gt;="&amp;DATE($B$3,7,12),'Leave log'!$F$7:$F$306,"Approved")&gt;0,"A",""))="A","A",IF(OR(DATE($B$3,7,12)&gt;EOMONTH(DATE($B$3,7,1),0),NETWORKDAYS.INTL(DATE($B$3,7,12),DATE($B$3,7,12),1,'Non-working days'!$A$6:$A$45)=0),"",IF(COUNTIFS('Leave log'!$A$7:$A$306,Employees!$A$11,'Leave log'!$B$7:$B$306,"&lt;="&amp;DATE($B$3,7,12),'Leave log'!$C$7:$C$306,"&gt;="&amp;DATE($B$3,7,12),'Leave log'!$F$7:$F$306,"Pending")&gt;0,"P",""))))</f>
        <v/>
      </c>
      <c r="N216" s="23" t="str">
        <f>IF(A216="","",IF(IF(OR(DATE($B$3,7,13)&gt;EOMONTH(DATE($B$3,7,1),0),NETWORKDAYS.INTL(DATE($B$3,7,13),DATE($B$3,7,13),1,'Non-working days'!$A$6:$A$45)=0),"",IF(COUNTIFS('Leave log'!$A$7:$A$306,Employees!$A$11,'Leave log'!$B$7:$B$306,"&lt;="&amp;DATE($B$3,7,13),'Leave log'!$C$7:$C$306,"&gt;="&amp;DATE($B$3,7,13),'Leave log'!$F$7:$F$306,"Approved")&gt;0,"A",""))="A","A",IF(OR(DATE($B$3,7,13)&gt;EOMONTH(DATE($B$3,7,1),0),NETWORKDAYS.INTL(DATE($B$3,7,13),DATE($B$3,7,13),1,'Non-working days'!$A$6:$A$45)=0),"",IF(COUNTIFS('Leave log'!$A$7:$A$306,Employees!$A$11,'Leave log'!$B$7:$B$306,"&lt;="&amp;DATE($B$3,7,13),'Leave log'!$C$7:$C$306,"&gt;="&amp;DATE($B$3,7,13),'Leave log'!$F$7:$F$306,"Pending")&gt;0,"P",""))))</f>
        <v/>
      </c>
      <c r="O216" s="23" t="str">
        <f>IF(A216="","",IF(IF(OR(DATE($B$3,7,14)&gt;EOMONTH(DATE($B$3,7,1),0),NETWORKDAYS.INTL(DATE($B$3,7,14),DATE($B$3,7,14),1,'Non-working days'!$A$6:$A$45)=0),"",IF(COUNTIFS('Leave log'!$A$7:$A$306,Employees!$A$11,'Leave log'!$B$7:$B$306,"&lt;="&amp;DATE($B$3,7,14),'Leave log'!$C$7:$C$306,"&gt;="&amp;DATE($B$3,7,14),'Leave log'!$F$7:$F$306,"Approved")&gt;0,"A",""))="A","A",IF(OR(DATE($B$3,7,14)&gt;EOMONTH(DATE($B$3,7,1),0),NETWORKDAYS.INTL(DATE($B$3,7,14),DATE($B$3,7,14),1,'Non-working days'!$A$6:$A$45)=0),"",IF(COUNTIFS('Leave log'!$A$7:$A$306,Employees!$A$11,'Leave log'!$B$7:$B$306,"&lt;="&amp;DATE($B$3,7,14),'Leave log'!$C$7:$C$306,"&gt;="&amp;DATE($B$3,7,14),'Leave log'!$F$7:$F$306,"Pending")&gt;0,"P",""))))</f>
        <v/>
      </c>
      <c r="P216" s="23" t="str">
        <f>IF(A216="","",IF(IF(OR(DATE($B$3,7,15)&gt;EOMONTH(DATE($B$3,7,1),0),NETWORKDAYS.INTL(DATE($B$3,7,15),DATE($B$3,7,15),1,'Non-working days'!$A$6:$A$45)=0),"",IF(COUNTIFS('Leave log'!$A$7:$A$306,Employees!$A$11,'Leave log'!$B$7:$B$306,"&lt;="&amp;DATE($B$3,7,15),'Leave log'!$C$7:$C$306,"&gt;="&amp;DATE($B$3,7,15),'Leave log'!$F$7:$F$306,"Approved")&gt;0,"A",""))="A","A",IF(OR(DATE($B$3,7,15)&gt;EOMONTH(DATE($B$3,7,1),0),NETWORKDAYS.INTL(DATE($B$3,7,15),DATE($B$3,7,15),1,'Non-working days'!$A$6:$A$45)=0),"",IF(COUNTIFS('Leave log'!$A$7:$A$306,Employees!$A$11,'Leave log'!$B$7:$B$306,"&lt;="&amp;DATE($B$3,7,15),'Leave log'!$C$7:$C$306,"&gt;="&amp;DATE($B$3,7,15),'Leave log'!$F$7:$F$306,"Pending")&gt;0,"P",""))))</f>
        <v/>
      </c>
      <c r="Q216" s="23" t="str">
        <f>IF(A216="","",IF(IF(OR(DATE($B$3,7,16)&gt;EOMONTH(DATE($B$3,7,1),0),NETWORKDAYS.INTL(DATE($B$3,7,16),DATE($B$3,7,16),1,'Non-working days'!$A$6:$A$45)=0),"",IF(COUNTIFS('Leave log'!$A$7:$A$306,Employees!$A$11,'Leave log'!$B$7:$B$306,"&lt;="&amp;DATE($B$3,7,16),'Leave log'!$C$7:$C$306,"&gt;="&amp;DATE($B$3,7,16),'Leave log'!$F$7:$F$306,"Approved")&gt;0,"A",""))="A","A",IF(OR(DATE($B$3,7,16)&gt;EOMONTH(DATE($B$3,7,1),0),NETWORKDAYS.INTL(DATE($B$3,7,16),DATE($B$3,7,16),1,'Non-working days'!$A$6:$A$45)=0),"",IF(COUNTIFS('Leave log'!$A$7:$A$306,Employees!$A$11,'Leave log'!$B$7:$B$306,"&lt;="&amp;DATE($B$3,7,16),'Leave log'!$C$7:$C$306,"&gt;="&amp;DATE($B$3,7,16),'Leave log'!$F$7:$F$306,"Pending")&gt;0,"P",""))))</f>
        <v/>
      </c>
      <c r="R216" s="23" t="str">
        <f>IF(A216="","",IF(IF(OR(DATE($B$3,7,17)&gt;EOMONTH(DATE($B$3,7,1),0),NETWORKDAYS.INTL(DATE($B$3,7,17),DATE($B$3,7,17),1,'Non-working days'!$A$6:$A$45)=0),"",IF(COUNTIFS('Leave log'!$A$7:$A$306,Employees!$A$11,'Leave log'!$B$7:$B$306,"&lt;="&amp;DATE($B$3,7,17),'Leave log'!$C$7:$C$306,"&gt;="&amp;DATE($B$3,7,17),'Leave log'!$F$7:$F$306,"Approved")&gt;0,"A",""))="A","A",IF(OR(DATE($B$3,7,17)&gt;EOMONTH(DATE($B$3,7,1),0),NETWORKDAYS.INTL(DATE($B$3,7,17),DATE($B$3,7,17),1,'Non-working days'!$A$6:$A$45)=0),"",IF(COUNTIFS('Leave log'!$A$7:$A$306,Employees!$A$11,'Leave log'!$B$7:$B$306,"&lt;="&amp;DATE($B$3,7,17),'Leave log'!$C$7:$C$306,"&gt;="&amp;DATE($B$3,7,17),'Leave log'!$F$7:$F$306,"Pending")&gt;0,"P",""))))</f>
        <v/>
      </c>
      <c r="S216" s="23" t="str">
        <f>IF(A216="","",IF(IF(OR(DATE($B$3,7,18)&gt;EOMONTH(DATE($B$3,7,1),0),NETWORKDAYS.INTL(DATE($B$3,7,18),DATE($B$3,7,18),1,'Non-working days'!$A$6:$A$45)=0),"",IF(COUNTIFS('Leave log'!$A$7:$A$306,Employees!$A$11,'Leave log'!$B$7:$B$306,"&lt;="&amp;DATE($B$3,7,18),'Leave log'!$C$7:$C$306,"&gt;="&amp;DATE($B$3,7,18),'Leave log'!$F$7:$F$306,"Approved")&gt;0,"A",""))="A","A",IF(OR(DATE($B$3,7,18)&gt;EOMONTH(DATE($B$3,7,1),0),NETWORKDAYS.INTL(DATE($B$3,7,18),DATE($B$3,7,18),1,'Non-working days'!$A$6:$A$45)=0),"",IF(COUNTIFS('Leave log'!$A$7:$A$306,Employees!$A$11,'Leave log'!$B$7:$B$306,"&lt;="&amp;DATE($B$3,7,18),'Leave log'!$C$7:$C$306,"&gt;="&amp;DATE($B$3,7,18),'Leave log'!$F$7:$F$306,"Pending")&gt;0,"P",""))))</f>
        <v/>
      </c>
      <c r="T216" s="23" t="str">
        <f>IF(A216="","",IF(IF(OR(DATE($B$3,7,19)&gt;EOMONTH(DATE($B$3,7,1),0),NETWORKDAYS.INTL(DATE($B$3,7,19),DATE($B$3,7,19),1,'Non-working days'!$A$6:$A$45)=0),"",IF(COUNTIFS('Leave log'!$A$7:$A$306,Employees!$A$11,'Leave log'!$B$7:$B$306,"&lt;="&amp;DATE($B$3,7,19),'Leave log'!$C$7:$C$306,"&gt;="&amp;DATE($B$3,7,19),'Leave log'!$F$7:$F$306,"Approved")&gt;0,"A",""))="A","A",IF(OR(DATE($B$3,7,19)&gt;EOMONTH(DATE($B$3,7,1),0),NETWORKDAYS.INTL(DATE($B$3,7,19),DATE($B$3,7,19),1,'Non-working days'!$A$6:$A$45)=0),"",IF(COUNTIFS('Leave log'!$A$7:$A$306,Employees!$A$11,'Leave log'!$B$7:$B$306,"&lt;="&amp;DATE($B$3,7,19),'Leave log'!$C$7:$C$306,"&gt;="&amp;DATE($B$3,7,19),'Leave log'!$F$7:$F$306,"Pending")&gt;0,"P",""))))</f>
        <v/>
      </c>
      <c r="U216" s="23" t="str">
        <f>IF(A216="","",IF(IF(OR(DATE($B$3,7,20)&gt;EOMONTH(DATE($B$3,7,1),0),NETWORKDAYS.INTL(DATE($B$3,7,20),DATE($B$3,7,20),1,'Non-working days'!$A$6:$A$45)=0),"",IF(COUNTIFS('Leave log'!$A$7:$A$306,Employees!$A$11,'Leave log'!$B$7:$B$306,"&lt;="&amp;DATE($B$3,7,20),'Leave log'!$C$7:$C$306,"&gt;="&amp;DATE($B$3,7,20),'Leave log'!$F$7:$F$306,"Approved")&gt;0,"A",""))="A","A",IF(OR(DATE($B$3,7,20)&gt;EOMONTH(DATE($B$3,7,1),0),NETWORKDAYS.INTL(DATE($B$3,7,20),DATE($B$3,7,20),1,'Non-working days'!$A$6:$A$45)=0),"",IF(COUNTIFS('Leave log'!$A$7:$A$306,Employees!$A$11,'Leave log'!$B$7:$B$306,"&lt;="&amp;DATE($B$3,7,20),'Leave log'!$C$7:$C$306,"&gt;="&amp;DATE($B$3,7,20),'Leave log'!$F$7:$F$306,"Pending")&gt;0,"P",""))))</f>
        <v/>
      </c>
      <c r="V216" s="23" t="str">
        <f>IF(A216="","",IF(IF(OR(DATE($B$3,7,21)&gt;EOMONTH(DATE($B$3,7,1),0),NETWORKDAYS.INTL(DATE($B$3,7,21),DATE($B$3,7,21),1,'Non-working days'!$A$6:$A$45)=0),"",IF(COUNTIFS('Leave log'!$A$7:$A$306,Employees!$A$11,'Leave log'!$B$7:$B$306,"&lt;="&amp;DATE($B$3,7,21),'Leave log'!$C$7:$C$306,"&gt;="&amp;DATE($B$3,7,21),'Leave log'!$F$7:$F$306,"Approved")&gt;0,"A",""))="A","A",IF(OR(DATE($B$3,7,21)&gt;EOMONTH(DATE($B$3,7,1),0),NETWORKDAYS.INTL(DATE($B$3,7,21),DATE($B$3,7,21),1,'Non-working days'!$A$6:$A$45)=0),"",IF(COUNTIFS('Leave log'!$A$7:$A$306,Employees!$A$11,'Leave log'!$B$7:$B$306,"&lt;="&amp;DATE($B$3,7,21),'Leave log'!$C$7:$C$306,"&gt;="&amp;DATE($B$3,7,21),'Leave log'!$F$7:$F$306,"Pending")&gt;0,"P",""))))</f>
        <v/>
      </c>
      <c r="W216" s="23" t="str">
        <f>IF(A216="","",IF(IF(OR(DATE($B$3,7,22)&gt;EOMONTH(DATE($B$3,7,1),0),NETWORKDAYS.INTL(DATE($B$3,7,22),DATE($B$3,7,22),1,'Non-working days'!$A$6:$A$45)=0),"",IF(COUNTIFS('Leave log'!$A$7:$A$306,Employees!$A$11,'Leave log'!$B$7:$B$306,"&lt;="&amp;DATE($B$3,7,22),'Leave log'!$C$7:$C$306,"&gt;="&amp;DATE($B$3,7,22),'Leave log'!$F$7:$F$306,"Approved")&gt;0,"A",""))="A","A",IF(OR(DATE($B$3,7,22)&gt;EOMONTH(DATE($B$3,7,1),0),NETWORKDAYS.INTL(DATE($B$3,7,22),DATE($B$3,7,22),1,'Non-working days'!$A$6:$A$45)=0),"",IF(COUNTIFS('Leave log'!$A$7:$A$306,Employees!$A$11,'Leave log'!$B$7:$B$306,"&lt;="&amp;DATE($B$3,7,22),'Leave log'!$C$7:$C$306,"&gt;="&amp;DATE($B$3,7,22),'Leave log'!$F$7:$F$306,"Pending")&gt;0,"P",""))))</f>
        <v/>
      </c>
      <c r="X216" s="23" t="str">
        <f>IF(A216="","",IF(IF(OR(DATE($B$3,7,23)&gt;EOMONTH(DATE($B$3,7,1),0),NETWORKDAYS.INTL(DATE($B$3,7,23),DATE($B$3,7,23),1,'Non-working days'!$A$6:$A$45)=0),"",IF(COUNTIFS('Leave log'!$A$7:$A$306,Employees!$A$11,'Leave log'!$B$7:$B$306,"&lt;="&amp;DATE($B$3,7,23),'Leave log'!$C$7:$C$306,"&gt;="&amp;DATE($B$3,7,23),'Leave log'!$F$7:$F$306,"Approved")&gt;0,"A",""))="A","A",IF(OR(DATE($B$3,7,23)&gt;EOMONTH(DATE($B$3,7,1),0),NETWORKDAYS.INTL(DATE($B$3,7,23),DATE($B$3,7,23),1,'Non-working days'!$A$6:$A$45)=0),"",IF(COUNTIFS('Leave log'!$A$7:$A$306,Employees!$A$11,'Leave log'!$B$7:$B$306,"&lt;="&amp;DATE($B$3,7,23),'Leave log'!$C$7:$C$306,"&gt;="&amp;DATE($B$3,7,23),'Leave log'!$F$7:$F$306,"Pending")&gt;0,"P",""))))</f>
        <v/>
      </c>
      <c r="Y216" s="23" t="str">
        <f>IF(A216="","",IF(IF(OR(DATE($B$3,7,24)&gt;EOMONTH(DATE($B$3,7,1),0),NETWORKDAYS.INTL(DATE($B$3,7,24),DATE($B$3,7,24),1,'Non-working days'!$A$6:$A$45)=0),"",IF(COUNTIFS('Leave log'!$A$7:$A$306,Employees!$A$11,'Leave log'!$B$7:$B$306,"&lt;="&amp;DATE($B$3,7,24),'Leave log'!$C$7:$C$306,"&gt;="&amp;DATE($B$3,7,24),'Leave log'!$F$7:$F$306,"Approved")&gt;0,"A",""))="A","A",IF(OR(DATE($B$3,7,24)&gt;EOMONTH(DATE($B$3,7,1),0),NETWORKDAYS.INTL(DATE($B$3,7,24),DATE($B$3,7,24),1,'Non-working days'!$A$6:$A$45)=0),"",IF(COUNTIFS('Leave log'!$A$7:$A$306,Employees!$A$11,'Leave log'!$B$7:$B$306,"&lt;="&amp;DATE($B$3,7,24),'Leave log'!$C$7:$C$306,"&gt;="&amp;DATE($B$3,7,24),'Leave log'!$F$7:$F$306,"Pending")&gt;0,"P",""))))</f>
        <v/>
      </c>
      <c r="Z216" s="23" t="str">
        <f>IF(A216="","",IF(IF(OR(DATE($B$3,7,25)&gt;EOMONTH(DATE($B$3,7,1),0),NETWORKDAYS.INTL(DATE($B$3,7,25),DATE($B$3,7,25),1,'Non-working days'!$A$6:$A$45)=0),"",IF(COUNTIFS('Leave log'!$A$7:$A$306,Employees!$A$11,'Leave log'!$B$7:$B$306,"&lt;="&amp;DATE($B$3,7,25),'Leave log'!$C$7:$C$306,"&gt;="&amp;DATE($B$3,7,25),'Leave log'!$F$7:$F$306,"Approved")&gt;0,"A",""))="A","A",IF(OR(DATE($B$3,7,25)&gt;EOMONTH(DATE($B$3,7,1),0),NETWORKDAYS.INTL(DATE($B$3,7,25),DATE($B$3,7,25),1,'Non-working days'!$A$6:$A$45)=0),"",IF(COUNTIFS('Leave log'!$A$7:$A$306,Employees!$A$11,'Leave log'!$B$7:$B$306,"&lt;="&amp;DATE($B$3,7,25),'Leave log'!$C$7:$C$306,"&gt;="&amp;DATE($B$3,7,25),'Leave log'!$F$7:$F$306,"Pending")&gt;0,"P",""))))</f>
        <v/>
      </c>
      <c r="AA216" s="23" t="str">
        <f>IF(A216="","",IF(IF(OR(DATE($B$3,7,26)&gt;EOMONTH(DATE($B$3,7,1),0),NETWORKDAYS.INTL(DATE($B$3,7,26),DATE($B$3,7,26),1,'Non-working days'!$A$6:$A$45)=0),"",IF(COUNTIFS('Leave log'!$A$7:$A$306,Employees!$A$11,'Leave log'!$B$7:$B$306,"&lt;="&amp;DATE($B$3,7,26),'Leave log'!$C$7:$C$306,"&gt;="&amp;DATE($B$3,7,26),'Leave log'!$F$7:$F$306,"Approved")&gt;0,"A",""))="A","A",IF(OR(DATE($B$3,7,26)&gt;EOMONTH(DATE($B$3,7,1),0),NETWORKDAYS.INTL(DATE($B$3,7,26),DATE($B$3,7,26),1,'Non-working days'!$A$6:$A$45)=0),"",IF(COUNTIFS('Leave log'!$A$7:$A$306,Employees!$A$11,'Leave log'!$B$7:$B$306,"&lt;="&amp;DATE($B$3,7,26),'Leave log'!$C$7:$C$306,"&gt;="&amp;DATE($B$3,7,26),'Leave log'!$F$7:$F$306,"Pending")&gt;0,"P",""))))</f>
        <v/>
      </c>
      <c r="AB216" s="23" t="str">
        <f>IF(A216="","",IF(IF(OR(DATE($B$3,7,27)&gt;EOMONTH(DATE($B$3,7,1),0),NETWORKDAYS.INTL(DATE($B$3,7,27),DATE($B$3,7,27),1,'Non-working days'!$A$6:$A$45)=0),"",IF(COUNTIFS('Leave log'!$A$7:$A$306,Employees!$A$11,'Leave log'!$B$7:$B$306,"&lt;="&amp;DATE($B$3,7,27),'Leave log'!$C$7:$C$306,"&gt;="&amp;DATE($B$3,7,27),'Leave log'!$F$7:$F$306,"Approved")&gt;0,"A",""))="A","A",IF(OR(DATE($B$3,7,27)&gt;EOMONTH(DATE($B$3,7,1),0),NETWORKDAYS.INTL(DATE($B$3,7,27),DATE($B$3,7,27),1,'Non-working days'!$A$6:$A$45)=0),"",IF(COUNTIFS('Leave log'!$A$7:$A$306,Employees!$A$11,'Leave log'!$B$7:$B$306,"&lt;="&amp;DATE($B$3,7,27),'Leave log'!$C$7:$C$306,"&gt;="&amp;DATE($B$3,7,27),'Leave log'!$F$7:$F$306,"Pending")&gt;0,"P",""))))</f>
        <v/>
      </c>
      <c r="AC216" s="23" t="str">
        <f>IF(A216="","",IF(IF(OR(DATE($B$3,7,28)&gt;EOMONTH(DATE($B$3,7,1),0),NETWORKDAYS.INTL(DATE($B$3,7,28),DATE($B$3,7,28),1,'Non-working days'!$A$6:$A$45)=0),"",IF(COUNTIFS('Leave log'!$A$7:$A$306,Employees!$A$11,'Leave log'!$B$7:$B$306,"&lt;="&amp;DATE($B$3,7,28),'Leave log'!$C$7:$C$306,"&gt;="&amp;DATE($B$3,7,28),'Leave log'!$F$7:$F$306,"Approved")&gt;0,"A",""))="A","A",IF(OR(DATE($B$3,7,28)&gt;EOMONTH(DATE($B$3,7,1),0),NETWORKDAYS.INTL(DATE($B$3,7,28),DATE($B$3,7,28),1,'Non-working days'!$A$6:$A$45)=0),"",IF(COUNTIFS('Leave log'!$A$7:$A$306,Employees!$A$11,'Leave log'!$B$7:$B$306,"&lt;="&amp;DATE($B$3,7,28),'Leave log'!$C$7:$C$306,"&gt;="&amp;DATE($B$3,7,28),'Leave log'!$F$7:$F$306,"Pending")&gt;0,"P",""))))</f>
        <v/>
      </c>
      <c r="AD216" s="23" t="str">
        <f>IF(A216="","",IF(IF(OR(DATE($B$3,7,29)&gt;EOMONTH(DATE($B$3,7,1),0),NETWORKDAYS.INTL(DATE($B$3,7,29),DATE($B$3,7,29),1,'Non-working days'!$A$6:$A$45)=0),"",IF(COUNTIFS('Leave log'!$A$7:$A$306,Employees!$A$11,'Leave log'!$B$7:$B$306,"&lt;="&amp;DATE($B$3,7,29),'Leave log'!$C$7:$C$306,"&gt;="&amp;DATE($B$3,7,29),'Leave log'!$F$7:$F$306,"Approved")&gt;0,"A",""))="A","A",IF(OR(DATE($B$3,7,29)&gt;EOMONTH(DATE($B$3,7,1),0),NETWORKDAYS.INTL(DATE($B$3,7,29),DATE($B$3,7,29),1,'Non-working days'!$A$6:$A$45)=0),"",IF(COUNTIFS('Leave log'!$A$7:$A$306,Employees!$A$11,'Leave log'!$B$7:$B$306,"&lt;="&amp;DATE($B$3,7,29),'Leave log'!$C$7:$C$306,"&gt;="&amp;DATE($B$3,7,29),'Leave log'!$F$7:$F$306,"Pending")&gt;0,"P",""))))</f>
        <v/>
      </c>
      <c r="AE216" s="23" t="str">
        <f>IF(A216="","",IF(IF(OR(DATE($B$3,7,30)&gt;EOMONTH(DATE($B$3,7,1),0),NETWORKDAYS.INTL(DATE($B$3,7,30),DATE($B$3,7,30),1,'Non-working days'!$A$6:$A$45)=0),"",IF(COUNTIFS('Leave log'!$A$7:$A$306,Employees!$A$11,'Leave log'!$B$7:$B$306,"&lt;="&amp;DATE($B$3,7,30),'Leave log'!$C$7:$C$306,"&gt;="&amp;DATE($B$3,7,30),'Leave log'!$F$7:$F$306,"Approved")&gt;0,"A",""))="A","A",IF(OR(DATE($B$3,7,30)&gt;EOMONTH(DATE($B$3,7,1),0),NETWORKDAYS.INTL(DATE($B$3,7,30),DATE($B$3,7,30),1,'Non-working days'!$A$6:$A$45)=0),"",IF(COUNTIFS('Leave log'!$A$7:$A$306,Employees!$A$11,'Leave log'!$B$7:$B$306,"&lt;="&amp;DATE($B$3,7,30),'Leave log'!$C$7:$C$306,"&gt;="&amp;DATE($B$3,7,30),'Leave log'!$F$7:$F$306,"Pending")&gt;0,"P",""))))</f>
        <v/>
      </c>
      <c r="AF216" s="23" t="str">
        <f>IF(A216="","",IF(IF(OR(DATE($B$3,7,31)&gt;EOMONTH(DATE($B$3,7,1),0),NETWORKDAYS.INTL(DATE($B$3,7,31),DATE($B$3,7,31),1,'Non-working days'!$A$6:$A$45)=0),"",IF(COUNTIFS('Leave log'!$A$7:$A$306,Employees!$A$11,'Leave log'!$B$7:$B$306,"&lt;="&amp;DATE($B$3,7,31),'Leave log'!$C$7:$C$306,"&gt;="&amp;DATE($B$3,7,31),'Leave log'!$F$7:$F$306,"Approved")&gt;0,"A",""))="A","A",IF(OR(DATE($B$3,7,31)&gt;EOMONTH(DATE($B$3,7,1),0),NETWORKDAYS.INTL(DATE($B$3,7,31),DATE($B$3,7,31),1,'Non-working days'!$A$6:$A$45)=0),"",IF(COUNTIFS('Leave log'!$A$7:$A$306,Employees!$A$11,'Leave log'!$B$7:$B$306,"&lt;="&amp;DATE($B$3,7,31),'Leave log'!$C$7:$C$306,"&gt;="&amp;DATE($B$3,7,31),'Leave log'!$F$7:$F$306,"Pending")&gt;0,"P",""))))</f>
        <v/>
      </c>
    </row>
    <row r="217" spans="1:32" ht="18" customHeight="1" x14ac:dyDescent="0.3">
      <c r="A217" s="22" t="str">
        <f>IF(Employees!F12="Yes",Employees!B12,"")</f>
        <v/>
      </c>
      <c r="B217" s="23" t="str">
        <f>IF(A217="","",IF(IF(OR(DATE($B$3,7,1)&gt;EOMONTH(DATE($B$3,7,1),0),NETWORKDAYS.INTL(DATE($B$3,7,1),DATE($B$3,7,1),1,'Non-working days'!$A$6:$A$45)=0),"",IF(COUNTIFS('Leave log'!$A$7:$A$306,Employees!$A$12,'Leave log'!$B$7:$B$306,"&lt;="&amp;DATE($B$3,7,1),'Leave log'!$C$7:$C$306,"&gt;="&amp;DATE($B$3,7,1),'Leave log'!$F$7:$F$306,"Approved")&gt;0,"A",""))="A","A",IF(OR(DATE($B$3,7,1)&gt;EOMONTH(DATE($B$3,7,1),0),NETWORKDAYS.INTL(DATE($B$3,7,1),DATE($B$3,7,1),1,'Non-working days'!$A$6:$A$45)=0),"",IF(COUNTIFS('Leave log'!$A$7:$A$306,Employees!$A$12,'Leave log'!$B$7:$B$306,"&lt;="&amp;DATE($B$3,7,1),'Leave log'!$C$7:$C$306,"&gt;="&amp;DATE($B$3,7,1),'Leave log'!$F$7:$F$306,"Pending")&gt;0,"P",""))))</f>
        <v/>
      </c>
      <c r="C217" s="23" t="str">
        <f>IF(A217="","",IF(IF(OR(DATE($B$3,7,2)&gt;EOMONTH(DATE($B$3,7,1),0),NETWORKDAYS.INTL(DATE($B$3,7,2),DATE($B$3,7,2),1,'Non-working days'!$A$6:$A$45)=0),"",IF(COUNTIFS('Leave log'!$A$7:$A$306,Employees!$A$12,'Leave log'!$B$7:$B$306,"&lt;="&amp;DATE($B$3,7,2),'Leave log'!$C$7:$C$306,"&gt;="&amp;DATE($B$3,7,2),'Leave log'!$F$7:$F$306,"Approved")&gt;0,"A",""))="A","A",IF(OR(DATE($B$3,7,2)&gt;EOMONTH(DATE($B$3,7,1),0),NETWORKDAYS.INTL(DATE($B$3,7,2),DATE($B$3,7,2),1,'Non-working days'!$A$6:$A$45)=0),"",IF(COUNTIFS('Leave log'!$A$7:$A$306,Employees!$A$12,'Leave log'!$B$7:$B$306,"&lt;="&amp;DATE($B$3,7,2),'Leave log'!$C$7:$C$306,"&gt;="&amp;DATE($B$3,7,2),'Leave log'!$F$7:$F$306,"Pending")&gt;0,"P",""))))</f>
        <v/>
      </c>
      <c r="D217" s="23" t="str">
        <f>IF(A217="","",IF(IF(OR(DATE($B$3,7,3)&gt;EOMONTH(DATE($B$3,7,1),0),NETWORKDAYS.INTL(DATE($B$3,7,3),DATE($B$3,7,3),1,'Non-working days'!$A$6:$A$45)=0),"",IF(COUNTIFS('Leave log'!$A$7:$A$306,Employees!$A$12,'Leave log'!$B$7:$B$306,"&lt;="&amp;DATE($B$3,7,3),'Leave log'!$C$7:$C$306,"&gt;="&amp;DATE($B$3,7,3),'Leave log'!$F$7:$F$306,"Approved")&gt;0,"A",""))="A","A",IF(OR(DATE($B$3,7,3)&gt;EOMONTH(DATE($B$3,7,1),0),NETWORKDAYS.INTL(DATE($B$3,7,3),DATE($B$3,7,3),1,'Non-working days'!$A$6:$A$45)=0),"",IF(COUNTIFS('Leave log'!$A$7:$A$306,Employees!$A$12,'Leave log'!$B$7:$B$306,"&lt;="&amp;DATE($B$3,7,3),'Leave log'!$C$7:$C$306,"&gt;="&amp;DATE($B$3,7,3),'Leave log'!$F$7:$F$306,"Pending")&gt;0,"P",""))))</f>
        <v/>
      </c>
      <c r="E217" s="23" t="str">
        <f>IF(A217="","",IF(IF(OR(DATE($B$3,7,4)&gt;EOMONTH(DATE($B$3,7,1),0),NETWORKDAYS.INTL(DATE($B$3,7,4),DATE($B$3,7,4),1,'Non-working days'!$A$6:$A$45)=0),"",IF(COUNTIFS('Leave log'!$A$7:$A$306,Employees!$A$12,'Leave log'!$B$7:$B$306,"&lt;="&amp;DATE($B$3,7,4),'Leave log'!$C$7:$C$306,"&gt;="&amp;DATE($B$3,7,4),'Leave log'!$F$7:$F$306,"Approved")&gt;0,"A",""))="A","A",IF(OR(DATE($B$3,7,4)&gt;EOMONTH(DATE($B$3,7,1),0),NETWORKDAYS.INTL(DATE($B$3,7,4),DATE($B$3,7,4),1,'Non-working days'!$A$6:$A$45)=0),"",IF(COUNTIFS('Leave log'!$A$7:$A$306,Employees!$A$12,'Leave log'!$B$7:$B$306,"&lt;="&amp;DATE($B$3,7,4),'Leave log'!$C$7:$C$306,"&gt;="&amp;DATE($B$3,7,4),'Leave log'!$F$7:$F$306,"Pending")&gt;0,"P",""))))</f>
        <v/>
      </c>
      <c r="F217" s="23" t="str">
        <f>IF(A217="","",IF(IF(OR(DATE($B$3,7,5)&gt;EOMONTH(DATE($B$3,7,1),0),NETWORKDAYS.INTL(DATE($B$3,7,5),DATE($B$3,7,5),1,'Non-working days'!$A$6:$A$45)=0),"",IF(COUNTIFS('Leave log'!$A$7:$A$306,Employees!$A$12,'Leave log'!$B$7:$B$306,"&lt;="&amp;DATE($B$3,7,5),'Leave log'!$C$7:$C$306,"&gt;="&amp;DATE($B$3,7,5),'Leave log'!$F$7:$F$306,"Approved")&gt;0,"A",""))="A","A",IF(OR(DATE($B$3,7,5)&gt;EOMONTH(DATE($B$3,7,1),0),NETWORKDAYS.INTL(DATE($B$3,7,5),DATE($B$3,7,5),1,'Non-working days'!$A$6:$A$45)=0),"",IF(COUNTIFS('Leave log'!$A$7:$A$306,Employees!$A$12,'Leave log'!$B$7:$B$306,"&lt;="&amp;DATE($B$3,7,5),'Leave log'!$C$7:$C$306,"&gt;="&amp;DATE($B$3,7,5),'Leave log'!$F$7:$F$306,"Pending")&gt;0,"P",""))))</f>
        <v/>
      </c>
      <c r="G217" s="23" t="str">
        <f>IF(A217="","",IF(IF(OR(DATE($B$3,7,6)&gt;EOMONTH(DATE($B$3,7,1),0),NETWORKDAYS.INTL(DATE($B$3,7,6),DATE($B$3,7,6),1,'Non-working days'!$A$6:$A$45)=0),"",IF(COUNTIFS('Leave log'!$A$7:$A$306,Employees!$A$12,'Leave log'!$B$7:$B$306,"&lt;="&amp;DATE($B$3,7,6),'Leave log'!$C$7:$C$306,"&gt;="&amp;DATE($B$3,7,6),'Leave log'!$F$7:$F$306,"Approved")&gt;0,"A",""))="A","A",IF(OR(DATE($B$3,7,6)&gt;EOMONTH(DATE($B$3,7,1),0),NETWORKDAYS.INTL(DATE($B$3,7,6),DATE($B$3,7,6),1,'Non-working days'!$A$6:$A$45)=0),"",IF(COUNTIFS('Leave log'!$A$7:$A$306,Employees!$A$12,'Leave log'!$B$7:$B$306,"&lt;="&amp;DATE($B$3,7,6),'Leave log'!$C$7:$C$306,"&gt;="&amp;DATE($B$3,7,6),'Leave log'!$F$7:$F$306,"Pending")&gt;0,"P",""))))</f>
        <v/>
      </c>
      <c r="H217" s="23" t="str">
        <f>IF(A217="","",IF(IF(OR(DATE($B$3,7,7)&gt;EOMONTH(DATE($B$3,7,1),0),NETWORKDAYS.INTL(DATE($B$3,7,7),DATE($B$3,7,7),1,'Non-working days'!$A$6:$A$45)=0),"",IF(COUNTIFS('Leave log'!$A$7:$A$306,Employees!$A$12,'Leave log'!$B$7:$B$306,"&lt;="&amp;DATE($B$3,7,7),'Leave log'!$C$7:$C$306,"&gt;="&amp;DATE($B$3,7,7),'Leave log'!$F$7:$F$306,"Approved")&gt;0,"A",""))="A","A",IF(OR(DATE($B$3,7,7)&gt;EOMONTH(DATE($B$3,7,1),0),NETWORKDAYS.INTL(DATE($B$3,7,7),DATE($B$3,7,7),1,'Non-working days'!$A$6:$A$45)=0),"",IF(COUNTIFS('Leave log'!$A$7:$A$306,Employees!$A$12,'Leave log'!$B$7:$B$306,"&lt;="&amp;DATE($B$3,7,7),'Leave log'!$C$7:$C$306,"&gt;="&amp;DATE($B$3,7,7),'Leave log'!$F$7:$F$306,"Pending")&gt;0,"P",""))))</f>
        <v/>
      </c>
      <c r="I217" s="23" t="str">
        <f>IF(A217="","",IF(IF(OR(DATE($B$3,7,8)&gt;EOMONTH(DATE($B$3,7,1),0),NETWORKDAYS.INTL(DATE($B$3,7,8),DATE($B$3,7,8),1,'Non-working days'!$A$6:$A$45)=0),"",IF(COUNTIFS('Leave log'!$A$7:$A$306,Employees!$A$12,'Leave log'!$B$7:$B$306,"&lt;="&amp;DATE($B$3,7,8),'Leave log'!$C$7:$C$306,"&gt;="&amp;DATE($B$3,7,8),'Leave log'!$F$7:$F$306,"Approved")&gt;0,"A",""))="A","A",IF(OR(DATE($B$3,7,8)&gt;EOMONTH(DATE($B$3,7,1),0),NETWORKDAYS.INTL(DATE($B$3,7,8),DATE($B$3,7,8),1,'Non-working days'!$A$6:$A$45)=0),"",IF(COUNTIFS('Leave log'!$A$7:$A$306,Employees!$A$12,'Leave log'!$B$7:$B$306,"&lt;="&amp;DATE($B$3,7,8),'Leave log'!$C$7:$C$306,"&gt;="&amp;DATE($B$3,7,8),'Leave log'!$F$7:$F$306,"Pending")&gt;0,"P",""))))</f>
        <v/>
      </c>
      <c r="J217" s="23" t="str">
        <f>IF(A217="","",IF(IF(OR(DATE($B$3,7,9)&gt;EOMONTH(DATE($B$3,7,1),0),NETWORKDAYS.INTL(DATE($B$3,7,9),DATE($B$3,7,9),1,'Non-working days'!$A$6:$A$45)=0),"",IF(COUNTIFS('Leave log'!$A$7:$A$306,Employees!$A$12,'Leave log'!$B$7:$B$306,"&lt;="&amp;DATE($B$3,7,9),'Leave log'!$C$7:$C$306,"&gt;="&amp;DATE($B$3,7,9),'Leave log'!$F$7:$F$306,"Approved")&gt;0,"A",""))="A","A",IF(OR(DATE($B$3,7,9)&gt;EOMONTH(DATE($B$3,7,1),0),NETWORKDAYS.INTL(DATE($B$3,7,9),DATE($B$3,7,9),1,'Non-working days'!$A$6:$A$45)=0),"",IF(COUNTIFS('Leave log'!$A$7:$A$306,Employees!$A$12,'Leave log'!$B$7:$B$306,"&lt;="&amp;DATE($B$3,7,9),'Leave log'!$C$7:$C$306,"&gt;="&amp;DATE($B$3,7,9),'Leave log'!$F$7:$F$306,"Pending")&gt;0,"P",""))))</f>
        <v/>
      </c>
      <c r="K217" s="23" t="str">
        <f>IF(A217="","",IF(IF(OR(DATE($B$3,7,10)&gt;EOMONTH(DATE($B$3,7,1),0),NETWORKDAYS.INTL(DATE($B$3,7,10),DATE($B$3,7,10),1,'Non-working days'!$A$6:$A$45)=0),"",IF(COUNTIFS('Leave log'!$A$7:$A$306,Employees!$A$12,'Leave log'!$B$7:$B$306,"&lt;="&amp;DATE($B$3,7,10),'Leave log'!$C$7:$C$306,"&gt;="&amp;DATE($B$3,7,10),'Leave log'!$F$7:$F$306,"Approved")&gt;0,"A",""))="A","A",IF(OR(DATE($B$3,7,10)&gt;EOMONTH(DATE($B$3,7,1),0),NETWORKDAYS.INTL(DATE($B$3,7,10),DATE($B$3,7,10),1,'Non-working days'!$A$6:$A$45)=0),"",IF(COUNTIFS('Leave log'!$A$7:$A$306,Employees!$A$12,'Leave log'!$B$7:$B$306,"&lt;="&amp;DATE($B$3,7,10),'Leave log'!$C$7:$C$306,"&gt;="&amp;DATE($B$3,7,10),'Leave log'!$F$7:$F$306,"Pending")&gt;0,"P",""))))</f>
        <v/>
      </c>
      <c r="L217" s="23" t="str">
        <f>IF(A217="","",IF(IF(OR(DATE($B$3,7,11)&gt;EOMONTH(DATE($B$3,7,1),0),NETWORKDAYS.INTL(DATE($B$3,7,11),DATE($B$3,7,11),1,'Non-working days'!$A$6:$A$45)=0),"",IF(COUNTIFS('Leave log'!$A$7:$A$306,Employees!$A$12,'Leave log'!$B$7:$B$306,"&lt;="&amp;DATE($B$3,7,11),'Leave log'!$C$7:$C$306,"&gt;="&amp;DATE($B$3,7,11),'Leave log'!$F$7:$F$306,"Approved")&gt;0,"A",""))="A","A",IF(OR(DATE($B$3,7,11)&gt;EOMONTH(DATE($B$3,7,1),0),NETWORKDAYS.INTL(DATE($B$3,7,11),DATE($B$3,7,11),1,'Non-working days'!$A$6:$A$45)=0),"",IF(COUNTIFS('Leave log'!$A$7:$A$306,Employees!$A$12,'Leave log'!$B$7:$B$306,"&lt;="&amp;DATE($B$3,7,11),'Leave log'!$C$7:$C$306,"&gt;="&amp;DATE($B$3,7,11),'Leave log'!$F$7:$F$306,"Pending")&gt;0,"P",""))))</f>
        <v/>
      </c>
      <c r="M217" s="23" t="str">
        <f>IF(A217="","",IF(IF(OR(DATE($B$3,7,12)&gt;EOMONTH(DATE($B$3,7,1),0),NETWORKDAYS.INTL(DATE($B$3,7,12),DATE($B$3,7,12),1,'Non-working days'!$A$6:$A$45)=0),"",IF(COUNTIFS('Leave log'!$A$7:$A$306,Employees!$A$12,'Leave log'!$B$7:$B$306,"&lt;="&amp;DATE($B$3,7,12),'Leave log'!$C$7:$C$306,"&gt;="&amp;DATE($B$3,7,12),'Leave log'!$F$7:$F$306,"Approved")&gt;0,"A",""))="A","A",IF(OR(DATE($B$3,7,12)&gt;EOMONTH(DATE($B$3,7,1),0),NETWORKDAYS.INTL(DATE($B$3,7,12),DATE($B$3,7,12),1,'Non-working days'!$A$6:$A$45)=0),"",IF(COUNTIFS('Leave log'!$A$7:$A$306,Employees!$A$12,'Leave log'!$B$7:$B$306,"&lt;="&amp;DATE($B$3,7,12),'Leave log'!$C$7:$C$306,"&gt;="&amp;DATE($B$3,7,12),'Leave log'!$F$7:$F$306,"Pending")&gt;0,"P",""))))</f>
        <v/>
      </c>
      <c r="N217" s="23" t="str">
        <f>IF(A217="","",IF(IF(OR(DATE($B$3,7,13)&gt;EOMONTH(DATE($B$3,7,1),0),NETWORKDAYS.INTL(DATE($B$3,7,13),DATE($B$3,7,13),1,'Non-working days'!$A$6:$A$45)=0),"",IF(COUNTIFS('Leave log'!$A$7:$A$306,Employees!$A$12,'Leave log'!$B$7:$B$306,"&lt;="&amp;DATE($B$3,7,13),'Leave log'!$C$7:$C$306,"&gt;="&amp;DATE($B$3,7,13),'Leave log'!$F$7:$F$306,"Approved")&gt;0,"A",""))="A","A",IF(OR(DATE($B$3,7,13)&gt;EOMONTH(DATE($B$3,7,1),0),NETWORKDAYS.INTL(DATE($B$3,7,13),DATE($B$3,7,13),1,'Non-working days'!$A$6:$A$45)=0),"",IF(COUNTIFS('Leave log'!$A$7:$A$306,Employees!$A$12,'Leave log'!$B$7:$B$306,"&lt;="&amp;DATE($B$3,7,13),'Leave log'!$C$7:$C$306,"&gt;="&amp;DATE($B$3,7,13),'Leave log'!$F$7:$F$306,"Pending")&gt;0,"P",""))))</f>
        <v/>
      </c>
      <c r="O217" s="23" t="str">
        <f>IF(A217="","",IF(IF(OR(DATE($B$3,7,14)&gt;EOMONTH(DATE($B$3,7,1),0),NETWORKDAYS.INTL(DATE($B$3,7,14),DATE($B$3,7,14),1,'Non-working days'!$A$6:$A$45)=0),"",IF(COUNTIFS('Leave log'!$A$7:$A$306,Employees!$A$12,'Leave log'!$B$7:$B$306,"&lt;="&amp;DATE($B$3,7,14),'Leave log'!$C$7:$C$306,"&gt;="&amp;DATE($B$3,7,14),'Leave log'!$F$7:$F$306,"Approved")&gt;0,"A",""))="A","A",IF(OR(DATE($B$3,7,14)&gt;EOMONTH(DATE($B$3,7,1),0),NETWORKDAYS.INTL(DATE($B$3,7,14),DATE($B$3,7,14),1,'Non-working days'!$A$6:$A$45)=0),"",IF(COUNTIFS('Leave log'!$A$7:$A$306,Employees!$A$12,'Leave log'!$B$7:$B$306,"&lt;="&amp;DATE($B$3,7,14),'Leave log'!$C$7:$C$306,"&gt;="&amp;DATE($B$3,7,14),'Leave log'!$F$7:$F$306,"Pending")&gt;0,"P",""))))</f>
        <v/>
      </c>
      <c r="P217" s="23" t="str">
        <f>IF(A217="","",IF(IF(OR(DATE($B$3,7,15)&gt;EOMONTH(DATE($B$3,7,1),0),NETWORKDAYS.INTL(DATE($B$3,7,15),DATE($B$3,7,15),1,'Non-working days'!$A$6:$A$45)=0),"",IF(COUNTIFS('Leave log'!$A$7:$A$306,Employees!$A$12,'Leave log'!$B$7:$B$306,"&lt;="&amp;DATE($B$3,7,15),'Leave log'!$C$7:$C$306,"&gt;="&amp;DATE($B$3,7,15),'Leave log'!$F$7:$F$306,"Approved")&gt;0,"A",""))="A","A",IF(OR(DATE($B$3,7,15)&gt;EOMONTH(DATE($B$3,7,1),0),NETWORKDAYS.INTL(DATE($B$3,7,15),DATE($B$3,7,15),1,'Non-working days'!$A$6:$A$45)=0),"",IF(COUNTIFS('Leave log'!$A$7:$A$306,Employees!$A$12,'Leave log'!$B$7:$B$306,"&lt;="&amp;DATE($B$3,7,15),'Leave log'!$C$7:$C$306,"&gt;="&amp;DATE($B$3,7,15),'Leave log'!$F$7:$F$306,"Pending")&gt;0,"P",""))))</f>
        <v/>
      </c>
      <c r="Q217" s="23" t="str">
        <f>IF(A217="","",IF(IF(OR(DATE($B$3,7,16)&gt;EOMONTH(DATE($B$3,7,1),0),NETWORKDAYS.INTL(DATE($B$3,7,16),DATE($B$3,7,16),1,'Non-working days'!$A$6:$A$45)=0),"",IF(COUNTIFS('Leave log'!$A$7:$A$306,Employees!$A$12,'Leave log'!$B$7:$B$306,"&lt;="&amp;DATE($B$3,7,16),'Leave log'!$C$7:$C$306,"&gt;="&amp;DATE($B$3,7,16),'Leave log'!$F$7:$F$306,"Approved")&gt;0,"A",""))="A","A",IF(OR(DATE($B$3,7,16)&gt;EOMONTH(DATE($B$3,7,1),0),NETWORKDAYS.INTL(DATE($B$3,7,16),DATE($B$3,7,16),1,'Non-working days'!$A$6:$A$45)=0),"",IF(COUNTIFS('Leave log'!$A$7:$A$306,Employees!$A$12,'Leave log'!$B$7:$B$306,"&lt;="&amp;DATE($B$3,7,16),'Leave log'!$C$7:$C$306,"&gt;="&amp;DATE($B$3,7,16),'Leave log'!$F$7:$F$306,"Pending")&gt;0,"P",""))))</f>
        <v/>
      </c>
      <c r="R217" s="23" t="str">
        <f>IF(A217="","",IF(IF(OR(DATE($B$3,7,17)&gt;EOMONTH(DATE($B$3,7,1),0),NETWORKDAYS.INTL(DATE($B$3,7,17),DATE($B$3,7,17),1,'Non-working days'!$A$6:$A$45)=0),"",IF(COUNTIFS('Leave log'!$A$7:$A$306,Employees!$A$12,'Leave log'!$B$7:$B$306,"&lt;="&amp;DATE($B$3,7,17),'Leave log'!$C$7:$C$306,"&gt;="&amp;DATE($B$3,7,17),'Leave log'!$F$7:$F$306,"Approved")&gt;0,"A",""))="A","A",IF(OR(DATE($B$3,7,17)&gt;EOMONTH(DATE($B$3,7,1),0),NETWORKDAYS.INTL(DATE($B$3,7,17),DATE($B$3,7,17),1,'Non-working days'!$A$6:$A$45)=0),"",IF(COUNTIFS('Leave log'!$A$7:$A$306,Employees!$A$12,'Leave log'!$B$7:$B$306,"&lt;="&amp;DATE($B$3,7,17),'Leave log'!$C$7:$C$306,"&gt;="&amp;DATE($B$3,7,17),'Leave log'!$F$7:$F$306,"Pending")&gt;0,"P",""))))</f>
        <v/>
      </c>
      <c r="S217" s="23" t="str">
        <f>IF(A217="","",IF(IF(OR(DATE($B$3,7,18)&gt;EOMONTH(DATE($B$3,7,1),0),NETWORKDAYS.INTL(DATE($B$3,7,18),DATE($B$3,7,18),1,'Non-working days'!$A$6:$A$45)=0),"",IF(COUNTIFS('Leave log'!$A$7:$A$306,Employees!$A$12,'Leave log'!$B$7:$B$306,"&lt;="&amp;DATE($B$3,7,18),'Leave log'!$C$7:$C$306,"&gt;="&amp;DATE($B$3,7,18),'Leave log'!$F$7:$F$306,"Approved")&gt;0,"A",""))="A","A",IF(OR(DATE($B$3,7,18)&gt;EOMONTH(DATE($B$3,7,1),0),NETWORKDAYS.INTL(DATE($B$3,7,18),DATE($B$3,7,18),1,'Non-working days'!$A$6:$A$45)=0),"",IF(COUNTIFS('Leave log'!$A$7:$A$306,Employees!$A$12,'Leave log'!$B$7:$B$306,"&lt;="&amp;DATE($B$3,7,18),'Leave log'!$C$7:$C$306,"&gt;="&amp;DATE($B$3,7,18),'Leave log'!$F$7:$F$306,"Pending")&gt;0,"P",""))))</f>
        <v/>
      </c>
      <c r="T217" s="23" t="str">
        <f>IF(A217="","",IF(IF(OR(DATE($B$3,7,19)&gt;EOMONTH(DATE($B$3,7,1),0),NETWORKDAYS.INTL(DATE($B$3,7,19),DATE($B$3,7,19),1,'Non-working days'!$A$6:$A$45)=0),"",IF(COUNTIFS('Leave log'!$A$7:$A$306,Employees!$A$12,'Leave log'!$B$7:$B$306,"&lt;="&amp;DATE($B$3,7,19),'Leave log'!$C$7:$C$306,"&gt;="&amp;DATE($B$3,7,19),'Leave log'!$F$7:$F$306,"Approved")&gt;0,"A",""))="A","A",IF(OR(DATE($B$3,7,19)&gt;EOMONTH(DATE($B$3,7,1),0),NETWORKDAYS.INTL(DATE($B$3,7,19),DATE($B$3,7,19),1,'Non-working days'!$A$6:$A$45)=0),"",IF(COUNTIFS('Leave log'!$A$7:$A$306,Employees!$A$12,'Leave log'!$B$7:$B$306,"&lt;="&amp;DATE($B$3,7,19),'Leave log'!$C$7:$C$306,"&gt;="&amp;DATE($B$3,7,19),'Leave log'!$F$7:$F$306,"Pending")&gt;0,"P",""))))</f>
        <v/>
      </c>
      <c r="U217" s="23" t="str">
        <f>IF(A217="","",IF(IF(OR(DATE($B$3,7,20)&gt;EOMONTH(DATE($B$3,7,1),0),NETWORKDAYS.INTL(DATE($B$3,7,20),DATE($B$3,7,20),1,'Non-working days'!$A$6:$A$45)=0),"",IF(COUNTIFS('Leave log'!$A$7:$A$306,Employees!$A$12,'Leave log'!$B$7:$B$306,"&lt;="&amp;DATE($B$3,7,20),'Leave log'!$C$7:$C$306,"&gt;="&amp;DATE($B$3,7,20),'Leave log'!$F$7:$F$306,"Approved")&gt;0,"A",""))="A","A",IF(OR(DATE($B$3,7,20)&gt;EOMONTH(DATE($B$3,7,1),0),NETWORKDAYS.INTL(DATE($B$3,7,20),DATE($B$3,7,20),1,'Non-working days'!$A$6:$A$45)=0),"",IF(COUNTIFS('Leave log'!$A$7:$A$306,Employees!$A$12,'Leave log'!$B$7:$B$306,"&lt;="&amp;DATE($B$3,7,20),'Leave log'!$C$7:$C$306,"&gt;="&amp;DATE($B$3,7,20),'Leave log'!$F$7:$F$306,"Pending")&gt;0,"P",""))))</f>
        <v/>
      </c>
      <c r="V217" s="23" t="str">
        <f>IF(A217="","",IF(IF(OR(DATE($B$3,7,21)&gt;EOMONTH(DATE($B$3,7,1),0),NETWORKDAYS.INTL(DATE($B$3,7,21),DATE($B$3,7,21),1,'Non-working days'!$A$6:$A$45)=0),"",IF(COUNTIFS('Leave log'!$A$7:$A$306,Employees!$A$12,'Leave log'!$B$7:$B$306,"&lt;="&amp;DATE($B$3,7,21),'Leave log'!$C$7:$C$306,"&gt;="&amp;DATE($B$3,7,21),'Leave log'!$F$7:$F$306,"Approved")&gt;0,"A",""))="A","A",IF(OR(DATE($B$3,7,21)&gt;EOMONTH(DATE($B$3,7,1),0),NETWORKDAYS.INTL(DATE($B$3,7,21),DATE($B$3,7,21),1,'Non-working days'!$A$6:$A$45)=0),"",IF(COUNTIFS('Leave log'!$A$7:$A$306,Employees!$A$12,'Leave log'!$B$7:$B$306,"&lt;="&amp;DATE($B$3,7,21),'Leave log'!$C$7:$C$306,"&gt;="&amp;DATE($B$3,7,21),'Leave log'!$F$7:$F$306,"Pending")&gt;0,"P",""))))</f>
        <v/>
      </c>
      <c r="W217" s="23" t="str">
        <f>IF(A217="","",IF(IF(OR(DATE($B$3,7,22)&gt;EOMONTH(DATE($B$3,7,1),0),NETWORKDAYS.INTL(DATE($B$3,7,22),DATE($B$3,7,22),1,'Non-working days'!$A$6:$A$45)=0),"",IF(COUNTIFS('Leave log'!$A$7:$A$306,Employees!$A$12,'Leave log'!$B$7:$B$306,"&lt;="&amp;DATE($B$3,7,22),'Leave log'!$C$7:$C$306,"&gt;="&amp;DATE($B$3,7,22),'Leave log'!$F$7:$F$306,"Approved")&gt;0,"A",""))="A","A",IF(OR(DATE($B$3,7,22)&gt;EOMONTH(DATE($B$3,7,1),0),NETWORKDAYS.INTL(DATE($B$3,7,22),DATE($B$3,7,22),1,'Non-working days'!$A$6:$A$45)=0),"",IF(COUNTIFS('Leave log'!$A$7:$A$306,Employees!$A$12,'Leave log'!$B$7:$B$306,"&lt;="&amp;DATE($B$3,7,22),'Leave log'!$C$7:$C$306,"&gt;="&amp;DATE($B$3,7,22),'Leave log'!$F$7:$F$306,"Pending")&gt;0,"P",""))))</f>
        <v/>
      </c>
      <c r="X217" s="23" t="str">
        <f>IF(A217="","",IF(IF(OR(DATE($B$3,7,23)&gt;EOMONTH(DATE($B$3,7,1),0),NETWORKDAYS.INTL(DATE($B$3,7,23),DATE($B$3,7,23),1,'Non-working days'!$A$6:$A$45)=0),"",IF(COUNTIFS('Leave log'!$A$7:$A$306,Employees!$A$12,'Leave log'!$B$7:$B$306,"&lt;="&amp;DATE($B$3,7,23),'Leave log'!$C$7:$C$306,"&gt;="&amp;DATE($B$3,7,23),'Leave log'!$F$7:$F$306,"Approved")&gt;0,"A",""))="A","A",IF(OR(DATE($B$3,7,23)&gt;EOMONTH(DATE($B$3,7,1),0),NETWORKDAYS.INTL(DATE($B$3,7,23),DATE($B$3,7,23),1,'Non-working days'!$A$6:$A$45)=0),"",IF(COUNTIFS('Leave log'!$A$7:$A$306,Employees!$A$12,'Leave log'!$B$7:$B$306,"&lt;="&amp;DATE($B$3,7,23),'Leave log'!$C$7:$C$306,"&gt;="&amp;DATE($B$3,7,23),'Leave log'!$F$7:$F$306,"Pending")&gt;0,"P",""))))</f>
        <v/>
      </c>
      <c r="Y217" s="23" t="str">
        <f>IF(A217="","",IF(IF(OR(DATE($B$3,7,24)&gt;EOMONTH(DATE($B$3,7,1),0),NETWORKDAYS.INTL(DATE($B$3,7,24),DATE($B$3,7,24),1,'Non-working days'!$A$6:$A$45)=0),"",IF(COUNTIFS('Leave log'!$A$7:$A$306,Employees!$A$12,'Leave log'!$B$7:$B$306,"&lt;="&amp;DATE($B$3,7,24),'Leave log'!$C$7:$C$306,"&gt;="&amp;DATE($B$3,7,24),'Leave log'!$F$7:$F$306,"Approved")&gt;0,"A",""))="A","A",IF(OR(DATE($B$3,7,24)&gt;EOMONTH(DATE($B$3,7,1),0),NETWORKDAYS.INTL(DATE($B$3,7,24),DATE($B$3,7,24),1,'Non-working days'!$A$6:$A$45)=0),"",IF(COUNTIFS('Leave log'!$A$7:$A$306,Employees!$A$12,'Leave log'!$B$7:$B$306,"&lt;="&amp;DATE($B$3,7,24),'Leave log'!$C$7:$C$306,"&gt;="&amp;DATE($B$3,7,24),'Leave log'!$F$7:$F$306,"Pending")&gt;0,"P",""))))</f>
        <v/>
      </c>
      <c r="Z217" s="23" t="str">
        <f>IF(A217="","",IF(IF(OR(DATE($B$3,7,25)&gt;EOMONTH(DATE($B$3,7,1),0),NETWORKDAYS.INTL(DATE($B$3,7,25),DATE($B$3,7,25),1,'Non-working days'!$A$6:$A$45)=0),"",IF(COUNTIFS('Leave log'!$A$7:$A$306,Employees!$A$12,'Leave log'!$B$7:$B$306,"&lt;="&amp;DATE($B$3,7,25),'Leave log'!$C$7:$C$306,"&gt;="&amp;DATE($B$3,7,25),'Leave log'!$F$7:$F$306,"Approved")&gt;0,"A",""))="A","A",IF(OR(DATE($B$3,7,25)&gt;EOMONTH(DATE($B$3,7,1),0),NETWORKDAYS.INTL(DATE($B$3,7,25),DATE($B$3,7,25),1,'Non-working days'!$A$6:$A$45)=0),"",IF(COUNTIFS('Leave log'!$A$7:$A$306,Employees!$A$12,'Leave log'!$B$7:$B$306,"&lt;="&amp;DATE($B$3,7,25),'Leave log'!$C$7:$C$306,"&gt;="&amp;DATE($B$3,7,25),'Leave log'!$F$7:$F$306,"Pending")&gt;0,"P",""))))</f>
        <v/>
      </c>
      <c r="AA217" s="23" t="str">
        <f>IF(A217="","",IF(IF(OR(DATE($B$3,7,26)&gt;EOMONTH(DATE($B$3,7,1),0),NETWORKDAYS.INTL(DATE($B$3,7,26),DATE($B$3,7,26),1,'Non-working days'!$A$6:$A$45)=0),"",IF(COUNTIFS('Leave log'!$A$7:$A$306,Employees!$A$12,'Leave log'!$B$7:$B$306,"&lt;="&amp;DATE($B$3,7,26),'Leave log'!$C$7:$C$306,"&gt;="&amp;DATE($B$3,7,26),'Leave log'!$F$7:$F$306,"Approved")&gt;0,"A",""))="A","A",IF(OR(DATE($B$3,7,26)&gt;EOMONTH(DATE($B$3,7,1),0),NETWORKDAYS.INTL(DATE($B$3,7,26),DATE($B$3,7,26),1,'Non-working days'!$A$6:$A$45)=0),"",IF(COUNTIFS('Leave log'!$A$7:$A$306,Employees!$A$12,'Leave log'!$B$7:$B$306,"&lt;="&amp;DATE($B$3,7,26),'Leave log'!$C$7:$C$306,"&gt;="&amp;DATE($B$3,7,26),'Leave log'!$F$7:$F$306,"Pending")&gt;0,"P",""))))</f>
        <v/>
      </c>
      <c r="AB217" s="23" t="str">
        <f>IF(A217="","",IF(IF(OR(DATE($B$3,7,27)&gt;EOMONTH(DATE($B$3,7,1),0),NETWORKDAYS.INTL(DATE($B$3,7,27),DATE($B$3,7,27),1,'Non-working days'!$A$6:$A$45)=0),"",IF(COUNTIFS('Leave log'!$A$7:$A$306,Employees!$A$12,'Leave log'!$B$7:$B$306,"&lt;="&amp;DATE($B$3,7,27),'Leave log'!$C$7:$C$306,"&gt;="&amp;DATE($B$3,7,27),'Leave log'!$F$7:$F$306,"Approved")&gt;0,"A",""))="A","A",IF(OR(DATE($B$3,7,27)&gt;EOMONTH(DATE($B$3,7,1),0),NETWORKDAYS.INTL(DATE($B$3,7,27),DATE($B$3,7,27),1,'Non-working days'!$A$6:$A$45)=0),"",IF(COUNTIFS('Leave log'!$A$7:$A$306,Employees!$A$12,'Leave log'!$B$7:$B$306,"&lt;="&amp;DATE($B$3,7,27),'Leave log'!$C$7:$C$306,"&gt;="&amp;DATE($B$3,7,27),'Leave log'!$F$7:$F$306,"Pending")&gt;0,"P",""))))</f>
        <v/>
      </c>
      <c r="AC217" s="23" t="str">
        <f>IF(A217="","",IF(IF(OR(DATE($B$3,7,28)&gt;EOMONTH(DATE($B$3,7,1),0),NETWORKDAYS.INTL(DATE($B$3,7,28),DATE($B$3,7,28),1,'Non-working days'!$A$6:$A$45)=0),"",IF(COUNTIFS('Leave log'!$A$7:$A$306,Employees!$A$12,'Leave log'!$B$7:$B$306,"&lt;="&amp;DATE($B$3,7,28),'Leave log'!$C$7:$C$306,"&gt;="&amp;DATE($B$3,7,28),'Leave log'!$F$7:$F$306,"Approved")&gt;0,"A",""))="A","A",IF(OR(DATE($B$3,7,28)&gt;EOMONTH(DATE($B$3,7,1),0),NETWORKDAYS.INTL(DATE($B$3,7,28),DATE($B$3,7,28),1,'Non-working days'!$A$6:$A$45)=0),"",IF(COUNTIFS('Leave log'!$A$7:$A$306,Employees!$A$12,'Leave log'!$B$7:$B$306,"&lt;="&amp;DATE($B$3,7,28),'Leave log'!$C$7:$C$306,"&gt;="&amp;DATE($B$3,7,28),'Leave log'!$F$7:$F$306,"Pending")&gt;0,"P",""))))</f>
        <v/>
      </c>
      <c r="AD217" s="23" t="str">
        <f>IF(A217="","",IF(IF(OR(DATE($B$3,7,29)&gt;EOMONTH(DATE($B$3,7,1),0),NETWORKDAYS.INTL(DATE($B$3,7,29),DATE($B$3,7,29),1,'Non-working days'!$A$6:$A$45)=0),"",IF(COUNTIFS('Leave log'!$A$7:$A$306,Employees!$A$12,'Leave log'!$B$7:$B$306,"&lt;="&amp;DATE($B$3,7,29),'Leave log'!$C$7:$C$306,"&gt;="&amp;DATE($B$3,7,29),'Leave log'!$F$7:$F$306,"Approved")&gt;0,"A",""))="A","A",IF(OR(DATE($B$3,7,29)&gt;EOMONTH(DATE($B$3,7,1),0),NETWORKDAYS.INTL(DATE($B$3,7,29),DATE($B$3,7,29),1,'Non-working days'!$A$6:$A$45)=0),"",IF(COUNTIFS('Leave log'!$A$7:$A$306,Employees!$A$12,'Leave log'!$B$7:$B$306,"&lt;="&amp;DATE($B$3,7,29),'Leave log'!$C$7:$C$306,"&gt;="&amp;DATE($B$3,7,29),'Leave log'!$F$7:$F$306,"Pending")&gt;0,"P",""))))</f>
        <v/>
      </c>
      <c r="AE217" s="23" t="str">
        <f>IF(A217="","",IF(IF(OR(DATE($B$3,7,30)&gt;EOMONTH(DATE($B$3,7,1),0),NETWORKDAYS.INTL(DATE($B$3,7,30),DATE($B$3,7,30),1,'Non-working days'!$A$6:$A$45)=0),"",IF(COUNTIFS('Leave log'!$A$7:$A$306,Employees!$A$12,'Leave log'!$B$7:$B$306,"&lt;="&amp;DATE($B$3,7,30),'Leave log'!$C$7:$C$306,"&gt;="&amp;DATE($B$3,7,30),'Leave log'!$F$7:$F$306,"Approved")&gt;0,"A",""))="A","A",IF(OR(DATE($B$3,7,30)&gt;EOMONTH(DATE($B$3,7,1),0),NETWORKDAYS.INTL(DATE($B$3,7,30),DATE($B$3,7,30),1,'Non-working days'!$A$6:$A$45)=0),"",IF(COUNTIFS('Leave log'!$A$7:$A$306,Employees!$A$12,'Leave log'!$B$7:$B$306,"&lt;="&amp;DATE($B$3,7,30),'Leave log'!$C$7:$C$306,"&gt;="&amp;DATE($B$3,7,30),'Leave log'!$F$7:$F$306,"Pending")&gt;0,"P",""))))</f>
        <v/>
      </c>
      <c r="AF217" s="23" t="str">
        <f>IF(A217="","",IF(IF(OR(DATE($B$3,7,31)&gt;EOMONTH(DATE($B$3,7,1),0),NETWORKDAYS.INTL(DATE($B$3,7,31),DATE($B$3,7,31),1,'Non-working days'!$A$6:$A$45)=0),"",IF(COUNTIFS('Leave log'!$A$7:$A$306,Employees!$A$12,'Leave log'!$B$7:$B$306,"&lt;="&amp;DATE($B$3,7,31),'Leave log'!$C$7:$C$306,"&gt;="&amp;DATE($B$3,7,31),'Leave log'!$F$7:$F$306,"Approved")&gt;0,"A",""))="A","A",IF(OR(DATE($B$3,7,31)&gt;EOMONTH(DATE($B$3,7,1),0),NETWORKDAYS.INTL(DATE($B$3,7,31),DATE($B$3,7,31),1,'Non-working days'!$A$6:$A$45)=0),"",IF(COUNTIFS('Leave log'!$A$7:$A$306,Employees!$A$12,'Leave log'!$B$7:$B$306,"&lt;="&amp;DATE($B$3,7,31),'Leave log'!$C$7:$C$306,"&gt;="&amp;DATE($B$3,7,31),'Leave log'!$F$7:$F$306,"Pending")&gt;0,"P",""))))</f>
        <v/>
      </c>
    </row>
    <row r="218" spans="1:32" ht="18" customHeight="1" x14ac:dyDescent="0.3">
      <c r="A218" s="22" t="str">
        <f>IF(Employees!F13="Yes",Employees!B13,"")</f>
        <v/>
      </c>
      <c r="B218" s="23" t="str">
        <f>IF(A218="","",IF(IF(OR(DATE($B$3,7,1)&gt;EOMONTH(DATE($B$3,7,1),0),NETWORKDAYS.INTL(DATE($B$3,7,1),DATE($B$3,7,1),1,'Non-working days'!$A$6:$A$45)=0),"",IF(COUNTIFS('Leave log'!$A$7:$A$306,Employees!$A$13,'Leave log'!$B$7:$B$306,"&lt;="&amp;DATE($B$3,7,1),'Leave log'!$C$7:$C$306,"&gt;="&amp;DATE($B$3,7,1),'Leave log'!$F$7:$F$306,"Approved")&gt;0,"A",""))="A","A",IF(OR(DATE($B$3,7,1)&gt;EOMONTH(DATE($B$3,7,1),0),NETWORKDAYS.INTL(DATE($B$3,7,1),DATE($B$3,7,1),1,'Non-working days'!$A$6:$A$45)=0),"",IF(COUNTIFS('Leave log'!$A$7:$A$306,Employees!$A$13,'Leave log'!$B$7:$B$306,"&lt;="&amp;DATE($B$3,7,1),'Leave log'!$C$7:$C$306,"&gt;="&amp;DATE($B$3,7,1),'Leave log'!$F$7:$F$306,"Pending")&gt;0,"P",""))))</f>
        <v/>
      </c>
      <c r="C218" s="23" t="str">
        <f>IF(A218="","",IF(IF(OR(DATE($B$3,7,2)&gt;EOMONTH(DATE($B$3,7,1),0),NETWORKDAYS.INTL(DATE($B$3,7,2),DATE($B$3,7,2),1,'Non-working days'!$A$6:$A$45)=0),"",IF(COUNTIFS('Leave log'!$A$7:$A$306,Employees!$A$13,'Leave log'!$B$7:$B$306,"&lt;="&amp;DATE($B$3,7,2),'Leave log'!$C$7:$C$306,"&gt;="&amp;DATE($B$3,7,2),'Leave log'!$F$7:$F$306,"Approved")&gt;0,"A",""))="A","A",IF(OR(DATE($B$3,7,2)&gt;EOMONTH(DATE($B$3,7,1),0),NETWORKDAYS.INTL(DATE($B$3,7,2),DATE($B$3,7,2),1,'Non-working days'!$A$6:$A$45)=0),"",IF(COUNTIFS('Leave log'!$A$7:$A$306,Employees!$A$13,'Leave log'!$B$7:$B$306,"&lt;="&amp;DATE($B$3,7,2),'Leave log'!$C$7:$C$306,"&gt;="&amp;DATE($B$3,7,2),'Leave log'!$F$7:$F$306,"Pending")&gt;0,"P",""))))</f>
        <v/>
      </c>
      <c r="D218" s="23" t="str">
        <f>IF(A218="","",IF(IF(OR(DATE($B$3,7,3)&gt;EOMONTH(DATE($B$3,7,1),0),NETWORKDAYS.INTL(DATE($B$3,7,3),DATE($B$3,7,3),1,'Non-working days'!$A$6:$A$45)=0),"",IF(COUNTIFS('Leave log'!$A$7:$A$306,Employees!$A$13,'Leave log'!$B$7:$B$306,"&lt;="&amp;DATE($B$3,7,3),'Leave log'!$C$7:$C$306,"&gt;="&amp;DATE($B$3,7,3),'Leave log'!$F$7:$F$306,"Approved")&gt;0,"A",""))="A","A",IF(OR(DATE($B$3,7,3)&gt;EOMONTH(DATE($B$3,7,1),0),NETWORKDAYS.INTL(DATE($B$3,7,3),DATE($B$3,7,3),1,'Non-working days'!$A$6:$A$45)=0),"",IF(COUNTIFS('Leave log'!$A$7:$A$306,Employees!$A$13,'Leave log'!$B$7:$B$306,"&lt;="&amp;DATE($B$3,7,3),'Leave log'!$C$7:$C$306,"&gt;="&amp;DATE($B$3,7,3),'Leave log'!$F$7:$F$306,"Pending")&gt;0,"P",""))))</f>
        <v/>
      </c>
      <c r="E218" s="23" t="str">
        <f>IF(A218="","",IF(IF(OR(DATE($B$3,7,4)&gt;EOMONTH(DATE($B$3,7,1),0),NETWORKDAYS.INTL(DATE($B$3,7,4),DATE($B$3,7,4),1,'Non-working days'!$A$6:$A$45)=0),"",IF(COUNTIFS('Leave log'!$A$7:$A$306,Employees!$A$13,'Leave log'!$B$7:$B$306,"&lt;="&amp;DATE($B$3,7,4),'Leave log'!$C$7:$C$306,"&gt;="&amp;DATE($B$3,7,4),'Leave log'!$F$7:$F$306,"Approved")&gt;0,"A",""))="A","A",IF(OR(DATE($B$3,7,4)&gt;EOMONTH(DATE($B$3,7,1),0),NETWORKDAYS.INTL(DATE($B$3,7,4),DATE($B$3,7,4),1,'Non-working days'!$A$6:$A$45)=0),"",IF(COUNTIFS('Leave log'!$A$7:$A$306,Employees!$A$13,'Leave log'!$B$7:$B$306,"&lt;="&amp;DATE($B$3,7,4),'Leave log'!$C$7:$C$306,"&gt;="&amp;DATE($B$3,7,4),'Leave log'!$F$7:$F$306,"Pending")&gt;0,"P",""))))</f>
        <v/>
      </c>
      <c r="F218" s="23" t="str">
        <f>IF(A218="","",IF(IF(OR(DATE($B$3,7,5)&gt;EOMONTH(DATE($B$3,7,1),0),NETWORKDAYS.INTL(DATE($B$3,7,5),DATE($B$3,7,5),1,'Non-working days'!$A$6:$A$45)=0),"",IF(COUNTIFS('Leave log'!$A$7:$A$306,Employees!$A$13,'Leave log'!$B$7:$B$306,"&lt;="&amp;DATE($B$3,7,5),'Leave log'!$C$7:$C$306,"&gt;="&amp;DATE($B$3,7,5),'Leave log'!$F$7:$F$306,"Approved")&gt;0,"A",""))="A","A",IF(OR(DATE($B$3,7,5)&gt;EOMONTH(DATE($B$3,7,1),0),NETWORKDAYS.INTL(DATE($B$3,7,5),DATE($B$3,7,5),1,'Non-working days'!$A$6:$A$45)=0),"",IF(COUNTIFS('Leave log'!$A$7:$A$306,Employees!$A$13,'Leave log'!$B$7:$B$306,"&lt;="&amp;DATE($B$3,7,5),'Leave log'!$C$7:$C$306,"&gt;="&amp;DATE($B$3,7,5),'Leave log'!$F$7:$F$306,"Pending")&gt;0,"P",""))))</f>
        <v/>
      </c>
      <c r="G218" s="23" t="str">
        <f>IF(A218="","",IF(IF(OR(DATE($B$3,7,6)&gt;EOMONTH(DATE($B$3,7,1),0),NETWORKDAYS.INTL(DATE($B$3,7,6),DATE($B$3,7,6),1,'Non-working days'!$A$6:$A$45)=0),"",IF(COUNTIFS('Leave log'!$A$7:$A$306,Employees!$A$13,'Leave log'!$B$7:$B$306,"&lt;="&amp;DATE($B$3,7,6),'Leave log'!$C$7:$C$306,"&gt;="&amp;DATE($B$3,7,6),'Leave log'!$F$7:$F$306,"Approved")&gt;0,"A",""))="A","A",IF(OR(DATE($B$3,7,6)&gt;EOMONTH(DATE($B$3,7,1),0),NETWORKDAYS.INTL(DATE($B$3,7,6),DATE($B$3,7,6),1,'Non-working days'!$A$6:$A$45)=0),"",IF(COUNTIFS('Leave log'!$A$7:$A$306,Employees!$A$13,'Leave log'!$B$7:$B$306,"&lt;="&amp;DATE($B$3,7,6),'Leave log'!$C$7:$C$306,"&gt;="&amp;DATE($B$3,7,6),'Leave log'!$F$7:$F$306,"Pending")&gt;0,"P",""))))</f>
        <v/>
      </c>
      <c r="H218" s="23" t="str">
        <f>IF(A218="","",IF(IF(OR(DATE($B$3,7,7)&gt;EOMONTH(DATE($B$3,7,1),0),NETWORKDAYS.INTL(DATE($B$3,7,7),DATE($B$3,7,7),1,'Non-working days'!$A$6:$A$45)=0),"",IF(COUNTIFS('Leave log'!$A$7:$A$306,Employees!$A$13,'Leave log'!$B$7:$B$306,"&lt;="&amp;DATE($B$3,7,7),'Leave log'!$C$7:$C$306,"&gt;="&amp;DATE($B$3,7,7),'Leave log'!$F$7:$F$306,"Approved")&gt;0,"A",""))="A","A",IF(OR(DATE($B$3,7,7)&gt;EOMONTH(DATE($B$3,7,1),0),NETWORKDAYS.INTL(DATE($B$3,7,7),DATE($B$3,7,7),1,'Non-working days'!$A$6:$A$45)=0),"",IF(COUNTIFS('Leave log'!$A$7:$A$306,Employees!$A$13,'Leave log'!$B$7:$B$306,"&lt;="&amp;DATE($B$3,7,7),'Leave log'!$C$7:$C$306,"&gt;="&amp;DATE($B$3,7,7),'Leave log'!$F$7:$F$306,"Pending")&gt;0,"P",""))))</f>
        <v/>
      </c>
      <c r="I218" s="23" t="str">
        <f>IF(A218="","",IF(IF(OR(DATE($B$3,7,8)&gt;EOMONTH(DATE($B$3,7,1),0),NETWORKDAYS.INTL(DATE($B$3,7,8),DATE($B$3,7,8),1,'Non-working days'!$A$6:$A$45)=0),"",IF(COUNTIFS('Leave log'!$A$7:$A$306,Employees!$A$13,'Leave log'!$B$7:$B$306,"&lt;="&amp;DATE($B$3,7,8),'Leave log'!$C$7:$C$306,"&gt;="&amp;DATE($B$3,7,8),'Leave log'!$F$7:$F$306,"Approved")&gt;0,"A",""))="A","A",IF(OR(DATE($B$3,7,8)&gt;EOMONTH(DATE($B$3,7,1),0),NETWORKDAYS.INTL(DATE($B$3,7,8),DATE($B$3,7,8),1,'Non-working days'!$A$6:$A$45)=0),"",IF(COUNTIFS('Leave log'!$A$7:$A$306,Employees!$A$13,'Leave log'!$B$7:$B$306,"&lt;="&amp;DATE($B$3,7,8),'Leave log'!$C$7:$C$306,"&gt;="&amp;DATE($B$3,7,8),'Leave log'!$F$7:$F$306,"Pending")&gt;0,"P",""))))</f>
        <v/>
      </c>
      <c r="J218" s="23" t="str">
        <f>IF(A218="","",IF(IF(OR(DATE($B$3,7,9)&gt;EOMONTH(DATE($B$3,7,1),0),NETWORKDAYS.INTL(DATE($B$3,7,9),DATE($B$3,7,9),1,'Non-working days'!$A$6:$A$45)=0),"",IF(COUNTIFS('Leave log'!$A$7:$A$306,Employees!$A$13,'Leave log'!$B$7:$B$306,"&lt;="&amp;DATE($B$3,7,9),'Leave log'!$C$7:$C$306,"&gt;="&amp;DATE($B$3,7,9),'Leave log'!$F$7:$F$306,"Approved")&gt;0,"A",""))="A","A",IF(OR(DATE($B$3,7,9)&gt;EOMONTH(DATE($B$3,7,1),0),NETWORKDAYS.INTL(DATE($B$3,7,9),DATE($B$3,7,9),1,'Non-working days'!$A$6:$A$45)=0),"",IF(COUNTIFS('Leave log'!$A$7:$A$306,Employees!$A$13,'Leave log'!$B$7:$B$306,"&lt;="&amp;DATE($B$3,7,9),'Leave log'!$C$7:$C$306,"&gt;="&amp;DATE($B$3,7,9),'Leave log'!$F$7:$F$306,"Pending")&gt;0,"P",""))))</f>
        <v/>
      </c>
      <c r="K218" s="23" t="str">
        <f>IF(A218="","",IF(IF(OR(DATE($B$3,7,10)&gt;EOMONTH(DATE($B$3,7,1),0),NETWORKDAYS.INTL(DATE($B$3,7,10),DATE($B$3,7,10),1,'Non-working days'!$A$6:$A$45)=0),"",IF(COUNTIFS('Leave log'!$A$7:$A$306,Employees!$A$13,'Leave log'!$B$7:$B$306,"&lt;="&amp;DATE($B$3,7,10),'Leave log'!$C$7:$C$306,"&gt;="&amp;DATE($B$3,7,10),'Leave log'!$F$7:$F$306,"Approved")&gt;0,"A",""))="A","A",IF(OR(DATE($B$3,7,10)&gt;EOMONTH(DATE($B$3,7,1),0),NETWORKDAYS.INTL(DATE($B$3,7,10),DATE($B$3,7,10),1,'Non-working days'!$A$6:$A$45)=0),"",IF(COUNTIFS('Leave log'!$A$7:$A$306,Employees!$A$13,'Leave log'!$B$7:$B$306,"&lt;="&amp;DATE($B$3,7,10),'Leave log'!$C$7:$C$306,"&gt;="&amp;DATE($B$3,7,10),'Leave log'!$F$7:$F$306,"Pending")&gt;0,"P",""))))</f>
        <v/>
      </c>
      <c r="L218" s="23" t="str">
        <f>IF(A218="","",IF(IF(OR(DATE($B$3,7,11)&gt;EOMONTH(DATE($B$3,7,1),0),NETWORKDAYS.INTL(DATE($B$3,7,11),DATE($B$3,7,11),1,'Non-working days'!$A$6:$A$45)=0),"",IF(COUNTIFS('Leave log'!$A$7:$A$306,Employees!$A$13,'Leave log'!$B$7:$B$306,"&lt;="&amp;DATE($B$3,7,11),'Leave log'!$C$7:$C$306,"&gt;="&amp;DATE($B$3,7,11),'Leave log'!$F$7:$F$306,"Approved")&gt;0,"A",""))="A","A",IF(OR(DATE($B$3,7,11)&gt;EOMONTH(DATE($B$3,7,1),0),NETWORKDAYS.INTL(DATE($B$3,7,11),DATE($B$3,7,11),1,'Non-working days'!$A$6:$A$45)=0),"",IF(COUNTIFS('Leave log'!$A$7:$A$306,Employees!$A$13,'Leave log'!$B$7:$B$306,"&lt;="&amp;DATE($B$3,7,11),'Leave log'!$C$7:$C$306,"&gt;="&amp;DATE($B$3,7,11),'Leave log'!$F$7:$F$306,"Pending")&gt;0,"P",""))))</f>
        <v/>
      </c>
      <c r="M218" s="23" t="str">
        <f>IF(A218="","",IF(IF(OR(DATE($B$3,7,12)&gt;EOMONTH(DATE($B$3,7,1),0),NETWORKDAYS.INTL(DATE($B$3,7,12),DATE($B$3,7,12),1,'Non-working days'!$A$6:$A$45)=0),"",IF(COUNTIFS('Leave log'!$A$7:$A$306,Employees!$A$13,'Leave log'!$B$7:$B$306,"&lt;="&amp;DATE($B$3,7,12),'Leave log'!$C$7:$C$306,"&gt;="&amp;DATE($B$3,7,12),'Leave log'!$F$7:$F$306,"Approved")&gt;0,"A",""))="A","A",IF(OR(DATE($B$3,7,12)&gt;EOMONTH(DATE($B$3,7,1),0),NETWORKDAYS.INTL(DATE($B$3,7,12),DATE($B$3,7,12),1,'Non-working days'!$A$6:$A$45)=0),"",IF(COUNTIFS('Leave log'!$A$7:$A$306,Employees!$A$13,'Leave log'!$B$7:$B$306,"&lt;="&amp;DATE($B$3,7,12),'Leave log'!$C$7:$C$306,"&gt;="&amp;DATE($B$3,7,12),'Leave log'!$F$7:$F$306,"Pending")&gt;0,"P",""))))</f>
        <v/>
      </c>
      <c r="N218" s="23" t="str">
        <f>IF(A218="","",IF(IF(OR(DATE($B$3,7,13)&gt;EOMONTH(DATE($B$3,7,1),0),NETWORKDAYS.INTL(DATE($B$3,7,13),DATE($B$3,7,13),1,'Non-working days'!$A$6:$A$45)=0),"",IF(COUNTIFS('Leave log'!$A$7:$A$306,Employees!$A$13,'Leave log'!$B$7:$B$306,"&lt;="&amp;DATE($B$3,7,13),'Leave log'!$C$7:$C$306,"&gt;="&amp;DATE($B$3,7,13),'Leave log'!$F$7:$F$306,"Approved")&gt;0,"A",""))="A","A",IF(OR(DATE($B$3,7,13)&gt;EOMONTH(DATE($B$3,7,1),0),NETWORKDAYS.INTL(DATE($B$3,7,13),DATE($B$3,7,13),1,'Non-working days'!$A$6:$A$45)=0),"",IF(COUNTIFS('Leave log'!$A$7:$A$306,Employees!$A$13,'Leave log'!$B$7:$B$306,"&lt;="&amp;DATE($B$3,7,13),'Leave log'!$C$7:$C$306,"&gt;="&amp;DATE($B$3,7,13),'Leave log'!$F$7:$F$306,"Pending")&gt;0,"P",""))))</f>
        <v/>
      </c>
      <c r="O218" s="23" t="str">
        <f>IF(A218="","",IF(IF(OR(DATE($B$3,7,14)&gt;EOMONTH(DATE($B$3,7,1),0),NETWORKDAYS.INTL(DATE($B$3,7,14),DATE($B$3,7,14),1,'Non-working days'!$A$6:$A$45)=0),"",IF(COUNTIFS('Leave log'!$A$7:$A$306,Employees!$A$13,'Leave log'!$B$7:$B$306,"&lt;="&amp;DATE($B$3,7,14),'Leave log'!$C$7:$C$306,"&gt;="&amp;DATE($B$3,7,14),'Leave log'!$F$7:$F$306,"Approved")&gt;0,"A",""))="A","A",IF(OR(DATE($B$3,7,14)&gt;EOMONTH(DATE($B$3,7,1),0),NETWORKDAYS.INTL(DATE($B$3,7,14),DATE($B$3,7,14),1,'Non-working days'!$A$6:$A$45)=0),"",IF(COUNTIFS('Leave log'!$A$7:$A$306,Employees!$A$13,'Leave log'!$B$7:$B$306,"&lt;="&amp;DATE($B$3,7,14),'Leave log'!$C$7:$C$306,"&gt;="&amp;DATE($B$3,7,14),'Leave log'!$F$7:$F$306,"Pending")&gt;0,"P",""))))</f>
        <v/>
      </c>
      <c r="P218" s="23" t="str">
        <f>IF(A218="","",IF(IF(OR(DATE($B$3,7,15)&gt;EOMONTH(DATE($B$3,7,1),0),NETWORKDAYS.INTL(DATE($B$3,7,15),DATE($B$3,7,15),1,'Non-working days'!$A$6:$A$45)=0),"",IF(COUNTIFS('Leave log'!$A$7:$A$306,Employees!$A$13,'Leave log'!$B$7:$B$306,"&lt;="&amp;DATE($B$3,7,15),'Leave log'!$C$7:$C$306,"&gt;="&amp;DATE($B$3,7,15),'Leave log'!$F$7:$F$306,"Approved")&gt;0,"A",""))="A","A",IF(OR(DATE($B$3,7,15)&gt;EOMONTH(DATE($B$3,7,1),0),NETWORKDAYS.INTL(DATE($B$3,7,15),DATE($B$3,7,15),1,'Non-working days'!$A$6:$A$45)=0),"",IF(COUNTIFS('Leave log'!$A$7:$A$306,Employees!$A$13,'Leave log'!$B$7:$B$306,"&lt;="&amp;DATE($B$3,7,15),'Leave log'!$C$7:$C$306,"&gt;="&amp;DATE($B$3,7,15),'Leave log'!$F$7:$F$306,"Pending")&gt;0,"P",""))))</f>
        <v/>
      </c>
      <c r="Q218" s="23" t="str">
        <f>IF(A218="","",IF(IF(OR(DATE($B$3,7,16)&gt;EOMONTH(DATE($B$3,7,1),0),NETWORKDAYS.INTL(DATE($B$3,7,16),DATE($B$3,7,16),1,'Non-working days'!$A$6:$A$45)=0),"",IF(COUNTIFS('Leave log'!$A$7:$A$306,Employees!$A$13,'Leave log'!$B$7:$B$306,"&lt;="&amp;DATE($B$3,7,16),'Leave log'!$C$7:$C$306,"&gt;="&amp;DATE($B$3,7,16),'Leave log'!$F$7:$F$306,"Approved")&gt;0,"A",""))="A","A",IF(OR(DATE($B$3,7,16)&gt;EOMONTH(DATE($B$3,7,1),0),NETWORKDAYS.INTL(DATE($B$3,7,16),DATE($B$3,7,16),1,'Non-working days'!$A$6:$A$45)=0),"",IF(COUNTIFS('Leave log'!$A$7:$A$306,Employees!$A$13,'Leave log'!$B$7:$B$306,"&lt;="&amp;DATE($B$3,7,16),'Leave log'!$C$7:$C$306,"&gt;="&amp;DATE($B$3,7,16),'Leave log'!$F$7:$F$306,"Pending")&gt;0,"P",""))))</f>
        <v/>
      </c>
      <c r="R218" s="23" t="str">
        <f>IF(A218="","",IF(IF(OR(DATE($B$3,7,17)&gt;EOMONTH(DATE($B$3,7,1),0),NETWORKDAYS.INTL(DATE($B$3,7,17),DATE($B$3,7,17),1,'Non-working days'!$A$6:$A$45)=0),"",IF(COUNTIFS('Leave log'!$A$7:$A$306,Employees!$A$13,'Leave log'!$B$7:$B$306,"&lt;="&amp;DATE($B$3,7,17),'Leave log'!$C$7:$C$306,"&gt;="&amp;DATE($B$3,7,17),'Leave log'!$F$7:$F$306,"Approved")&gt;0,"A",""))="A","A",IF(OR(DATE($B$3,7,17)&gt;EOMONTH(DATE($B$3,7,1),0),NETWORKDAYS.INTL(DATE($B$3,7,17),DATE($B$3,7,17),1,'Non-working days'!$A$6:$A$45)=0),"",IF(COUNTIFS('Leave log'!$A$7:$A$306,Employees!$A$13,'Leave log'!$B$7:$B$306,"&lt;="&amp;DATE($B$3,7,17),'Leave log'!$C$7:$C$306,"&gt;="&amp;DATE($B$3,7,17),'Leave log'!$F$7:$F$306,"Pending")&gt;0,"P",""))))</f>
        <v/>
      </c>
      <c r="S218" s="23" t="str">
        <f>IF(A218="","",IF(IF(OR(DATE($B$3,7,18)&gt;EOMONTH(DATE($B$3,7,1),0),NETWORKDAYS.INTL(DATE($B$3,7,18),DATE($B$3,7,18),1,'Non-working days'!$A$6:$A$45)=0),"",IF(COUNTIFS('Leave log'!$A$7:$A$306,Employees!$A$13,'Leave log'!$B$7:$B$306,"&lt;="&amp;DATE($B$3,7,18),'Leave log'!$C$7:$C$306,"&gt;="&amp;DATE($B$3,7,18),'Leave log'!$F$7:$F$306,"Approved")&gt;0,"A",""))="A","A",IF(OR(DATE($B$3,7,18)&gt;EOMONTH(DATE($B$3,7,1),0),NETWORKDAYS.INTL(DATE($B$3,7,18),DATE($B$3,7,18),1,'Non-working days'!$A$6:$A$45)=0),"",IF(COUNTIFS('Leave log'!$A$7:$A$306,Employees!$A$13,'Leave log'!$B$7:$B$306,"&lt;="&amp;DATE($B$3,7,18),'Leave log'!$C$7:$C$306,"&gt;="&amp;DATE($B$3,7,18),'Leave log'!$F$7:$F$306,"Pending")&gt;0,"P",""))))</f>
        <v/>
      </c>
      <c r="T218" s="23" t="str">
        <f>IF(A218="","",IF(IF(OR(DATE($B$3,7,19)&gt;EOMONTH(DATE($B$3,7,1),0),NETWORKDAYS.INTL(DATE($B$3,7,19),DATE($B$3,7,19),1,'Non-working days'!$A$6:$A$45)=0),"",IF(COUNTIFS('Leave log'!$A$7:$A$306,Employees!$A$13,'Leave log'!$B$7:$B$306,"&lt;="&amp;DATE($B$3,7,19),'Leave log'!$C$7:$C$306,"&gt;="&amp;DATE($B$3,7,19),'Leave log'!$F$7:$F$306,"Approved")&gt;0,"A",""))="A","A",IF(OR(DATE($B$3,7,19)&gt;EOMONTH(DATE($B$3,7,1),0),NETWORKDAYS.INTL(DATE($B$3,7,19),DATE($B$3,7,19),1,'Non-working days'!$A$6:$A$45)=0),"",IF(COUNTIFS('Leave log'!$A$7:$A$306,Employees!$A$13,'Leave log'!$B$7:$B$306,"&lt;="&amp;DATE($B$3,7,19),'Leave log'!$C$7:$C$306,"&gt;="&amp;DATE($B$3,7,19),'Leave log'!$F$7:$F$306,"Pending")&gt;0,"P",""))))</f>
        <v/>
      </c>
      <c r="U218" s="23" t="str">
        <f>IF(A218="","",IF(IF(OR(DATE($B$3,7,20)&gt;EOMONTH(DATE($B$3,7,1),0),NETWORKDAYS.INTL(DATE($B$3,7,20),DATE($B$3,7,20),1,'Non-working days'!$A$6:$A$45)=0),"",IF(COUNTIFS('Leave log'!$A$7:$A$306,Employees!$A$13,'Leave log'!$B$7:$B$306,"&lt;="&amp;DATE($B$3,7,20),'Leave log'!$C$7:$C$306,"&gt;="&amp;DATE($B$3,7,20),'Leave log'!$F$7:$F$306,"Approved")&gt;0,"A",""))="A","A",IF(OR(DATE($B$3,7,20)&gt;EOMONTH(DATE($B$3,7,1),0),NETWORKDAYS.INTL(DATE($B$3,7,20),DATE($B$3,7,20),1,'Non-working days'!$A$6:$A$45)=0),"",IF(COUNTIFS('Leave log'!$A$7:$A$306,Employees!$A$13,'Leave log'!$B$7:$B$306,"&lt;="&amp;DATE($B$3,7,20),'Leave log'!$C$7:$C$306,"&gt;="&amp;DATE($B$3,7,20),'Leave log'!$F$7:$F$306,"Pending")&gt;0,"P",""))))</f>
        <v/>
      </c>
      <c r="V218" s="23" t="str">
        <f>IF(A218="","",IF(IF(OR(DATE($B$3,7,21)&gt;EOMONTH(DATE($B$3,7,1),0),NETWORKDAYS.INTL(DATE($B$3,7,21),DATE($B$3,7,21),1,'Non-working days'!$A$6:$A$45)=0),"",IF(COUNTIFS('Leave log'!$A$7:$A$306,Employees!$A$13,'Leave log'!$B$7:$B$306,"&lt;="&amp;DATE($B$3,7,21),'Leave log'!$C$7:$C$306,"&gt;="&amp;DATE($B$3,7,21),'Leave log'!$F$7:$F$306,"Approved")&gt;0,"A",""))="A","A",IF(OR(DATE($B$3,7,21)&gt;EOMONTH(DATE($B$3,7,1),0),NETWORKDAYS.INTL(DATE($B$3,7,21),DATE($B$3,7,21),1,'Non-working days'!$A$6:$A$45)=0),"",IF(COUNTIFS('Leave log'!$A$7:$A$306,Employees!$A$13,'Leave log'!$B$7:$B$306,"&lt;="&amp;DATE($B$3,7,21),'Leave log'!$C$7:$C$306,"&gt;="&amp;DATE($B$3,7,21),'Leave log'!$F$7:$F$306,"Pending")&gt;0,"P",""))))</f>
        <v/>
      </c>
      <c r="W218" s="23" t="str">
        <f>IF(A218="","",IF(IF(OR(DATE($B$3,7,22)&gt;EOMONTH(DATE($B$3,7,1),0),NETWORKDAYS.INTL(DATE($B$3,7,22),DATE($B$3,7,22),1,'Non-working days'!$A$6:$A$45)=0),"",IF(COUNTIFS('Leave log'!$A$7:$A$306,Employees!$A$13,'Leave log'!$B$7:$B$306,"&lt;="&amp;DATE($B$3,7,22),'Leave log'!$C$7:$C$306,"&gt;="&amp;DATE($B$3,7,22),'Leave log'!$F$7:$F$306,"Approved")&gt;0,"A",""))="A","A",IF(OR(DATE($B$3,7,22)&gt;EOMONTH(DATE($B$3,7,1),0),NETWORKDAYS.INTL(DATE($B$3,7,22),DATE($B$3,7,22),1,'Non-working days'!$A$6:$A$45)=0),"",IF(COUNTIFS('Leave log'!$A$7:$A$306,Employees!$A$13,'Leave log'!$B$7:$B$306,"&lt;="&amp;DATE($B$3,7,22),'Leave log'!$C$7:$C$306,"&gt;="&amp;DATE($B$3,7,22),'Leave log'!$F$7:$F$306,"Pending")&gt;0,"P",""))))</f>
        <v/>
      </c>
      <c r="X218" s="23" t="str">
        <f>IF(A218="","",IF(IF(OR(DATE($B$3,7,23)&gt;EOMONTH(DATE($B$3,7,1),0),NETWORKDAYS.INTL(DATE($B$3,7,23),DATE($B$3,7,23),1,'Non-working days'!$A$6:$A$45)=0),"",IF(COUNTIFS('Leave log'!$A$7:$A$306,Employees!$A$13,'Leave log'!$B$7:$B$306,"&lt;="&amp;DATE($B$3,7,23),'Leave log'!$C$7:$C$306,"&gt;="&amp;DATE($B$3,7,23),'Leave log'!$F$7:$F$306,"Approved")&gt;0,"A",""))="A","A",IF(OR(DATE($B$3,7,23)&gt;EOMONTH(DATE($B$3,7,1),0),NETWORKDAYS.INTL(DATE($B$3,7,23),DATE($B$3,7,23),1,'Non-working days'!$A$6:$A$45)=0),"",IF(COUNTIFS('Leave log'!$A$7:$A$306,Employees!$A$13,'Leave log'!$B$7:$B$306,"&lt;="&amp;DATE($B$3,7,23),'Leave log'!$C$7:$C$306,"&gt;="&amp;DATE($B$3,7,23),'Leave log'!$F$7:$F$306,"Pending")&gt;0,"P",""))))</f>
        <v/>
      </c>
      <c r="Y218" s="23" t="str">
        <f>IF(A218="","",IF(IF(OR(DATE($B$3,7,24)&gt;EOMONTH(DATE($B$3,7,1),0),NETWORKDAYS.INTL(DATE($B$3,7,24),DATE($B$3,7,24),1,'Non-working days'!$A$6:$A$45)=0),"",IF(COUNTIFS('Leave log'!$A$7:$A$306,Employees!$A$13,'Leave log'!$B$7:$B$306,"&lt;="&amp;DATE($B$3,7,24),'Leave log'!$C$7:$C$306,"&gt;="&amp;DATE($B$3,7,24),'Leave log'!$F$7:$F$306,"Approved")&gt;0,"A",""))="A","A",IF(OR(DATE($B$3,7,24)&gt;EOMONTH(DATE($B$3,7,1),0),NETWORKDAYS.INTL(DATE($B$3,7,24),DATE($B$3,7,24),1,'Non-working days'!$A$6:$A$45)=0),"",IF(COUNTIFS('Leave log'!$A$7:$A$306,Employees!$A$13,'Leave log'!$B$7:$B$306,"&lt;="&amp;DATE($B$3,7,24),'Leave log'!$C$7:$C$306,"&gt;="&amp;DATE($B$3,7,24),'Leave log'!$F$7:$F$306,"Pending")&gt;0,"P",""))))</f>
        <v/>
      </c>
      <c r="Z218" s="23" t="str">
        <f>IF(A218="","",IF(IF(OR(DATE($B$3,7,25)&gt;EOMONTH(DATE($B$3,7,1),0),NETWORKDAYS.INTL(DATE($B$3,7,25),DATE($B$3,7,25),1,'Non-working days'!$A$6:$A$45)=0),"",IF(COUNTIFS('Leave log'!$A$7:$A$306,Employees!$A$13,'Leave log'!$B$7:$B$306,"&lt;="&amp;DATE($B$3,7,25),'Leave log'!$C$7:$C$306,"&gt;="&amp;DATE($B$3,7,25),'Leave log'!$F$7:$F$306,"Approved")&gt;0,"A",""))="A","A",IF(OR(DATE($B$3,7,25)&gt;EOMONTH(DATE($B$3,7,1),0),NETWORKDAYS.INTL(DATE($B$3,7,25),DATE($B$3,7,25),1,'Non-working days'!$A$6:$A$45)=0),"",IF(COUNTIFS('Leave log'!$A$7:$A$306,Employees!$A$13,'Leave log'!$B$7:$B$306,"&lt;="&amp;DATE($B$3,7,25),'Leave log'!$C$7:$C$306,"&gt;="&amp;DATE($B$3,7,25),'Leave log'!$F$7:$F$306,"Pending")&gt;0,"P",""))))</f>
        <v/>
      </c>
      <c r="AA218" s="23" t="str">
        <f>IF(A218="","",IF(IF(OR(DATE($B$3,7,26)&gt;EOMONTH(DATE($B$3,7,1),0),NETWORKDAYS.INTL(DATE($B$3,7,26),DATE($B$3,7,26),1,'Non-working days'!$A$6:$A$45)=0),"",IF(COUNTIFS('Leave log'!$A$7:$A$306,Employees!$A$13,'Leave log'!$B$7:$B$306,"&lt;="&amp;DATE($B$3,7,26),'Leave log'!$C$7:$C$306,"&gt;="&amp;DATE($B$3,7,26),'Leave log'!$F$7:$F$306,"Approved")&gt;0,"A",""))="A","A",IF(OR(DATE($B$3,7,26)&gt;EOMONTH(DATE($B$3,7,1),0),NETWORKDAYS.INTL(DATE($B$3,7,26),DATE($B$3,7,26),1,'Non-working days'!$A$6:$A$45)=0),"",IF(COUNTIFS('Leave log'!$A$7:$A$306,Employees!$A$13,'Leave log'!$B$7:$B$306,"&lt;="&amp;DATE($B$3,7,26),'Leave log'!$C$7:$C$306,"&gt;="&amp;DATE($B$3,7,26),'Leave log'!$F$7:$F$306,"Pending")&gt;0,"P",""))))</f>
        <v/>
      </c>
      <c r="AB218" s="23" t="str">
        <f>IF(A218="","",IF(IF(OR(DATE($B$3,7,27)&gt;EOMONTH(DATE($B$3,7,1),0),NETWORKDAYS.INTL(DATE($B$3,7,27),DATE($B$3,7,27),1,'Non-working days'!$A$6:$A$45)=0),"",IF(COUNTIFS('Leave log'!$A$7:$A$306,Employees!$A$13,'Leave log'!$B$7:$B$306,"&lt;="&amp;DATE($B$3,7,27),'Leave log'!$C$7:$C$306,"&gt;="&amp;DATE($B$3,7,27),'Leave log'!$F$7:$F$306,"Approved")&gt;0,"A",""))="A","A",IF(OR(DATE($B$3,7,27)&gt;EOMONTH(DATE($B$3,7,1),0),NETWORKDAYS.INTL(DATE($B$3,7,27),DATE($B$3,7,27),1,'Non-working days'!$A$6:$A$45)=0),"",IF(COUNTIFS('Leave log'!$A$7:$A$306,Employees!$A$13,'Leave log'!$B$7:$B$306,"&lt;="&amp;DATE($B$3,7,27),'Leave log'!$C$7:$C$306,"&gt;="&amp;DATE($B$3,7,27),'Leave log'!$F$7:$F$306,"Pending")&gt;0,"P",""))))</f>
        <v/>
      </c>
      <c r="AC218" s="23" t="str">
        <f>IF(A218="","",IF(IF(OR(DATE($B$3,7,28)&gt;EOMONTH(DATE($B$3,7,1),0),NETWORKDAYS.INTL(DATE($B$3,7,28),DATE($B$3,7,28),1,'Non-working days'!$A$6:$A$45)=0),"",IF(COUNTIFS('Leave log'!$A$7:$A$306,Employees!$A$13,'Leave log'!$B$7:$B$306,"&lt;="&amp;DATE($B$3,7,28),'Leave log'!$C$7:$C$306,"&gt;="&amp;DATE($B$3,7,28),'Leave log'!$F$7:$F$306,"Approved")&gt;0,"A",""))="A","A",IF(OR(DATE($B$3,7,28)&gt;EOMONTH(DATE($B$3,7,1),0),NETWORKDAYS.INTL(DATE($B$3,7,28),DATE($B$3,7,28),1,'Non-working days'!$A$6:$A$45)=0),"",IF(COUNTIFS('Leave log'!$A$7:$A$306,Employees!$A$13,'Leave log'!$B$7:$B$306,"&lt;="&amp;DATE($B$3,7,28),'Leave log'!$C$7:$C$306,"&gt;="&amp;DATE($B$3,7,28),'Leave log'!$F$7:$F$306,"Pending")&gt;0,"P",""))))</f>
        <v/>
      </c>
      <c r="AD218" s="23" t="str">
        <f>IF(A218="","",IF(IF(OR(DATE($B$3,7,29)&gt;EOMONTH(DATE($B$3,7,1),0),NETWORKDAYS.INTL(DATE($B$3,7,29),DATE($B$3,7,29),1,'Non-working days'!$A$6:$A$45)=0),"",IF(COUNTIFS('Leave log'!$A$7:$A$306,Employees!$A$13,'Leave log'!$B$7:$B$306,"&lt;="&amp;DATE($B$3,7,29),'Leave log'!$C$7:$C$306,"&gt;="&amp;DATE($B$3,7,29),'Leave log'!$F$7:$F$306,"Approved")&gt;0,"A",""))="A","A",IF(OR(DATE($B$3,7,29)&gt;EOMONTH(DATE($B$3,7,1),0),NETWORKDAYS.INTL(DATE($B$3,7,29),DATE($B$3,7,29),1,'Non-working days'!$A$6:$A$45)=0),"",IF(COUNTIFS('Leave log'!$A$7:$A$306,Employees!$A$13,'Leave log'!$B$7:$B$306,"&lt;="&amp;DATE($B$3,7,29),'Leave log'!$C$7:$C$306,"&gt;="&amp;DATE($B$3,7,29),'Leave log'!$F$7:$F$306,"Pending")&gt;0,"P",""))))</f>
        <v/>
      </c>
      <c r="AE218" s="23" t="str">
        <f>IF(A218="","",IF(IF(OR(DATE($B$3,7,30)&gt;EOMONTH(DATE($B$3,7,1),0),NETWORKDAYS.INTL(DATE($B$3,7,30),DATE($B$3,7,30),1,'Non-working days'!$A$6:$A$45)=0),"",IF(COUNTIFS('Leave log'!$A$7:$A$306,Employees!$A$13,'Leave log'!$B$7:$B$306,"&lt;="&amp;DATE($B$3,7,30),'Leave log'!$C$7:$C$306,"&gt;="&amp;DATE($B$3,7,30),'Leave log'!$F$7:$F$306,"Approved")&gt;0,"A",""))="A","A",IF(OR(DATE($B$3,7,30)&gt;EOMONTH(DATE($B$3,7,1),0),NETWORKDAYS.INTL(DATE($B$3,7,30),DATE($B$3,7,30),1,'Non-working days'!$A$6:$A$45)=0),"",IF(COUNTIFS('Leave log'!$A$7:$A$306,Employees!$A$13,'Leave log'!$B$7:$B$306,"&lt;="&amp;DATE($B$3,7,30),'Leave log'!$C$7:$C$306,"&gt;="&amp;DATE($B$3,7,30),'Leave log'!$F$7:$F$306,"Pending")&gt;0,"P",""))))</f>
        <v/>
      </c>
      <c r="AF218" s="23" t="str">
        <f>IF(A218="","",IF(IF(OR(DATE($B$3,7,31)&gt;EOMONTH(DATE($B$3,7,1),0),NETWORKDAYS.INTL(DATE($B$3,7,31),DATE($B$3,7,31),1,'Non-working days'!$A$6:$A$45)=0),"",IF(COUNTIFS('Leave log'!$A$7:$A$306,Employees!$A$13,'Leave log'!$B$7:$B$306,"&lt;="&amp;DATE($B$3,7,31),'Leave log'!$C$7:$C$306,"&gt;="&amp;DATE($B$3,7,31),'Leave log'!$F$7:$F$306,"Approved")&gt;0,"A",""))="A","A",IF(OR(DATE($B$3,7,31)&gt;EOMONTH(DATE($B$3,7,1),0),NETWORKDAYS.INTL(DATE($B$3,7,31),DATE($B$3,7,31),1,'Non-working days'!$A$6:$A$45)=0),"",IF(COUNTIFS('Leave log'!$A$7:$A$306,Employees!$A$13,'Leave log'!$B$7:$B$306,"&lt;="&amp;DATE($B$3,7,31),'Leave log'!$C$7:$C$306,"&gt;="&amp;DATE($B$3,7,31),'Leave log'!$F$7:$F$306,"Pending")&gt;0,"P",""))))</f>
        <v/>
      </c>
    </row>
    <row r="219" spans="1:32" ht="18" customHeight="1" x14ac:dyDescent="0.3">
      <c r="A219" s="22" t="str">
        <f>IF(Employees!F14="Yes",Employees!B14,"")</f>
        <v/>
      </c>
      <c r="B219" s="23" t="str">
        <f>IF(A219="","",IF(IF(OR(DATE($B$3,7,1)&gt;EOMONTH(DATE($B$3,7,1),0),NETWORKDAYS.INTL(DATE($B$3,7,1),DATE($B$3,7,1),1,'Non-working days'!$A$6:$A$45)=0),"",IF(COUNTIFS('Leave log'!$A$7:$A$306,Employees!$A$14,'Leave log'!$B$7:$B$306,"&lt;="&amp;DATE($B$3,7,1),'Leave log'!$C$7:$C$306,"&gt;="&amp;DATE($B$3,7,1),'Leave log'!$F$7:$F$306,"Approved")&gt;0,"A",""))="A","A",IF(OR(DATE($B$3,7,1)&gt;EOMONTH(DATE($B$3,7,1),0),NETWORKDAYS.INTL(DATE($B$3,7,1),DATE($B$3,7,1),1,'Non-working days'!$A$6:$A$45)=0),"",IF(COUNTIFS('Leave log'!$A$7:$A$306,Employees!$A$14,'Leave log'!$B$7:$B$306,"&lt;="&amp;DATE($B$3,7,1),'Leave log'!$C$7:$C$306,"&gt;="&amp;DATE($B$3,7,1),'Leave log'!$F$7:$F$306,"Pending")&gt;0,"P",""))))</f>
        <v/>
      </c>
      <c r="C219" s="23" t="str">
        <f>IF(A219="","",IF(IF(OR(DATE($B$3,7,2)&gt;EOMONTH(DATE($B$3,7,1),0),NETWORKDAYS.INTL(DATE($B$3,7,2),DATE($B$3,7,2),1,'Non-working days'!$A$6:$A$45)=0),"",IF(COUNTIFS('Leave log'!$A$7:$A$306,Employees!$A$14,'Leave log'!$B$7:$B$306,"&lt;="&amp;DATE($B$3,7,2),'Leave log'!$C$7:$C$306,"&gt;="&amp;DATE($B$3,7,2),'Leave log'!$F$7:$F$306,"Approved")&gt;0,"A",""))="A","A",IF(OR(DATE($B$3,7,2)&gt;EOMONTH(DATE($B$3,7,1),0),NETWORKDAYS.INTL(DATE($B$3,7,2),DATE($B$3,7,2),1,'Non-working days'!$A$6:$A$45)=0),"",IF(COUNTIFS('Leave log'!$A$7:$A$306,Employees!$A$14,'Leave log'!$B$7:$B$306,"&lt;="&amp;DATE($B$3,7,2),'Leave log'!$C$7:$C$306,"&gt;="&amp;DATE($B$3,7,2),'Leave log'!$F$7:$F$306,"Pending")&gt;0,"P",""))))</f>
        <v/>
      </c>
      <c r="D219" s="23" t="str">
        <f>IF(A219="","",IF(IF(OR(DATE($B$3,7,3)&gt;EOMONTH(DATE($B$3,7,1),0),NETWORKDAYS.INTL(DATE($B$3,7,3),DATE($B$3,7,3),1,'Non-working days'!$A$6:$A$45)=0),"",IF(COUNTIFS('Leave log'!$A$7:$A$306,Employees!$A$14,'Leave log'!$B$7:$B$306,"&lt;="&amp;DATE($B$3,7,3),'Leave log'!$C$7:$C$306,"&gt;="&amp;DATE($B$3,7,3),'Leave log'!$F$7:$F$306,"Approved")&gt;0,"A",""))="A","A",IF(OR(DATE($B$3,7,3)&gt;EOMONTH(DATE($B$3,7,1),0),NETWORKDAYS.INTL(DATE($B$3,7,3),DATE($B$3,7,3),1,'Non-working days'!$A$6:$A$45)=0),"",IF(COUNTIFS('Leave log'!$A$7:$A$306,Employees!$A$14,'Leave log'!$B$7:$B$306,"&lt;="&amp;DATE($B$3,7,3),'Leave log'!$C$7:$C$306,"&gt;="&amp;DATE($B$3,7,3),'Leave log'!$F$7:$F$306,"Pending")&gt;0,"P",""))))</f>
        <v/>
      </c>
      <c r="E219" s="23" t="str">
        <f>IF(A219="","",IF(IF(OR(DATE($B$3,7,4)&gt;EOMONTH(DATE($B$3,7,1),0),NETWORKDAYS.INTL(DATE($B$3,7,4),DATE($B$3,7,4),1,'Non-working days'!$A$6:$A$45)=0),"",IF(COUNTIFS('Leave log'!$A$7:$A$306,Employees!$A$14,'Leave log'!$B$7:$B$306,"&lt;="&amp;DATE($B$3,7,4),'Leave log'!$C$7:$C$306,"&gt;="&amp;DATE($B$3,7,4),'Leave log'!$F$7:$F$306,"Approved")&gt;0,"A",""))="A","A",IF(OR(DATE($B$3,7,4)&gt;EOMONTH(DATE($B$3,7,1),0),NETWORKDAYS.INTL(DATE($B$3,7,4),DATE($B$3,7,4),1,'Non-working days'!$A$6:$A$45)=0),"",IF(COUNTIFS('Leave log'!$A$7:$A$306,Employees!$A$14,'Leave log'!$B$7:$B$306,"&lt;="&amp;DATE($B$3,7,4),'Leave log'!$C$7:$C$306,"&gt;="&amp;DATE($B$3,7,4),'Leave log'!$F$7:$F$306,"Pending")&gt;0,"P",""))))</f>
        <v/>
      </c>
      <c r="F219" s="23" t="str">
        <f>IF(A219="","",IF(IF(OR(DATE($B$3,7,5)&gt;EOMONTH(DATE($B$3,7,1),0),NETWORKDAYS.INTL(DATE($B$3,7,5),DATE($B$3,7,5),1,'Non-working days'!$A$6:$A$45)=0),"",IF(COUNTIFS('Leave log'!$A$7:$A$306,Employees!$A$14,'Leave log'!$B$7:$B$306,"&lt;="&amp;DATE($B$3,7,5),'Leave log'!$C$7:$C$306,"&gt;="&amp;DATE($B$3,7,5),'Leave log'!$F$7:$F$306,"Approved")&gt;0,"A",""))="A","A",IF(OR(DATE($B$3,7,5)&gt;EOMONTH(DATE($B$3,7,1),0),NETWORKDAYS.INTL(DATE($B$3,7,5),DATE($B$3,7,5),1,'Non-working days'!$A$6:$A$45)=0),"",IF(COUNTIFS('Leave log'!$A$7:$A$306,Employees!$A$14,'Leave log'!$B$7:$B$306,"&lt;="&amp;DATE($B$3,7,5),'Leave log'!$C$7:$C$306,"&gt;="&amp;DATE($B$3,7,5),'Leave log'!$F$7:$F$306,"Pending")&gt;0,"P",""))))</f>
        <v/>
      </c>
      <c r="G219" s="23" t="str">
        <f>IF(A219="","",IF(IF(OR(DATE($B$3,7,6)&gt;EOMONTH(DATE($B$3,7,1),0),NETWORKDAYS.INTL(DATE($B$3,7,6),DATE($B$3,7,6),1,'Non-working days'!$A$6:$A$45)=0),"",IF(COUNTIFS('Leave log'!$A$7:$A$306,Employees!$A$14,'Leave log'!$B$7:$B$306,"&lt;="&amp;DATE($B$3,7,6),'Leave log'!$C$7:$C$306,"&gt;="&amp;DATE($B$3,7,6),'Leave log'!$F$7:$F$306,"Approved")&gt;0,"A",""))="A","A",IF(OR(DATE($B$3,7,6)&gt;EOMONTH(DATE($B$3,7,1),0),NETWORKDAYS.INTL(DATE($B$3,7,6),DATE($B$3,7,6),1,'Non-working days'!$A$6:$A$45)=0),"",IF(COUNTIFS('Leave log'!$A$7:$A$306,Employees!$A$14,'Leave log'!$B$7:$B$306,"&lt;="&amp;DATE($B$3,7,6),'Leave log'!$C$7:$C$306,"&gt;="&amp;DATE($B$3,7,6),'Leave log'!$F$7:$F$306,"Pending")&gt;0,"P",""))))</f>
        <v/>
      </c>
      <c r="H219" s="23" t="str">
        <f>IF(A219="","",IF(IF(OR(DATE($B$3,7,7)&gt;EOMONTH(DATE($B$3,7,1),0),NETWORKDAYS.INTL(DATE($B$3,7,7),DATE($B$3,7,7),1,'Non-working days'!$A$6:$A$45)=0),"",IF(COUNTIFS('Leave log'!$A$7:$A$306,Employees!$A$14,'Leave log'!$B$7:$B$306,"&lt;="&amp;DATE($B$3,7,7),'Leave log'!$C$7:$C$306,"&gt;="&amp;DATE($B$3,7,7),'Leave log'!$F$7:$F$306,"Approved")&gt;0,"A",""))="A","A",IF(OR(DATE($B$3,7,7)&gt;EOMONTH(DATE($B$3,7,1),0),NETWORKDAYS.INTL(DATE($B$3,7,7),DATE($B$3,7,7),1,'Non-working days'!$A$6:$A$45)=0),"",IF(COUNTIFS('Leave log'!$A$7:$A$306,Employees!$A$14,'Leave log'!$B$7:$B$306,"&lt;="&amp;DATE($B$3,7,7),'Leave log'!$C$7:$C$306,"&gt;="&amp;DATE($B$3,7,7),'Leave log'!$F$7:$F$306,"Pending")&gt;0,"P",""))))</f>
        <v/>
      </c>
      <c r="I219" s="23" t="str">
        <f>IF(A219="","",IF(IF(OR(DATE($B$3,7,8)&gt;EOMONTH(DATE($B$3,7,1),0),NETWORKDAYS.INTL(DATE($B$3,7,8),DATE($B$3,7,8),1,'Non-working days'!$A$6:$A$45)=0),"",IF(COUNTIFS('Leave log'!$A$7:$A$306,Employees!$A$14,'Leave log'!$B$7:$B$306,"&lt;="&amp;DATE($B$3,7,8),'Leave log'!$C$7:$C$306,"&gt;="&amp;DATE($B$3,7,8),'Leave log'!$F$7:$F$306,"Approved")&gt;0,"A",""))="A","A",IF(OR(DATE($B$3,7,8)&gt;EOMONTH(DATE($B$3,7,1),0),NETWORKDAYS.INTL(DATE($B$3,7,8),DATE($B$3,7,8),1,'Non-working days'!$A$6:$A$45)=0),"",IF(COUNTIFS('Leave log'!$A$7:$A$306,Employees!$A$14,'Leave log'!$B$7:$B$306,"&lt;="&amp;DATE($B$3,7,8),'Leave log'!$C$7:$C$306,"&gt;="&amp;DATE($B$3,7,8),'Leave log'!$F$7:$F$306,"Pending")&gt;0,"P",""))))</f>
        <v/>
      </c>
      <c r="J219" s="23" t="str">
        <f>IF(A219="","",IF(IF(OR(DATE($B$3,7,9)&gt;EOMONTH(DATE($B$3,7,1),0),NETWORKDAYS.INTL(DATE($B$3,7,9),DATE($B$3,7,9),1,'Non-working days'!$A$6:$A$45)=0),"",IF(COUNTIFS('Leave log'!$A$7:$A$306,Employees!$A$14,'Leave log'!$B$7:$B$306,"&lt;="&amp;DATE($B$3,7,9),'Leave log'!$C$7:$C$306,"&gt;="&amp;DATE($B$3,7,9),'Leave log'!$F$7:$F$306,"Approved")&gt;0,"A",""))="A","A",IF(OR(DATE($B$3,7,9)&gt;EOMONTH(DATE($B$3,7,1),0),NETWORKDAYS.INTL(DATE($B$3,7,9),DATE($B$3,7,9),1,'Non-working days'!$A$6:$A$45)=0),"",IF(COUNTIFS('Leave log'!$A$7:$A$306,Employees!$A$14,'Leave log'!$B$7:$B$306,"&lt;="&amp;DATE($B$3,7,9),'Leave log'!$C$7:$C$306,"&gt;="&amp;DATE($B$3,7,9),'Leave log'!$F$7:$F$306,"Pending")&gt;0,"P",""))))</f>
        <v/>
      </c>
      <c r="K219" s="23" t="str">
        <f>IF(A219="","",IF(IF(OR(DATE($B$3,7,10)&gt;EOMONTH(DATE($B$3,7,1),0),NETWORKDAYS.INTL(DATE($B$3,7,10),DATE($B$3,7,10),1,'Non-working days'!$A$6:$A$45)=0),"",IF(COUNTIFS('Leave log'!$A$7:$A$306,Employees!$A$14,'Leave log'!$B$7:$B$306,"&lt;="&amp;DATE($B$3,7,10),'Leave log'!$C$7:$C$306,"&gt;="&amp;DATE($B$3,7,10),'Leave log'!$F$7:$F$306,"Approved")&gt;0,"A",""))="A","A",IF(OR(DATE($B$3,7,10)&gt;EOMONTH(DATE($B$3,7,1),0),NETWORKDAYS.INTL(DATE($B$3,7,10),DATE($B$3,7,10),1,'Non-working days'!$A$6:$A$45)=0),"",IF(COUNTIFS('Leave log'!$A$7:$A$306,Employees!$A$14,'Leave log'!$B$7:$B$306,"&lt;="&amp;DATE($B$3,7,10),'Leave log'!$C$7:$C$306,"&gt;="&amp;DATE($B$3,7,10),'Leave log'!$F$7:$F$306,"Pending")&gt;0,"P",""))))</f>
        <v/>
      </c>
      <c r="L219" s="23" t="str">
        <f>IF(A219="","",IF(IF(OR(DATE($B$3,7,11)&gt;EOMONTH(DATE($B$3,7,1),0),NETWORKDAYS.INTL(DATE($B$3,7,11),DATE($B$3,7,11),1,'Non-working days'!$A$6:$A$45)=0),"",IF(COUNTIFS('Leave log'!$A$7:$A$306,Employees!$A$14,'Leave log'!$B$7:$B$306,"&lt;="&amp;DATE($B$3,7,11),'Leave log'!$C$7:$C$306,"&gt;="&amp;DATE($B$3,7,11),'Leave log'!$F$7:$F$306,"Approved")&gt;0,"A",""))="A","A",IF(OR(DATE($B$3,7,11)&gt;EOMONTH(DATE($B$3,7,1),0),NETWORKDAYS.INTL(DATE($B$3,7,11),DATE($B$3,7,11),1,'Non-working days'!$A$6:$A$45)=0),"",IF(COUNTIFS('Leave log'!$A$7:$A$306,Employees!$A$14,'Leave log'!$B$7:$B$306,"&lt;="&amp;DATE($B$3,7,11),'Leave log'!$C$7:$C$306,"&gt;="&amp;DATE($B$3,7,11),'Leave log'!$F$7:$F$306,"Pending")&gt;0,"P",""))))</f>
        <v/>
      </c>
      <c r="M219" s="23" t="str">
        <f>IF(A219="","",IF(IF(OR(DATE($B$3,7,12)&gt;EOMONTH(DATE($B$3,7,1),0),NETWORKDAYS.INTL(DATE($B$3,7,12),DATE($B$3,7,12),1,'Non-working days'!$A$6:$A$45)=0),"",IF(COUNTIFS('Leave log'!$A$7:$A$306,Employees!$A$14,'Leave log'!$B$7:$B$306,"&lt;="&amp;DATE($B$3,7,12),'Leave log'!$C$7:$C$306,"&gt;="&amp;DATE($B$3,7,12),'Leave log'!$F$7:$F$306,"Approved")&gt;0,"A",""))="A","A",IF(OR(DATE($B$3,7,12)&gt;EOMONTH(DATE($B$3,7,1),0),NETWORKDAYS.INTL(DATE($B$3,7,12),DATE($B$3,7,12),1,'Non-working days'!$A$6:$A$45)=0),"",IF(COUNTIFS('Leave log'!$A$7:$A$306,Employees!$A$14,'Leave log'!$B$7:$B$306,"&lt;="&amp;DATE($B$3,7,12),'Leave log'!$C$7:$C$306,"&gt;="&amp;DATE($B$3,7,12),'Leave log'!$F$7:$F$306,"Pending")&gt;0,"P",""))))</f>
        <v/>
      </c>
      <c r="N219" s="23" t="str">
        <f>IF(A219="","",IF(IF(OR(DATE($B$3,7,13)&gt;EOMONTH(DATE($B$3,7,1),0),NETWORKDAYS.INTL(DATE($B$3,7,13),DATE($B$3,7,13),1,'Non-working days'!$A$6:$A$45)=0),"",IF(COUNTIFS('Leave log'!$A$7:$A$306,Employees!$A$14,'Leave log'!$B$7:$B$306,"&lt;="&amp;DATE($B$3,7,13),'Leave log'!$C$7:$C$306,"&gt;="&amp;DATE($B$3,7,13),'Leave log'!$F$7:$F$306,"Approved")&gt;0,"A",""))="A","A",IF(OR(DATE($B$3,7,13)&gt;EOMONTH(DATE($B$3,7,1),0),NETWORKDAYS.INTL(DATE($B$3,7,13),DATE($B$3,7,13),1,'Non-working days'!$A$6:$A$45)=0),"",IF(COUNTIFS('Leave log'!$A$7:$A$306,Employees!$A$14,'Leave log'!$B$7:$B$306,"&lt;="&amp;DATE($B$3,7,13),'Leave log'!$C$7:$C$306,"&gt;="&amp;DATE($B$3,7,13),'Leave log'!$F$7:$F$306,"Pending")&gt;0,"P",""))))</f>
        <v/>
      </c>
      <c r="O219" s="23" t="str">
        <f>IF(A219="","",IF(IF(OR(DATE($B$3,7,14)&gt;EOMONTH(DATE($B$3,7,1),0),NETWORKDAYS.INTL(DATE($B$3,7,14),DATE($B$3,7,14),1,'Non-working days'!$A$6:$A$45)=0),"",IF(COUNTIFS('Leave log'!$A$7:$A$306,Employees!$A$14,'Leave log'!$B$7:$B$306,"&lt;="&amp;DATE($B$3,7,14),'Leave log'!$C$7:$C$306,"&gt;="&amp;DATE($B$3,7,14),'Leave log'!$F$7:$F$306,"Approved")&gt;0,"A",""))="A","A",IF(OR(DATE($B$3,7,14)&gt;EOMONTH(DATE($B$3,7,1),0),NETWORKDAYS.INTL(DATE($B$3,7,14),DATE($B$3,7,14),1,'Non-working days'!$A$6:$A$45)=0),"",IF(COUNTIFS('Leave log'!$A$7:$A$306,Employees!$A$14,'Leave log'!$B$7:$B$306,"&lt;="&amp;DATE($B$3,7,14),'Leave log'!$C$7:$C$306,"&gt;="&amp;DATE($B$3,7,14),'Leave log'!$F$7:$F$306,"Pending")&gt;0,"P",""))))</f>
        <v/>
      </c>
      <c r="P219" s="23" t="str">
        <f>IF(A219="","",IF(IF(OR(DATE($B$3,7,15)&gt;EOMONTH(DATE($B$3,7,1),0),NETWORKDAYS.INTL(DATE($B$3,7,15),DATE($B$3,7,15),1,'Non-working days'!$A$6:$A$45)=0),"",IF(COUNTIFS('Leave log'!$A$7:$A$306,Employees!$A$14,'Leave log'!$B$7:$B$306,"&lt;="&amp;DATE($B$3,7,15),'Leave log'!$C$7:$C$306,"&gt;="&amp;DATE($B$3,7,15),'Leave log'!$F$7:$F$306,"Approved")&gt;0,"A",""))="A","A",IF(OR(DATE($B$3,7,15)&gt;EOMONTH(DATE($B$3,7,1),0),NETWORKDAYS.INTL(DATE($B$3,7,15),DATE($B$3,7,15),1,'Non-working days'!$A$6:$A$45)=0),"",IF(COUNTIFS('Leave log'!$A$7:$A$306,Employees!$A$14,'Leave log'!$B$7:$B$306,"&lt;="&amp;DATE($B$3,7,15),'Leave log'!$C$7:$C$306,"&gt;="&amp;DATE($B$3,7,15),'Leave log'!$F$7:$F$306,"Pending")&gt;0,"P",""))))</f>
        <v/>
      </c>
      <c r="Q219" s="23" t="str">
        <f>IF(A219="","",IF(IF(OR(DATE($B$3,7,16)&gt;EOMONTH(DATE($B$3,7,1),0),NETWORKDAYS.INTL(DATE($B$3,7,16),DATE($B$3,7,16),1,'Non-working days'!$A$6:$A$45)=0),"",IF(COUNTIFS('Leave log'!$A$7:$A$306,Employees!$A$14,'Leave log'!$B$7:$B$306,"&lt;="&amp;DATE($B$3,7,16),'Leave log'!$C$7:$C$306,"&gt;="&amp;DATE($B$3,7,16),'Leave log'!$F$7:$F$306,"Approved")&gt;0,"A",""))="A","A",IF(OR(DATE($B$3,7,16)&gt;EOMONTH(DATE($B$3,7,1),0),NETWORKDAYS.INTL(DATE($B$3,7,16),DATE($B$3,7,16),1,'Non-working days'!$A$6:$A$45)=0),"",IF(COUNTIFS('Leave log'!$A$7:$A$306,Employees!$A$14,'Leave log'!$B$7:$B$306,"&lt;="&amp;DATE($B$3,7,16),'Leave log'!$C$7:$C$306,"&gt;="&amp;DATE($B$3,7,16),'Leave log'!$F$7:$F$306,"Pending")&gt;0,"P",""))))</f>
        <v/>
      </c>
      <c r="R219" s="23" t="str">
        <f>IF(A219="","",IF(IF(OR(DATE($B$3,7,17)&gt;EOMONTH(DATE($B$3,7,1),0),NETWORKDAYS.INTL(DATE($B$3,7,17),DATE($B$3,7,17),1,'Non-working days'!$A$6:$A$45)=0),"",IF(COUNTIFS('Leave log'!$A$7:$A$306,Employees!$A$14,'Leave log'!$B$7:$B$306,"&lt;="&amp;DATE($B$3,7,17),'Leave log'!$C$7:$C$306,"&gt;="&amp;DATE($B$3,7,17),'Leave log'!$F$7:$F$306,"Approved")&gt;0,"A",""))="A","A",IF(OR(DATE($B$3,7,17)&gt;EOMONTH(DATE($B$3,7,1),0),NETWORKDAYS.INTL(DATE($B$3,7,17),DATE($B$3,7,17),1,'Non-working days'!$A$6:$A$45)=0),"",IF(COUNTIFS('Leave log'!$A$7:$A$306,Employees!$A$14,'Leave log'!$B$7:$B$306,"&lt;="&amp;DATE($B$3,7,17),'Leave log'!$C$7:$C$306,"&gt;="&amp;DATE($B$3,7,17),'Leave log'!$F$7:$F$306,"Pending")&gt;0,"P",""))))</f>
        <v/>
      </c>
      <c r="S219" s="23" t="str">
        <f>IF(A219="","",IF(IF(OR(DATE($B$3,7,18)&gt;EOMONTH(DATE($B$3,7,1),0),NETWORKDAYS.INTL(DATE($B$3,7,18),DATE($B$3,7,18),1,'Non-working days'!$A$6:$A$45)=0),"",IF(COUNTIFS('Leave log'!$A$7:$A$306,Employees!$A$14,'Leave log'!$B$7:$B$306,"&lt;="&amp;DATE($B$3,7,18),'Leave log'!$C$7:$C$306,"&gt;="&amp;DATE($B$3,7,18),'Leave log'!$F$7:$F$306,"Approved")&gt;0,"A",""))="A","A",IF(OR(DATE($B$3,7,18)&gt;EOMONTH(DATE($B$3,7,1),0),NETWORKDAYS.INTL(DATE($B$3,7,18),DATE($B$3,7,18),1,'Non-working days'!$A$6:$A$45)=0),"",IF(COUNTIFS('Leave log'!$A$7:$A$306,Employees!$A$14,'Leave log'!$B$7:$B$306,"&lt;="&amp;DATE($B$3,7,18),'Leave log'!$C$7:$C$306,"&gt;="&amp;DATE($B$3,7,18),'Leave log'!$F$7:$F$306,"Pending")&gt;0,"P",""))))</f>
        <v/>
      </c>
      <c r="T219" s="23" t="str">
        <f>IF(A219="","",IF(IF(OR(DATE($B$3,7,19)&gt;EOMONTH(DATE($B$3,7,1),0),NETWORKDAYS.INTL(DATE($B$3,7,19),DATE($B$3,7,19),1,'Non-working days'!$A$6:$A$45)=0),"",IF(COUNTIFS('Leave log'!$A$7:$A$306,Employees!$A$14,'Leave log'!$B$7:$B$306,"&lt;="&amp;DATE($B$3,7,19),'Leave log'!$C$7:$C$306,"&gt;="&amp;DATE($B$3,7,19),'Leave log'!$F$7:$F$306,"Approved")&gt;0,"A",""))="A","A",IF(OR(DATE($B$3,7,19)&gt;EOMONTH(DATE($B$3,7,1),0),NETWORKDAYS.INTL(DATE($B$3,7,19),DATE($B$3,7,19),1,'Non-working days'!$A$6:$A$45)=0),"",IF(COUNTIFS('Leave log'!$A$7:$A$306,Employees!$A$14,'Leave log'!$B$7:$B$306,"&lt;="&amp;DATE($B$3,7,19),'Leave log'!$C$7:$C$306,"&gt;="&amp;DATE($B$3,7,19),'Leave log'!$F$7:$F$306,"Pending")&gt;0,"P",""))))</f>
        <v/>
      </c>
      <c r="U219" s="23" t="str">
        <f>IF(A219="","",IF(IF(OR(DATE($B$3,7,20)&gt;EOMONTH(DATE($B$3,7,1),0),NETWORKDAYS.INTL(DATE($B$3,7,20),DATE($B$3,7,20),1,'Non-working days'!$A$6:$A$45)=0),"",IF(COUNTIFS('Leave log'!$A$7:$A$306,Employees!$A$14,'Leave log'!$B$7:$B$306,"&lt;="&amp;DATE($B$3,7,20),'Leave log'!$C$7:$C$306,"&gt;="&amp;DATE($B$3,7,20),'Leave log'!$F$7:$F$306,"Approved")&gt;0,"A",""))="A","A",IF(OR(DATE($B$3,7,20)&gt;EOMONTH(DATE($B$3,7,1),0),NETWORKDAYS.INTL(DATE($B$3,7,20),DATE($B$3,7,20),1,'Non-working days'!$A$6:$A$45)=0),"",IF(COUNTIFS('Leave log'!$A$7:$A$306,Employees!$A$14,'Leave log'!$B$7:$B$306,"&lt;="&amp;DATE($B$3,7,20),'Leave log'!$C$7:$C$306,"&gt;="&amp;DATE($B$3,7,20),'Leave log'!$F$7:$F$306,"Pending")&gt;0,"P",""))))</f>
        <v/>
      </c>
      <c r="V219" s="23" t="str">
        <f>IF(A219="","",IF(IF(OR(DATE($B$3,7,21)&gt;EOMONTH(DATE($B$3,7,1),0),NETWORKDAYS.INTL(DATE($B$3,7,21),DATE($B$3,7,21),1,'Non-working days'!$A$6:$A$45)=0),"",IF(COUNTIFS('Leave log'!$A$7:$A$306,Employees!$A$14,'Leave log'!$B$7:$B$306,"&lt;="&amp;DATE($B$3,7,21),'Leave log'!$C$7:$C$306,"&gt;="&amp;DATE($B$3,7,21),'Leave log'!$F$7:$F$306,"Approved")&gt;0,"A",""))="A","A",IF(OR(DATE($B$3,7,21)&gt;EOMONTH(DATE($B$3,7,1),0),NETWORKDAYS.INTL(DATE($B$3,7,21),DATE($B$3,7,21),1,'Non-working days'!$A$6:$A$45)=0),"",IF(COUNTIFS('Leave log'!$A$7:$A$306,Employees!$A$14,'Leave log'!$B$7:$B$306,"&lt;="&amp;DATE($B$3,7,21),'Leave log'!$C$7:$C$306,"&gt;="&amp;DATE($B$3,7,21),'Leave log'!$F$7:$F$306,"Pending")&gt;0,"P",""))))</f>
        <v/>
      </c>
      <c r="W219" s="23" t="str">
        <f>IF(A219="","",IF(IF(OR(DATE($B$3,7,22)&gt;EOMONTH(DATE($B$3,7,1),0),NETWORKDAYS.INTL(DATE($B$3,7,22),DATE($B$3,7,22),1,'Non-working days'!$A$6:$A$45)=0),"",IF(COUNTIFS('Leave log'!$A$7:$A$306,Employees!$A$14,'Leave log'!$B$7:$B$306,"&lt;="&amp;DATE($B$3,7,22),'Leave log'!$C$7:$C$306,"&gt;="&amp;DATE($B$3,7,22),'Leave log'!$F$7:$F$306,"Approved")&gt;0,"A",""))="A","A",IF(OR(DATE($B$3,7,22)&gt;EOMONTH(DATE($B$3,7,1),0),NETWORKDAYS.INTL(DATE($B$3,7,22),DATE($B$3,7,22),1,'Non-working days'!$A$6:$A$45)=0),"",IF(COUNTIFS('Leave log'!$A$7:$A$306,Employees!$A$14,'Leave log'!$B$7:$B$306,"&lt;="&amp;DATE($B$3,7,22),'Leave log'!$C$7:$C$306,"&gt;="&amp;DATE($B$3,7,22),'Leave log'!$F$7:$F$306,"Pending")&gt;0,"P",""))))</f>
        <v/>
      </c>
      <c r="X219" s="23" t="str">
        <f>IF(A219="","",IF(IF(OR(DATE($B$3,7,23)&gt;EOMONTH(DATE($B$3,7,1),0),NETWORKDAYS.INTL(DATE($B$3,7,23),DATE($B$3,7,23),1,'Non-working days'!$A$6:$A$45)=0),"",IF(COUNTIFS('Leave log'!$A$7:$A$306,Employees!$A$14,'Leave log'!$B$7:$B$306,"&lt;="&amp;DATE($B$3,7,23),'Leave log'!$C$7:$C$306,"&gt;="&amp;DATE($B$3,7,23),'Leave log'!$F$7:$F$306,"Approved")&gt;0,"A",""))="A","A",IF(OR(DATE($B$3,7,23)&gt;EOMONTH(DATE($B$3,7,1),0),NETWORKDAYS.INTL(DATE($B$3,7,23),DATE($B$3,7,23),1,'Non-working days'!$A$6:$A$45)=0),"",IF(COUNTIFS('Leave log'!$A$7:$A$306,Employees!$A$14,'Leave log'!$B$7:$B$306,"&lt;="&amp;DATE($B$3,7,23),'Leave log'!$C$7:$C$306,"&gt;="&amp;DATE($B$3,7,23),'Leave log'!$F$7:$F$306,"Pending")&gt;0,"P",""))))</f>
        <v/>
      </c>
      <c r="Y219" s="23" t="str">
        <f>IF(A219="","",IF(IF(OR(DATE($B$3,7,24)&gt;EOMONTH(DATE($B$3,7,1),0),NETWORKDAYS.INTL(DATE($B$3,7,24),DATE($B$3,7,24),1,'Non-working days'!$A$6:$A$45)=0),"",IF(COUNTIFS('Leave log'!$A$7:$A$306,Employees!$A$14,'Leave log'!$B$7:$B$306,"&lt;="&amp;DATE($B$3,7,24),'Leave log'!$C$7:$C$306,"&gt;="&amp;DATE($B$3,7,24),'Leave log'!$F$7:$F$306,"Approved")&gt;0,"A",""))="A","A",IF(OR(DATE($B$3,7,24)&gt;EOMONTH(DATE($B$3,7,1),0),NETWORKDAYS.INTL(DATE($B$3,7,24),DATE($B$3,7,24),1,'Non-working days'!$A$6:$A$45)=0),"",IF(COUNTIFS('Leave log'!$A$7:$A$306,Employees!$A$14,'Leave log'!$B$7:$B$306,"&lt;="&amp;DATE($B$3,7,24),'Leave log'!$C$7:$C$306,"&gt;="&amp;DATE($B$3,7,24),'Leave log'!$F$7:$F$306,"Pending")&gt;0,"P",""))))</f>
        <v/>
      </c>
      <c r="Z219" s="23" t="str">
        <f>IF(A219="","",IF(IF(OR(DATE($B$3,7,25)&gt;EOMONTH(DATE($B$3,7,1),0),NETWORKDAYS.INTL(DATE($B$3,7,25),DATE($B$3,7,25),1,'Non-working days'!$A$6:$A$45)=0),"",IF(COUNTIFS('Leave log'!$A$7:$A$306,Employees!$A$14,'Leave log'!$B$7:$B$306,"&lt;="&amp;DATE($B$3,7,25),'Leave log'!$C$7:$C$306,"&gt;="&amp;DATE($B$3,7,25),'Leave log'!$F$7:$F$306,"Approved")&gt;0,"A",""))="A","A",IF(OR(DATE($B$3,7,25)&gt;EOMONTH(DATE($B$3,7,1),0),NETWORKDAYS.INTL(DATE($B$3,7,25),DATE($B$3,7,25),1,'Non-working days'!$A$6:$A$45)=0),"",IF(COUNTIFS('Leave log'!$A$7:$A$306,Employees!$A$14,'Leave log'!$B$7:$B$306,"&lt;="&amp;DATE($B$3,7,25),'Leave log'!$C$7:$C$306,"&gt;="&amp;DATE($B$3,7,25),'Leave log'!$F$7:$F$306,"Pending")&gt;0,"P",""))))</f>
        <v/>
      </c>
      <c r="AA219" s="23" t="str">
        <f>IF(A219="","",IF(IF(OR(DATE($B$3,7,26)&gt;EOMONTH(DATE($B$3,7,1),0),NETWORKDAYS.INTL(DATE($B$3,7,26),DATE($B$3,7,26),1,'Non-working days'!$A$6:$A$45)=0),"",IF(COUNTIFS('Leave log'!$A$7:$A$306,Employees!$A$14,'Leave log'!$B$7:$B$306,"&lt;="&amp;DATE($B$3,7,26),'Leave log'!$C$7:$C$306,"&gt;="&amp;DATE($B$3,7,26),'Leave log'!$F$7:$F$306,"Approved")&gt;0,"A",""))="A","A",IF(OR(DATE($B$3,7,26)&gt;EOMONTH(DATE($B$3,7,1),0),NETWORKDAYS.INTL(DATE($B$3,7,26),DATE($B$3,7,26),1,'Non-working days'!$A$6:$A$45)=0),"",IF(COUNTIFS('Leave log'!$A$7:$A$306,Employees!$A$14,'Leave log'!$B$7:$B$306,"&lt;="&amp;DATE($B$3,7,26),'Leave log'!$C$7:$C$306,"&gt;="&amp;DATE($B$3,7,26),'Leave log'!$F$7:$F$306,"Pending")&gt;0,"P",""))))</f>
        <v/>
      </c>
      <c r="AB219" s="23" t="str">
        <f>IF(A219="","",IF(IF(OR(DATE($B$3,7,27)&gt;EOMONTH(DATE($B$3,7,1),0),NETWORKDAYS.INTL(DATE($B$3,7,27),DATE($B$3,7,27),1,'Non-working days'!$A$6:$A$45)=0),"",IF(COUNTIFS('Leave log'!$A$7:$A$306,Employees!$A$14,'Leave log'!$B$7:$B$306,"&lt;="&amp;DATE($B$3,7,27),'Leave log'!$C$7:$C$306,"&gt;="&amp;DATE($B$3,7,27),'Leave log'!$F$7:$F$306,"Approved")&gt;0,"A",""))="A","A",IF(OR(DATE($B$3,7,27)&gt;EOMONTH(DATE($B$3,7,1),0),NETWORKDAYS.INTL(DATE($B$3,7,27),DATE($B$3,7,27),1,'Non-working days'!$A$6:$A$45)=0),"",IF(COUNTIFS('Leave log'!$A$7:$A$306,Employees!$A$14,'Leave log'!$B$7:$B$306,"&lt;="&amp;DATE($B$3,7,27),'Leave log'!$C$7:$C$306,"&gt;="&amp;DATE($B$3,7,27),'Leave log'!$F$7:$F$306,"Pending")&gt;0,"P",""))))</f>
        <v/>
      </c>
      <c r="AC219" s="23" t="str">
        <f>IF(A219="","",IF(IF(OR(DATE($B$3,7,28)&gt;EOMONTH(DATE($B$3,7,1),0),NETWORKDAYS.INTL(DATE($B$3,7,28),DATE($B$3,7,28),1,'Non-working days'!$A$6:$A$45)=0),"",IF(COUNTIFS('Leave log'!$A$7:$A$306,Employees!$A$14,'Leave log'!$B$7:$B$306,"&lt;="&amp;DATE($B$3,7,28),'Leave log'!$C$7:$C$306,"&gt;="&amp;DATE($B$3,7,28),'Leave log'!$F$7:$F$306,"Approved")&gt;0,"A",""))="A","A",IF(OR(DATE($B$3,7,28)&gt;EOMONTH(DATE($B$3,7,1),0),NETWORKDAYS.INTL(DATE($B$3,7,28),DATE($B$3,7,28),1,'Non-working days'!$A$6:$A$45)=0),"",IF(COUNTIFS('Leave log'!$A$7:$A$306,Employees!$A$14,'Leave log'!$B$7:$B$306,"&lt;="&amp;DATE($B$3,7,28),'Leave log'!$C$7:$C$306,"&gt;="&amp;DATE($B$3,7,28),'Leave log'!$F$7:$F$306,"Pending")&gt;0,"P",""))))</f>
        <v/>
      </c>
      <c r="AD219" s="23" t="str">
        <f>IF(A219="","",IF(IF(OR(DATE($B$3,7,29)&gt;EOMONTH(DATE($B$3,7,1),0),NETWORKDAYS.INTL(DATE($B$3,7,29),DATE($B$3,7,29),1,'Non-working days'!$A$6:$A$45)=0),"",IF(COUNTIFS('Leave log'!$A$7:$A$306,Employees!$A$14,'Leave log'!$B$7:$B$306,"&lt;="&amp;DATE($B$3,7,29),'Leave log'!$C$7:$C$306,"&gt;="&amp;DATE($B$3,7,29),'Leave log'!$F$7:$F$306,"Approved")&gt;0,"A",""))="A","A",IF(OR(DATE($B$3,7,29)&gt;EOMONTH(DATE($B$3,7,1),0),NETWORKDAYS.INTL(DATE($B$3,7,29),DATE($B$3,7,29),1,'Non-working days'!$A$6:$A$45)=0),"",IF(COUNTIFS('Leave log'!$A$7:$A$306,Employees!$A$14,'Leave log'!$B$7:$B$306,"&lt;="&amp;DATE($B$3,7,29),'Leave log'!$C$7:$C$306,"&gt;="&amp;DATE($B$3,7,29),'Leave log'!$F$7:$F$306,"Pending")&gt;0,"P",""))))</f>
        <v/>
      </c>
      <c r="AE219" s="23" t="str">
        <f>IF(A219="","",IF(IF(OR(DATE($B$3,7,30)&gt;EOMONTH(DATE($B$3,7,1),0),NETWORKDAYS.INTL(DATE($B$3,7,30),DATE($B$3,7,30),1,'Non-working days'!$A$6:$A$45)=0),"",IF(COUNTIFS('Leave log'!$A$7:$A$306,Employees!$A$14,'Leave log'!$B$7:$B$306,"&lt;="&amp;DATE($B$3,7,30),'Leave log'!$C$7:$C$306,"&gt;="&amp;DATE($B$3,7,30),'Leave log'!$F$7:$F$306,"Approved")&gt;0,"A",""))="A","A",IF(OR(DATE($B$3,7,30)&gt;EOMONTH(DATE($B$3,7,1),0),NETWORKDAYS.INTL(DATE($B$3,7,30),DATE($B$3,7,30),1,'Non-working days'!$A$6:$A$45)=0),"",IF(COUNTIFS('Leave log'!$A$7:$A$306,Employees!$A$14,'Leave log'!$B$7:$B$306,"&lt;="&amp;DATE($B$3,7,30),'Leave log'!$C$7:$C$306,"&gt;="&amp;DATE($B$3,7,30),'Leave log'!$F$7:$F$306,"Pending")&gt;0,"P",""))))</f>
        <v/>
      </c>
      <c r="AF219" s="23" t="str">
        <f>IF(A219="","",IF(IF(OR(DATE($B$3,7,31)&gt;EOMONTH(DATE($B$3,7,1),0),NETWORKDAYS.INTL(DATE($B$3,7,31),DATE($B$3,7,31),1,'Non-working days'!$A$6:$A$45)=0),"",IF(COUNTIFS('Leave log'!$A$7:$A$306,Employees!$A$14,'Leave log'!$B$7:$B$306,"&lt;="&amp;DATE($B$3,7,31),'Leave log'!$C$7:$C$306,"&gt;="&amp;DATE($B$3,7,31),'Leave log'!$F$7:$F$306,"Approved")&gt;0,"A",""))="A","A",IF(OR(DATE($B$3,7,31)&gt;EOMONTH(DATE($B$3,7,1),0),NETWORKDAYS.INTL(DATE($B$3,7,31),DATE($B$3,7,31),1,'Non-working days'!$A$6:$A$45)=0),"",IF(COUNTIFS('Leave log'!$A$7:$A$306,Employees!$A$14,'Leave log'!$B$7:$B$306,"&lt;="&amp;DATE($B$3,7,31),'Leave log'!$C$7:$C$306,"&gt;="&amp;DATE($B$3,7,31),'Leave log'!$F$7:$F$306,"Pending")&gt;0,"P",""))))</f>
        <v/>
      </c>
    </row>
    <row r="220" spans="1:32" ht="18" customHeight="1" x14ac:dyDescent="0.3">
      <c r="A220" s="22" t="str">
        <f>IF(Employees!F15="Yes",Employees!B15,"")</f>
        <v/>
      </c>
      <c r="B220" s="23" t="str">
        <f>IF(A220="","",IF(IF(OR(DATE($B$3,7,1)&gt;EOMONTH(DATE($B$3,7,1),0),NETWORKDAYS.INTL(DATE($B$3,7,1),DATE($B$3,7,1),1,'Non-working days'!$A$6:$A$45)=0),"",IF(COUNTIFS('Leave log'!$A$7:$A$306,Employees!$A$15,'Leave log'!$B$7:$B$306,"&lt;="&amp;DATE($B$3,7,1),'Leave log'!$C$7:$C$306,"&gt;="&amp;DATE($B$3,7,1),'Leave log'!$F$7:$F$306,"Approved")&gt;0,"A",""))="A","A",IF(OR(DATE($B$3,7,1)&gt;EOMONTH(DATE($B$3,7,1),0),NETWORKDAYS.INTL(DATE($B$3,7,1),DATE($B$3,7,1),1,'Non-working days'!$A$6:$A$45)=0),"",IF(COUNTIFS('Leave log'!$A$7:$A$306,Employees!$A$15,'Leave log'!$B$7:$B$306,"&lt;="&amp;DATE($B$3,7,1),'Leave log'!$C$7:$C$306,"&gt;="&amp;DATE($B$3,7,1),'Leave log'!$F$7:$F$306,"Pending")&gt;0,"P",""))))</f>
        <v/>
      </c>
      <c r="C220" s="23" t="str">
        <f>IF(A220="","",IF(IF(OR(DATE($B$3,7,2)&gt;EOMONTH(DATE($B$3,7,1),0),NETWORKDAYS.INTL(DATE($B$3,7,2),DATE($B$3,7,2),1,'Non-working days'!$A$6:$A$45)=0),"",IF(COUNTIFS('Leave log'!$A$7:$A$306,Employees!$A$15,'Leave log'!$B$7:$B$306,"&lt;="&amp;DATE($B$3,7,2),'Leave log'!$C$7:$C$306,"&gt;="&amp;DATE($B$3,7,2),'Leave log'!$F$7:$F$306,"Approved")&gt;0,"A",""))="A","A",IF(OR(DATE($B$3,7,2)&gt;EOMONTH(DATE($B$3,7,1),0),NETWORKDAYS.INTL(DATE($B$3,7,2),DATE($B$3,7,2),1,'Non-working days'!$A$6:$A$45)=0),"",IF(COUNTIFS('Leave log'!$A$7:$A$306,Employees!$A$15,'Leave log'!$B$7:$B$306,"&lt;="&amp;DATE($B$3,7,2),'Leave log'!$C$7:$C$306,"&gt;="&amp;DATE($B$3,7,2),'Leave log'!$F$7:$F$306,"Pending")&gt;0,"P",""))))</f>
        <v/>
      </c>
      <c r="D220" s="23" t="str">
        <f>IF(A220="","",IF(IF(OR(DATE($B$3,7,3)&gt;EOMONTH(DATE($B$3,7,1),0),NETWORKDAYS.INTL(DATE($B$3,7,3),DATE($B$3,7,3),1,'Non-working days'!$A$6:$A$45)=0),"",IF(COUNTIFS('Leave log'!$A$7:$A$306,Employees!$A$15,'Leave log'!$B$7:$B$306,"&lt;="&amp;DATE($B$3,7,3),'Leave log'!$C$7:$C$306,"&gt;="&amp;DATE($B$3,7,3),'Leave log'!$F$7:$F$306,"Approved")&gt;0,"A",""))="A","A",IF(OR(DATE($B$3,7,3)&gt;EOMONTH(DATE($B$3,7,1),0),NETWORKDAYS.INTL(DATE($B$3,7,3),DATE($B$3,7,3),1,'Non-working days'!$A$6:$A$45)=0),"",IF(COUNTIFS('Leave log'!$A$7:$A$306,Employees!$A$15,'Leave log'!$B$7:$B$306,"&lt;="&amp;DATE($B$3,7,3),'Leave log'!$C$7:$C$306,"&gt;="&amp;DATE($B$3,7,3),'Leave log'!$F$7:$F$306,"Pending")&gt;0,"P",""))))</f>
        <v/>
      </c>
      <c r="E220" s="23" t="str">
        <f>IF(A220="","",IF(IF(OR(DATE($B$3,7,4)&gt;EOMONTH(DATE($B$3,7,1),0),NETWORKDAYS.INTL(DATE($B$3,7,4),DATE($B$3,7,4),1,'Non-working days'!$A$6:$A$45)=0),"",IF(COUNTIFS('Leave log'!$A$7:$A$306,Employees!$A$15,'Leave log'!$B$7:$B$306,"&lt;="&amp;DATE($B$3,7,4),'Leave log'!$C$7:$C$306,"&gt;="&amp;DATE($B$3,7,4),'Leave log'!$F$7:$F$306,"Approved")&gt;0,"A",""))="A","A",IF(OR(DATE($B$3,7,4)&gt;EOMONTH(DATE($B$3,7,1),0),NETWORKDAYS.INTL(DATE($B$3,7,4),DATE($B$3,7,4),1,'Non-working days'!$A$6:$A$45)=0),"",IF(COUNTIFS('Leave log'!$A$7:$A$306,Employees!$A$15,'Leave log'!$B$7:$B$306,"&lt;="&amp;DATE($B$3,7,4),'Leave log'!$C$7:$C$306,"&gt;="&amp;DATE($B$3,7,4),'Leave log'!$F$7:$F$306,"Pending")&gt;0,"P",""))))</f>
        <v/>
      </c>
      <c r="F220" s="23" t="str">
        <f>IF(A220="","",IF(IF(OR(DATE($B$3,7,5)&gt;EOMONTH(DATE($B$3,7,1),0),NETWORKDAYS.INTL(DATE($B$3,7,5),DATE($B$3,7,5),1,'Non-working days'!$A$6:$A$45)=0),"",IF(COUNTIFS('Leave log'!$A$7:$A$306,Employees!$A$15,'Leave log'!$B$7:$B$306,"&lt;="&amp;DATE($B$3,7,5),'Leave log'!$C$7:$C$306,"&gt;="&amp;DATE($B$3,7,5),'Leave log'!$F$7:$F$306,"Approved")&gt;0,"A",""))="A","A",IF(OR(DATE($B$3,7,5)&gt;EOMONTH(DATE($B$3,7,1),0),NETWORKDAYS.INTL(DATE($B$3,7,5),DATE($B$3,7,5),1,'Non-working days'!$A$6:$A$45)=0),"",IF(COUNTIFS('Leave log'!$A$7:$A$306,Employees!$A$15,'Leave log'!$B$7:$B$306,"&lt;="&amp;DATE($B$3,7,5),'Leave log'!$C$7:$C$306,"&gt;="&amp;DATE($B$3,7,5),'Leave log'!$F$7:$F$306,"Pending")&gt;0,"P",""))))</f>
        <v/>
      </c>
      <c r="G220" s="23" t="str">
        <f>IF(A220="","",IF(IF(OR(DATE($B$3,7,6)&gt;EOMONTH(DATE($B$3,7,1),0),NETWORKDAYS.INTL(DATE($B$3,7,6),DATE($B$3,7,6),1,'Non-working days'!$A$6:$A$45)=0),"",IF(COUNTIFS('Leave log'!$A$7:$A$306,Employees!$A$15,'Leave log'!$B$7:$B$306,"&lt;="&amp;DATE($B$3,7,6),'Leave log'!$C$7:$C$306,"&gt;="&amp;DATE($B$3,7,6),'Leave log'!$F$7:$F$306,"Approved")&gt;0,"A",""))="A","A",IF(OR(DATE($B$3,7,6)&gt;EOMONTH(DATE($B$3,7,1),0),NETWORKDAYS.INTL(DATE($B$3,7,6),DATE($B$3,7,6),1,'Non-working days'!$A$6:$A$45)=0),"",IF(COUNTIFS('Leave log'!$A$7:$A$306,Employees!$A$15,'Leave log'!$B$7:$B$306,"&lt;="&amp;DATE($B$3,7,6),'Leave log'!$C$7:$C$306,"&gt;="&amp;DATE($B$3,7,6),'Leave log'!$F$7:$F$306,"Pending")&gt;0,"P",""))))</f>
        <v/>
      </c>
      <c r="H220" s="23" t="str">
        <f>IF(A220="","",IF(IF(OR(DATE($B$3,7,7)&gt;EOMONTH(DATE($B$3,7,1),0),NETWORKDAYS.INTL(DATE($B$3,7,7),DATE($B$3,7,7),1,'Non-working days'!$A$6:$A$45)=0),"",IF(COUNTIFS('Leave log'!$A$7:$A$306,Employees!$A$15,'Leave log'!$B$7:$B$306,"&lt;="&amp;DATE($B$3,7,7),'Leave log'!$C$7:$C$306,"&gt;="&amp;DATE($B$3,7,7),'Leave log'!$F$7:$F$306,"Approved")&gt;0,"A",""))="A","A",IF(OR(DATE($B$3,7,7)&gt;EOMONTH(DATE($B$3,7,1),0),NETWORKDAYS.INTL(DATE($B$3,7,7),DATE($B$3,7,7),1,'Non-working days'!$A$6:$A$45)=0),"",IF(COUNTIFS('Leave log'!$A$7:$A$306,Employees!$A$15,'Leave log'!$B$7:$B$306,"&lt;="&amp;DATE($B$3,7,7),'Leave log'!$C$7:$C$306,"&gt;="&amp;DATE($B$3,7,7),'Leave log'!$F$7:$F$306,"Pending")&gt;0,"P",""))))</f>
        <v/>
      </c>
      <c r="I220" s="23" t="str">
        <f>IF(A220="","",IF(IF(OR(DATE($B$3,7,8)&gt;EOMONTH(DATE($B$3,7,1),0),NETWORKDAYS.INTL(DATE($B$3,7,8),DATE($B$3,7,8),1,'Non-working days'!$A$6:$A$45)=0),"",IF(COUNTIFS('Leave log'!$A$7:$A$306,Employees!$A$15,'Leave log'!$B$7:$B$306,"&lt;="&amp;DATE($B$3,7,8),'Leave log'!$C$7:$C$306,"&gt;="&amp;DATE($B$3,7,8),'Leave log'!$F$7:$F$306,"Approved")&gt;0,"A",""))="A","A",IF(OR(DATE($B$3,7,8)&gt;EOMONTH(DATE($B$3,7,1),0),NETWORKDAYS.INTL(DATE($B$3,7,8),DATE($B$3,7,8),1,'Non-working days'!$A$6:$A$45)=0),"",IF(COUNTIFS('Leave log'!$A$7:$A$306,Employees!$A$15,'Leave log'!$B$7:$B$306,"&lt;="&amp;DATE($B$3,7,8),'Leave log'!$C$7:$C$306,"&gt;="&amp;DATE($B$3,7,8),'Leave log'!$F$7:$F$306,"Pending")&gt;0,"P",""))))</f>
        <v/>
      </c>
      <c r="J220" s="23" t="str">
        <f>IF(A220="","",IF(IF(OR(DATE($B$3,7,9)&gt;EOMONTH(DATE($B$3,7,1),0),NETWORKDAYS.INTL(DATE($B$3,7,9),DATE($B$3,7,9),1,'Non-working days'!$A$6:$A$45)=0),"",IF(COUNTIFS('Leave log'!$A$7:$A$306,Employees!$A$15,'Leave log'!$B$7:$B$306,"&lt;="&amp;DATE($B$3,7,9),'Leave log'!$C$7:$C$306,"&gt;="&amp;DATE($B$3,7,9),'Leave log'!$F$7:$F$306,"Approved")&gt;0,"A",""))="A","A",IF(OR(DATE($B$3,7,9)&gt;EOMONTH(DATE($B$3,7,1),0),NETWORKDAYS.INTL(DATE($B$3,7,9),DATE($B$3,7,9),1,'Non-working days'!$A$6:$A$45)=0),"",IF(COUNTIFS('Leave log'!$A$7:$A$306,Employees!$A$15,'Leave log'!$B$7:$B$306,"&lt;="&amp;DATE($B$3,7,9),'Leave log'!$C$7:$C$306,"&gt;="&amp;DATE($B$3,7,9),'Leave log'!$F$7:$F$306,"Pending")&gt;0,"P",""))))</f>
        <v/>
      </c>
      <c r="K220" s="23" t="str">
        <f>IF(A220="","",IF(IF(OR(DATE($B$3,7,10)&gt;EOMONTH(DATE($B$3,7,1),0),NETWORKDAYS.INTL(DATE($B$3,7,10),DATE($B$3,7,10),1,'Non-working days'!$A$6:$A$45)=0),"",IF(COUNTIFS('Leave log'!$A$7:$A$306,Employees!$A$15,'Leave log'!$B$7:$B$306,"&lt;="&amp;DATE($B$3,7,10),'Leave log'!$C$7:$C$306,"&gt;="&amp;DATE($B$3,7,10),'Leave log'!$F$7:$F$306,"Approved")&gt;0,"A",""))="A","A",IF(OR(DATE($B$3,7,10)&gt;EOMONTH(DATE($B$3,7,1),0),NETWORKDAYS.INTL(DATE($B$3,7,10),DATE($B$3,7,10),1,'Non-working days'!$A$6:$A$45)=0),"",IF(COUNTIFS('Leave log'!$A$7:$A$306,Employees!$A$15,'Leave log'!$B$7:$B$306,"&lt;="&amp;DATE($B$3,7,10),'Leave log'!$C$7:$C$306,"&gt;="&amp;DATE($B$3,7,10),'Leave log'!$F$7:$F$306,"Pending")&gt;0,"P",""))))</f>
        <v/>
      </c>
      <c r="L220" s="23" t="str">
        <f>IF(A220="","",IF(IF(OR(DATE($B$3,7,11)&gt;EOMONTH(DATE($B$3,7,1),0),NETWORKDAYS.INTL(DATE($B$3,7,11),DATE($B$3,7,11),1,'Non-working days'!$A$6:$A$45)=0),"",IF(COUNTIFS('Leave log'!$A$7:$A$306,Employees!$A$15,'Leave log'!$B$7:$B$306,"&lt;="&amp;DATE($B$3,7,11),'Leave log'!$C$7:$C$306,"&gt;="&amp;DATE($B$3,7,11),'Leave log'!$F$7:$F$306,"Approved")&gt;0,"A",""))="A","A",IF(OR(DATE($B$3,7,11)&gt;EOMONTH(DATE($B$3,7,1),0),NETWORKDAYS.INTL(DATE($B$3,7,11),DATE($B$3,7,11),1,'Non-working days'!$A$6:$A$45)=0),"",IF(COUNTIFS('Leave log'!$A$7:$A$306,Employees!$A$15,'Leave log'!$B$7:$B$306,"&lt;="&amp;DATE($B$3,7,11),'Leave log'!$C$7:$C$306,"&gt;="&amp;DATE($B$3,7,11),'Leave log'!$F$7:$F$306,"Pending")&gt;0,"P",""))))</f>
        <v/>
      </c>
      <c r="M220" s="23" t="str">
        <f>IF(A220="","",IF(IF(OR(DATE($B$3,7,12)&gt;EOMONTH(DATE($B$3,7,1),0),NETWORKDAYS.INTL(DATE($B$3,7,12),DATE($B$3,7,12),1,'Non-working days'!$A$6:$A$45)=0),"",IF(COUNTIFS('Leave log'!$A$7:$A$306,Employees!$A$15,'Leave log'!$B$7:$B$306,"&lt;="&amp;DATE($B$3,7,12),'Leave log'!$C$7:$C$306,"&gt;="&amp;DATE($B$3,7,12),'Leave log'!$F$7:$F$306,"Approved")&gt;0,"A",""))="A","A",IF(OR(DATE($B$3,7,12)&gt;EOMONTH(DATE($B$3,7,1),0),NETWORKDAYS.INTL(DATE($B$3,7,12),DATE($B$3,7,12),1,'Non-working days'!$A$6:$A$45)=0),"",IF(COUNTIFS('Leave log'!$A$7:$A$306,Employees!$A$15,'Leave log'!$B$7:$B$306,"&lt;="&amp;DATE($B$3,7,12),'Leave log'!$C$7:$C$306,"&gt;="&amp;DATE($B$3,7,12),'Leave log'!$F$7:$F$306,"Pending")&gt;0,"P",""))))</f>
        <v/>
      </c>
      <c r="N220" s="23" t="str">
        <f>IF(A220="","",IF(IF(OR(DATE($B$3,7,13)&gt;EOMONTH(DATE($B$3,7,1),0),NETWORKDAYS.INTL(DATE($B$3,7,13),DATE($B$3,7,13),1,'Non-working days'!$A$6:$A$45)=0),"",IF(COUNTIFS('Leave log'!$A$7:$A$306,Employees!$A$15,'Leave log'!$B$7:$B$306,"&lt;="&amp;DATE($B$3,7,13),'Leave log'!$C$7:$C$306,"&gt;="&amp;DATE($B$3,7,13),'Leave log'!$F$7:$F$306,"Approved")&gt;0,"A",""))="A","A",IF(OR(DATE($B$3,7,13)&gt;EOMONTH(DATE($B$3,7,1),0),NETWORKDAYS.INTL(DATE($B$3,7,13),DATE($B$3,7,13),1,'Non-working days'!$A$6:$A$45)=0),"",IF(COUNTIFS('Leave log'!$A$7:$A$306,Employees!$A$15,'Leave log'!$B$7:$B$306,"&lt;="&amp;DATE($B$3,7,13),'Leave log'!$C$7:$C$306,"&gt;="&amp;DATE($B$3,7,13),'Leave log'!$F$7:$F$306,"Pending")&gt;0,"P",""))))</f>
        <v/>
      </c>
      <c r="O220" s="23" t="str">
        <f>IF(A220="","",IF(IF(OR(DATE($B$3,7,14)&gt;EOMONTH(DATE($B$3,7,1),0),NETWORKDAYS.INTL(DATE($B$3,7,14),DATE($B$3,7,14),1,'Non-working days'!$A$6:$A$45)=0),"",IF(COUNTIFS('Leave log'!$A$7:$A$306,Employees!$A$15,'Leave log'!$B$7:$B$306,"&lt;="&amp;DATE($B$3,7,14),'Leave log'!$C$7:$C$306,"&gt;="&amp;DATE($B$3,7,14),'Leave log'!$F$7:$F$306,"Approved")&gt;0,"A",""))="A","A",IF(OR(DATE($B$3,7,14)&gt;EOMONTH(DATE($B$3,7,1),0),NETWORKDAYS.INTL(DATE($B$3,7,14),DATE($B$3,7,14),1,'Non-working days'!$A$6:$A$45)=0),"",IF(COUNTIFS('Leave log'!$A$7:$A$306,Employees!$A$15,'Leave log'!$B$7:$B$306,"&lt;="&amp;DATE($B$3,7,14),'Leave log'!$C$7:$C$306,"&gt;="&amp;DATE($B$3,7,14),'Leave log'!$F$7:$F$306,"Pending")&gt;0,"P",""))))</f>
        <v/>
      </c>
      <c r="P220" s="23" t="str">
        <f>IF(A220="","",IF(IF(OR(DATE($B$3,7,15)&gt;EOMONTH(DATE($B$3,7,1),0),NETWORKDAYS.INTL(DATE($B$3,7,15),DATE($B$3,7,15),1,'Non-working days'!$A$6:$A$45)=0),"",IF(COUNTIFS('Leave log'!$A$7:$A$306,Employees!$A$15,'Leave log'!$B$7:$B$306,"&lt;="&amp;DATE($B$3,7,15),'Leave log'!$C$7:$C$306,"&gt;="&amp;DATE($B$3,7,15),'Leave log'!$F$7:$F$306,"Approved")&gt;0,"A",""))="A","A",IF(OR(DATE($B$3,7,15)&gt;EOMONTH(DATE($B$3,7,1),0),NETWORKDAYS.INTL(DATE($B$3,7,15),DATE($B$3,7,15),1,'Non-working days'!$A$6:$A$45)=0),"",IF(COUNTIFS('Leave log'!$A$7:$A$306,Employees!$A$15,'Leave log'!$B$7:$B$306,"&lt;="&amp;DATE($B$3,7,15),'Leave log'!$C$7:$C$306,"&gt;="&amp;DATE($B$3,7,15),'Leave log'!$F$7:$F$306,"Pending")&gt;0,"P",""))))</f>
        <v/>
      </c>
      <c r="Q220" s="23" t="str">
        <f>IF(A220="","",IF(IF(OR(DATE($B$3,7,16)&gt;EOMONTH(DATE($B$3,7,1),0),NETWORKDAYS.INTL(DATE($B$3,7,16),DATE($B$3,7,16),1,'Non-working days'!$A$6:$A$45)=0),"",IF(COUNTIFS('Leave log'!$A$7:$A$306,Employees!$A$15,'Leave log'!$B$7:$B$306,"&lt;="&amp;DATE($B$3,7,16),'Leave log'!$C$7:$C$306,"&gt;="&amp;DATE($B$3,7,16),'Leave log'!$F$7:$F$306,"Approved")&gt;0,"A",""))="A","A",IF(OR(DATE($B$3,7,16)&gt;EOMONTH(DATE($B$3,7,1),0),NETWORKDAYS.INTL(DATE($B$3,7,16),DATE($B$3,7,16),1,'Non-working days'!$A$6:$A$45)=0),"",IF(COUNTIFS('Leave log'!$A$7:$A$306,Employees!$A$15,'Leave log'!$B$7:$B$306,"&lt;="&amp;DATE($B$3,7,16),'Leave log'!$C$7:$C$306,"&gt;="&amp;DATE($B$3,7,16),'Leave log'!$F$7:$F$306,"Pending")&gt;0,"P",""))))</f>
        <v/>
      </c>
      <c r="R220" s="23" t="str">
        <f>IF(A220="","",IF(IF(OR(DATE($B$3,7,17)&gt;EOMONTH(DATE($B$3,7,1),0),NETWORKDAYS.INTL(DATE($B$3,7,17),DATE($B$3,7,17),1,'Non-working days'!$A$6:$A$45)=0),"",IF(COUNTIFS('Leave log'!$A$7:$A$306,Employees!$A$15,'Leave log'!$B$7:$B$306,"&lt;="&amp;DATE($B$3,7,17),'Leave log'!$C$7:$C$306,"&gt;="&amp;DATE($B$3,7,17),'Leave log'!$F$7:$F$306,"Approved")&gt;0,"A",""))="A","A",IF(OR(DATE($B$3,7,17)&gt;EOMONTH(DATE($B$3,7,1),0),NETWORKDAYS.INTL(DATE($B$3,7,17),DATE($B$3,7,17),1,'Non-working days'!$A$6:$A$45)=0),"",IF(COUNTIFS('Leave log'!$A$7:$A$306,Employees!$A$15,'Leave log'!$B$7:$B$306,"&lt;="&amp;DATE($B$3,7,17),'Leave log'!$C$7:$C$306,"&gt;="&amp;DATE($B$3,7,17),'Leave log'!$F$7:$F$306,"Pending")&gt;0,"P",""))))</f>
        <v/>
      </c>
      <c r="S220" s="23" t="str">
        <f>IF(A220="","",IF(IF(OR(DATE($B$3,7,18)&gt;EOMONTH(DATE($B$3,7,1),0),NETWORKDAYS.INTL(DATE($B$3,7,18),DATE($B$3,7,18),1,'Non-working days'!$A$6:$A$45)=0),"",IF(COUNTIFS('Leave log'!$A$7:$A$306,Employees!$A$15,'Leave log'!$B$7:$B$306,"&lt;="&amp;DATE($B$3,7,18),'Leave log'!$C$7:$C$306,"&gt;="&amp;DATE($B$3,7,18),'Leave log'!$F$7:$F$306,"Approved")&gt;0,"A",""))="A","A",IF(OR(DATE($B$3,7,18)&gt;EOMONTH(DATE($B$3,7,1),0),NETWORKDAYS.INTL(DATE($B$3,7,18),DATE($B$3,7,18),1,'Non-working days'!$A$6:$A$45)=0),"",IF(COUNTIFS('Leave log'!$A$7:$A$306,Employees!$A$15,'Leave log'!$B$7:$B$306,"&lt;="&amp;DATE($B$3,7,18),'Leave log'!$C$7:$C$306,"&gt;="&amp;DATE($B$3,7,18),'Leave log'!$F$7:$F$306,"Pending")&gt;0,"P",""))))</f>
        <v/>
      </c>
      <c r="T220" s="23" t="str">
        <f>IF(A220="","",IF(IF(OR(DATE($B$3,7,19)&gt;EOMONTH(DATE($B$3,7,1),0),NETWORKDAYS.INTL(DATE($B$3,7,19),DATE($B$3,7,19),1,'Non-working days'!$A$6:$A$45)=0),"",IF(COUNTIFS('Leave log'!$A$7:$A$306,Employees!$A$15,'Leave log'!$B$7:$B$306,"&lt;="&amp;DATE($B$3,7,19),'Leave log'!$C$7:$C$306,"&gt;="&amp;DATE($B$3,7,19),'Leave log'!$F$7:$F$306,"Approved")&gt;0,"A",""))="A","A",IF(OR(DATE($B$3,7,19)&gt;EOMONTH(DATE($B$3,7,1),0),NETWORKDAYS.INTL(DATE($B$3,7,19),DATE($B$3,7,19),1,'Non-working days'!$A$6:$A$45)=0),"",IF(COUNTIFS('Leave log'!$A$7:$A$306,Employees!$A$15,'Leave log'!$B$7:$B$306,"&lt;="&amp;DATE($B$3,7,19),'Leave log'!$C$7:$C$306,"&gt;="&amp;DATE($B$3,7,19),'Leave log'!$F$7:$F$306,"Pending")&gt;0,"P",""))))</f>
        <v/>
      </c>
      <c r="U220" s="23" t="str">
        <f>IF(A220="","",IF(IF(OR(DATE($B$3,7,20)&gt;EOMONTH(DATE($B$3,7,1),0),NETWORKDAYS.INTL(DATE($B$3,7,20),DATE($B$3,7,20),1,'Non-working days'!$A$6:$A$45)=0),"",IF(COUNTIFS('Leave log'!$A$7:$A$306,Employees!$A$15,'Leave log'!$B$7:$B$306,"&lt;="&amp;DATE($B$3,7,20),'Leave log'!$C$7:$C$306,"&gt;="&amp;DATE($B$3,7,20),'Leave log'!$F$7:$F$306,"Approved")&gt;0,"A",""))="A","A",IF(OR(DATE($B$3,7,20)&gt;EOMONTH(DATE($B$3,7,1),0),NETWORKDAYS.INTL(DATE($B$3,7,20),DATE($B$3,7,20),1,'Non-working days'!$A$6:$A$45)=0),"",IF(COUNTIFS('Leave log'!$A$7:$A$306,Employees!$A$15,'Leave log'!$B$7:$B$306,"&lt;="&amp;DATE($B$3,7,20),'Leave log'!$C$7:$C$306,"&gt;="&amp;DATE($B$3,7,20),'Leave log'!$F$7:$F$306,"Pending")&gt;0,"P",""))))</f>
        <v/>
      </c>
      <c r="V220" s="23" t="str">
        <f>IF(A220="","",IF(IF(OR(DATE($B$3,7,21)&gt;EOMONTH(DATE($B$3,7,1),0),NETWORKDAYS.INTL(DATE($B$3,7,21),DATE($B$3,7,21),1,'Non-working days'!$A$6:$A$45)=0),"",IF(COUNTIFS('Leave log'!$A$7:$A$306,Employees!$A$15,'Leave log'!$B$7:$B$306,"&lt;="&amp;DATE($B$3,7,21),'Leave log'!$C$7:$C$306,"&gt;="&amp;DATE($B$3,7,21),'Leave log'!$F$7:$F$306,"Approved")&gt;0,"A",""))="A","A",IF(OR(DATE($B$3,7,21)&gt;EOMONTH(DATE($B$3,7,1),0),NETWORKDAYS.INTL(DATE($B$3,7,21),DATE($B$3,7,21),1,'Non-working days'!$A$6:$A$45)=0),"",IF(COUNTIFS('Leave log'!$A$7:$A$306,Employees!$A$15,'Leave log'!$B$7:$B$306,"&lt;="&amp;DATE($B$3,7,21),'Leave log'!$C$7:$C$306,"&gt;="&amp;DATE($B$3,7,21),'Leave log'!$F$7:$F$306,"Pending")&gt;0,"P",""))))</f>
        <v/>
      </c>
      <c r="W220" s="23" t="str">
        <f>IF(A220="","",IF(IF(OR(DATE($B$3,7,22)&gt;EOMONTH(DATE($B$3,7,1),0),NETWORKDAYS.INTL(DATE($B$3,7,22),DATE($B$3,7,22),1,'Non-working days'!$A$6:$A$45)=0),"",IF(COUNTIFS('Leave log'!$A$7:$A$306,Employees!$A$15,'Leave log'!$B$7:$B$306,"&lt;="&amp;DATE($B$3,7,22),'Leave log'!$C$7:$C$306,"&gt;="&amp;DATE($B$3,7,22),'Leave log'!$F$7:$F$306,"Approved")&gt;0,"A",""))="A","A",IF(OR(DATE($B$3,7,22)&gt;EOMONTH(DATE($B$3,7,1),0),NETWORKDAYS.INTL(DATE($B$3,7,22),DATE($B$3,7,22),1,'Non-working days'!$A$6:$A$45)=0),"",IF(COUNTIFS('Leave log'!$A$7:$A$306,Employees!$A$15,'Leave log'!$B$7:$B$306,"&lt;="&amp;DATE($B$3,7,22),'Leave log'!$C$7:$C$306,"&gt;="&amp;DATE($B$3,7,22),'Leave log'!$F$7:$F$306,"Pending")&gt;0,"P",""))))</f>
        <v/>
      </c>
      <c r="X220" s="23" t="str">
        <f>IF(A220="","",IF(IF(OR(DATE($B$3,7,23)&gt;EOMONTH(DATE($B$3,7,1),0),NETWORKDAYS.INTL(DATE($B$3,7,23),DATE($B$3,7,23),1,'Non-working days'!$A$6:$A$45)=0),"",IF(COUNTIFS('Leave log'!$A$7:$A$306,Employees!$A$15,'Leave log'!$B$7:$B$306,"&lt;="&amp;DATE($B$3,7,23),'Leave log'!$C$7:$C$306,"&gt;="&amp;DATE($B$3,7,23),'Leave log'!$F$7:$F$306,"Approved")&gt;0,"A",""))="A","A",IF(OR(DATE($B$3,7,23)&gt;EOMONTH(DATE($B$3,7,1),0),NETWORKDAYS.INTL(DATE($B$3,7,23),DATE($B$3,7,23),1,'Non-working days'!$A$6:$A$45)=0),"",IF(COUNTIFS('Leave log'!$A$7:$A$306,Employees!$A$15,'Leave log'!$B$7:$B$306,"&lt;="&amp;DATE($B$3,7,23),'Leave log'!$C$7:$C$306,"&gt;="&amp;DATE($B$3,7,23),'Leave log'!$F$7:$F$306,"Pending")&gt;0,"P",""))))</f>
        <v/>
      </c>
      <c r="Y220" s="23" t="str">
        <f>IF(A220="","",IF(IF(OR(DATE($B$3,7,24)&gt;EOMONTH(DATE($B$3,7,1),0),NETWORKDAYS.INTL(DATE($B$3,7,24),DATE($B$3,7,24),1,'Non-working days'!$A$6:$A$45)=0),"",IF(COUNTIFS('Leave log'!$A$7:$A$306,Employees!$A$15,'Leave log'!$B$7:$B$306,"&lt;="&amp;DATE($B$3,7,24),'Leave log'!$C$7:$C$306,"&gt;="&amp;DATE($B$3,7,24),'Leave log'!$F$7:$F$306,"Approved")&gt;0,"A",""))="A","A",IF(OR(DATE($B$3,7,24)&gt;EOMONTH(DATE($B$3,7,1),0),NETWORKDAYS.INTL(DATE($B$3,7,24),DATE($B$3,7,24),1,'Non-working days'!$A$6:$A$45)=0),"",IF(COUNTIFS('Leave log'!$A$7:$A$306,Employees!$A$15,'Leave log'!$B$7:$B$306,"&lt;="&amp;DATE($B$3,7,24),'Leave log'!$C$7:$C$306,"&gt;="&amp;DATE($B$3,7,24),'Leave log'!$F$7:$F$306,"Pending")&gt;0,"P",""))))</f>
        <v/>
      </c>
      <c r="Z220" s="23" t="str">
        <f>IF(A220="","",IF(IF(OR(DATE($B$3,7,25)&gt;EOMONTH(DATE($B$3,7,1),0),NETWORKDAYS.INTL(DATE($B$3,7,25),DATE($B$3,7,25),1,'Non-working days'!$A$6:$A$45)=0),"",IF(COUNTIFS('Leave log'!$A$7:$A$306,Employees!$A$15,'Leave log'!$B$7:$B$306,"&lt;="&amp;DATE($B$3,7,25),'Leave log'!$C$7:$C$306,"&gt;="&amp;DATE($B$3,7,25),'Leave log'!$F$7:$F$306,"Approved")&gt;0,"A",""))="A","A",IF(OR(DATE($B$3,7,25)&gt;EOMONTH(DATE($B$3,7,1),0),NETWORKDAYS.INTL(DATE($B$3,7,25),DATE($B$3,7,25),1,'Non-working days'!$A$6:$A$45)=0),"",IF(COUNTIFS('Leave log'!$A$7:$A$306,Employees!$A$15,'Leave log'!$B$7:$B$306,"&lt;="&amp;DATE($B$3,7,25),'Leave log'!$C$7:$C$306,"&gt;="&amp;DATE($B$3,7,25),'Leave log'!$F$7:$F$306,"Pending")&gt;0,"P",""))))</f>
        <v/>
      </c>
      <c r="AA220" s="23" t="str">
        <f>IF(A220="","",IF(IF(OR(DATE($B$3,7,26)&gt;EOMONTH(DATE($B$3,7,1),0),NETWORKDAYS.INTL(DATE($B$3,7,26),DATE($B$3,7,26),1,'Non-working days'!$A$6:$A$45)=0),"",IF(COUNTIFS('Leave log'!$A$7:$A$306,Employees!$A$15,'Leave log'!$B$7:$B$306,"&lt;="&amp;DATE($B$3,7,26),'Leave log'!$C$7:$C$306,"&gt;="&amp;DATE($B$3,7,26),'Leave log'!$F$7:$F$306,"Approved")&gt;0,"A",""))="A","A",IF(OR(DATE($B$3,7,26)&gt;EOMONTH(DATE($B$3,7,1),0),NETWORKDAYS.INTL(DATE($B$3,7,26),DATE($B$3,7,26),1,'Non-working days'!$A$6:$A$45)=0),"",IF(COUNTIFS('Leave log'!$A$7:$A$306,Employees!$A$15,'Leave log'!$B$7:$B$306,"&lt;="&amp;DATE($B$3,7,26),'Leave log'!$C$7:$C$306,"&gt;="&amp;DATE($B$3,7,26),'Leave log'!$F$7:$F$306,"Pending")&gt;0,"P",""))))</f>
        <v/>
      </c>
      <c r="AB220" s="23" t="str">
        <f>IF(A220="","",IF(IF(OR(DATE($B$3,7,27)&gt;EOMONTH(DATE($B$3,7,1),0),NETWORKDAYS.INTL(DATE($B$3,7,27),DATE($B$3,7,27),1,'Non-working days'!$A$6:$A$45)=0),"",IF(COUNTIFS('Leave log'!$A$7:$A$306,Employees!$A$15,'Leave log'!$B$7:$B$306,"&lt;="&amp;DATE($B$3,7,27),'Leave log'!$C$7:$C$306,"&gt;="&amp;DATE($B$3,7,27),'Leave log'!$F$7:$F$306,"Approved")&gt;0,"A",""))="A","A",IF(OR(DATE($B$3,7,27)&gt;EOMONTH(DATE($B$3,7,1),0),NETWORKDAYS.INTL(DATE($B$3,7,27),DATE($B$3,7,27),1,'Non-working days'!$A$6:$A$45)=0),"",IF(COUNTIFS('Leave log'!$A$7:$A$306,Employees!$A$15,'Leave log'!$B$7:$B$306,"&lt;="&amp;DATE($B$3,7,27),'Leave log'!$C$7:$C$306,"&gt;="&amp;DATE($B$3,7,27),'Leave log'!$F$7:$F$306,"Pending")&gt;0,"P",""))))</f>
        <v/>
      </c>
      <c r="AC220" s="23" t="str">
        <f>IF(A220="","",IF(IF(OR(DATE($B$3,7,28)&gt;EOMONTH(DATE($B$3,7,1),0),NETWORKDAYS.INTL(DATE($B$3,7,28),DATE($B$3,7,28),1,'Non-working days'!$A$6:$A$45)=0),"",IF(COUNTIFS('Leave log'!$A$7:$A$306,Employees!$A$15,'Leave log'!$B$7:$B$306,"&lt;="&amp;DATE($B$3,7,28),'Leave log'!$C$7:$C$306,"&gt;="&amp;DATE($B$3,7,28),'Leave log'!$F$7:$F$306,"Approved")&gt;0,"A",""))="A","A",IF(OR(DATE($B$3,7,28)&gt;EOMONTH(DATE($B$3,7,1),0),NETWORKDAYS.INTL(DATE($B$3,7,28),DATE($B$3,7,28),1,'Non-working days'!$A$6:$A$45)=0),"",IF(COUNTIFS('Leave log'!$A$7:$A$306,Employees!$A$15,'Leave log'!$B$7:$B$306,"&lt;="&amp;DATE($B$3,7,28),'Leave log'!$C$7:$C$306,"&gt;="&amp;DATE($B$3,7,28),'Leave log'!$F$7:$F$306,"Pending")&gt;0,"P",""))))</f>
        <v/>
      </c>
      <c r="AD220" s="23" t="str">
        <f>IF(A220="","",IF(IF(OR(DATE($B$3,7,29)&gt;EOMONTH(DATE($B$3,7,1),0),NETWORKDAYS.INTL(DATE($B$3,7,29),DATE($B$3,7,29),1,'Non-working days'!$A$6:$A$45)=0),"",IF(COUNTIFS('Leave log'!$A$7:$A$306,Employees!$A$15,'Leave log'!$B$7:$B$306,"&lt;="&amp;DATE($B$3,7,29),'Leave log'!$C$7:$C$306,"&gt;="&amp;DATE($B$3,7,29),'Leave log'!$F$7:$F$306,"Approved")&gt;0,"A",""))="A","A",IF(OR(DATE($B$3,7,29)&gt;EOMONTH(DATE($B$3,7,1),0),NETWORKDAYS.INTL(DATE($B$3,7,29),DATE($B$3,7,29),1,'Non-working days'!$A$6:$A$45)=0),"",IF(COUNTIFS('Leave log'!$A$7:$A$306,Employees!$A$15,'Leave log'!$B$7:$B$306,"&lt;="&amp;DATE($B$3,7,29),'Leave log'!$C$7:$C$306,"&gt;="&amp;DATE($B$3,7,29),'Leave log'!$F$7:$F$306,"Pending")&gt;0,"P",""))))</f>
        <v/>
      </c>
      <c r="AE220" s="23" t="str">
        <f>IF(A220="","",IF(IF(OR(DATE($B$3,7,30)&gt;EOMONTH(DATE($B$3,7,1),0),NETWORKDAYS.INTL(DATE($B$3,7,30),DATE($B$3,7,30),1,'Non-working days'!$A$6:$A$45)=0),"",IF(COUNTIFS('Leave log'!$A$7:$A$306,Employees!$A$15,'Leave log'!$B$7:$B$306,"&lt;="&amp;DATE($B$3,7,30),'Leave log'!$C$7:$C$306,"&gt;="&amp;DATE($B$3,7,30),'Leave log'!$F$7:$F$306,"Approved")&gt;0,"A",""))="A","A",IF(OR(DATE($B$3,7,30)&gt;EOMONTH(DATE($B$3,7,1),0),NETWORKDAYS.INTL(DATE($B$3,7,30),DATE($B$3,7,30),1,'Non-working days'!$A$6:$A$45)=0),"",IF(COUNTIFS('Leave log'!$A$7:$A$306,Employees!$A$15,'Leave log'!$B$7:$B$306,"&lt;="&amp;DATE($B$3,7,30),'Leave log'!$C$7:$C$306,"&gt;="&amp;DATE($B$3,7,30),'Leave log'!$F$7:$F$306,"Pending")&gt;0,"P",""))))</f>
        <v/>
      </c>
      <c r="AF220" s="23" t="str">
        <f>IF(A220="","",IF(IF(OR(DATE($B$3,7,31)&gt;EOMONTH(DATE($B$3,7,1),0),NETWORKDAYS.INTL(DATE($B$3,7,31),DATE($B$3,7,31),1,'Non-working days'!$A$6:$A$45)=0),"",IF(COUNTIFS('Leave log'!$A$7:$A$306,Employees!$A$15,'Leave log'!$B$7:$B$306,"&lt;="&amp;DATE($B$3,7,31),'Leave log'!$C$7:$C$306,"&gt;="&amp;DATE($B$3,7,31),'Leave log'!$F$7:$F$306,"Approved")&gt;0,"A",""))="A","A",IF(OR(DATE($B$3,7,31)&gt;EOMONTH(DATE($B$3,7,1),0),NETWORKDAYS.INTL(DATE($B$3,7,31),DATE($B$3,7,31),1,'Non-working days'!$A$6:$A$45)=0),"",IF(COUNTIFS('Leave log'!$A$7:$A$306,Employees!$A$15,'Leave log'!$B$7:$B$306,"&lt;="&amp;DATE($B$3,7,31),'Leave log'!$C$7:$C$306,"&gt;="&amp;DATE($B$3,7,31),'Leave log'!$F$7:$F$306,"Pending")&gt;0,"P",""))))</f>
        <v/>
      </c>
    </row>
    <row r="221" spans="1:32" ht="18" customHeight="1" x14ac:dyDescent="0.3">
      <c r="A221" s="22" t="str">
        <f>IF(Employees!F16="Yes",Employees!B16,"")</f>
        <v/>
      </c>
      <c r="B221" s="23" t="str">
        <f>IF(A221="","",IF(IF(OR(DATE($B$3,7,1)&gt;EOMONTH(DATE($B$3,7,1),0),NETWORKDAYS.INTL(DATE($B$3,7,1),DATE($B$3,7,1),1,'Non-working days'!$A$6:$A$45)=0),"",IF(COUNTIFS('Leave log'!$A$7:$A$306,Employees!$A$16,'Leave log'!$B$7:$B$306,"&lt;="&amp;DATE($B$3,7,1),'Leave log'!$C$7:$C$306,"&gt;="&amp;DATE($B$3,7,1),'Leave log'!$F$7:$F$306,"Approved")&gt;0,"A",""))="A","A",IF(OR(DATE($B$3,7,1)&gt;EOMONTH(DATE($B$3,7,1),0),NETWORKDAYS.INTL(DATE($B$3,7,1),DATE($B$3,7,1),1,'Non-working days'!$A$6:$A$45)=0),"",IF(COUNTIFS('Leave log'!$A$7:$A$306,Employees!$A$16,'Leave log'!$B$7:$B$306,"&lt;="&amp;DATE($B$3,7,1),'Leave log'!$C$7:$C$306,"&gt;="&amp;DATE($B$3,7,1),'Leave log'!$F$7:$F$306,"Pending")&gt;0,"P",""))))</f>
        <v/>
      </c>
      <c r="C221" s="23" t="str">
        <f>IF(A221="","",IF(IF(OR(DATE($B$3,7,2)&gt;EOMONTH(DATE($B$3,7,1),0),NETWORKDAYS.INTL(DATE($B$3,7,2),DATE($B$3,7,2),1,'Non-working days'!$A$6:$A$45)=0),"",IF(COUNTIFS('Leave log'!$A$7:$A$306,Employees!$A$16,'Leave log'!$B$7:$B$306,"&lt;="&amp;DATE($B$3,7,2),'Leave log'!$C$7:$C$306,"&gt;="&amp;DATE($B$3,7,2),'Leave log'!$F$7:$F$306,"Approved")&gt;0,"A",""))="A","A",IF(OR(DATE($B$3,7,2)&gt;EOMONTH(DATE($B$3,7,1),0),NETWORKDAYS.INTL(DATE($B$3,7,2),DATE($B$3,7,2),1,'Non-working days'!$A$6:$A$45)=0),"",IF(COUNTIFS('Leave log'!$A$7:$A$306,Employees!$A$16,'Leave log'!$B$7:$B$306,"&lt;="&amp;DATE($B$3,7,2),'Leave log'!$C$7:$C$306,"&gt;="&amp;DATE($B$3,7,2),'Leave log'!$F$7:$F$306,"Pending")&gt;0,"P",""))))</f>
        <v/>
      </c>
      <c r="D221" s="23" t="str">
        <f>IF(A221="","",IF(IF(OR(DATE($B$3,7,3)&gt;EOMONTH(DATE($B$3,7,1),0),NETWORKDAYS.INTL(DATE($B$3,7,3),DATE($B$3,7,3),1,'Non-working days'!$A$6:$A$45)=0),"",IF(COUNTIFS('Leave log'!$A$7:$A$306,Employees!$A$16,'Leave log'!$B$7:$B$306,"&lt;="&amp;DATE($B$3,7,3),'Leave log'!$C$7:$C$306,"&gt;="&amp;DATE($B$3,7,3),'Leave log'!$F$7:$F$306,"Approved")&gt;0,"A",""))="A","A",IF(OR(DATE($B$3,7,3)&gt;EOMONTH(DATE($B$3,7,1),0),NETWORKDAYS.INTL(DATE($B$3,7,3),DATE($B$3,7,3),1,'Non-working days'!$A$6:$A$45)=0),"",IF(COUNTIFS('Leave log'!$A$7:$A$306,Employees!$A$16,'Leave log'!$B$7:$B$306,"&lt;="&amp;DATE($B$3,7,3),'Leave log'!$C$7:$C$306,"&gt;="&amp;DATE($B$3,7,3),'Leave log'!$F$7:$F$306,"Pending")&gt;0,"P",""))))</f>
        <v/>
      </c>
      <c r="E221" s="23" t="str">
        <f>IF(A221="","",IF(IF(OR(DATE($B$3,7,4)&gt;EOMONTH(DATE($B$3,7,1),0),NETWORKDAYS.INTL(DATE($B$3,7,4),DATE($B$3,7,4),1,'Non-working days'!$A$6:$A$45)=0),"",IF(COUNTIFS('Leave log'!$A$7:$A$306,Employees!$A$16,'Leave log'!$B$7:$B$306,"&lt;="&amp;DATE($B$3,7,4),'Leave log'!$C$7:$C$306,"&gt;="&amp;DATE($B$3,7,4),'Leave log'!$F$7:$F$306,"Approved")&gt;0,"A",""))="A","A",IF(OR(DATE($B$3,7,4)&gt;EOMONTH(DATE($B$3,7,1),0),NETWORKDAYS.INTL(DATE($B$3,7,4),DATE($B$3,7,4),1,'Non-working days'!$A$6:$A$45)=0),"",IF(COUNTIFS('Leave log'!$A$7:$A$306,Employees!$A$16,'Leave log'!$B$7:$B$306,"&lt;="&amp;DATE($B$3,7,4),'Leave log'!$C$7:$C$306,"&gt;="&amp;DATE($B$3,7,4),'Leave log'!$F$7:$F$306,"Pending")&gt;0,"P",""))))</f>
        <v/>
      </c>
      <c r="F221" s="23" t="str">
        <f>IF(A221="","",IF(IF(OR(DATE($B$3,7,5)&gt;EOMONTH(DATE($B$3,7,1),0),NETWORKDAYS.INTL(DATE($B$3,7,5),DATE($B$3,7,5),1,'Non-working days'!$A$6:$A$45)=0),"",IF(COUNTIFS('Leave log'!$A$7:$A$306,Employees!$A$16,'Leave log'!$B$7:$B$306,"&lt;="&amp;DATE($B$3,7,5),'Leave log'!$C$7:$C$306,"&gt;="&amp;DATE($B$3,7,5),'Leave log'!$F$7:$F$306,"Approved")&gt;0,"A",""))="A","A",IF(OR(DATE($B$3,7,5)&gt;EOMONTH(DATE($B$3,7,1),0),NETWORKDAYS.INTL(DATE($B$3,7,5),DATE($B$3,7,5),1,'Non-working days'!$A$6:$A$45)=0),"",IF(COUNTIFS('Leave log'!$A$7:$A$306,Employees!$A$16,'Leave log'!$B$7:$B$306,"&lt;="&amp;DATE($B$3,7,5),'Leave log'!$C$7:$C$306,"&gt;="&amp;DATE($B$3,7,5),'Leave log'!$F$7:$F$306,"Pending")&gt;0,"P",""))))</f>
        <v/>
      </c>
      <c r="G221" s="23" t="str">
        <f>IF(A221="","",IF(IF(OR(DATE($B$3,7,6)&gt;EOMONTH(DATE($B$3,7,1),0),NETWORKDAYS.INTL(DATE($B$3,7,6),DATE($B$3,7,6),1,'Non-working days'!$A$6:$A$45)=0),"",IF(COUNTIFS('Leave log'!$A$7:$A$306,Employees!$A$16,'Leave log'!$B$7:$B$306,"&lt;="&amp;DATE($B$3,7,6),'Leave log'!$C$7:$C$306,"&gt;="&amp;DATE($B$3,7,6),'Leave log'!$F$7:$F$306,"Approved")&gt;0,"A",""))="A","A",IF(OR(DATE($B$3,7,6)&gt;EOMONTH(DATE($B$3,7,1),0),NETWORKDAYS.INTL(DATE($B$3,7,6),DATE($B$3,7,6),1,'Non-working days'!$A$6:$A$45)=0),"",IF(COUNTIFS('Leave log'!$A$7:$A$306,Employees!$A$16,'Leave log'!$B$7:$B$306,"&lt;="&amp;DATE($B$3,7,6),'Leave log'!$C$7:$C$306,"&gt;="&amp;DATE($B$3,7,6),'Leave log'!$F$7:$F$306,"Pending")&gt;0,"P",""))))</f>
        <v/>
      </c>
      <c r="H221" s="23" t="str">
        <f>IF(A221="","",IF(IF(OR(DATE($B$3,7,7)&gt;EOMONTH(DATE($B$3,7,1),0),NETWORKDAYS.INTL(DATE($B$3,7,7),DATE($B$3,7,7),1,'Non-working days'!$A$6:$A$45)=0),"",IF(COUNTIFS('Leave log'!$A$7:$A$306,Employees!$A$16,'Leave log'!$B$7:$B$306,"&lt;="&amp;DATE($B$3,7,7),'Leave log'!$C$7:$C$306,"&gt;="&amp;DATE($B$3,7,7),'Leave log'!$F$7:$F$306,"Approved")&gt;0,"A",""))="A","A",IF(OR(DATE($B$3,7,7)&gt;EOMONTH(DATE($B$3,7,1),0),NETWORKDAYS.INTL(DATE($B$3,7,7),DATE($B$3,7,7),1,'Non-working days'!$A$6:$A$45)=0),"",IF(COUNTIFS('Leave log'!$A$7:$A$306,Employees!$A$16,'Leave log'!$B$7:$B$306,"&lt;="&amp;DATE($B$3,7,7),'Leave log'!$C$7:$C$306,"&gt;="&amp;DATE($B$3,7,7),'Leave log'!$F$7:$F$306,"Pending")&gt;0,"P",""))))</f>
        <v/>
      </c>
      <c r="I221" s="23" t="str">
        <f>IF(A221="","",IF(IF(OR(DATE($B$3,7,8)&gt;EOMONTH(DATE($B$3,7,1),0),NETWORKDAYS.INTL(DATE($B$3,7,8),DATE($B$3,7,8),1,'Non-working days'!$A$6:$A$45)=0),"",IF(COUNTIFS('Leave log'!$A$7:$A$306,Employees!$A$16,'Leave log'!$B$7:$B$306,"&lt;="&amp;DATE($B$3,7,8),'Leave log'!$C$7:$C$306,"&gt;="&amp;DATE($B$3,7,8),'Leave log'!$F$7:$F$306,"Approved")&gt;0,"A",""))="A","A",IF(OR(DATE($B$3,7,8)&gt;EOMONTH(DATE($B$3,7,1),0),NETWORKDAYS.INTL(DATE($B$3,7,8),DATE($B$3,7,8),1,'Non-working days'!$A$6:$A$45)=0),"",IF(COUNTIFS('Leave log'!$A$7:$A$306,Employees!$A$16,'Leave log'!$B$7:$B$306,"&lt;="&amp;DATE($B$3,7,8),'Leave log'!$C$7:$C$306,"&gt;="&amp;DATE($B$3,7,8),'Leave log'!$F$7:$F$306,"Pending")&gt;0,"P",""))))</f>
        <v/>
      </c>
      <c r="J221" s="23" t="str">
        <f>IF(A221="","",IF(IF(OR(DATE($B$3,7,9)&gt;EOMONTH(DATE($B$3,7,1),0),NETWORKDAYS.INTL(DATE($B$3,7,9),DATE($B$3,7,9),1,'Non-working days'!$A$6:$A$45)=0),"",IF(COUNTIFS('Leave log'!$A$7:$A$306,Employees!$A$16,'Leave log'!$B$7:$B$306,"&lt;="&amp;DATE($B$3,7,9),'Leave log'!$C$7:$C$306,"&gt;="&amp;DATE($B$3,7,9),'Leave log'!$F$7:$F$306,"Approved")&gt;0,"A",""))="A","A",IF(OR(DATE($B$3,7,9)&gt;EOMONTH(DATE($B$3,7,1),0),NETWORKDAYS.INTL(DATE($B$3,7,9),DATE($B$3,7,9),1,'Non-working days'!$A$6:$A$45)=0),"",IF(COUNTIFS('Leave log'!$A$7:$A$306,Employees!$A$16,'Leave log'!$B$7:$B$306,"&lt;="&amp;DATE($B$3,7,9),'Leave log'!$C$7:$C$306,"&gt;="&amp;DATE($B$3,7,9),'Leave log'!$F$7:$F$306,"Pending")&gt;0,"P",""))))</f>
        <v/>
      </c>
      <c r="K221" s="23" t="str">
        <f>IF(A221="","",IF(IF(OR(DATE($B$3,7,10)&gt;EOMONTH(DATE($B$3,7,1),0),NETWORKDAYS.INTL(DATE($B$3,7,10),DATE($B$3,7,10),1,'Non-working days'!$A$6:$A$45)=0),"",IF(COUNTIFS('Leave log'!$A$7:$A$306,Employees!$A$16,'Leave log'!$B$7:$B$306,"&lt;="&amp;DATE($B$3,7,10),'Leave log'!$C$7:$C$306,"&gt;="&amp;DATE($B$3,7,10),'Leave log'!$F$7:$F$306,"Approved")&gt;0,"A",""))="A","A",IF(OR(DATE($B$3,7,10)&gt;EOMONTH(DATE($B$3,7,1),0),NETWORKDAYS.INTL(DATE($B$3,7,10),DATE($B$3,7,10),1,'Non-working days'!$A$6:$A$45)=0),"",IF(COUNTIFS('Leave log'!$A$7:$A$306,Employees!$A$16,'Leave log'!$B$7:$B$306,"&lt;="&amp;DATE($B$3,7,10),'Leave log'!$C$7:$C$306,"&gt;="&amp;DATE($B$3,7,10),'Leave log'!$F$7:$F$306,"Pending")&gt;0,"P",""))))</f>
        <v/>
      </c>
      <c r="L221" s="23" t="str">
        <f>IF(A221="","",IF(IF(OR(DATE($B$3,7,11)&gt;EOMONTH(DATE($B$3,7,1),0),NETWORKDAYS.INTL(DATE($B$3,7,11),DATE($B$3,7,11),1,'Non-working days'!$A$6:$A$45)=0),"",IF(COUNTIFS('Leave log'!$A$7:$A$306,Employees!$A$16,'Leave log'!$B$7:$B$306,"&lt;="&amp;DATE($B$3,7,11),'Leave log'!$C$7:$C$306,"&gt;="&amp;DATE($B$3,7,11),'Leave log'!$F$7:$F$306,"Approved")&gt;0,"A",""))="A","A",IF(OR(DATE($B$3,7,11)&gt;EOMONTH(DATE($B$3,7,1),0),NETWORKDAYS.INTL(DATE($B$3,7,11),DATE($B$3,7,11),1,'Non-working days'!$A$6:$A$45)=0),"",IF(COUNTIFS('Leave log'!$A$7:$A$306,Employees!$A$16,'Leave log'!$B$7:$B$306,"&lt;="&amp;DATE($B$3,7,11),'Leave log'!$C$7:$C$306,"&gt;="&amp;DATE($B$3,7,11),'Leave log'!$F$7:$F$306,"Pending")&gt;0,"P",""))))</f>
        <v/>
      </c>
      <c r="M221" s="23" t="str">
        <f>IF(A221="","",IF(IF(OR(DATE($B$3,7,12)&gt;EOMONTH(DATE($B$3,7,1),0),NETWORKDAYS.INTL(DATE($B$3,7,12),DATE($B$3,7,12),1,'Non-working days'!$A$6:$A$45)=0),"",IF(COUNTIFS('Leave log'!$A$7:$A$306,Employees!$A$16,'Leave log'!$B$7:$B$306,"&lt;="&amp;DATE($B$3,7,12),'Leave log'!$C$7:$C$306,"&gt;="&amp;DATE($B$3,7,12),'Leave log'!$F$7:$F$306,"Approved")&gt;0,"A",""))="A","A",IF(OR(DATE($B$3,7,12)&gt;EOMONTH(DATE($B$3,7,1),0),NETWORKDAYS.INTL(DATE($B$3,7,12),DATE($B$3,7,12),1,'Non-working days'!$A$6:$A$45)=0),"",IF(COUNTIFS('Leave log'!$A$7:$A$306,Employees!$A$16,'Leave log'!$B$7:$B$306,"&lt;="&amp;DATE($B$3,7,12),'Leave log'!$C$7:$C$306,"&gt;="&amp;DATE($B$3,7,12),'Leave log'!$F$7:$F$306,"Pending")&gt;0,"P",""))))</f>
        <v/>
      </c>
      <c r="N221" s="23" t="str">
        <f>IF(A221="","",IF(IF(OR(DATE($B$3,7,13)&gt;EOMONTH(DATE($B$3,7,1),0),NETWORKDAYS.INTL(DATE($B$3,7,13),DATE($B$3,7,13),1,'Non-working days'!$A$6:$A$45)=0),"",IF(COUNTIFS('Leave log'!$A$7:$A$306,Employees!$A$16,'Leave log'!$B$7:$B$306,"&lt;="&amp;DATE($B$3,7,13),'Leave log'!$C$7:$C$306,"&gt;="&amp;DATE($B$3,7,13),'Leave log'!$F$7:$F$306,"Approved")&gt;0,"A",""))="A","A",IF(OR(DATE($B$3,7,13)&gt;EOMONTH(DATE($B$3,7,1),0),NETWORKDAYS.INTL(DATE($B$3,7,13),DATE($B$3,7,13),1,'Non-working days'!$A$6:$A$45)=0),"",IF(COUNTIFS('Leave log'!$A$7:$A$306,Employees!$A$16,'Leave log'!$B$7:$B$306,"&lt;="&amp;DATE($B$3,7,13),'Leave log'!$C$7:$C$306,"&gt;="&amp;DATE($B$3,7,13),'Leave log'!$F$7:$F$306,"Pending")&gt;0,"P",""))))</f>
        <v/>
      </c>
      <c r="O221" s="23" t="str">
        <f>IF(A221="","",IF(IF(OR(DATE($B$3,7,14)&gt;EOMONTH(DATE($B$3,7,1),0),NETWORKDAYS.INTL(DATE($B$3,7,14),DATE($B$3,7,14),1,'Non-working days'!$A$6:$A$45)=0),"",IF(COUNTIFS('Leave log'!$A$7:$A$306,Employees!$A$16,'Leave log'!$B$7:$B$306,"&lt;="&amp;DATE($B$3,7,14),'Leave log'!$C$7:$C$306,"&gt;="&amp;DATE($B$3,7,14),'Leave log'!$F$7:$F$306,"Approved")&gt;0,"A",""))="A","A",IF(OR(DATE($B$3,7,14)&gt;EOMONTH(DATE($B$3,7,1),0),NETWORKDAYS.INTL(DATE($B$3,7,14),DATE($B$3,7,14),1,'Non-working days'!$A$6:$A$45)=0),"",IF(COUNTIFS('Leave log'!$A$7:$A$306,Employees!$A$16,'Leave log'!$B$7:$B$306,"&lt;="&amp;DATE($B$3,7,14),'Leave log'!$C$7:$C$306,"&gt;="&amp;DATE($B$3,7,14),'Leave log'!$F$7:$F$306,"Pending")&gt;0,"P",""))))</f>
        <v/>
      </c>
      <c r="P221" s="23" t="str">
        <f>IF(A221="","",IF(IF(OR(DATE($B$3,7,15)&gt;EOMONTH(DATE($B$3,7,1),0),NETWORKDAYS.INTL(DATE($B$3,7,15),DATE($B$3,7,15),1,'Non-working days'!$A$6:$A$45)=0),"",IF(COUNTIFS('Leave log'!$A$7:$A$306,Employees!$A$16,'Leave log'!$B$7:$B$306,"&lt;="&amp;DATE($B$3,7,15),'Leave log'!$C$7:$C$306,"&gt;="&amp;DATE($B$3,7,15),'Leave log'!$F$7:$F$306,"Approved")&gt;0,"A",""))="A","A",IF(OR(DATE($B$3,7,15)&gt;EOMONTH(DATE($B$3,7,1),0),NETWORKDAYS.INTL(DATE($B$3,7,15),DATE($B$3,7,15),1,'Non-working days'!$A$6:$A$45)=0),"",IF(COUNTIFS('Leave log'!$A$7:$A$306,Employees!$A$16,'Leave log'!$B$7:$B$306,"&lt;="&amp;DATE($B$3,7,15),'Leave log'!$C$7:$C$306,"&gt;="&amp;DATE($B$3,7,15),'Leave log'!$F$7:$F$306,"Pending")&gt;0,"P",""))))</f>
        <v/>
      </c>
      <c r="Q221" s="23" t="str">
        <f>IF(A221="","",IF(IF(OR(DATE($B$3,7,16)&gt;EOMONTH(DATE($B$3,7,1),0),NETWORKDAYS.INTL(DATE($B$3,7,16),DATE($B$3,7,16),1,'Non-working days'!$A$6:$A$45)=0),"",IF(COUNTIFS('Leave log'!$A$7:$A$306,Employees!$A$16,'Leave log'!$B$7:$B$306,"&lt;="&amp;DATE($B$3,7,16),'Leave log'!$C$7:$C$306,"&gt;="&amp;DATE($B$3,7,16),'Leave log'!$F$7:$F$306,"Approved")&gt;0,"A",""))="A","A",IF(OR(DATE($B$3,7,16)&gt;EOMONTH(DATE($B$3,7,1),0),NETWORKDAYS.INTL(DATE($B$3,7,16),DATE($B$3,7,16),1,'Non-working days'!$A$6:$A$45)=0),"",IF(COUNTIFS('Leave log'!$A$7:$A$306,Employees!$A$16,'Leave log'!$B$7:$B$306,"&lt;="&amp;DATE($B$3,7,16),'Leave log'!$C$7:$C$306,"&gt;="&amp;DATE($B$3,7,16),'Leave log'!$F$7:$F$306,"Pending")&gt;0,"P",""))))</f>
        <v/>
      </c>
      <c r="R221" s="23" t="str">
        <f>IF(A221="","",IF(IF(OR(DATE($B$3,7,17)&gt;EOMONTH(DATE($B$3,7,1),0),NETWORKDAYS.INTL(DATE($B$3,7,17),DATE($B$3,7,17),1,'Non-working days'!$A$6:$A$45)=0),"",IF(COUNTIFS('Leave log'!$A$7:$A$306,Employees!$A$16,'Leave log'!$B$7:$B$306,"&lt;="&amp;DATE($B$3,7,17),'Leave log'!$C$7:$C$306,"&gt;="&amp;DATE($B$3,7,17),'Leave log'!$F$7:$F$306,"Approved")&gt;0,"A",""))="A","A",IF(OR(DATE($B$3,7,17)&gt;EOMONTH(DATE($B$3,7,1),0),NETWORKDAYS.INTL(DATE($B$3,7,17),DATE($B$3,7,17),1,'Non-working days'!$A$6:$A$45)=0),"",IF(COUNTIFS('Leave log'!$A$7:$A$306,Employees!$A$16,'Leave log'!$B$7:$B$306,"&lt;="&amp;DATE($B$3,7,17),'Leave log'!$C$7:$C$306,"&gt;="&amp;DATE($B$3,7,17),'Leave log'!$F$7:$F$306,"Pending")&gt;0,"P",""))))</f>
        <v/>
      </c>
      <c r="S221" s="23" t="str">
        <f>IF(A221="","",IF(IF(OR(DATE($B$3,7,18)&gt;EOMONTH(DATE($B$3,7,1),0),NETWORKDAYS.INTL(DATE($B$3,7,18),DATE($B$3,7,18),1,'Non-working days'!$A$6:$A$45)=0),"",IF(COUNTIFS('Leave log'!$A$7:$A$306,Employees!$A$16,'Leave log'!$B$7:$B$306,"&lt;="&amp;DATE($B$3,7,18),'Leave log'!$C$7:$C$306,"&gt;="&amp;DATE($B$3,7,18),'Leave log'!$F$7:$F$306,"Approved")&gt;0,"A",""))="A","A",IF(OR(DATE($B$3,7,18)&gt;EOMONTH(DATE($B$3,7,1),0),NETWORKDAYS.INTL(DATE($B$3,7,18),DATE($B$3,7,18),1,'Non-working days'!$A$6:$A$45)=0),"",IF(COUNTIFS('Leave log'!$A$7:$A$306,Employees!$A$16,'Leave log'!$B$7:$B$306,"&lt;="&amp;DATE($B$3,7,18),'Leave log'!$C$7:$C$306,"&gt;="&amp;DATE($B$3,7,18),'Leave log'!$F$7:$F$306,"Pending")&gt;0,"P",""))))</f>
        <v/>
      </c>
      <c r="T221" s="23" t="str">
        <f>IF(A221="","",IF(IF(OR(DATE($B$3,7,19)&gt;EOMONTH(DATE($B$3,7,1),0),NETWORKDAYS.INTL(DATE($B$3,7,19),DATE($B$3,7,19),1,'Non-working days'!$A$6:$A$45)=0),"",IF(COUNTIFS('Leave log'!$A$7:$A$306,Employees!$A$16,'Leave log'!$B$7:$B$306,"&lt;="&amp;DATE($B$3,7,19),'Leave log'!$C$7:$C$306,"&gt;="&amp;DATE($B$3,7,19),'Leave log'!$F$7:$F$306,"Approved")&gt;0,"A",""))="A","A",IF(OR(DATE($B$3,7,19)&gt;EOMONTH(DATE($B$3,7,1),0),NETWORKDAYS.INTL(DATE($B$3,7,19),DATE($B$3,7,19),1,'Non-working days'!$A$6:$A$45)=0),"",IF(COUNTIFS('Leave log'!$A$7:$A$306,Employees!$A$16,'Leave log'!$B$7:$B$306,"&lt;="&amp;DATE($B$3,7,19),'Leave log'!$C$7:$C$306,"&gt;="&amp;DATE($B$3,7,19),'Leave log'!$F$7:$F$306,"Pending")&gt;0,"P",""))))</f>
        <v/>
      </c>
      <c r="U221" s="23" t="str">
        <f>IF(A221="","",IF(IF(OR(DATE($B$3,7,20)&gt;EOMONTH(DATE($B$3,7,1),0),NETWORKDAYS.INTL(DATE($B$3,7,20),DATE($B$3,7,20),1,'Non-working days'!$A$6:$A$45)=0),"",IF(COUNTIFS('Leave log'!$A$7:$A$306,Employees!$A$16,'Leave log'!$B$7:$B$306,"&lt;="&amp;DATE($B$3,7,20),'Leave log'!$C$7:$C$306,"&gt;="&amp;DATE($B$3,7,20),'Leave log'!$F$7:$F$306,"Approved")&gt;0,"A",""))="A","A",IF(OR(DATE($B$3,7,20)&gt;EOMONTH(DATE($B$3,7,1),0),NETWORKDAYS.INTL(DATE($B$3,7,20),DATE($B$3,7,20),1,'Non-working days'!$A$6:$A$45)=0),"",IF(COUNTIFS('Leave log'!$A$7:$A$306,Employees!$A$16,'Leave log'!$B$7:$B$306,"&lt;="&amp;DATE($B$3,7,20),'Leave log'!$C$7:$C$306,"&gt;="&amp;DATE($B$3,7,20),'Leave log'!$F$7:$F$306,"Pending")&gt;0,"P",""))))</f>
        <v/>
      </c>
      <c r="V221" s="23" t="str">
        <f>IF(A221="","",IF(IF(OR(DATE($B$3,7,21)&gt;EOMONTH(DATE($B$3,7,1),0),NETWORKDAYS.INTL(DATE($B$3,7,21),DATE($B$3,7,21),1,'Non-working days'!$A$6:$A$45)=0),"",IF(COUNTIFS('Leave log'!$A$7:$A$306,Employees!$A$16,'Leave log'!$B$7:$B$306,"&lt;="&amp;DATE($B$3,7,21),'Leave log'!$C$7:$C$306,"&gt;="&amp;DATE($B$3,7,21),'Leave log'!$F$7:$F$306,"Approved")&gt;0,"A",""))="A","A",IF(OR(DATE($B$3,7,21)&gt;EOMONTH(DATE($B$3,7,1),0),NETWORKDAYS.INTL(DATE($B$3,7,21),DATE($B$3,7,21),1,'Non-working days'!$A$6:$A$45)=0),"",IF(COUNTIFS('Leave log'!$A$7:$A$306,Employees!$A$16,'Leave log'!$B$7:$B$306,"&lt;="&amp;DATE($B$3,7,21),'Leave log'!$C$7:$C$306,"&gt;="&amp;DATE($B$3,7,21),'Leave log'!$F$7:$F$306,"Pending")&gt;0,"P",""))))</f>
        <v/>
      </c>
      <c r="W221" s="23" t="str">
        <f>IF(A221="","",IF(IF(OR(DATE($B$3,7,22)&gt;EOMONTH(DATE($B$3,7,1),0),NETWORKDAYS.INTL(DATE($B$3,7,22),DATE($B$3,7,22),1,'Non-working days'!$A$6:$A$45)=0),"",IF(COUNTIFS('Leave log'!$A$7:$A$306,Employees!$A$16,'Leave log'!$B$7:$B$306,"&lt;="&amp;DATE($B$3,7,22),'Leave log'!$C$7:$C$306,"&gt;="&amp;DATE($B$3,7,22),'Leave log'!$F$7:$F$306,"Approved")&gt;0,"A",""))="A","A",IF(OR(DATE($B$3,7,22)&gt;EOMONTH(DATE($B$3,7,1),0),NETWORKDAYS.INTL(DATE($B$3,7,22),DATE($B$3,7,22),1,'Non-working days'!$A$6:$A$45)=0),"",IF(COUNTIFS('Leave log'!$A$7:$A$306,Employees!$A$16,'Leave log'!$B$7:$B$306,"&lt;="&amp;DATE($B$3,7,22),'Leave log'!$C$7:$C$306,"&gt;="&amp;DATE($B$3,7,22),'Leave log'!$F$7:$F$306,"Pending")&gt;0,"P",""))))</f>
        <v/>
      </c>
      <c r="X221" s="23" t="str">
        <f>IF(A221="","",IF(IF(OR(DATE($B$3,7,23)&gt;EOMONTH(DATE($B$3,7,1),0),NETWORKDAYS.INTL(DATE($B$3,7,23),DATE($B$3,7,23),1,'Non-working days'!$A$6:$A$45)=0),"",IF(COUNTIFS('Leave log'!$A$7:$A$306,Employees!$A$16,'Leave log'!$B$7:$B$306,"&lt;="&amp;DATE($B$3,7,23),'Leave log'!$C$7:$C$306,"&gt;="&amp;DATE($B$3,7,23),'Leave log'!$F$7:$F$306,"Approved")&gt;0,"A",""))="A","A",IF(OR(DATE($B$3,7,23)&gt;EOMONTH(DATE($B$3,7,1),0),NETWORKDAYS.INTL(DATE($B$3,7,23),DATE($B$3,7,23),1,'Non-working days'!$A$6:$A$45)=0),"",IF(COUNTIFS('Leave log'!$A$7:$A$306,Employees!$A$16,'Leave log'!$B$7:$B$306,"&lt;="&amp;DATE($B$3,7,23),'Leave log'!$C$7:$C$306,"&gt;="&amp;DATE($B$3,7,23),'Leave log'!$F$7:$F$306,"Pending")&gt;0,"P",""))))</f>
        <v/>
      </c>
      <c r="Y221" s="23" t="str">
        <f>IF(A221="","",IF(IF(OR(DATE($B$3,7,24)&gt;EOMONTH(DATE($B$3,7,1),0),NETWORKDAYS.INTL(DATE($B$3,7,24),DATE($B$3,7,24),1,'Non-working days'!$A$6:$A$45)=0),"",IF(COUNTIFS('Leave log'!$A$7:$A$306,Employees!$A$16,'Leave log'!$B$7:$B$306,"&lt;="&amp;DATE($B$3,7,24),'Leave log'!$C$7:$C$306,"&gt;="&amp;DATE($B$3,7,24),'Leave log'!$F$7:$F$306,"Approved")&gt;0,"A",""))="A","A",IF(OR(DATE($B$3,7,24)&gt;EOMONTH(DATE($B$3,7,1),0),NETWORKDAYS.INTL(DATE($B$3,7,24),DATE($B$3,7,24),1,'Non-working days'!$A$6:$A$45)=0),"",IF(COUNTIFS('Leave log'!$A$7:$A$306,Employees!$A$16,'Leave log'!$B$7:$B$306,"&lt;="&amp;DATE($B$3,7,24),'Leave log'!$C$7:$C$306,"&gt;="&amp;DATE($B$3,7,24),'Leave log'!$F$7:$F$306,"Pending")&gt;0,"P",""))))</f>
        <v/>
      </c>
      <c r="Z221" s="23" t="str">
        <f>IF(A221="","",IF(IF(OR(DATE($B$3,7,25)&gt;EOMONTH(DATE($B$3,7,1),0),NETWORKDAYS.INTL(DATE($B$3,7,25),DATE($B$3,7,25),1,'Non-working days'!$A$6:$A$45)=0),"",IF(COUNTIFS('Leave log'!$A$7:$A$306,Employees!$A$16,'Leave log'!$B$7:$B$306,"&lt;="&amp;DATE($B$3,7,25),'Leave log'!$C$7:$C$306,"&gt;="&amp;DATE($B$3,7,25),'Leave log'!$F$7:$F$306,"Approved")&gt;0,"A",""))="A","A",IF(OR(DATE($B$3,7,25)&gt;EOMONTH(DATE($B$3,7,1),0),NETWORKDAYS.INTL(DATE($B$3,7,25),DATE($B$3,7,25),1,'Non-working days'!$A$6:$A$45)=0),"",IF(COUNTIFS('Leave log'!$A$7:$A$306,Employees!$A$16,'Leave log'!$B$7:$B$306,"&lt;="&amp;DATE($B$3,7,25),'Leave log'!$C$7:$C$306,"&gt;="&amp;DATE($B$3,7,25),'Leave log'!$F$7:$F$306,"Pending")&gt;0,"P",""))))</f>
        <v/>
      </c>
      <c r="AA221" s="23" t="str">
        <f>IF(A221="","",IF(IF(OR(DATE($B$3,7,26)&gt;EOMONTH(DATE($B$3,7,1),0),NETWORKDAYS.INTL(DATE($B$3,7,26),DATE($B$3,7,26),1,'Non-working days'!$A$6:$A$45)=0),"",IF(COUNTIFS('Leave log'!$A$7:$A$306,Employees!$A$16,'Leave log'!$B$7:$B$306,"&lt;="&amp;DATE($B$3,7,26),'Leave log'!$C$7:$C$306,"&gt;="&amp;DATE($B$3,7,26),'Leave log'!$F$7:$F$306,"Approved")&gt;0,"A",""))="A","A",IF(OR(DATE($B$3,7,26)&gt;EOMONTH(DATE($B$3,7,1),0),NETWORKDAYS.INTL(DATE($B$3,7,26),DATE($B$3,7,26),1,'Non-working days'!$A$6:$A$45)=0),"",IF(COUNTIFS('Leave log'!$A$7:$A$306,Employees!$A$16,'Leave log'!$B$7:$B$306,"&lt;="&amp;DATE($B$3,7,26),'Leave log'!$C$7:$C$306,"&gt;="&amp;DATE($B$3,7,26),'Leave log'!$F$7:$F$306,"Pending")&gt;0,"P",""))))</f>
        <v/>
      </c>
      <c r="AB221" s="23" t="str">
        <f>IF(A221="","",IF(IF(OR(DATE($B$3,7,27)&gt;EOMONTH(DATE($B$3,7,1),0),NETWORKDAYS.INTL(DATE($B$3,7,27),DATE($B$3,7,27),1,'Non-working days'!$A$6:$A$45)=0),"",IF(COUNTIFS('Leave log'!$A$7:$A$306,Employees!$A$16,'Leave log'!$B$7:$B$306,"&lt;="&amp;DATE($B$3,7,27),'Leave log'!$C$7:$C$306,"&gt;="&amp;DATE($B$3,7,27),'Leave log'!$F$7:$F$306,"Approved")&gt;0,"A",""))="A","A",IF(OR(DATE($B$3,7,27)&gt;EOMONTH(DATE($B$3,7,1),0),NETWORKDAYS.INTL(DATE($B$3,7,27),DATE($B$3,7,27),1,'Non-working days'!$A$6:$A$45)=0),"",IF(COUNTIFS('Leave log'!$A$7:$A$306,Employees!$A$16,'Leave log'!$B$7:$B$306,"&lt;="&amp;DATE($B$3,7,27),'Leave log'!$C$7:$C$306,"&gt;="&amp;DATE($B$3,7,27),'Leave log'!$F$7:$F$306,"Pending")&gt;0,"P",""))))</f>
        <v/>
      </c>
      <c r="AC221" s="23" t="str">
        <f>IF(A221="","",IF(IF(OR(DATE($B$3,7,28)&gt;EOMONTH(DATE($B$3,7,1),0),NETWORKDAYS.INTL(DATE($B$3,7,28),DATE($B$3,7,28),1,'Non-working days'!$A$6:$A$45)=0),"",IF(COUNTIFS('Leave log'!$A$7:$A$306,Employees!$A$16,'Leave log'!$B$7:$B$306,"&lt;="&amp;DATE($B$3,7,28),'Leave log'!$C$7:$C$306,"&gt;="&amp;DATE($B$3,7,28),'Leave log'!$F$7:$F$306,"Approved")&gt;0,"A",""))="A","A",IF(OR(DATE($B$3,7,28)&gt;EOMONTH(DATE($B$3,7,1),0),NETWORKDAYS.INTL(DATE($B$3,7,28),DATE($B$3,7,28),1,'Non-working days'!$A$6:$A$45)=0),"",IF(COUNTIFS('Leave log'!$A$7:$A$306,Employees!$A$16,'Leave log'!$B$7:$B$306,"&lt;="&amp;DATE($B$3,7,28),'Leave log'!$C$7:$C$306,"&gt;="&amp;DATE($B$3,7,28),'Leave log'!$F$7:$F$306,"Pending")&gt;0,"P",""))))</f>
        <v/>
      </c>
      <c r="AD221" s="23" t="str">
        <f>IF(A221="","",IF(IF(OR(DATE($B$3,7,29)&gt;EOMONTH(DATE($B$3,7,1),0),NETWORKDAYS.INTL(DATE($B$3,7,29),DATE($B$3,7,29),1,'Non-working days'!$A$6:$A$45)=0),"",IF(COUNTIFS('Leave log'!$A$7:$A$306,Employees!$A$16,'Leave log'!$B$7:$B$306,"&lt;="&amp;DATE($B$3,7,29),'Leave log'!$C$7:$C$306,"&gt;="&amp;DATE($B$3,7,29),'Leave log'!$F$7:$F$306,"Approved")&gt;0,"A",""))="A","A",IF(OR(DATE($B$3,7,29)&gt;EOMONTH(DATE($B$3,7,1),0),NETWORKDAYS.INTL(DATE($B$3,7,29),DATE($B$3,7,29),1,'Non-working days'!$A$6:$A$45)=0),"",IF(COUNTIFS('Leave log'!$A$7:$A$306,Employees!$A$16,'Leave log'!$B$7:$B$306,"&lt;="&amp;DATE($B$3,7,29),'Leave log'!$C$7:$C$306,"&gt;="&amp;DATE($B$3,7,29),'Leave log'!$F$7:$F$306,"Pending")&gt;0,"P",""))))</f>
        <v/>
      </c>
      <c r="AE221" s="23" t="str">
        <f>IF(A221="","",IF(IF(OR(DATE($B$3,7,30)&gt;EOMONTH(DATE($B$3,7,1),0),NETWORKDAYS.INTL(DATE($B$3,7,30),DATE($B$3,7,30),1,'Non-working days'!$A$6:$A$45)=0),"",IF(COUNTIFS('Leave log'!$A$7:$A$306,Employees!$A$16,'Leave log'!$B$7:$B$306,"&lt;="&amp;DATE($B$3,7,30),'Leave log'!$C$7:$C$306,"&gt;="&amp;DATE($B$3,7,30),'Leave log'!$F$7:$F$306,"Approved")&gt;0,"A",""))="A","A",IF(OR(DATE($B$3,7,30)&gt;EOMONTH(DATE($B$3,7,1),0),NETWORKDAYS.INTL(DATE($B$3,7,30),DATE($B$3,7,30),1,'Non-working days'!$A$6:$A$45)=0),"",IF(COUNTIFS('Leave log'!$A$7:$A$306,Employees!$A$16,'Leave log'!$B$7:$B$306,"&lt;="&amp;DATE($B$3,7,30),'Leave log'!$C$7:$C$306,"&gt;="&amp;DATE($B$3,7,30),'Leave log'!$F$7:$F$306,"Pending")&gt;0,"P",""))))</f>
        <v/>
      </c>
      <c r="AF221" s="23" t="str">
        <f>IF(A221="","",IF(IF(OR(DATE($B$3,7,31)&gt;EOMONTH(DATE($B$3,7,1),0),NETWORKDAYS.INTL(DATE($B$3,7,31),DATE($B$3,7,31),1,'Non-working days'!$A$6:$A$45)=0),"",IF(COUNTIFS('Leave log'!$A$7:$A$306,Employees!$A$16,'Leave log'!$B$7:$B$306,"&lt;="&amp;DATE($B$3,7,31),'Leave log'!$C$7:$C$306,"&gt;="&amp;DATE($B$3,7,31),'Leave log'!$F$7:$F$306,"Approved")&gt;0,"A",""))="A","A",IF(OR(DATE($B$3,7,31)&gt;EOMONTH(DATE($B$3,7,1),0),NETWORKDAYS.INTL(DATE($B$3,7,31),DATE($B$3,7,31),1,'Non-working days'!$A$6:$A$45)=0),"",IF(COUNTIFS('Leave log'!$A$7:$A$306,Employees!$A$16,'Leave log'!$B$7:$B$306,"&lt;="&amp;DATE($B$3,7,31),'Leave log'!$C$7:$C$306,"&gt;="&amp;DATE($B$3,7,31),'Leave log'!$F$7:$F$306,"Pending")&gt;0,"P",""))))</f>
        <v/>
      </c>
    </row>
    <row r="222" spans="1:32" ht="18" customHeight="1" x14ac:dyDescent="0.3">
      <c r="A222" s="22" t="str">
        <f>IF(Employees!F17="Yes",Employees!B17,"")</f>
        <v/>
      </c>
      <c r="B222" s="23" t="str">
        <f>IF(A222="","",IF(IF(OR(DATE($B$3,7,1)&gt;EOMONTH(DATE($B$3,7,1),0),NETWORKDAYS.INTL(DATE($B$3,7,1),DATE($B$3,7,1),1,'Non-working days'!$A$6:$A$45)=0),"",IF(COUNTIFS('Leave log'!$A$7:$A$306,Employees!$A$17,'Leave log'!$B$7:$B$306,"&lt;="&amp;DATE($B$3,7,1),'Leave log'!$C$7:$C$306,"&gt;="&amp;DATE($B$3,7,1),'Leave log'!$F$7:$F$306,"Approved")&gt;0,"A",""))="A","A",IF(OR(DATE($B$3,7,1)&gt;EOMONTH(DATE($B$3,7,1),0),NETWORKDAYS.INTL(DATE($B$3,7,1),DATE($B$3,7,1),1,'Non-working days'!$A$6:$A$45)=0),"",IF(COUNTIFS('Leave log'!$A$7:$A$306,Employees!$A$17,'Leave log'!$B$7:$B$306,"&lt;="&amp;DATE($B$3,7,1),'Leave log'!$C$7:$C$306,"&gt;="&amp;DATE($B$3,7,1),'Leave log'!$F$7:$F$306,"Pending")&gt;0,"P",""))))</f>
        <v/>
      </c>
      <c r="C222" s="23" t="str">
        <f>IF(A222="","",IF(IF(OR(DATE($B$3,7,2)&gt;EOMONTH(DATE($B$3,7,1),0),NETWORKDAYS.INTL(DATE($B$3,7,2),DATE($B$3,7,2),1,'Non-working days'!$A$6:$A$45)=0),"",IF(COUNTIFS('Leave log'!$A$7:$A$306,Employees!$A$17,'Leave log'!$B$7:$B$306,"&lt;="&amp;DATE($B$3,7,2),'Leave log'!$C$7:$C$306,"&gt;="&amp;DATE($B$3,7,2),'Leave log'!$F$7:$F$306,"Approved")&gt;0,"A",""))="A","A",IF(OR(DATE($B$3,7,2)&gt;EOMONTH(DATE($B$3,7,1),0),NETWORKDAYS.INTL(DATE($B$3,7,2),DATE($B$3,7,2),1,'Non-working days'!$A$6:$A$45)=0),"",IF(COUNTIFS('Leave log'!$A$7:$A$306,Employees!$A$17,'Leave log'!$B$7:$B$306,"&lt;="&amp;DATE($B$3,7,2),'Leave log'!$C$7:$C$306,"&gt;="&amp;DATE($B$3,7,2),'Leave log'!$F$7:$F$306,"Pending")&gt;0,"P",""))))</f>
        <v/>
      </c>
      <c r="D222" s="23" t="str">
        <f>IF(A222="","",IF(IF(OR(DATE($B$3,7,3)&gt;EOMONTH(DATE($B$3,7,1),0),NETWORKDAYS.INTL(DATE($B$3,7,3),DATE($B$3,7,3),1,'Non-working days'!$A$6:$A$45)=0),"",IF(COUNTIFS('Leave log'!$A$7:$A$306,Employees!$A$17,'Leave log'!$B$7:$B$306,"&lt;="&amp;DATE($B$3,7,3),'Leave log'!$C$7:$C$306,"&gt;="&amp;DATE($B$3,7,3),'Leave log'!$F$7:$F$306,"Approved")&gt;0,"A",""))="A","A",IF(OR(DATE($B$3,7,3)&gt;EOMONTH(DATE($B$3,7,1),0),NETWORKDAYS.INTL(DATE($B$3,7,3),DATE($B$3,7,3),1,'Non-working days'!$A$6:$A$45)=0),"",IF(COUNTIFS('Leave log'!$A$7:$A$306,Employees!$A$17,'Leave log'!$B$7:$B$306,"&lt;="&amp;DATE($B$3,7,3),'Leave log'!$C$7:$C$306,"&gt;="&amp;DATE($B$3,7,3),'Leave log'!$F$7:$F$306,"Pending")&gt;0,"P",""))))</f>
        <v/>
      </c>
      <c r="E222" s="23" t="str">
        <f>IF(A222="","",IF(IF(OR(DATE($B$3,7,4)&gt;EOMONTH(DATE($B$3,7,1),0),NETWORKDAYS.INTL(DATE($B$3,7,4),DATE($B$3,7,4),1,'Non-working days'!$A$6:$A$45)=0),"",IF(COUNTIFS('Leave log'!$A$7:$A$306,Employees!$A$17,'Leave log'!$B$7:$B$306,"&lt;="&amp;DATE($B$3,7,4),'Leave log'!$C$7:$C$306,"&gt;="&amp;DATE($B$3,7,4),'Leave log'!$F$7:$F$306,"Approved")&gt;0,"A",""))="A","A",IF(OR(DATE($B$3,7,4)&gt;EOMONTH(DATE($B$3,7,1),0),NETWORKDAYS.INTL(DATE($B$3,7,4),DATE($B$3,7,4),1,'Non-working days'!$A$6:$A$45)=0),"",IF(COUNTIFS('Leave log'!$A$7:$A$306,Employees!$A$17,'Leave log'!$B$7:$B$306,"&lt;="&amp;DATE($B$3,7,4),'Leave log'!$C$7:$C$306,"&gt;="&amp;DATE($B$3,7,4),'Leave log'!$F$7:$F$306,"Pending")&gt;0,"P",""))))</f>
        <v/>
      </c>
      <c r="F222" s="23" t="str">
        <f>IF(A222="","",IF(IF(OR(DATE($B$3,7,5)&gt;EOMONTH(DATE($B$3,7,1),0),NETWORKDAYS.INTL(DATE($B$3,7,5),DATE($B$3,7,5),1,'Non-working days'!$A$6:$A$45)=0),"",IF(COUNTIFS('Leave log'!$A$7:$A$306,Employees!$A$17,'Leave log'!$B$7:$B$306,"&lt;="&amp;DATE($B$3,7,5),'Leave log'!$C$7:$C$306,"&gt;="&amp;DATE($B$3,7,5),'Leave log'!$F$7:$F$306,"Approved")&gt;0,"A",""))="A","A",IF(OR(DATE($B$3,7,5)&gt;EOMONTH(DATE($B$3,7,1),0),NETWORKDAYS.INTL(DATE($B$3,7,5),DATE($B$3,7,5),1,'Non-working days'!$A$6:$A$45)=0),"",IF(COUNTIFS('Leave log'!$A$7:$A$306,Employees!$A$17,'Leave log'!$B$7:$B$306,"&lt;="&amp;DATE($B$3,7,5),'Leave log'!$C$7:$C$306,"&gt;="&amp;DATE($B$3,7,5),'Leave log'!$F$7:$F$306,"Pending")&gt;0,"P",""))))</f>
        <v/>
      </c>
      <c r="G222" s="23" t="str">
        <f>IF(A222="","",IF(IF(OR(DATE($B$3,7,6)&gt;EOMONTH(DATE($B$3,7,1),0),NETWORKDAYS.INTL(DATE($B$3,7,6),DATE($B$3,7,6),1,'Non-working days'!$A$6:$A$45)=0),"",IF(COUNTIFS('Leave log'!$A$7:$A$306,Employees!$A$17,'Leave log'!$B$7:$B$306,"&lt;="&amp;DATE($B$3,7,6),'Leave log'!$C$7:$C$306,"&gt;="&amp;DATE($B$3,7,6),'Leave log'!$F$7:$F$306,"Approved")&gt;0,"A",""))="A","A",IF(OR(DATE($B$3,7,6)&gt;EOMONTH(DATE($B$3,7,1),0),NETWORKDAYS.INTL(DATE($B$3,7,6),DATE($B$3,7,6),1,'Non-working days'!$A$6:$A$45)=0),"",IF(COUNTIFS('Leave log'!$A$7:$A$306,Employees!$A$17,'Leave log'!$B$7:$B$306,"&lt;="&amp;DATE($B$3,7,6),'Leave log'!$C$7:$C$306,"&gt;="&amp;DATE($B$3,7,6),'Leave log'!$F$7:$F$306,"Pending")&gt;0,"P",""))))</f>
        <v/>
      </c>
      <c r="H222" s="23" t="str">
        <f>IF(A222="","",IF(IF(OR(DATE($B$3,7,7)&gt;EOMONTH(DATE($B$3,7,1),0),NETWORKDAYS.INTL(DATE($B$3,7,7),DATE($B$3,7,7),1,'Non-working days'!$A$6:$A$45)=0),"",IF(COUNTIFS('Leave log'!$A$7:$A$306,Employees!$A$17,'Leave log'!$B$7:$B$306,"&lt;="&amp;DATE($B$3,7,7),'Leave log'!$C$7:$C$306,"&gt;="&amp;DATE($B$3,7,7),'Leave log'!$F$7:$F$306,"Approved")&gt;0,"A",""))="A","A",IF(OR(DATE($B$3,7,7)&gt;EOMONTH(DATE($B$3,7,1),0),NETWORKDAYS.INTL(DATE($B$3,7,7),DATE($B$3,7,7),1,'Non-working days'!$A$6:$A$45)=0),"",IF(COUNTIFS('Leave log'!$A$7:$A$306,Employees!$A$17,'Leave log'!$B$7:$B$306,"&lt;="&amp;DATE($B$3,7,7),'Leave log'!$C$7:$C$306,"&gt;="&amp;DATE($B$3,7,7),'Leave log'!$F$7:$F$306,"Pending")&gt;0,"P",""))))</f>
        <v/>
      </c>
      <c r="I222" s="23" t="str">
        <f>IF(A222="","",IF(IF(OR(DATE($B$3,7,8)&gt;EOMONTH(DATE($B$3,7,1),0),NETWORKDAYS.INTL(DATE($B$3,7,8),DATE($B$3,7,8),1,'Non-working days'!$A$6:$A$45)=0),"",IF(COUNTIFS('Leave log'!$A$7:$A$306,Employees!$A$17,'Leave log'!$B$7:$B$306,"&lt;="&amp;DATE($B$3,7,8),'Leave log'!$C$7:$C$306,"&gt;="&amp;DATE($B$3,7,8),'Leave log'!$F$7:$F$306,"Approved")&gt;0,"A",""))="A","A",IF(OR(DATE($B$3,7,8)&gt;EOMONTH(DATE($B$3,7,1),0),NETWORKDAYS.INTL(DATE($B$3,7,8),DATE($B$3,7,8),1,'Non-working days'!$A$6:$A$45)=0),"",IF(COUNTIFS('Leave log'!$A$7:$A$306,Employees!$A$17,'Leave log'!$B$7:$B$306,"&lt;="&amp;DATE($B$3,7,8),'Leave log'!$C$7:$C$306,"&gt;="&amp;DATE($B$3,7,8),'Leave log'!$F$7:$F$306,"Pending")&gt;0,"P",""))))</f>
        <v/>
      </c>
      <c r="J222" s="23" t="str">
        <f>IF(A222="","",IF(IF(OR(DATE($B$3,7,9)&gt;EOMONTH(DATE($B$3,7,1),0),NETWORKDAYS.INTL(DATE($B$3,7,9),DATE($B$3,7,9),1,'Non-working days'!$A$6:$A$45)=0),"",IF(COUNTIFS('Leave log'!$A$7:$A$306,Employees!$A$17,'Leave log'!$B$7:$B$306,"&lt;="&amp;DATE($B$3,7,9),'Leave log'!$C$7:$C$306,"&gt;="&amp;DATE($B$3,7,9),'Leave log'!$F$7:$F$306,"Approved")&gt;0,"A",""))="A","A",IF(OR(DATE($B$3,7,9)&gt;EOMONTH(DATE($B$3,7,1),0),NETWORKDAYS.INTL(DATE($B$3,7,9),DATE($B$3,7,9),1,'Non-working days'!$A$6:$A$45)=0),"",IF(COUNTIFS('Leave log'!$A$7:$A$306,Employees!$A$17,'Leave log'!$B$7:$B$306,"&lt;="&amp;DATE($B$3,7,9),'Leave log'!$C$7:$C$306,"&gt;="&amp;DATE($B$3,7,9),'Leave log'!$F$7:$F$306,"Pending")&gt;0,"P",""))))</f>
        <v/>
      </c>
      <c r="K222" s="23" t="str">
        <f>IF(A222="","",IF(IF(OR(DATE($B$3,7,10)&gt;EOMONTH(DATE($B$3,7,1),0),NETWORKDAYS.INTL(DATE($B$3,7,10),DATE($B$3,7,10),1,'Non-working days'!$A$6:$A$45)=0),"",IF(COUNTIFS('Leave log'!$A$7:$A$306,Employees!$A$17,'Leave log'!$B$7:$B$306,"&lt;="&amp;DATE($B$3,7,10),'Leave log'!$C$7:$C$306,"&gt;="&amp;DATE($B$3,7,10),'Leave log'!$F$7:$F$306,"Approved")&gt;0,"A",""))="A","A",IF(OR(DATE($B$3,7,10)&gt;EOMONTH(DATE($B$3,7,1),0),NETWORKDAYS.INTL(DATE($B$3,7,10),DATE($B$3,7,10),1,'Non-working days'!$A$6:$A$45)=0),"",IF(COUNTIFS('Leave log'!$A$7:$A$306,Employees!$A$17,'Leave log'!$B$7:$B$306,"&lt;="&amp;DATE($B$3,7,10),'Leave log'!$C$7:$C$306,"&gt;="&amp;DATE($B$3,7,10),'Leave log'!$F$7:$F$306,"Pending")&gt;0,"P",""))))</f>
        <v/>
      </c>
      <c r="L222" s="23" t="str">
        <f>IF(A222="","",IF(IF(OR(DATE($B$3,7,11)&gt;EOMONTH(DATE($B$3,7,1),0),NETWORKDAYS.INTL(DATE($B$3,7,11),DATE($B$3,7,11),1,'Non-working days'!$A$6:$A$45)=0),"",IF(COUNTIFS('Leave log'!$A$7:$A$306,Employees!$A$17,'Leave log'!$B$7:$B$306,"&lt;="&amp;DATE($B$3,7,11),'Leave log'!$C$7:$C$306,"&gt;="&amp;DATE($B$3,7,11),'Leave log'!$F$7:$F$306,"Approved")&gt;0,"A",""))="A","A",IF(OR(DATE($B$3,7,11)&gt;EOMONTH(DATE($B$3,7,1),0),NETWORKDAYS.INTL(DATE($B$3,7,11),DATE($B$3,7,11),1,'Non-working days'!$A$6:$A$45)=0),"",IF(COUNTIFS('Leave log'!$A$7:$A$306,Employees!$A$17,'Leave log'!$B$7:$B$306,"&lt;="&amp;DATE($B$3,7,11),'Leave log'!$C$7:$C$306,"&gt;="&amp;DATE($B$3,7,11),'Leave log'!$F$7:$F$306,"Pending")&gt;0,"P",""))))</f>
        <v/>
      </c>
      <c r="M222" s="23" t="str">
        <f>IF(A222="","",IF(IF(OR(DATE($B$3,7,12)&gt;EOMONTH(DATE($B$3,7,1),0),NETWORKDAYS.INTL(DATE($B$3,7,12),DATE($B$3,7,12),1,'Non-working days'!$A$6:$A$45)=0),"",IF(COUNTIFS('Leave log'!$A$7:$A$306,Employees!$A$17,'Leave log'!$B$7:$B$306,"&lt;="&amp;DATE($B$3,7,12),'Leave log'!$C$7:$C$306,"&gt;="&amp;DATE($B$3,7,12),'Leave log'!$F$7:$F$306,"Approved")&gt;0,"A",""))="A","A",IF(OR(DATE($B$3,7,12)&gt;EOMONTH(DATE($B$3,7,1),0),NETWORKDAYS.INTL(DATE($B$3,7,12),DATE($B$3,7,12),1,'Non-working days'!$A$6:$A$45)=0),"",IF(COUNTIFS('Leave log'!$A$7:$A$306,Employees!$A$17,'Leave log'!$B$7:$B$306,"&lt;="&amp;DATE($B$3,7,12),'Leave log'!$C$7:$C$306,"&gt;="&amp;DATE($B$3,7,12),'Leave log'!$F$7:$F$306,"Pending")&gt;0,"P",""))))</f>
        <v/>
      </c>
      <c r="N222" s="23" t="str">
        <f>IF(A222="","",IF(IF(OR(DATE($B$3,7,13)&gt;EOMONTH(DATE($B$3,7,1),0),NETWORKDAYS.INTL(DATE($B$3,7,13),DATE($B$3,7,13),1,'Non-working days'!$A$6:$A$45)=0),"",IF(COUNTIFS('Leave log'!$A$7:$A$306,Employees!$A$17,'Leave log'!$B$7:$B$306,"&lt;="&amp;DATE($B$3,7,13),'Leave log'!$C$7:$C$306,"&gt;="&amp;DATE($B$3,7,13),'Leave log'!$F$7:$F$306,"Approved")&gt;0,"A",""))="A","A",IF(OR(DATE($B$3,7,13)&gt;EOMONTH(DATE($B$3,7,1),0),NETWORKDAYS.INTL(DATE($B$3,7,13),DATE($B$3,7,13),1,'Non-working days'!$A$6:$A$45)=0),"",IF(COUNTIFS('Leave log'!$A$7:$A$306,Employees!$A$17,'Leave log'!$B$7:$B$306,"&lt;="&amp;DATE($B$3,7,13),'Leave log'!$C$7:$C$306,"&gt;="&amp;DATE($B$3,7,13),'Leave log'!$F$7:$F$306,"Pending")&gt;0,"P",""))))</f>
        <v/>
      </c>
      <c r="O222" s="23" t="str">
        <f>IF(A222="","",IF(IF(OR(DATE($B$3,7,14)&gt;EOMONTH(DATE($B$3,7,1),0),NETWORKDAYS.INTL(DATE($B$3,7,14),DATE($B$3,7,14),1,'Non-working days'!$A$6:$A$45)=0),"",IF(COUNTIFS('Leave log'!$A$7:$A$306,Employees!$A$17,'Leave log'!$B$7:$B$306,"&lt;="&amp;DATE($B$3,7,14),'Leave log'!$C$7:$C$306,"&gt;="&amp;DATE($B$3,7,14),'Leave log'!$F$7:$F$306,"Approved")&gt;0,"A",""))="A","A",IF(OR(DATE($B$3,7,14)&gt;EOMONTH(DATE($B$3,7,1),0),NETWORKDAYS.INTL(DATE($B$3,7,14),DATE($B$3,7,14),1,'Non-working days'!$A$6:$A$45)=0),"",IF(COUNTIFS('Leave log'!$A$7:$A$306,Employees!$A$17,'Leave log'!$B$7:$B$306,"&lt;="&amp;DATE($B$3,7,14),'Leave log'!$C$7:$C$306,"&gt;="&amp;DATE($B$3,7,14),'Leave log'!$F$7:$F$306,"Pending")&gt;0,"P",""))))</f>
        <v/>
      </c>
      <c r="P222" s="23" t="str">
        <f>IF(A222="","",IF(IF(OR(DATE($B$3,7,15)&gt;EOMONTH(DATE($B$3,7,1),0),NETWORKDAYS.INTL(DATE($B$3,7,15),DATE($B$3,7,15),1,'Non-working days'!$A$6:$A$45)=0),"",IF(COUNTIFS('Leave log'!$A$7:$A$306,Employees!$A$17,'Leave log'!$B$7:$B$306,"&lt;="&amp;DATE($B$3,7,15),'Leave log'!$C$7:$C$306,"&gt;="&amp;DATE($B$3,7,15),'Leave log'!$F$7:$F$306,"Approved")&gt;0,"A",""))="A","A",IF(OR(DATE($B$3,7,15)&gt;EOMONTH(DATE($B$3,7,1),0),NETWORKDAYS.INTL(DATE($B$3,7,15),DATE($B$3,7,15),1,'Non-working days'!$A$6:$A$45)=0),"",IF(COUNTIFS('Leave log'!$A$7:$A$306,Employees!$A$17,'Leave log'!$B$7:$B$306,"&lt;="&amp;DATE($B$3,7,15),'Leave log'!$C$7:$C$306,"&gt;="&amp;DATE($B$3,7,15),'Leave log'!$F$7:$F$306,"Pending")&gt;0,"P",""))))</f>
        <v/>
      </c>
      <c r="Q222" s="23" t="str">
        <f>IF(A222="","",IF(IF(OR(DATE($B$3,7,16)&gt;EOMONTH(DATE($B$3,7,1),0),NETWORKDAYS.INTL(DATE($B$3,7,16),DATE($B$3,7,16),1,'Non-working days'!$A$6:$A$45)=0),"",IF(COUNTIFS('Leave log'!$A$7:$A$306,Employees!$A$17,'Leave log'!$B$7:$B$306,"&lt;="&amp;DATE($B$3,7,16),'Leave log'!$C$7:$C$306,"&gt;="&amp;DATE($B$3,7,16),'Leave log'!$F$7:$F$306,"Approved")&gt;0,"A",""))="A","A",IF(OR(DATE($B$3,7,16)&gt;EOMONTH(DATE($B$3,7,1),0),NETWORKDAYS.INTL(DATE($B$3,7,16),DATE($B$3,7,16),1,'Non-working days'!$A$6:$A$45)=0),"",IF(COUNTIFS('Leave log'!$A$7:$A$306,Employees!$A$17,'Leave log'!$B$7:$B$306,"&lt;="&amp;DATE($B$3,7,16),'Leave log'!$C$7:$C$306,"&gt;="&amp;DATE($B$3,7,16),'Leave log'!$F$7:$F$306,"Pending")&gt;0,"P",""))))</f>
        <v/>
      </c>
      <c r="R222" s="23" t="str">
        <f>IF(A222="","",IF(IF(OR(DATE($B$3,7,17)&gt;EOMONTH(DATE($B$3,7,1),0),NETWORKDAYS.INTL(DATE($B$3,7,17),DATE($B$3,7,17),1,'Non-working days'!$A$6:$A$45)=0),"",IF(COUNTIFS('Leave log'!$A$7:$A$306,Employees!$A$17,'Leave log'!$B$7:$B$306,"&lt;="&amp;DATE($B$3,7,17),'Leave log'!$C$7:$C$306,"&gt;="&amp;DATE($B$3,7,17),'Leave log'!$F$7:$F$306,"Approved")&gt;0,"A",""))="A","A",IF(OR(DATE($B$3,7,17)&gt;EOMONTH(DATE($B$3,7,1),0),NETWORKDAYS.INTL(DATE($B$3,7,17),DATE($B$3,7,17),1,'Non-working days'!$A$6:$A$45)=0),"",IF(COUNTIFS('Leave log'!$A$7:$A$306,Employees!$A$17,'Leave log'!$B$7:$B$306,"&lt;="&amp;DATE($B$3,7,17),'Leave log'!$C$7:$C$306,"&gt;="&amp;DATE($B$3,7,17),'Leave log'!$F$7:$F$306,"Pending")&gt;0,"P",""))))</f>
        <v/>
      </c>
      <c r="S222" s="23" t="str">
        <f>IF(A222="","",IF(IF(OR(DATE($B$3,7,18)&gt;EOMONTH(DATE($B$3,7,1),0),NETWORKDAYS.INTL(DATE($B$3,7,18),DATE($B$3,7,18),1,'Non-working days'!$A$6:$A$45)=0),"",IF(COUNTIFS('Leave log'!$A$7:$A$306,Employees!$A$17,'Leave log'!$B$7:$B$306,"&lt;="&amp;DATE($B$3,7,18),'Leave log'!$C$7:$C$306,"&gt;="&amp;DATE($B$3,7,18),'Leave log'!$F$7:$F$306,"Approved")&gt;0,"A",""))="A","A",IF(OR(DATE($B$3,7,18)&gt;EOMONTH(DATE($B$3,7,1),0),NETWORKDAYS.INTL(DATE($B$3,7,18),DATE($B$3,7,18),1,'Non-working days'!$A$6:$A$45)=0),"",IF(COUNTIFS('Leave log'!$A$7:$A$306,Employees!$A$17,'Leave log'!$B$7:$B$306,"&lt;="&amp;DATE($B$3,7,18),'Leave log'!$C$7:$C$306,"&gt;="&amp;DATE($B$3,7,18),'Leave log'!$F$7:$F$306,"Pending")&gt;0,"P",""))))</f>
        <v/>
      </c>
      <c r="T222" s="23" t="str">
        <f>IF(A222="","",IF(IF(OR(DATE($B$3,7,19)&gt;EOMONTH(DATE($B$3,7,1),0),NETWORKDAYS.INTL(DATE($B$3,7,19),DATE($B$3,7,19),1,'Non-working days'!$A$6:$A$45)=0),"",IF(COUNTIFS('Leave log'!$A$7:$A$306,Employees!$A$17,'Leave log'!$B$7:$B$306,"&lt;="&amp;DATE($B$3,7,19),'Leave log'!$C$7:$C$306,"&gt;="&amp;DATE($B$3,7,19),'Leave log'!$F$7:$F$306,"Approved")&gt;0,"A",""))="A","A",IF(OR(DATE($B$3,7,19)&gt;EOMONTH(DATE($B$3,7,1),0),NETWORKDAYS.INTL(DATE($B$3,7,19),DATE($B$3,7,19),1,'Non-working days'!$A$6:$A$45)=0),"",IF(COUNTIFS('Leave log'!$A$7:$A$306,Employees!$A$17,'Leave log'!$B$7:$B$306,"&lt;="&amp;DATE($B$3,7,19),'Leave log'!$C$7:$C$306,"&gt;="&amp;DATE($B$3,7,19),'Leave log'!$F$7:$F$306,"Pending")&gt;0,"P",""))))</f>
        <v/>
      </c>
      <c r="U222" s="23" t="str">
        <f>IF(A222="","",IF(IF(OR(DATE($B$3,7,20)&gt;EOMONTH(DATE($B$3,7,1),0),NETWORKDAYS.INTL(DATE($B$3,7,20),DATE($B$3,7,20),1,'Non-working days'!$A$6:$A$45)=0),"",IF(COUNTIFS('Leave log'!$A$7:$A$306,Employees!$A$17,'Leave log'!$B$7:$B$306,"&lt;="&amp;DATE($B$3,7,20),'Leave log'!$C$7:$C$306,"&gt;="&amp;DATE($B$3,7,20),'Leave log'!$F$7:$F$306,"Approved")&gt;0,"A",""))="A","A",IF(OR(DATE($B$3,7,20)&gt;EOMONTH(DATE($B$3,7,1),0),NETWORKDAYS.INTL(DATE($B$3,7,20),DATE($B$3,7,20),1,'Non-working days'!$A$6:$A$45)=0),"",IF(COUNTIFS('Leave log'!$A$7:$A$306,Employees!$A$17,'Leave log'!$B$7:$B$306,"&lt;="&amp;DATE($B$3,7,20),'Leave log'!$C$7:$C$306,"&gt;="&amp;DATE($B$3,7,20),'Leave log'!$F$7:$F$306,"Pending")&gt;0,"P",""))))</f>
        <v/>
      </c>
      <c r="V222" s="23" t="str">
        <f>IF(A222="","",IF(IF(OR(DATE($B$3,7,21)&gt;EOMONTH(DATE($B$3,7,1),0),NETWORKDAYS.INTL(DATE($B$3,7,21),DATE($B$3,7,21),1,'Non-working days'!$A$6:$A$45)=0),"",IF(COUNTIFS('Leave log'!$A$7:$A$306,Employees!$A$17,'Leave log'!$B$7:$B$306,"&lt;="&amp;DATE($B$3,7,21),'Leave log'!$C$7:$C$306,"&gt;="&amp;DATE($B$3,7,21),'Leave log'!$F$7:$F$306,"Approved")&gt;0,"A",""))="A","A",IF(OR(DATE($B$3,7,21)&gt;EOMONTH(DATE($B$3,7,1),0),NETWORKDAYS.INTL(DATE($B$3,7,21),DATE($B$3,7,21),1,'Non-working days'!$A$6:$A$45)=0),"",IF(COUNTIFS('Leave log'!$A$7:$A$306,Employees!$A$17,'Leave log'!$B$7:$B$306,"&lt;="&amp;DATE($B$3,7,21),'Leave log'!$C$7:$C$306,"&gt;="&amp;DATE($B$3,7,21),'Leave log'!$F$7:$F$306,"Pending")&gt;0,"P",""))))</f>
        <v/>
      </c>
      <c r="W222" s="23" t="str">
        <f>IF(A222="","",IF(IF(OR(DATE($B$3,7,22)&gt;EOMONTH(DATE($B$3,7,1),0),NETWORKDAYS.INTL(DATE($B$3,7,22),DATE($B$3,7,22),1,'Non-working days'!$A$6:$A$45)=0),"",IF(COUNTIFS('Leave log'!$A$7:$A$306,Employees!$A$17,'Leave log'!$B$7:$B$306,"&lt;="&amp;DATE($B$3,7,22),'Leave log'!$C$7:$C$306,"&gt;="&amp;DATE($B$3,7,22),'Leave log'!$F$7:$F$306,"Approved")&gt;0,"A",""))="A","A",IF(OR(DATE($B$3,7,22)&gt;EOMONTH(DATE($B$3,7,1),0),NETWORKDAYS.INTL(DATE($B$3,7,22),DATE($B$3,7,22),1,'Non-working days'!$A$6:$A$45)=0),"",IF(COUNTIFS('Leave log'!$A$7:$A$306,Employees!$A$17,'Leave log'!$B$7:$B$306,"&lt;="&amp;DATE($B$3,7,22),'Leave log'!$C$7:$C$306,"&gt;="&amp;DATE($B$3,7,22),'Leave log'!$F$7:$F$306,"Pending")&gt;0,"P",""))))</f>
        <v/>
      </c>
      <c r="X222" s="23" t="str">
        <f>IF(A222="","",IF(IF(OR(DATE($B$3,7,23)&gt;EOMONTH(DATE($B$3,7,1),0),NETWORKDAYS.INTL(DATE($B$3,7,23),DATE($B$3,7,23),1,'Non-working days'!$A$6:$A$45)=0),"",IF(COUNTIFS('Leave log'!$A$7:$A$306,Employees!$A$17,'Leave log'!$B$7:$B$306,"&lt;="&amp;DATE($B$3,7,23),'Leave log'!$C$7:$C$306,"&gt;="&amp;DATE($B$3,7,23),'Leave log'!$F$7:$F$306,"Approved")&gt;0,"A",""))="A","A",IF(OR(DATE($B$3,7,23)&gt;EOMONTH(DATE($B$3,7,1),0),NETWORKDAYS.INTL(DATE($B$3,7,23),DATE($B$3,7,23),1,'Non-working days'!$A$6:$A$45)=0),"",IF(COUNTIFS('Leave log'!$A$7:$A$306,Employees!$A$17,'Leave log'!$B$7:$B$306,"&lt;="&amp;DATE($B$3,7,23),'Leave log'!$C$7:$C$306,"&gt;="&amp;DATE($B$3,7,23),'Leave log'!$F$7:$F$306,"Pending")&gt;0,"P",""))))</f>
        <v/>
      </c>
      <c r="Y222" s="23" t="str">
        <f>IF(A222="","",IF(IF(OR(DATE($B$3,7,24)&gt;EOMONTH(DATE($B$3,7,1),0),NETWORKDAYS.INTL(DATE($B$3,7,24),DATE($B$3,7,24),1,'Non-working days'!$A$6:$A$45)=0),"",IF(COUNTIFS('Leave log'!$A$7:$A$306,Employees!$A$17,'Leave log'!$B$7:$B$306,"&lt;="&amp;DATE($B$3,7,24),'Leave log'!$C$7:$C$306,"&gt;="&amp;DATE($B$3,7,24),'Leave log'!$F$7:$F$306,"Approved")&gt;0,"A",""))="A","A",IF(OR(DATE($B$3,7,24)&gt;EOMONTH(DATE($B$3,7,1),0),NETWORKDAYS.INTL(DATE($B$3,7,24),DATE($B$3,7,24),1,'Non-working days'!$A$6:$A$45)=0),"",IF(COUNTIFS('Leave log'!$A$7:$A$306,Employees!$A$17,'Leave log'!$B$7:$B$306,"&lt;="&amp;DATE($B$3,7,24),'Leave log'!$C$7:$C$306,"&gt;="&amp;DATE($B$3,7,24),'Leave log'!$F$7:$F$306,"Pending")&gt;0,"P",""))))</f>
        <v/>
      </c>
      <c r="Z222" s="23" t="str">
        <f>IF(A222="","",IF(IF(OR(DATE($B$3,7,25)&gt;EOMONTH(DATE($B$3,7,1),0),NETWORKDAYS.INTL(DATE($B$3,7,25),DATE($B$3,7,25),1,'Non-working days'!$A$6:$A$45)=0),"",IF(COUNTIFS('Leave log'!$A$7:$A$306,Employees!$A$17,'Leave log'!$B$7:$B$306,"&lt;="&amp;DATE($B$3,7,25),'Leave log'!$C$7:$C$306,"&gt;="&amp;DATE($B$3,7,25),'Leave log'!$F$7:$F$306,"Approved")&gt;0,"A",""))="A","A",IF(OR(DATE($B$3,7,25)&gt;EOMONTH(DATE($B$3,7,1),0),NETWORKDAYS.INTL(DATE($B$3,7,25),DATE($B$3,7,25),1,'Non-working days'!$A$6:$A$45)=0),"",IF(COUNTIFS('Leave log'!$A$7:$A$306,Employees!$A$17,'Leave log'!$B$7:$B$306,"&lt;="&amp;DATE($B$3,7,25),'Leave log'!$C$7:$C$306,"&gt;="&amp;DATE($B$3,7,25),'Leave log'!$F$7:$F$306,"Pending")&gt;0,"P",""))))</f>
        <v/>
      </c>
      <c r="AA222" s="23" t="str">
        <f>IF(A222="","",IF(IF(OR(DATE($B$3,7,26)&gt;EOMONTH(DATE($B$3,7,1),0),NETWORKDAYS.INTL(DATE($B$3,7,26),DATE($B$3,7,26),1,'Non-working days'!$A$6:$A$45)=0),"",IF(COUNTIFS('Leave log'!$A$7:$A$306,Employees!$A$17,'Leave log'!$B$7:$B$306,"&lt;="&amp;DATE($B$3,7,26),'Leave log'!$C$7:$C$306,"&gt;="&amp;DATE($B$3,7,26),'Leave log'!$F$7:$F$306,"Approved")&gt;0,"A",""))="A","A",IF(OR(DATE($B$3,7,26)&gt;EOMONTH(DATE($B$3,7,1),0),NETWORKDAYS.INTL(DATE($B$3,7,26),DATE($B$3,7,26),1,'Non-working days'!$A$6:$A$45)=0),"",IF(COUNTIFS('Leave log'!$A$7:$A$306,Employees!$A$17,'Leave log'!$B$7:$B$306,"&lt;="&amp;DATE($B$3,7,26),'Leave log'!$C$7:$C$306,"&gt;="&amp;DATE($B$3,7,26),'Leave log'!$F$7:$F$306,"Pending")&gt;0,"P",""))))</f>
        <v/>
      </c>
      <c r="AB222" s="23" t="str">
        <f>IF(A222="","",IF(IF(OR(DATE($B$3,7,27)&gt;EOMONTH(DATE($B$3,7,1),0),NETWORKDAYS.INTL(DATE($B$3,7,27),DATE($B$3,7,27),1,'Non-working days'!$A$6:$A$45)=0),"",IF(COUNTIFS('Leave log'!$A$7:$A$306,Employees!$A$17,'Leave log'!$B$7:$B$306,"&lt;="&amp;DATE($B$3,7,27),'Leave log'!$C$7:$C$306,"&gt;="&amp;DATE($B$3,7,27),'Leave log'!$F$7:$F$306,"Approved")&gt;0,"A",""))="A","A",IF(OR(DATE($B$3,7,27)&gt;EOMONTH(DATE($B$3,7,1),0),NETWORKDAYS.INTL(DATE($B$3,7,27),DATE($B$3,7,27),1,'Non-working days'!$A$6:$A$45)=0),"",IF(COUNTIFS('Leave log'!$A$7:$A$306,Employees!$A$17,'Leave log'!$B$7:$B$306,"&lt;="&amp;DATE($B$3,7,27),'Leave log'!$C$7:$C$306,"&gt;="&amp;DATE($B$3,7,27),'Leave log'!$F$7:$F$306,"Pending")&gt;0,"P",""))))</f>
        <v/>
      </c>
      <c r="AC222" s="23" t="str">
        <f>IF(A222="","",IF(IF(OR(DATE($B$3,7,28)&gt;EOMONTH(DATE($B$3,7,1),0),NETWORKDAYS.INTL(DATE($B$3,7,28),DATE($B$3,7,28),1,'Non-working days'!$A$6:$A$45)=0),"",IF(COUNTIFS('Leave log'!$A$7:$A$306,Employees!$A$17,'Leave log'!$B$7:$B$306,"&lt;="&amp;DATE($B$3,7,28),'Leave log'!$C$7:$C$306,"&gt;="&amp;DATE($B$3,7,28),'Leave log'!$F$7:$F$306,"Approved")&gt;0,"A",""))="A","A",IF(OR(DATE($B$3,7,28)&gt;EOMONTH(DATE($B$3,7,1),0),NETWORKDAYS.INTL(DATE($B$3,7,28),DATE($B$3,7,28),1,'Non-working days'!$A$6:$A$45)=0),"",IF(COUNTIFS('Leave log'!$A$7:$A$306,Employees!$A$17,'Leave log'!$B$7:$B$306,"&lt;="&amp;DATE($B$3,7,28),'Leave log'!$C$7:$C$306,"&gt;="&amp;DATE($B$3,7,28),'Leave log'!$F$7:$F$306,"Pending")&gt;0,"P",""))))</f>
        <v/>
      </c>
      <c r="AD222" s="23" t="str">
        <f>IF(A222="","",IF(IF(OR(DATE($B$3,7,29)&gt;EOMONTH(DATE($B$3,7,1),0),NETWORKDAYS.INTL(DATE($B$3,7,29),DATE($B$3,7,29),1,'Non-working days'!$A$6:$A$45)=0),"",IF(COUNTIFS('Leave log'!$A$7:$A$306,Employees!$A$17,'Leave log'!$B$7:$B$306,"&lt;="&amp;DATE($B$3,7,29),'Leave log'!$C$7:$C$306,"&gt;="&amp;DATE($B$3,7,29),'Leave log'!$F$7:$F$306,"Approved")&gt;0,"A",""))="A","A",IF(OR(DATE($B$3,7,29)&gt;EOMONTH(DATE($B$3,7,1),0),NETWORKDAYS.INTL(DATE($B$3,7,29),DATE($B$3,7,29),1,'Non-working days'!$A$6:$A$45)=0),"",IF(COUNTIFS('Leave log'!$A$7:$A$306,Employees!$A$17,'Leave log'!$B$7:$B$306,"&lt;="&amp;DATE($B$3,7,29),'Leave log'!$C$7:$C$306,"&gt;="&amp;DATE($B$3,7,29),'Leave log'!$F$7:$F$306,"Pending")&gt;0,"P",""))))</f>
        <v/>
      </c>
      <c r="AE222" s="23" t="str">
        <f>IF(A222="","",IF(IF(OR(DATE($B$3,7,30)&gt;EOMONTH(DATE($B$3,7,1),0),NETWORKDAYS.INTL(DATE($B$3,7,30),DATE($B$3,7,30),1,'Non-working days'!$A$6:$A$45)=0),"",IF(COUNTIFS('Leave log'!$A$7:$A$306,Employees!$A$17,'Leave log'!$B$7:$B$306,"&lt;="&amp;DATE($B$3,7,30),'Leave log'!$C$7:$C$306,"&gt;="&amp;DATE($B$3,7,30),'Leave log'!$F$7:$F$306,"Approved")&gt;0,"A",""))="A","A",IF(OR(DATE($B$3,7,30)&gt;EOMONTH(DATE($B$3,7,1),0),NETWORKDAYS.INTL(DATE($B$3,7,30),DATE($B$3,7,30),1,'Non-working days'!$A$6:$A$45)=0),"",IF(COUNTIFS('Leave log'!$A$7:$A$306,Employees!$A$17,'Leave log'!$B$7:$B$306,"&lt;="&amp;DATE($B$3,7,30),'Leave log'!$C$7:$C$306,"&gt;="&amp;DATE($B$3,7,30),'Leave log'!$F$7:$F$306,"Pending")&gt;0,"P",""))))</f>
        <v/>
      </c>
      <c r="AF222" s="23" t="str">
        <f>IF(A222="","",IF(IF(OR(DATE($B$3,7,31)&gt;EOMONTH(DATE($B$3,7,1),0),NETWORKDAYS.INTL(DATE($B$3,7,31),DATE($B$3,7,31),1,'Non-working days'!$A$6:$A$45)=0),"",IF(COUNTIFS('Leave log'!$A$7:$A$306,Employees!$A$17,'Leave log'!$B$7:$B$306,"&lt;="&amp;DATE($B$3,7,31),'Leave log'!$C$7:$C$306,"&gt;="&amp;DATE($B$3,7,31),'Leave log'!$F$7:$F$306,"Approved")&gt;0,"A",""))="A","A",IF(OR(DATE($B$3,7,31)&gt;EOMONTH(DATE($B$3,7,1),0),NETWORKDAYS.INTL(DATE($B$3,7,31),DATE($B$3,7,31),1,'Non-working days'!$A$6:$A$45)=0),"",IF(COUNTIFS('Leave log'!$A$7:$A$306,Employees!$A$17,'Leave log'!$B$7:$B$306,"&lt;="&amp;DATE($B$3,7,31),'Leave log'!$C$7:$C$306,"&gt;="&amp;DATE($B$3,7,31),'Leave log'!$F$7:$F$306,"Pending")&gt;0,"P",""))))</f>
        <v/>
      </c>
    </row>
    <row r="223" spans="1:32" ht="18" customHeight="1" x14ac:dyDescent="0.3">
      <c r="A223" s="22" t="str">
        <f>IF(Employees!F18="Yes",Employees!B18,"")</f>
        <v/>
      </c>
      <c r="B223" s="23" t="str">
        <f>IF(A223="","",IF(IF(OR(DATE($B$3,7,1)&gt;EOMONTH(DATE($B$3,7,1),0),NETWORKDAYS.INTL(DATE($B$3,7,1),DATE($B$3,7,1),1,'Non-working days'!$A$6:$A$45)=0),"",IF(COUNTIFS('Leave log'!$A$7:$A$306,Employees!$A$18,'Leave log'!$B$7:$B$306,"&lt;="&amp;DATE($B$3,7,1),'Leave log'!$C$7:$C$306,"&gt;="&amp;DATE($B$3,7,1),'Leave log'!$F$7:$F$306,"Approved")&gt;0,"A",""))="A","A",IF(OR(DATE($B$3,7,1)&gt;EOMONTH(DATE($B$3,7,1),0),NETWORKDAYS.INTL(DATE($B$3,7,1),DATE($B$3,7,1),1,'Non-working days'!$A$6:$A$45)=0),"",IF(COUNTIFS('Leave log'!$A$7:$A$306,Employees!$A$18,'Leave log'!$B$7:$B$306,"&lt;="&amp;DATE($B$3,7,1),'Leave log'!$C$7:$C$306,"&gt;="&amp;DATE($B$3,7,1),'Leave log'!$F$7:$F$306,"Pending")&gt;0,"P",""))))</f>
        <v/>
      </c>
      <c r="C223" s="23" t="str">
        <f>IF(A223="","",IF(IF(OR(DATE($B$3,7,2)&gt;EOMONTH(DATE($B$3,7,1),0),NETWORKDAYS.INTL(DATE($B$3,7,2),DATE($B$3,7,2),1,'Non-working days'!$A$6:$A$45)=0),"",IF(COUNTIFS('Leave log'!$A$7:$A$306,Employees!$A$18,'Leave log'!$B$7:$B$306,"&lt;="&amp;DATE($B$3,7,2),'Leave log'!$C$7:$C$306,"&gt;="&amp;DATE($B$3,7,2),'Leave log'!$F$7:$F$306,"Approved")&gt;0,"A",""))="A","A",IF(OR(DATE($B$3,7,2)&gt;EOMONTH(DATE($B$3,7,1),0),NETWORKDAYS.INTL(DATE($B$3,7,2),DATE($B$3,7,2),1,'Non-working days'!$A$6:$A$45)=0),"",IF(COUNTIFS('Leave log'!$A$7:$A$306,Employees!$A$18,'Leave log'!$B$7:$B$306,"&lt;="&amp;DATE($B$3,7,2),'Leave log'!$C$7:$C$306,"&gt;="&amp;DATE($B$3,7,2),'Leave log'!$F$7:$F$306,"Pending")&gt;0,"P",""))))</f>
        <v/>
      </c>
      <c r="D223" s="23" t="str">
        <f>IF(A223="","",IF(IF(OR(DATE($B$3,7,3)&gt;EOMONTH(DATE($B$3,7,1),0),NETWORKDAYS.INTL(DATE($B$3,7,3),DATE($B$3,7,3),1,'Non-working days'!$A$6:$A$45)=0),"",IF(COUNTIFS('Leave log'!$A$7:$A$306,Employees!$A$18,'Leave log'!$B$7:$B$306,"&lt;="&amp;DATE($B$3,7,3),'Leave log'!$C$7:$C$306,"&gt;="&amp;DATE($B$3,7,3),'Leave log'!$F$7:$F$306,"Approved")&gt;0,"A",""))="A","A",IF(OR(DATE($B$3,7,3)&gt;EOMONTH(DATE($B$3,7,1),0),NETWORKDAYS.INTL(DATE($B$3,7,3),DATE($B$3,7,3),1,'Non-working days'!$A$6:$A$45)=0),"",IF(COUNTIFS('Leave log'!$A$7:$A$306,Employees!$A$18,'Leave log'!$B$7:$B$306,"&lt;="&amp;DATE($B$3,7,3),'Leave log'!$C$7:$C$306,"&gt;="&amp;DATE($B$3,7,3),'Leave log'!$F$7:$F$306,"Pending")&gt;0,"P",""))))</f>
        <v/>
      </c>
      <c r="E223" s="23" t="str">
        <f>IF(A223="","",IF(IF(OR(DATE($B$3,7,4)&gt;EOMONTH(DATE($B$3,7,1),0),NETWORKDAYS.INTL(DATE($B$3,7,4),DATE($B$3,7,4),1,'Non-working days'!$A$6:$A$45)=0),"",IF(COUNTIFS('Leave log'!$A$7:$A$306,Employees!$A$18,'Leave log'!$B$7:$B$306,"&lt;="&amp;DATE($B$3,7,4),'Leave log'!$C$7:$C$306,"&gt;="&amp;DATE($B$3,7,4),'Leave log'!$F$7:$F$306,"Approved")&gt;0,"A",""))="A","A",IF(OR(DATE($B$3,7,4)&gt;EOMONTH(DATE($B$3,7,1),0),NETWORKDAYS.INTL(DATE($B$3,7,4),DATE($B$3,7,4),1,'Non-working days'!$A$6:$A$45)=0),"",IF(COUNTIFS('Leave log'!$A$7:$A$306,Employees!$A$18,'Leave log'!$B$7:$B$306,"&lt;="&amp;DATE($B$3,7,4),'Leave log'!$C$7:$C$306,"&gt;="&amp;DATE($B$3,7,4),'Leave log'!$F$7:$F$306,"Pending")&gt;0,"P",""))))</f>
        <v/>
      </c>
      <c r="F223" s="23" t="str">
        <f>IF(A223="","",IF(IF(OR(DATE($B$3,7,5)&gt;EOMONTH(DATE($B$3,7,1),0),NETWORKDAYS.INTL(DATE($B$3,7,5),DATE($B$3,7,5),1,'Non-working days'!$A$6:$A$45)=0),"",IF(COUNTIFS('Leave log'!$A$7:$A$306,Employees!$A$18,'Leave log'!$B$7:$B$306,"&lt;="&amp;DATE($B$3,7,5),'Leave log'!$C$7:$C$306,"&gt;="&amp;DATE($B$3,7,5),'Leave log'!$F$7:$F$306,"Approved")&gt;0,"A",""))="A","A",IF(OR(DATE($B$3,7,5)&gt;EOMONTH(DATE($B$3,7,1),0),NETWORKDAYS.INTL(DATE($B$3,7,5),DATE($B$3,7,5),1,'Non-working days'!$A$6:$A$45)=0),"",IF(COUNTIFS('Leave log'!$A$7:$A$306,Employees!$A$18,'Leave log'!$B$7:$B$306,"&lt;="&amp;DATE($B$3,7,5),'Leave log'!$C$7:$C$306,"&gt;="&amp;DATE($B$3,7,5),'Leave log'!$F$7:$F$306,"Pending")&gt;0,"P",""))))</f>
        <v/>
      </c>
      <c r="G223" s="23" t="str">
        <f>IF(A223="","",IF(IF(OR(DATE($B$3,7,6)&gt;EOMONTH(DATE($B$3,7,1),0),NETWORKDAYS.INTL(DATE($B$3,7,6),DATE($B$3,7,6),1,'Non-working days'!$A$6:$A$45)=0),"",IF(COUNTIFS('Leave log'!$A$7:$A$306,Employees!$A$18,'Leave log'!$B$7:$B$306,"&lt;="&amp;DATE($B$3,7,6),'Leave log'!$C$7:$C$306,"&gt;="&amp;DATE($B$3,7,6),'Leave log'!$F$7:$F$306,"Approved")&gt;0,"A",""))="A","A",IF(OR(DATE($B$3,7,6)&gt;EOMONTH(DATE($B$3,7,1),0),NETWORKDAYS.INTL(DATE($B$3,7,6),DATE($B$3,7,6),1,'Non-working days'!$A$6:$A$45)=0),"",IF(COUNTIFS('Leave log'!$A$7:$A$306,Employees!$A$18,'Leave log'!$B$7:$B$306,"&lt;="&amp;DATE($B$3,7,6),'Leave log'!$C$7:$C$306,"&gt;="&amp;DATE($B$3,7,6),'Leave log'!$F$7:$F$306,"Pending")&gt;0,"P",""))))</f>
        <v/>
      </c>
      <c r="H223" s="23" t="str">
        <f>IF(A223="","",IF(IF(OR(DATE($B$3,7,7)&gt;EOMONTH(DATE($B$3,7,1),0),NETWORKDAYS.INTL(DATE($B$3,7,7),DATE($B$3,7,7),1,'Non-working days'!$A$6:$A$45)=0),"",IF(COUNTIFS('Leave log'!$A$7:$A$306,Employees!$A$18,'Leave log'!$B$7:$B$306,"&lt;="&amp;DATE($B$3,7,7),'Leave log'!$C$7:$C$306,"&gt;="&amp;DATE($B$3,7,7),'Leave log'!$F$7:$F$306,"Approved")&gt;0,"A",""))="A","A",IF(OR(DATE($B$3,7,7)&gt;EOMONTH(DATE($B$3,7,1),0),NETWORKDAYS.INTL(DATE($B$3,7,7),DATE($B$3,7,7),1,'Non-working days'!$A$6:$A$45)=0),"",IF(COUNTIFS('Leave log'!$A$7:$A$306,Employees!$A$18,'Leave log'!$B$7:$B$306,"&lt;="&amp;DATE($B$3,7,7),'Leave log'!$C$7:$C$306,"&gt;="&amp;DATE($B$3,7,7),'Leave log'!$F$7:$F$306,"Pending")&gt;0,"P",""))))</f>
        <v/>
      </c>
      <c r="I223" s="23" t="str">
        <f>IF(A223="","",IF(IF(OR(DATE($B$3,7,8)&gt;EOMONTH(DATE($B$3,7,1),0),NETWORKDAYS.INTL(DATE($B$3,7,8),DATE($B$3,7,8),1,'Non-working days'!$A$6:$A$45)=0),"",IF(COUNTIFS('Leave log'!$A$7:$A$306,Employees!$A$18,'Leave log'!$B$7:$B$306,"&lt;="&amp;DATE($B$3,7,8),'Leave log'!$C$7:$C$306,"&gt;="&amp;DATE($B$3,7,8),'Leave log'!$F$7:$F$306,"Approved")&gt;0,"A",""))="A","A",IF(OR(DATE($B$3,7,8)&gt;EOMONTH(DATE($B$3,7,1),0),NETWORKDAYS.INTL(DATE($B$3,7,8),DATE($B$3,7,8),1,'Non-working days'!$A$6:$A$45)=0),"",IF(COUNTIFS('Leave log'!$A$7:$A$306,Employees!$A$18,'Leave log'!$B$7:$B$306,"&lt;="&amp;DATE($B$3,7,8),'Leave log'!$C$7:$C$306,"&gt;="&amp;DATE($B$3,7,8),'Leave log'!$F$7:$F$306,"Pending")&gt;0,"P",""))))</f>
        <v/>
      </c>
      <c r="J223" s="23" t="str">
        <f>IF(A223="","",IF(IF(OR(DATE($B$3,7,9)&gt;EOMONTH(DATE($B$3,7,1),0),NETWORKDAYS.INTL(DATE($B$3,7,9),DATE($B$3,7,9),1,'Non-working days'!$A$6:$A$45)=0),"",IF(COUNTIFS('Leave log'!$A$7:$A$306,Employees!$A$18,'Leave log'!$B$7:$B$306,"&lt;="&amp;DATE($B$3,7,9),'Leave log'!$C$7:$C$306,"&gt;="&amp;DATE($B$3,7,9),'Leave log'!$F$7:$F$306,"Approved")&gt;0,"A",""))="A","A",IF(OR(DATE($B$3,7,9)&gt;EOMONTH(DATE($B$3,7,1),0),NETWORKDAYS.INTL(DATE($B$3,7,9),DATE($B$3,7,9),1,'Non-working days'!$A$6:$A$45)=0),"",IF(COUNTIFS('Leave log'!$A$7:$A$306,Employees!$A$18,'Leave log'!$B$7:$B$306,"&lt;="&amp;DATE($B$3,7,9),'Leave log'!$C$7:$C$306,"&gt;="&amp;DATE($B$3,7,9),'Leave log'!$F$7:$F$306,"Pending")&gt;0,"P",""))))</f>
        <v/>
      </c>
      <c r="K223" s="23" t="str">
        <f>IF(A223="","",IF(IF(OR(DATE($B$3,7,10)&gt;EOMONTH(DATE($B$3,7,1),0),NETWORKDAYS.INTL(DATE($B$3,7,10),DATE($B$3,7,10),1,'Non-working days'!$A$6:$A$45)=0),"",IF(COUNTIFS('Leave log'!$A$7:$A$306,Employees!$A$18,'Leave log'!$B$7:$B$306,"&lt;="&amp;DATE($B$3,7,10),'Leave log'!$C$7:$C$306,"&gt;="&amp;DATE($B$3,7,10),'Leave log'!$F$7:$F$306,"Approved")&gt;0,"A",""))="A","A",IF(OR(DATE($B$3,7,10)&gt;EOMONTH(DATE($B$3,7,1),0),NETWORKDAYS.INTL(DATE($B$3,7,10),DATE($B$3,7,10),1,'Non-working days'!$A$6:$A$45)=0),"",IF(COUNTIFS('Leave log'!$A$7:$A$306,Employees!$A$18,'Leave log'!$B$7:$B$306,"&lt;="&amp;DATE($B$3,7,10),'Leave log'!$C$7:$C$306,"&gt;="&amp;DATE($B$3,7,10),'Leave log'!$F$7:$F$306,"Pending")&gt;0,"P",""))))</f>
        <v/>
      </c>
      <c r="L223" s="23" t="str">
        <f>IF(A223="","",IF(IF(OR(DATE($B$3,7,11)&gt;EOMONTH(DATE($B$3,7,1),0),NETWORKDAYS.INTL(DATE($B$3,7,11),DATE($B$3,7,11),1,'Non-working days'!$A$6:$A$45)=0),"",IF(COUNTIFS('Leave log'!$A$7:$A$306,Employees!$A$18,'Leave log'!$B$7:$B$306,"&lt;="&amp;DATE($B$3,7,11),'Leave log'!$C$7:$C$306,"&gt;="&amp;DATE($B$3,7,11),'Leave log'!$F$7:$F$306,"Approved")&gt;0,"A",""))="A","A",IF(OR(DATE($B$3,7,11)&gt;EOMONTH(DATE($B$3,7,1),0),NETWORKDAYS.INTL(DATE($B$3,7,11),DATE($B$3,7,11),1,'Non-working days'!$A$6:$A$45)=0),"",IF(COUNTIFS('Leave log'!$A$7:$A$306,Employees!$A$18,'Leave log'!$B$7:$B$306,"&lt;="&amp;DATE($B$3,7,11),'Leave log'!$C$7:$C$306,"&gt;="&amp;DATE($B$3,7,11),'Leave log'!$F$7:$F$306,"Pending")&gt;0,"P",""))))</f>
        <v/>
      </c>
      <c r="M223" s="23" t="str">
        <f>IF(A223="","",IF(IF(OR(DATE($B$3,7,12)&gt;EOMONTH(DATE($B$3,7,1),0),NETWORKDAYS.INTL(DATE($B$3,7,12),DATE($B$3,7,12),1,'Non-working days'!$A$6:$A$45)=0),"",IF(COUNTIFS('Leave log'!$A$7:$A$306,Employees!$A$18,'Leave log'!$B$7:$B$306,"&lt;="&amp;DATE($B$3,7,12),'Leave log'!$C$7:$C$306,"&gt;="&amp;DATE($B$3,7,12),'Leave log'!$F$7:$F$306,"Approved")&gt;0,"A",""))="A","A",IF(OR(DATE($B$3,7,12)&gt;EOMONTH(DATE($B$3,7,1),0),NETWORKDAYS.INTL(DATE($B$3,7,12),DATE($B$3,7,12),1,'Non-working days'!$A$6:$A$45)=0),"",IF(COUNTIFS('Leave log'!$A$7:$A$306,Employees!$A$18,'Leave log'!$B$7:$B$306,"&lt;="&amp;DATE($B$3,7,12),'Leave log'!$C$7:$C$306,"&gt;="&amp;DATE($B$3,7,12),'Leave log'!$F$7:$F$306,"Pending")&gt;0,"P",""))))</f>
        <v/>
      </c>
      <c r="N223" s="23" t="str">
        <f>IF(A223="","",IF(IF(OR(DATE($B$3,7,13)&gt;EOMONTH(DATE($B$3,7,1),0),NETWORKDAYS.INTL(DATE($B$3,7,13),DATE($B$3,7,13),1,'Non-working days'!$A$6:$A$45)=0),"",IF(COUNTIFS('Leave log'!$A$7:$A$306,Employees!$A$18,'Leave log'!$B$7:$B$306,"&lt;="&amp;DATE($B$3,7,13),'Leave log'!$C$7:$C$306,"&gt;="&amp;DATE($B$3,7,13),'Leave log'!$F$7:$F$306,"Approved")&gt;0,"A",""))="A","A",IF(OR(DATE($B$3,7,13)&gt;EOMONTH(DATE($B$3,7,1),0),NETWORKDAYS.INTL(DATE($B$3,7,13),DATE($B$3,7,13),1,'Non-working days'!$A$6:$A$45)=0),"",IF(COUNTIFS('Leave log'!$A$7:$A$306,Employees!$A$18,'Leave log'!$B$7:$B$306,"&lt;="&amp;DATE($B$3,7,13),'Leave log'!$C$7:$C$306,"&gt;="&amp;DATE($B$3,7,13),'Leave log'!$F$7:$F$306,"Pending")&gt;0,"P",""))))</f>
        <v/>
      </c>
      <c r="O223" s="23" t="str">
        <f>IF(A223="","",IF(IF(OR(DATE($B$3,7,14)&gt;EOMONTH(DATE($B$3,7,1),0),NETWORKDAYS.INTL(DATE($B$3,7,14),DATE($B$3,7,14),1,'Non-working days'!$A$6:$A$45)=0),"",IF(COUNTIFS('Leave log'!$A$7:$A$306,Employees!$A$18,'Leave log'!$B$7:$B$306,"&lt;="&amp;DATE($B$3,7,14),'Leave log'!$C$7:$C$306,"&gt;="&amp;DATE($B$3,7,14),'Leave log'!$F$7:$F$306,"Approved")&gt;0,"A",""))="A","A",IF(OR(DATE($B$3,7,14)&gt;EOMONTH(DATE($B$3,7,1),0),NETWORKDAYS.INTL(DATE($B$3,7,14),DATE($B$3,7,14),1,'Non-working days'!$A$6:$A$45)=0),"",IF(COUNTIFS('Leave log'!$A$7:$A$306,Employees!$A$18,'Leave log'!$B$7:$B$306,"&lt;="&amp;DATE($B$3,7,14),'Leave log'!$C$7:$C$306,"&gt;="&amp;DATE($B$3,7,14),'Leave log'!$F$7:$F$306,"Pending")&gt;0,"P",""))))</f>
        <v/>
      </c>
      <c r="P223" s="23" t="str">
        <f>IF(A223="","",IF(IF(OR(DATE($B$3,7,15)&gt;EOMONTH(DATE($B$3,7,1),0),NETWORKDAYS.INTL(DATE($B$3,7,15),DATE($B$3,7,15),1,'Non-working days'!$A$6:$A$45)=0),"",IF(COUNTIFS('Leave log'!$A$7:$A$306,Employees!$A$18,'Leave log'!$B$7:$B$306,"&lt;="&amp;DATE($B$3,7,15),'Leave log'!$C$7:$C$306,"&gt;="&amp;DATE($B$3,7,15),'Leave log'!$F$7:$F$306,"Approved")&gt;0,"A",""))="A","A",IF(OR(DATE($B$3,7,15)&gt;EOMONTH(DATE($B$3,7,1),0),NETWORKDAYS.INTL(DATE($B$3,7,15),DATE($B$3,7,15),1,'Non-working days'!$A$6:$A$45)=0),"",IF(COUNTIFS('Leave log'!$A$7:$A$306,Employees!$A$18,'Leave log'!$B$7:$B$306,"&lt;="&amp;DATE($B$3,7,15),'Leave log'!$C$7:$C$306,"&gt;="&amp;DATE($B$3,7,15),'Leave log'!$F$7:$F$306,"Pending")&gt;0,"P",""))))</f>
        <v/>
      </c>
      <c r="Q223" s="23" t="str">
        <f>IF(A223="","",IF(IF(OR(DATE($B$3,7,16)&gt;EOMONTH(DATE($B$3,7,1),0),NETWORKDAYS.INTL(DATE($B$3,7,16),DATE($B$3,7,16),1,'Non-working days'!$A$6:$A$45)=0),"",IF(COUNTIFS('Leave log'!$A$7:$A$306,Employees!$A$18,'Leave log'!$B$7:$B$306,"&lt;="&amp;DATE($B$3,7,16),'Leave log'!$C$7:$C$306,"&gt;="&amp;DATE($B$3,7,16),'Leave log'!$F$7:$F$306,"Approved")&gt;0,"A",""))="A","A",IF(OR(DATE($B$3,7,16)&gt;EOMONTH(DATE($B$3,7,1),0),NETWORKDAYS.INTL(DATE($B$3,7,16),DATE($B$3,7,16),1,'Non-working days'!$A$6:$A$45)=0),"",IF(COUNTIFS('Leave log'!$A$7:$A$306,Employees!$A$18,'Leave log'!$B$7:$B$306,"&lt;="&amp;DATE($B$3,7,16),'Leave log'!$C$7:$C$306,"&gt;="&amp;DATE($B$3,7,16),'Leave log'!$F$7:$F$306,"Pending")&gt;0,"P",""))))</f>
        <v/>
      </c>
      <c r="R223" s="23" t="str">
        <f>IF(A223="","",IF(IF(OR(DATE($B$3,7,17)&gt;EOMONTH(DATE($B$3,7,1),0),NETWORKDAYS.INTL(DATE($B$3,7,17),DATE($B$3,7,17),1,'Non-working days'!$A$6:$A$45)=0),"",IF(COUNTIFS('Leave log'!$A$7:$A$306,Employees!$A$18,'Leave log'!$B$7:$B$306,"&lt;="&amp;DATE($B$3,7,17),'Leave log'!$C$7:$C$306,"&gt;="&amp;DATE($B$3,7,17),'Leave log'!$F$7:$F$306,"Approved")&gt;0,"A",""))="A","A",IF(OR(DATE($B$3,7,17)&gt;EOMONTH(DATE($B$3,7,1),0),NETWORKDAYS.INTL(DATE($B$3,7,17),DATE($B$3,7,17),1,'Non-working days'!$A$6:$A$45)=0),"",IF(COUNTIFS('Leave log'!$A$7:$A$306,Employees!$A$18,'Leave log'!$B$7:$B$306,"&lt;="&amp;DATE($B$3,7,17),'Leave log'!$C$7:$C$306,"&gt;="&amp;DATE($B$3,7,17),'Leave log'!$F$7:$F$306,"Pending")&gt;0,"P",""))))</f>
        <v/>
      </c>
      <c r="S223" s="23" t="str">
        <f>IF(A223="","",IF(IF(OR(DATE($B$3,7,18)&gt;EOMONTH(DATE($B$3,7,1),0),NETWORKDAYS.INTL(DATE($B$3,7,18),DATE($B$3,7,18),1,'Non-working days'!$A$6:$A$45)=0),"",IF(COUNTIFS('Leave log'!$A$7:$A$306,Employees!$A$18,'Leave log'!$B$7:$B$306,"&lt;="&amp;DATE($B$3,7,18),'Leave log'!$C$7:$C$306,"&gt;="&amp;DATE($B$3,7,18),'Leave log'!$F$7:$F$306,"Approved")&gt;0,"A",""))="A","A",IF(OR(DATE($B$3,7,18)&gt;EOMONTH(DATE($B$3,7,1),0),NETWORKDAYS.INTL(DATE($B$3,7,18),DATE($B$3,7,18),1,'Non-working days'!$A$6:$A$45)=0),"",IF(COUNTIFS('Leave log'!$A$7:$A$306,Employees!$A$18,'Leave log'!$B$7:$B$306,"&lt;="&amp;DATE($B$3,7,18),'Leave log'!$C$7:$C$306,"&gt;="&amp;DATE($B$3,7,18),'Leave log'!$F$7:$F$306,"Pending")&gt;0,"P",""))))</f>
        <v/>
      </c>
      <c r="T223" s="23" t="str">
        <f>IF(A223="","",IF(IF(OR(DATE($B$3,7,19)&gt;EOMONTH(DATE($B$3,7,1),0),NETWORKDAYS.INTL(DATE($B$3,7,19),DATE($B$3,7,19),1,'Non-working days'!$A$6:$A$45)=0),"",IF(COUNTIFS('Leave log'!$A$7:$A$306,Employees!$A$18,'Leave log'!$B$7:$B$306,"&lt;="&amp;DATE($B$3,7,19),'Leave log'!$C$7:$C$306,"&gt;="&amp;DATE($B$3,7,19),'Leave log'!$F$7:$F$306,"Approved")&gt;0,"A",""))="A","A",IF(OR(DATE($B$3,7,19)&gt;EOMONTH(DATE($B$3,7,1),0),NETWORKDAYS.INTL(DATE($B$3,7,19),DATE($B$3,7,19),1,'Non-working days'!$A$6:$A$45)=0),"",IF(COUNTIFS('Leave log'!$A$7:$A$306,Employees!$A$18,'Leave log'!$B$7:$B$306,"&lt;="&amp;DATE($B$3,7,19),'Leave log'!$C$7:$C$306,"&gt;="&amp;DATE($B$3,7,19),'Leave log'!$F$7:$F$306,"Pending")&gt;0,"P",""))))</f>
        <v/>
      </c>
      <c r="U223" s="23" t="str">
        <f>IF(A223="","",IF(IF(OR(DATE($B$3,7,20)&gt;EOMONTH(DATE($B$3,7,1),0),NETWORKDAYS.INTL(DATE($B$3,7,20),DATE($B$3,7,20),1,'Non-working days'!$A$6:$A$45)=0),"",IF(COUNTIFS('Leave log'!$A$7:$A$306,Employees!$A$18,'Leave log'!$B$7:$B$306,"&lt;="&amp;DATE($B$3,7,20),'Leave log'!$C$7:$C$306,"&gt;="&amp;DATE($B$3,7,20),'Leave log'!$F$7:$F$306,"Approved")&gt;0,"A",""))="A","A",IF(OR(DATE($B$3,7,20)&gt;EOMONTH(DATE($B$3,7,1),0),NETWORKDAYS.INTL(DATE($B$3,7,20),DATE($B$3,7,20),1,'Non-working days'!$A$6:$A$45)=0),"",IF(COUNTIFS('Leave log'!$A$7:$A$306,Employees!$A$18,'Leave log'!$B$7:$B$306,"&lt;="&amp;DATE($B$3,7,20),'Leave log'!$C$7:$C$306,"&gt;="&amp;DATE($B$3,7,20),'Leave log'!$F$7:$F$306,"Pending")&gt;0,"P",""))))</f>
        <v/>
      </c>
      <c r="V223" s="23" t="str">
        <f>IF(A223="","",IF(IF(OR(DATE($B$3,7,21)&gt;EOMONTH(DATE($B$3,7,1),0),NETWORKDAYS.INTL(DATE($B$3,7,21),DATE($B$3,7,21),1,'Non-working days'!$A$6:$A$45)=0),"",IF(COUNTIFS('Leave log'!$A$7:$A$306,Employees!$A$18,'Leave log'!$B$7:$B$306,"&lt;="&amp;DATE($B$3,7,21),'Leave log'!$C$7:$C$306,"&gt;="&amp;DATE($B$3,7,21),'Leave log'!$F$7:$F$306,"Approved")&gt;0,"A",""))="A","A",IF(OR(DATE($B$3,7,21)&gt;EOMONTH(DATE($B$3,7,1),0),NETWORKDAYS.INTL(DATE($B$3,7,21),DATE($B$3,7,21),1,'Non-working days'!$A$6:$A$45)=0),"",IF(COUNTIFS('Leave log'!$A$7:$A$306,Employees!$A$18,'Leave log'!$B$7:$B$306,"&lt;="&amp;DATE($B$3,7,21),'Leave log'!$C$7:$C$306,"&gt;="&amp;DATE($B$3,7,21),'Leave log'!$F$7:$F$306,"Pending")&gt;0,"P",""))))</f>
        <v/>
      </c>
      <c r="W223" s="23" t="str">
        <f>IF(A223="","",IF(IF(OR(DATE($B$3,7,22)&gt;EOMONTH(DATE($B$3,7,1),0),NETWORKDAYS.INTL(DATE($B$3,7,22),DATE($B$3,7,22),1,'Non-working days'!$A$6:$A$45)=0),"",IF(COUNTIFS('Leave log'!$A$7:$A$306,Employees!$A$18,'Leave log'!$B$7:$B$306,"&lt;="&amp;DATE($B$3,7,22),'Leave log'!$C$7:$C$306,"&gt;="&amp;DATE($B$3,7,22),'Leave log'!$F$7:$F$306,"Approved")&gt;0,"A",""))="A","A",IF(OR(DATE($B$3,7,22)&gt;EOMONTH(DATE($B$3,7,1),0),NETWORKDAYS.INTL(DATE($B$3,7,22),DATE($B$3,7,22),1,'Non-working days'!$A$6:$A$45)=0),"",IF(COUNTIFS('Leave log'!$A$7:$A$306,Employees!$A$18,'Leave log'!$B$7:$B$306,"&lt;="&amp;DATE($B$3,7,22),'Leave log'!$C$7:$C$306,"&gt;="&amp;DATE($B$3,7,22),'Leave log'!$F$7:$F$306,"Pending")&gt;0,"P",""))))</f>
        <v/>
      </c>
      <c r="X223" s="23" t="str">
        <f>IF(A223="","",IF(IF(OR(DATE($B$3,7,23)&gt;EOMONTH(DATE($B$3,7,1),0),NETWORKDAYS.INTL(DATE($B$3,7,23),DATE($B$3,7,23),1,'Non-working days'!$A$6:$A$45)=0),"",IF(COUNTIFS('Leave log'!$A$7:$A$306,Employees!$A$18,'Leave log'!$B$7:$B$306,"&lt;="&amp;DATE($B$3,7,23),'Leave log'!$C$7:$C$306,"&gt;="&amp;DATE($B$3,7,23),'Leave log'!$F$7:$F$306,"Approved")&gt;0,"A",""))="A","A",IF(OR(DATE($B$3,7,23)&gt;EOMONTH(DATE($B$3,7,1),0),NETWORKDAYS.INTL(DATE($B$3,7,23),DATE($B$3,7,23),1,'Non-working days'!$A$6:$A$45)=0),"",IF(COUNTIFS('Leave log'!$A$7:$A$306,Employees!$A$18,'Leave log'!$B$7:$B$306,"&lt;="&amp;DATE($B$3,7,23),'Leave log'!$C$7:$C$306,"&gt;="&amp;DATE($B$3,7,23),'Leave log'!$F$7:$F$306,"Pending")&gt;0,"P",""))))</f>
        <v/>
      </c>
      <c r="Y223" s="23" t="str">
        <f>IF(A223="","",IF(IF(OR(DATE($B$3,7,24)&gt;EOMONTH(DATE($B$3,7,1),0),NETWORKDAYS.INTL(DATE($B$3,7,24),DATE($B$3,7,24),1,'Non-working days'!$A$6:$A$45)=0),"",IF(COUNTIFS('Leave log'!$A$7:$A$306,Employees!$A$18,'Leave log'!$B$7:$B$306,"&lt;="&amp;DATE($B$3,7,24),'Leave log'!$C$7:$C$306,"&gt;="&amp;DATE($B$3,7,24),'Leave log'!$F$7:$F$306,"Approved")&gt;0,"A",""))="A","A",IF(OR(DATE($B$3,7,24)&gt;EOMONTH(DATE($B$3,7,1),0),NETWORKDAYS.INTL(DATE($B$3,7,24),DATE($B$3,7,24),1,'Non-working days'!$A$6:$A$45)=0),"",IF(COUNTIFS('Leave log'!$A$7:$A$306,Employees!$A$18,'Leave log'!$B$7:$B$306,"&lt;="&amp;DATE($B$3,7,24),'Leave log'!$C$7:$C$306,"&gt;="&amp;DATE($B$3,7,24),'Leave log'!$F$7:$F$306,"Pending")&gt;0,"P",""))))</f>
        <v/>
      </c>
      <c r="Z223" s="23" t="str">
        <f>IF(A223="","",IF(IF(OR(DATE($B$3,7,25)&gt;EOMONTH(DATE($B$3,7,1),0),NETWORKDAYS.INTL(DATE($B$3,7,25),DATE($B$3,7,25),1,'Non-working days'!$A$6:$A$45)=0),"",IF(COUNTIFS('Leave log'!$A$7:$A$306,Employees!$A$18,'Leave log'!$B$7:$B$306,"&lt;="&amp;DATE($B$3,7,25),'Leave log'!$C$7:$C$306,"&gt;="&amp;DATE($B$3,7,25),'Leave log'!$F$7:$F$306,"Approved")&gt;0,"A",""))="A","A",IF(OR(DATE($B$3,7,25)&gt;EOMONTH(DATE($B$3,7,1),0),NETWORKDAYS.INTL(DATE($B$3,7,25),DATE($B$3,7,25),1,'Non-working days'!$A$6:$A$45)=0),"",IF(COUNTIFS('Leave log'!$A$7:$A$306,Employees!$A$18,'Leave log'!$B$7:$B$306,"&lt;="&amp;DATE($B$3,7,25),'Leave log'!$C$7:$C$306,"&gt;="&amp;DATE($B$3,7,25),'Leave log'!$F$7:$F$306,"Pending")&gt;0,"P",""))))</f>
        <v/>
      </c>
      <c r="AA223" s="23" t="str">
        <f>IF(A223="","",IF(IF(OR(DATE($B$3,7,26)&gt;EOMONTH(DATE($B$3,7,1),0),NETWORKDAYS.INTL(DATE($B$3,7,26),DATE($B$3,7,26),1,'Non-working days'!$A$6:$A$45)=0),"",IF(COUNTIFS('Leave log'!$A$7:$A$306,Employees!$A$18,'Leave log'!$B$7:$B$306,"&lt;="&amp;DATE($B$3,7,26),'Leave log'!$C$7:$C$306,"&gt;="&amp;DATE($B$3,7,26),'Leave log'!$F$7:$F$306,"Approved")&gt;0,"A",""))="A","A",IF(OR(DATE($B$3,7,26)&gt;EOMONTH(DATE($B$3,7,1),0),NETWORKDAYS.INTL(DATE($B$3,7,26),DATE($B$3,7,26),1,'Non-working days'!$A$6:$A$45)=0),"",IF(COUNTIFS('Leave log'!$A$7:$A$306,Employees!$A$18,'Leave log'!$B$7:$B$306,"&lt;="&amp;DATE($B$3,7,26),'Leave log'!$C$7:$C$306,"&gt;="&amp;DATE($B$3,7,26),'Leave log'!$F$7:$F$306,"Pending")&gt;0,"P",""))))</f>
        <v/>
      </c>
      <c r="AB223" s="23" t="str">
        <f>IF(A223="","",IF(IF(OR(DATE($B$3,7,27)&gt;EOMONTH(DATE($B$3,7,1),0),NETWORKDAYS.INTL(DATE($B$3,7,27),DATE($B$3,7,27),1,'Non-working days'!$A$6:$A$45)=0),"",IF(COUNTIFS('Leave log'!$A$7:$A$306,Employees!$A$18,'Leave log'!$B$7:$B$306,"&lt;="&amp;DATE($B$3,7,27),'Leave log'!$C$7:$C$306,"&gt;="&amp;DATE($B$3,7,27),'Leave log'!$F$7:$F$306,"Approved")&gt;0,"A",""))="A","A",IF(OR(DATE($B$3,7,27)&gt;EOMONTH(DATE($B$3,7,1),0),NETWORKDAYS.INTL(DATE($B$3,7,27),DATE($B$3,7,27),1,'Non-working days'!$A$6:$A$45)=0),"",IF(COUNTIFS('Leave log'!$A$7:$A$306,Employees!$A$18,'Leave log'!$B$7:$B$306,"&lt;="&amp;DATE($B$3,7,27),'Leave log'!$C$7:$C$306,"&gt;="&amp;DATE($B$3,7,27),'Leave log'!$F$7:$F$306,"Pending")&gt;0,"P",""))))</f>
        <v/>
      </c>
      <c r="AC223" s="23" t="str">
        <f>IF(A223="","",IF(IF(OR(DATE($B$3,7,28)&gt;EOMONTH(DATE($B$3,7,1),0),NETWORKDAYS.INTL(DATE($B$3,7,28),DATE($B$3,7,28),1,'Non-working days'!$A$6:$A$45)=0),"",IF(COUNTIFS('Leave log'!$A$7:$A$306,Employees!$A$18,'Leave log'!$B$7:$B$306,"&lt;="&amp;DATE($B$3,7,28),'Leave log'!$C$7:$C$306,"&gt;="&amp;DATE($B$3,7,28),'Leave log'!$F$7:$F$306,"Approved")&gt;0,"A",""))="A","A",IF(OR(DATE($B$3,7,28)&gt;EOMONTH(DATE($B$3,7,1),0),NETWORKDAYS.INTL(DATE($B$3,7,28),DATE($B$3,7,28),1,'Non-working days'!$A$6:$A$45)=0),"",IF(COUNTIFS('Leave log'!$A$7:$A$306,Employees!$A$18,'Leave log'!$B$7:$B$306,"&lt;="&amp;DATE($B$3,7,28),'Leave log'!$C$7:$C$306,"&gt;="&amp;DATE($B$3,7,28),'Leave log'!$F$7:$F$306,"Pending")&gt;0,"P",""))))</f>
        <v/>
      </c>
      <c r="AD223" s="23" t="str">
        <f>IF(A223="","",IF(IF(OR(DATE($B$3,7,29)&gt;EOMONTH(DATE($B$3,7,1),0),NETWORKDAYS.INTL(DATE($B$3,7,29),DATE($B$3,7,29),1,'Non-working days'!$A$6:$A$45)=0),"",IF(COUNTIFS('Leave log'!$A$7:$A$306,Employees!$A$18,'Leave log'!$B$7:$B$306,"&lt;="&amp;DATE($B$3,7,29),'Leave log'!$C$7:$C$306,"&gt;="&amp;DATE($B$3,7,29),'Leave log'!$F$7:$F$306,"Approved")&gt;0,"A",""))="A","A",IF(OR(DATE($B$3,7,29)&gt;EOMONTH(DATE($B$3,7,1),0),NETWORKDAYS.INTL(DATE($B$3,7,29),DATE($B$3,7,29),1,'Non-working days'!$A$6:$A$45)=0),"",IF(COUNTIFS('Leave log'!$A$7:$A$306,Employees!$A$18,'Leave log'!$B$7:$B$306,"&lt;="&amp;DATE($B$3,7,29),'Leave log'!$C$7:$C$306,"&gt;="&amp;DATE($B$3,7,29),'Leave log'!$F$7:$F$306,"Pending")&gt;0,"P",""))))</f>
        <v/>
      </c>
      <c r="AE223" s="23" t="str">
        <f>IF(A223="","",IF(IF(OR(DATE($B$3,7,30)&gt;EOMONTH(DATE($B$3,7,1),0),NETWORKDAYS.INTL(DATE($B$3,7,30),DATE($B$3,7,30),1,'Non-working days'!$A$6:$A$45)=0),"",IF(COUNTIFS('Leave log'!$A$7:$A$306,Employees!$A$18,'Leave log'!$B$7:$B$306,"&lt;="&amp;DATE($B$3,7,30),'Leave log'!$C$7:$C$306,"&gt;="&amp;DATE($B$3,7,30),'Leave log'!$F$7:$F$306,"Approved")&gt;0,"A",""))="A","A",IF(OR(DATE($B$3,7,30)&gt;EOMONTH(DATE($B$3,7,1),0),NETWORKDAYS.INTL(DATE($B$3,7,30),DATE($B$3,7,30),1,'Non-working days'!$A$6:$A$45)=0),"",IF(COUNTIFS('Leave log'!$A$7:$A$306,Employees!$A$18,'Leave log'!$B$7:$B$306,"&lt;="&amp;DATE($B$3,7,30),'Leave log'!$C$7:$C$306,"&gt;="&amp;DATE($B$3,7,30),'Leave log'!$F$7:$F$306,"Pending")&gt;0,"P",""))))</f>
        <v/>
      </c>
      <c r="AF223" s="23" t="str">
        <f>IF(A223="","",IF(IF(OR(DATE($B$3,7,31)&gt;EOMONTH(DATE($B$3,7,1),0),NETWORKDAYS.INTL(DATE($B$3,7,31),DATE($B$3,7,31),1,'Non-working days'!$A$6:$A$45)=0),"",IF(COUNTIFS('Leave log'!$A$7:$A$306,Employees!$A$18,'Leave log'!$B$7:$B$306,"&lt;="&amp;DATE($B$3,7,31),'Leave log'!$C$7:$C$306,"&gt;="&amp;DATE($B$3,7,31),'Leave log'!$F$7:$F$306,"Approved")&gt;0,"A",""))="A","A",IF(OR(DATE($B$3,7,31)&gt;EOMONTH(DATE($B$3,7,1),0),NETWORKDAYS.INTL(DATE($B$3,7,31),DATE($B$3,7,31),1,'Non-working days'!$A$6:$A$45)=0),"",IF(COUNTIFS('Leave log'!$A$7:$A$306,Employees!$A$18,'Leave log'!$B$7:$B$306,"&lt;="&amp;DATE($B$3,7,31),'Leave log'!$C$7:$C$306,"&gt;="&amp;DATE($B$3,7,31),'Leave log'!$F$7:$F$306,"Pending")&gt;0,"P",""))))</f>
        <v/>
      </c>
    </row>
    <row r="224" spans="1:32" ht="18" customHeight="1" x14ac:dyDescent="0.3">
      <c r="A224" s="22" t="str">
        <f>IF(Employees!F19="Yes",Employees!B19,"")</f>
        <v/>
      </c>
      <c r="B224" s="23" t="str">
        <f>IF(A224="","",IF(IF(OR(DATE($B$3,7,1)&gt;EOMONTH(DATE($B$3,7,1),0),NETWORKDAYS.INTL(DATE($B$3,7,1),DATE($B$3,7,1),1,'Non-working days'!$A$6:$A$45)=0),"",IF(COUNTIFS('Leave log'!$A$7:$A$306,Employees!$A$19,'Leave log'!$B$7:$B$306,"&lt;="&amp;DATE($B$3,7,1),'Leave log'!$C$7:$C$306,"&gt;="&amp;DATE($B$3,7,1),'Leave log'!$F$7:$F$306,"Approved")&gt;0,"A",""))="A","A",IF(OR(DATE($B$3,7,1)&gt;EOMONTH(DATE($B$3,7,1),0),NETWORKDAYS.INTL(DATE($B$3,7,1),DATE($B$3,7,1),1,'Non-working days'!$A$6:$A$45)=0),"",IF(COUNTIFS('Leave log'!$A$7:$A$306,Employees!$A$19,'Leave log'!$B$7:$B$306,"&lt;="&amp;DATE($B$3,7,1),'Leave log'!$C$7:$C$306,"&gt;="&amp;DATE($B$3,7,1),'Leave log'!$F$7:$F$306,"Pending")&gt;0,"P",""))))</f>
        <v/>
      </c>
      <c r="C224" s="23" t="str">
        <f>IF(A224="","",IF(IF(OR(DATE($B$3,7,2)&gt;EOMONTH(DATE($B$3,7,1),0),NETWORKDAYS.INTL(DATE($B$3,7,2),DATE($B$3,7,2),1,'Non-working days'!$A$6:$A$45)=0),"",IF(COUNTIFS('Leave log'!$A$7:$A$306,Employees!$A$19,'Leave log'!$B$7:$B$306,"&lt;="&amp;DATE($B$3,7,2),'Leave log'!$C$7:$C$306,"&gt;="&amp;DATE($B$3,7,2),'Leave log'!$F$7:$F$306,"Approved")&gt;0,"A",""))="A","A",IF(OR(DATE($B$3,7,2)&gt;EOMONTH(DATE($B$3,7,1),0),NETWORKDAYS.INTL(DATE($B$3,7,2),DATE($B$3,7,2),1,'Non-working days'!$A$6:$A$45)=0),"",IF(COUNTIFS('Leave log'!$A$7:$A$306,Employees!$A$19,'Leave log'!$B$7:$B$306,"&lt;="&amp;DATE($B$3,7,2),'Leave log'!$C$7:$C$306,"&gt;="&amp;DATE($B$3,7,2),'Leave log'!$F$7:$F$306,"Pending")&gt;0,"P",""))))</f>
        <v/>
      </c>
      <c r="D224" s="23" t="str">
        <f>IF(A224="","",IF(IF(OR(DATE($B$3,7,3)&gt;EOMONTH(DATE($B$3,7,1),0),NETWORKDAYS.INTL(DATE($B$3,7,3),DATE($B$3,7,3),1,'Non-working days'!$A$6:$A$45)=0),"",IF(COUNTIFS('Leave log'!$A$7:$A$306,Employees!$A$19,'Leave log'!$B$7:$B$306,"&lt;="&amp;DATE($B$3,7,3),'Leave log'!$C$7:$C$306,"&gt;="&amp;DATE($B$3,7,3),'Leave log'!$F$7:$F$306,"Approved")&gt;0,"A",""))="A","A",IF(OR(DATE($B$3,7,3)&gt;EOMONTH(DATE($B$3,7,1),0),NETWORKDAYS.INTL(DATE($B$3,7,3),DATE($B$3,7,3),1,'Non-working days'!$A$6:$A$45)=0),"",IF(COUNTIFS('Leave log'!$A$7:$A$306,Employees!$A$19,'Leave log'!$B$7:$B$306,"&lt;="&amp;DATE($B$3,7,3),'Leave log'!$C$7:$C$306,"&gt;="&amp;DATE($B$3,7,3),'Leave log'!$F$7:$F$306,"Pending")&gt;0,"P",""))))</f>
        <v/>
      </c>
      <c r="E224" s="23" t="str">
        <f>IF(A224="","",IF(IF(OR(DATE($B$3,7,4)&gt;EOMONTH(DATE($B$3,7,1),0),NETWORKDAYS.INTL(DATE($B$3,7,4),DATE($B$3,7,4),1,'Non-working days'!$A$6:$A$45)=0),"",IF(COUNTIFS('Leave log'!$A$7:$A$306,Employees!$A$19,'Leave log'!$B$7:$B$306,"&lt;="&amp;DATE($B$3,7,4),'Leave log'!$C$7:$C$306,"&gt;="&amp;DATE($B$3,7,4),'Leave log'!$F$7:$F$306,"Approved")&gt;0,"A",""))="A","A",IF(OR(DATE($B$3,7,4)&gt;EOMONTH(DATE($B$3,7,1),0),NETWORKDAYS.INTL(DATE($B$3,7,4),DATE($B$3,7,4),1,'Non-working days'!$A$6:$A$45)=0),"",IF(COUNTIFS('Leave log'!$A$7:$A$306,Employees!$A$19,'Leave log'!$B$7:$B$306,"&lt;="&amp;DATE($B$3,7,4),'Leave log'!$C$7:$C$306,"&gt;="&amp;DATE($B$3,7,4),'Leave log'!$F$7:$F$306,"Pending")&gt;0,"P",""))))</f>
        <v/>
      </c>
      <c r="F224" s="23" t="str">
        <f>IF(A224="","",IF(IF(OR(DATE($B$3,7,5)&gt;EOMONTH(DATE($B$3,7,1),0),NETWORKDAYS.INTL(DATE($B$3,7,5),DATE($B$3,7,5),1,'Non-working days'!$A$6:$A$45)=0),"",IF(COUNTIFS('Leave log'!$A$7:$A$306,Employees!$A$19,'Leave log'!$B$7:$B$306,"&lt;="&amp;DATE($B$3,7,5),'Leave log'!$C$7:$C$306,"&gt;="&amp;DATE($B$3,7,5),'Leave log'!$F$7:$F$306,"Approved")&gt;0,"A",""))="A","A",IF(OR(DATE($B$3,7,5)&gt;EOMONTH(DATE($B$3,7,1),0),NETWORKDAYS.INTL(DATE($B$3,7,5),DATE($B$3,7,5),1,'Non-working days'!$A$6:$A$45)=0),"",IF(COUNTIFS('Leave log'!$A$7:$A$306,Employees!$A$19,'Leave log'!$B$7:$B$306,"&lt;="&amp;DATE($B$3,7,5),'Leave log'!$C$7:$C$306,"&gt;="&amp;DATE($B$3,7,5),'Leave log'!$F$7:$F$306,"Pending")&gt;0,"P",""))))</f>
        <v/>
      </c>
      <c r="G224" s="23" t="str">
        <f>IF(A224="","",IF(IF(OR(DATE($B$3,7,6)&gt;EOMONTH(DATE($B$3,7,1),0),NETWORKDAYS.INTL(DATE($B$3,7,6),DATE($B$3,7,6),1,'Non-working days'!$A$6:$A$45)=0),"",IF(COUNTIFS('Leave log'!$A$7:$A$306,Employees!$A$19,'Leave log'!$B$7:$B$306,"&lt;="&amp;DATE($B$3,7,6),'Leave log'!$C$7:$C$306,"&gt;="&amp;DATE($B$3,7,6),'Leave log'!$F$7:$F$306,"Approved")&gt;0,"A",""))="A","A",IF(OR(DATE($B$3,7,6)&gt;EOMONTH(DATE($B$3,7,1),0),NETWORKDAYS.INTL(DATE($B$3,7,6),DATE($B$3,7,6),1,'Non-working days'!$A$6:$A$45)=0),"",IF(COUNTIFS('Leave log'!$A$7:$A$306,Employees!$A$19,'Leave log'!$B$7:$B$306,"&lt;="&amp;DATE($B$3,7,6),'Leave log'!$C$7:$C$306,"&gt;="&amp;DATE($B$3,7,6),'Leave log'!$F$7:$F$306,"Pending")&gt;0,"P",""))))</f>
        <v/>
      </c>
      <c r="H224" s="23" t="str">
        <f>IF(A224="","",IF(IF(OR(DATE($B$3,7,7)&gt;EOMONTH(DATE($B$3,7,1),0),NETWORKDAYS.INTL(DATE($B$3,7,7),DATE($B$3,7,7),1,'Non-working days'!$A$6:$A$45)=0),"",IF(COUNTIFS('Leave log'!$A$7:$A$306,Employees!$A$19,'Leave log'!$B$7:$B$306,"&lt;="&amp;DATE($B$3,7,7),'Leave log'!$C$7:$C$306,"&gt;="&amp;DATE($B$3,7,7),'Leave log'!$F$7:$F$306,"Approved")&gt;0,"A",""))="A","A",IF(OR(DATE($B$3,7,7)&gt;EOMONTH(DATE($B$3,7,1),0),NETWORKDAYS.INTL(DATE($B$3,7,7),DATE($B$3,7,7),1,'Non-working days'!$A$6:$A$45)=0),"",IF(COUNTIFS('Leave log'!$A$7:$A$306,Employees!$A$19,'Leave log'!$B$7:$B$306,"&lt;="&amp;DATE($B$3,7,7),'Leave log'!$C$7:$C$306,"&gt;="&amp;DATE($B$3,7,7),'Leave log'!$F$7:$F$306,"Pending")&gt;0,"P",""))))</f>
        <v/>
      </c>
      <c r="I224" s="23" t="str">
        <f>IF(A224="","",IF(IF(OR(DATE($B$3,7,8)&gt;EOMONTH(DATE($B$3,7,1),0),NETWORKDAYS.INTL(DATE($B$3,7,8),DATE($B$3,7,8),1,'Non-working days'!$A$6:$A$45)=0),"",IF(COUNTIFS('Leave log'!$A$7:$A$306,Employees!$A$19,'Leave log'!$B$7:$B$306,"&lt;="&amp;DATE($B$3,7,8),'Leave log'!$C$7:$C$306,"&gt;="&amp;DATE($B$3,7,8),'Leave log'!$F$7:$F$306,"Approved")&gt;0,"A",""))="A","A",IF(OR(DATE($B$3,7,8)&gt;EOMONTH(DATE($B$3,7,1),0),NETWORKDAYS.INTL(DATE($B$3,7,8),DATE($B$3,7,8),1,'Non-working days'!$A$6:$A$45)=0),"",IF(COUNTIFS('Leave log'!$A$7:$A$306,Employees!$A$19,'Leave log'!$B$7:$B$306,"&lt;="&amp;DATE($B$3,7,8),'Leave log'!$C$7:$C$306,"&gt;="&amp;DATE($B$3,7,8),'Leave log'!$F$7:$F$306,"Pending")&gt;0,"P",""))))</f>
        <v/>
      </c>
      <c r="J224" s="23" t="str">
        <f>IF(A224="","",IF(IF(OR(DATE($B$3,7,9)&gt;EOMONTH(DATE($B$3,7,1),0),NETWORKDAYS.INTL(DATE($B$3,7,9),DATE($B$3,7,9),1,'Non-working days'!$A$6:$A$45)=0),"",IF(COUNTIFS('Leave log'!$A$7:$A$306,Employees!$A$19,'Leave log'!$B$7:$B$306,"&lt;="&amp;DATE($B$3,7,9),'Leave log'!$C$7:$C$306,"&gt;="&amp;DATE($B$3,7,9),'Leave log'!$F$7:$F$306,"Approved")&gt;0,"A",""))="A","A",IF(OR(DATE($B$3,7,9)&gt;EOMONTH(DATE($B$3,7,1),0),NETWORKDAYS.INTL(DATE($B$3,7,9),DATE($B$3,7,9),1,'Non-working days'!$A$6:$A$45)=0),"",IF(COUNTIFS('Leave log'!$A$7:$A$306,Employees!$A$19,'Leave log'!$B$7:$B$306,"&lt;="&amp;DATE($B$3,7,9),'Leave log'!$C$7:$C$306,"&gt;="&amp;DATE($B$3,7,9),'Leave log'!$F$7:$F$306,"Pending")&gt;0,"P",""))))</f>
        <v/>
      </c>
      <c r="K224" s="23" t="str">
        <f>IF(A224="","",IF(IF(OR(DATE($B$3,7,10)&gt;EOMONTH(DATE($B$3,7,1),0),NETWORKDAYS.INTL(DATE($B$3,7,10),DATE($B$3,7,10),1,'Non-working days'!$A$6:$A$45)=0),"",IF(COUNTIFS('Leave log'!$A$7:$A$306,Employees!$A$19,'Leave log'!$B$7:$B$306,"&lt;="&amp;DATE($B$3,7,10),'Leave log'!$C$7:$C$306,"&gt;="&amp;DATE($B$3,7,10),'Leave log'!$F$7:$F$306,"Approved")&gt;0,"A",""))="A","A",IF(OR(DATE($B$3,7,10)&gt;EOMONTH(DATE($B$3,7,1),0),NETWORKDAYS.INTL(DATE($B$3,7,10),DATE($B$3,7,10),1,'Non-working days'!$A$6:$A$45)=0),"",IF(COUNTIFS('Leave log'!$A$7:$A$306,Employees!$A$19,'Leave log'!$B$7:$B$306,"&lt;="&amp;DATE($B$3,7,10),'Leave log'!$C$7:$C$306,"&gt;="&amp;DATE($B$3,7,10),'Leave log'!$F$7:$F$306,"Pending")&gt;0,"P",""))))</f>
        <v/>
      </c>
      <c r="L224" s="23" t="str">
        <f>IF(A224="","",IF(IF(OR(DATE($B$3,7,11)&gt;EOMONTH(DATE($B$3,7,1),0),NETWORKDAYS.INTL(DATE($B$3,7,11),DATE($B$3,7,11),1,'Non-working days'!$A$6:$A$45)=0),"",IF(COUNTIFS('Leave log'!$A$7:$A$306,Employees!$A$19,'Leave log'!$B$7:$B$306,"&lt;="&amp;DATE($B$3,7,11),'Leave log'!$C$7:$C$306,"&gt;="&amp;DATE($B$3,7,11),'Leave log'!$F$7:$F$306,"Approved")&gt;0,"A",""))="A","A",IF(OR(DATE($B$3,7,11)&gt;EOMONTH(DATE($B$3,7,1),0),NETWORKDAYS.INTL(DATE($B$3,7,11),DATE($B$3,7,11),1,'Non-working days'!$A$6:$A$45)=0),"",IF(COUNTIFS('Leave log'!$A$7:$A$306,Employees!$A$19,'Leave log'!$B$7:$B$306,"&lt;="&amp;DATE($B$3,7,11),'Leave log'!$C$7:$C$306,"&gt;="&amp;DATE($B$3,7,11),'Leave log'!$F$7:$F$306,"Pending")&gt;0,"P",""))))</f>
        <v/>
      </c>
      <c r="M224" s="23" t="str">
        <f>IF(A224="","",IF(IF(OR(DATE($B$3,7,12)&gt;EOMONTH(DATE($B$3,7,1),0),NETWORKDAYS.INTL(DATE($B$3,7,12),DATE($B$3,7,12),1,'Non-working days'!$A$6:$A$45)=0),"",IF(COUNTIFS('Leave log'!$A$7:$A$306,Employees!$A$19,'Leave log'!$B$7:$B$306,"&lt;="&amp;DATE($B$3,7,12),'Leave log'!$C$7:$C$306,"&gt;="&amp;DATE($B$3,7,12),'Leave log'!$F$7:$F$306,"Approved")&gt;0,"A",""))="A","A",IF(OR(DATE($B$3,7,12)&gt;EOMONTH(DATE($B$3,7,1),0),NETWORKDAYS.INTL(DATE($B$3,7,12),DATE($B$3,7,12),1,'Non-working days'!$A$6:$A$45)=0),"",IF(COUNTIFS('Leave log'!$A$7:$A$306,Employees!$A$19,'Leave log'!$B$7:$B$306,"&lt;="&amp;DATE($B$3,7,12),'Leave log'!$C$7:$C$306,"&gt;="&amp;DATE($B$3,7,12),'Leave log'!$F$7:$F$306,"Pending")&gt;0,"P",""))))</f>
        <v/>
      </c>
      <c r="N224" s="23" t="str">
        <f>IF(A224="","",IF(IF(OR(DATE($B$3,7,13)&gt;EOMONTH(DATE($B$3,7,1),0),NETWORKDAYS.INTL(DATE($B$3,7,13),DATE($B$3,7,13),1,'Non-working days'!$A$6:$A$45)=0),"",IF(COUNTIFS('Leave log'!$A$7:$A$306,Employees!$A$19,'Leave log'!$B$7:$B$306,"&lt;="&amp;DATE($B$3,7,13),'Leave log'!$C$7:$C$306,"&gt;="&amp;DATE($B$3,7,13),'Leave log'!$F$7:$F$306,"Approved")&gt;0,"A",""))="A","A",IF(OR(DATE($B$3,7,13)&gt;EOMONTH(DATE($B$3,7,1),0),NETWORKDAYS.INTL(DATE($B$3,7,13),DATE($B$3,7,13),1,'Non-working days'!$A$6:$A$45)=0),"",IF(COUNTIFS('Leave log'!$A$7:$A$306,Employees!$A$19,'Leave log'!$B$7:$B$306,"&lt;="&amp;DATE($B$3,7,13),'Leave log'!$C$7:$C$306,"&gt;="&amp;DATE($B$3,7,13),'Leave log'!$F$7:$F$306,"Pending")&gt;0,"P",""))))</f>
        <v/>
      </c>
      <c r="O224" s="23" t="str">
        <f>IF(A224="","",IF(IF(OR(DATE($B$3,7,14)&gt;EOMONTH(DATE($B$3,7,1),0),NETWORKDAYS.INTL(DATE($B$3,7,14),DATE($B$3,7,14),1,'Non-working days'!$A$6:$A$45)=0),"",IF(COUNTIFS('Leave log'!$A$7:$A$306,Employees!$A$19,'Leave log'!$B$7:$B$306,"&lt;="&amp;DATE($B$3,7,14),'Leave log'!$C$7:$C$306,"&gt;="&amp;DATE($B$3,7,14),'Leave log'!$F$7:$F$306,"Approved")&gt;0,"A",""))="A","A",IF(OR(DATE($B$3,7,14)&gt;EOMONTH(DATE($B$3,7,1),0),NETWORKDAYS.INTL(DATE($B$3,7,14),DATE($B$3,7,14),1,'Non-working days'!$A$6:$A$45)=0),"",IF(COUNTIFS('Leave log'!$A$7:$A$306,Employees!$A$19,'Leave log'!$B$7:$B$306,"&lt;="&amp;DATE($B$3,7,14),'Leave log'!$C$7:$C$306,"&gt;="&amp;DATE($B$3,7,14),'Leave log'!$F$7:$F$306,"Pending")&gt;0,"P",""))))</f>
        <v/>
      </c>
      <c r="P224" s="23" t="str">
        <f>IF(A224="","",IF(IF(OR(DATE($B$3,7,15)&gt;EOMONTH(DATE($B$3,7,1),0),NETWORKDAYS.INTL(DATE($B$3,7,15),DATE($B$3,7,15),1,'Non-working days'!$A$6:$A$45)=0),"",IF(COUNTIFS('Leave log'!$A$7:$A$306,Employees!$A$19,'Leave log'!$B$7:$B$306,"&lt;="&amp;DATE($B$3,7,15),'Leave log'!$C$7:$C$306,"&gt;="&amp;DATE($B$3,7,15),'Leave log'!$F$7:$F$306,"Approved")&gt;0,"A",""))="A","A",IF(OR(DATE($B$3,7,15)&gt;EOMONTH(DATE($B$3,7,1),0),NETWORKDAYS.INTL(DATE($B$3,7,15),DATE($B$3,7,15),1,'Non-working days'!$A$6:$A$45)=0),"",IF(COUNTIFS('Leave log'!$A$7:$A$306,Employees!$A$19,'Leave log'!$B$7:$B$306,"&lt;="&amp;DATE($B$3,7,15),'Leave log'!$C$7:$C$306,"&gt;="&amp;DATE($B$3,7,15),'Leave log'!$F$7:$F$306,"Pending")&gt;0,"P",""))))</f>
        <v/>
      </c>
      <c r="Q224" s="23" t="str">
        <f>IF(A224="","",IF(IF(OR(DATE($B$3,7,16)&gt;EOMONTH(DATE($B$3,7,1),0),NETWORKDAYS.INTL(DATE($B$3,7,16),DATE($B$3,7,16),1,'Non-working days'!$A$6:$A$45)=0),"",IF(COUNTIFS('Leave log'!$A$7:$A$306,Employees!$A$19,'Leave log'!$B$7:$B$306,"&lt;="&amp;DATE($B$3,7,16),'Leave log'!$C$7:$C$306,"&gt;="&amp;DATE($B$3,7,16),'Leave log'!$F$7:$F$306,"Approved")&gt;0,"A",""))="A","A",IF(OR(DATE($B$3,7,16)&gt;EOMONTH(DATE($B$3,7,1),0),NETWORKDAYS.INTL(DATE($B$3,7,16),DATE($B$3,7,16),1,'Non-working days'!$A$6:$A$45)=0),"",IF(COUNTIFS('Leave log'!$A$7:$A$306,Employees!$A$19,'Leave log'!$B$7:$B$306,"&lt;="&amp;DATE($B$3,7,16),'Leave log'!$C$7:$C$306,"&gt;="&amp;DATE($B$3,7,16),'Leave log'!$F$7:$F$306,"Pending")&gt;0,"P",""))))</f>
        <v/>
      </c>
      <c r="R224" s="23" t="str">
        <f>IF(A224="","",IF(IF(OR(DATE($B$3,7,17)&gt;EOMONTH(DATE($B$3,7,1),0),NETWORKDAYS.INTL(DATE($B$3,7,17),DATE($B$3,7,17),1,'Non-working days'!$A$6:$A$45)=0),"",IF(COUNTIFS('Leave log'!$A$7:$A$306,Employees!$A$19,'Leave log'!$B$7:$B$306,"&lt;="&amp;DATE($B$3,7,17),'Leave log'!$C$7:$C$306,"&gt;="&amp;DATE($B$3,7,17),'Leave log'!$F$7:$F$306,"Approved")&gt;0,"A",""))="A","A",IF(OR(DATE($B$3,7,17)&gt;EOMONTH(DATE($B$3,7,1),0),NETWORKDAYS.INTL(DATE($B$3,7,17),DATE($B$3,7,17),1,'Non-working days'!$A$6:$A$45)=0),"",IF(COUNTIFS('Leave log'!$A$7:$A$306,Employees!$A$19,'Leave log'!$B$7:$B$306,"&lt;="&amp;DATE($B$3,7,17),'Leave log'!$C$7:$C$306,"&gt;="&amp;DATE($B$3,7,17),'Leave log'!$F$7:$F$306,"Pending")&gt;0,"P",""))))</f>
        <v/>
      </c>
      <c r="S224" s="23" t="str">
        <f>IF(A224="","",IF(IF(OR(DATE($B$3,7,18)&gt;EOMONTH(DATE($B$3,7,1),0),NETWORKDAYS.INTL(DATE($B$3,7,18),DATE($B$3,7,18),1,'Non-working days'!$A$6:$A$45)=0),"",IF(COUNTIFS('Leave log'!$A$7:$A$306,Employees!$A$19,'Leave log'!$B$7:$B$306,"&lt;="&amp;DATE($B$3,7,18),'Leave log'!$C$7:$C$306,"&gt;="&amp;DATE($B$3,7,18),'Leave log'!$F$7:$F$306,"Approved")&gt;0,"A",""))="A","A",IF(OR(DATE($B$3,7,18)&gt;EOMONTH(DATE($B$3,7,1),0),NETWORKDAYS.INTL(DATE($B$3,7,18),DATE($B$3,7,18),1,'Non-working days'!$A$6:$A$45)=0),"",IF(COUNTIFS('Leave log'!$A$7:$A$306,Employees!$A$19,'Leave log'!$B$7:$B$306,"&lt;="&amp;DATE($B$3,7,18),'Leave log'!$C$7:$C$306,"&gt;="&amp;DATE($B$3,7,18),'Leave log'!$F$7:$F$306,"Pending")&gt;0,"P",""))))</f>
        <v/>
      </c>
      <c r="T224" s="23" t="str">
        <f>IF(A224="","",IF(IF(OR(DATE($B$3,7,19)&gt;EOMONTH(DATE($B$3,7,1),0),NETWORKDAYS.INTL(DATE($B$3,7,19),DATE($B$3,7,19),1,'Non-working days'!$A$6:$A$45)=0),"",IF(COUNTIFS('Leave log'!$A$7:$A$306,Employees!$A$19,'Leave log'!$B$7:$B$306,"&lt;="&amp;DATE($B$3,7,19),'Leave log'!$C$7:$C$306,"&gt;="&amp;DATE($B$3,7,19),'Leave log'!$F$7:$F$306,"Approved")&gt;0,"A",""))="A","A",IF(OR(DATE($B$3,7,19)&gt;EOMONTH(DATE($B$3,7,1),0),NETWORKDAYS.INTL(DATE($B$3,7,19),DATE($B$3,7,19),1,'Non-working days'!$A$6:$A$45)=0),"",IF(COUNTIFS('Leave log'!$A$7:$A$306,Employees!$A$19,'Leave log'!$B$7:$B$306,"&lt;="&amp;DATE($B$3,7,19),'Leave log'!$C$7:$C$306,"&gt;="&amp;DATE($B$3,7,19),'Leave log'!$F$7:$F$306,"Pending")&gt;0,"P",""))))</f>
        <v/>
      </c>
      <c r="U224" s="23" t="str">
        <f>IF(A224="","",IF(IF(OR(DATE($B$3,7,20)&gt;EOMONTH(DATE($B$3,7,1),0),NETWORKDAYS.INTL(DATE($B$3,7,20),DATE($B$3,7,20),1,'Non-working days'!$A$6:$A$45)=0),"",IF(COUNTIFS('Leave log'!$A$7:$A$306,Employees!$A$19,'Leave log'!$B$7:$B$306,"&lt;="&amp;DATE($B$3,7,20),'Leave log'!$C$7:$C$306,"&gt;="&amp;DATE($B$3,7,20),'Leave log'!$F$7:$F$306,"Approved")&gt;0,"A",""))="A","A",IF(OR(DATE($B$3,7,20)&gt;EOMONTH(DATE($B$3,7,1),0),NETWORKDAYS.INTL(DATE($B$3,7,20),DATE($B$3,7,20),1,'Non-working days'!$A$6:$A$45)=0),"",IF(COUNTIFS('Leave log'!$A$7:$A$306,Employees!$A$19,'Leave log'!$B$7:$B$306,"&lt;="&amp;DATE($B$3,7,20),'Leave log'!$C$7:$C$306,"&gt;="&amp;DATE($B$3,7,20),'Leave log'!$F$7:$F$306,"Pending")&gt;0,"P",""))))</f>
        <v/>
      </c>
      <c r="V224" s="23" t="str">
        <f>IF(A224="","",IF(IF(OR(DATE($B$3,7,21)&gt;EOMONTH(DATE($B$3,7,1),0),NETWORKDAYS.INTL(DATE($B$3,7,21),DATE($B$3,7,21),1,'Non-working days'!$A$6:$A$45)=0),"",IF(COUNTIFS('Leave log'!$A$7:$A$306,Employees!$A$19,'Leave log'!$B$7:$B$306,"&lt;="&amp;DATE($B$3,7,21),'Leave log'!$C$7:$C$306,"&gt;="&amp;DATE($B$3,7,21),'Leave log'!$F$7:$F$306,"Approved")&gt;0,"A",""))="A","A",IF(OR(DATE($B$3,7,21)&gt;EOMONTH(DATE($B$3,7,1),0),NETWORKDAYS.INTL(DATE($B$3,7,21),DATE($B$3,7,21),1,'Non-working days'!$A$6:$A$45)=0),"",IF(COUNTIFS('Leave log'!$A$7:$A$306,Employees!$A$19,'Leave log'!$B$7:$B$306,"&lt;="&amp;DATE($B$3,7,21),'Leave log'!$C$7:$C$306,"&gt;="&amp;DATE($B$3,7,21),'Leave log'!$F$7:$F$306,"Pending")&gt;0,"P",""))))</f>
        <v/>
      </c>
      <c r="W224" s="23" t="str">
        <f>IF(A224="","",IF(IF(OR(DATE($B$3,7,22)&gt;EOMONTH(DATE($B$3,7,1),0),NETWORKDAYS.INTL(DATE($B$3,7,22),DATE($B$3,7,22),1,'Non-working days'!$A$6:$A$45)=0),"",IF(COUNTIFS('Leave log'!$A$7:$A$306,Employees!$A$19,'Leave log'!$B$7:$B$306,"&lt;="&amp;DATE($B$3,7,22),'Leave log'!$C$7:$C$306,"&gt;="&amp;DATE($B$3,7,22),'Leave log'!$F$7:$F$306,"Approved")&gt;0,"A",""))="A","A",IF(OR(DATE($B$3,7,22)&gt;EOMONTH(DATE($B$3,7,1),0),NETWORKDAYS.INTL(DATE($B$3,7,22),DATE($B$3,7,22),1,'Non-working days'!$A$6:$A$45)=0),"",IF(COUNTIFS('Leave log'!$A$7:$A$306,Employees!$A$19,'Leave log'!$B$7:$B$306,"&lt;="&amp;DATE($B$3,7,22),'Leave log'!$C$7:$C$306,"&gt;="&amp;DATE($B$3,7,22),'Leave log'!$F$7:$F$306,"Pending")&gt;0,"P",""))))</f>
        <v/>
      </c>
      <c r="X224" s="23" t="str">
        <f>IF(A224="","",IF(IF(OR(DATE($B$3,7,23)&gt;EOMONTH(DATE($B$3,7,1),0),NETWORKDAYS.INTL(DATE($B$3,7,23),DATE($B$3,7,23),1,'Non-working days'!$A$6:$A$45)=0),"",IF(COUNTIFS('Leave log'!$A$7:$A$306,Employees!$A$19,'Leave log'!$B$7:$B$306,"&lt;="&amp;DATE($B$3,7,23),'Leave log'!$C$7:$C$306,"&gt;="&amp;DATE($B$3,7,23),'Leave log'!$F$7:$F$306,"Approved")&gt;0,"A",""))="A","A",IF(OR(DATE($B$3,7,23)&gt;EOMONTH(DATE($B$3,7,1),0),NETWORKDAYS.INTL(DATE($B$3,7,23),DATE($B$3,7,23),1,'Non-working days'!$A$6:$A$45)=0),"",IF(COUNTIFS('Leave log'!$A$7:$A$306,Employees!$A$19,'Leave log'!$B$7:$B$306,"&lt;="&amp;DATE($B$3,7,23),'Leave log'!$C$7:$C$306,"&gt;="&amp;DATE($B$3,7,23),'Leave log'!$F$7:$F$306,"Pending")&gt;0,"P",""))))</f>
        <v/>
      </c>
      <c r="Y224" s="23" t="str">
        <f>IF(A224="","",IF(IF(OR(DATE($B$3,7,24)&gt;EOMONTH(DATE($B$3,7,1),0),NETWORKDAYS.INTL(DATE($B$3,7,24),DATE($B$3,7,24),1,'Non-working days'!$A$6:$A$45)=0),"",IF(COUNTIFS('Leave log'!$A$7:$A$306,Employees!$A$19,'Leave log'!$B$7:$B$306,"&lt;="&amp;DATE($B$3,7,24),'Leave log'!$C$7:$C$306,"&gt;="&amp;DATE($B$3,7,24),'Leave log'!$F$7:$F$306,"Approved")&gt;0,"A",""))="A","A",IF(OR(DATE($B$3,7,24)&gt;EOMONTH(DATE($B$3,7,1),0),NETWORKDAYS.INTL(DATE($B$3,7,24),DATE($B$3,7,24),1,'Non-working days'!$A$6:$A$45)=0),"",IF(COUNTIFS('Leave log'!$A$7:$A$306,Employees!$A$19,'Leave log'!$B$7:$B$306,"&lt;="&amp;DATE($B$3,7,24),'Leave log'!$C$7:$C$306,"&gt;="&amp;DATE($B$3,7,24),'Leave log'!$F$7:$F$306,"Pending")&gt;0,"P",""))))</f>
        <v/>
      </c>
      <c r="Z224" s="23" t="str">
        <f>IF(A224="","",IF(IF(OR(DATE($B$3,7,25)&gt;EOMONTH(DATE($B$3,7,1),0),NETWORKDAYS.INTL(DATE($B$3,7,25),DATE($B$3,7,25),1,'Non-working days'!$A$6:$A$45)=0),"",IF(COUNTIFS('Leave log'!$A$7:$A$306,Employees!$A$19,'Leave log'!$B$7:$B$306,"&lt;="&amp;DATE($B$3,7,25),'Leave log'!$C$7:$C$306,"&gt;="&amp;DATE($B$3,7,25),'Leave log'!$F$7:$F$306,"Approved")&gt;0,"A",""))="A","A",IF(OR(DATE($B$3,7,25)&gt;EOMONTH(DATE($B$3,7,1),0),NETWORKDAYS.INTL(DATE($B$3,7,25),DATE($B$3,7,25),1,'Non-working days'!$A$6:$A$45)=0),"",IF(COUNTIFS('Leave log'!$A$7:$A$306,Employees!$A$19,'Leave log'!$B$7:$B$306,"&lt;="&amp;DATE($B$3,7,25),'Leave log'!$C$7:$C$306,"&gt;="&amp;DATE($B$3,7,25),'Leave log'!$F$7:$F$306,"Pending")&gt;0,"P",""))))</f>
        <v/>
      </c>
      <c r="AA224" s="23" t="str">
        <f>IF(A224="","",IF(IF(OR(DATE($B$3,7,26)&gt;EOMONTH(DATE($B$3,7,1),0),NETWORKDAYS.INTL(DATE($B$3,7,26),DATE($B$3,7,26),1,'Non-working days'!$A$6:$A$45)=0),"",IF(COUNTIFS('Leave log'!$A$7:$A$306,Employees!$A$19,'Leave log'!$B$7:$B$306,"&lt;="&amp;DATE($B$3,7,26),'Leave log'!$C$7:$C$306,"&gt;="&amp;DATE($B$3,7,26),'Leave log'!$F$7:$F$306,"Approved")&gt;0,"A",""))="A","A",IF(OR(DATE($B$3,7,26)&gt;EOMONTH(DATE($B$3,7,1),0),NETWORKDAYS.INTL(DATE($B$3,7,26),DATE($B$3,7,26),1,'Non-working days'!$A$6:$A$45)=0),"",IF(COUNTIFS('Leave log'!$A$7:$A$306,Employees!$A$19,'Leave log'!$B$7:$B$306,"&lt;="&amp;DATE($B$3,7,26),'Leave log'!$C$7:$C$306,"&gt;="&amp;DATE($B$3,7,26),'Leave log'!$F$7:$F$306,"Pending")&gt;0,"P",""))))</f>
        <v/>
      </c>
      <c r="AB224" s="23" t="str">
        <f>IF(A224="","",IF(IF(OR(DATE($B$3,7,27)&gt;EOMONTH(DATE($B$3,7,1),0),NETWORKDAYS.INTL(DATE($B$3,7,27),DATE($B$3,7,27),1,'Non-working days'!$A$6:$A$45)=0),"",IF(COUNTIFS('Leave log'!$A$7:$A$306,Employees!$A$19,'Leave log'!$B$7:$B$306,"&lt;="&amp;DATE($B$3,7,27),'Leave log'!$C$7:$C$306,"&gt;="&amp;DATE($B$3,7,27),'Leave log'!$F$7:$F$306,"Approved")&gt;0,"A",""))="A","A",IF(OR(DATE($B$3,7,27)&gt;EOMONTH(DATE($B$3,7,1),0),NETWORKDAYS.INTL(DATE($B$3,7,27),DATE($B$3,7,27),1,'Non-working days'!$A$6:$A$45)=0),"",IF(COUNTIFS('Leave log'!$A$7:$A$306,Employees!$A$19,'Leave log'!$B$7:$B$306,"&lt;="&amp;DATE($B$3,7,27),'Leave log'!$C$7:$C$306,"&gt;="&amp;DATE($B$3,7,27),'Leave log'!$F$7:$F$306,"Pending")&gt;0,"P",""))))</f>
        <v/>
      </c>
      <c r="AC224" s="23" t="str">
        <f>IF(A224="","",IF(IF(OR(DATE($B$3,7,28)&gt;EOMONTH(DATE($B$3,7,1),0),NETWORKDAYS.INTL(DATE($B$3,7,28),DATE($B$3,7,28),1,'Non-working days'!$A$6:$A$45)=0),"",IF(COUNTIFS('Leave log'!$A$7:$A$306,Employees!$A$19,'Leave log'!$B$7:$B$306,"&lt;="&amp;DATE($B$3,7,28),'Leave log'!$C$7:$C$306,"&gt;="&amp;DATE($B$3,7,28),'Leave log'!$F$7:$F$306,"Approved")&gt;0,"A",""))="A","A",IF(OR(DATE($B$3,7,28)&gt;EOMONTH(DATE($B$3,7,1),0),NETWORKDAYS.INTL(DATE($B$3,7,28),DATE($B$3,7,28),1,'Non-working days'!$A$6:$A$45)=0),"",IF(COUNTIFS('Leave log'!$A$7:$A$306,Employees!$A$19,'Leave log'!$B$7:$B$306,"&lt;="&amp;DATE($B$3,7,28),'Leave log'!$C$7:$C$306,"&gt;="&amp;DATE($B$3,7,28),'Leave log'!$F$7:$F$306,"Pending")&gt;0,"P",""))))</f>
        <v/>
      </c>
      <c r="AD224" s="23" t="str">
        <f>IF(A224="","",IF(IF(OR(DATE($B$3,7,29)&gt;EOMONTH(DATE($B$3,7,1),0),NETWORKDAYS.INTL(DATE($B$3,7,29),DATE($B$3,7,29),1,'Non-working days'!$A$6:$A$45)=0),"",IF(COUNTIFS('Leave log'!$A$7:$A$306,Employees!$A$19,'Leave log'!$B$7:$B$306,"&lt;="&amp;DATE($B$3,7,29),'Leave log'!$C$7:$C$306,"&gt;="&amp;DATE($B$3,7,29),'Leave log'!$F$7:$F$306,"Approved")&gt;0,"A",""))="A","A",IF(OR(DATE($B$3,7,29)&gt;EOMONTH(DATE($B$3,7,1),0),NETWORKDAYS.INTL(DATE($B$3,7,29),DATE($B$3,7,29),1,'Non-working days'!$A$6:$A$45)=0),"",IF(COUNTIFS('Leave log'!$A$7:$A$306,Employees!$A$19,'Leave log'!$B$7:$B$306,"&lt;="&amp;DATE($B$3,7,29),'Leave log'!$C$7:$C$306,"&gt;="&amp;DATE($B$3,7,29),'Leave log'!$F$7:$F$306,"Pending")&gt;0,"P",""))))</f>
        <v/>
      </c>
      <c r="AE224" s="23" t="str">
        <f>IF(A224="","",IF(IF(OR(DATE($B$3,7,30)&gt;EOMONTH(DATE($B$3,7,1),0),NETWORKDAYS.INTL(DATE($B$3,7,30),DATE($B$3,7,30),1,'Non-working days'!$A$6:$A$45)=0),"",IF(COUNTIFS('Leave log'!$A$7:$A$306,Employees!$A$19,'Leave log'!$B$7:$B$306,"&lt;="&amp;DATE($B$3,7,30),'Leave log'!$C$7:$C$306,"&gt;="&amp;DATE($B$3,7,30),'Leave log'!$F$7:$F$306,"Approved")&gt;0,"A",""))="A","A",IF(OR(DATE($B$3,7,30)&gt;EOMONTH(DATE($B$3,7,1),0),NETWORKDAYS.INTL(DATE($B$3,7,30),DATE($B$3,7,30),1,'Non-working days'!$A$6:$A$45)=0),"",IF(COUNTIFS('Leave log'!$A$7:$A$306,Employees!$A$19,'Leave log'!$B$7:$B$306,"&lt;="&amp;DATE($B$3,7,30),'Leave log'!$C$7:$C$306,"&gt;="&amp;DATE($B$3,7,30),'Leave log'!$F$7:$F$306,"Pending")&gt;0,"P",""))))</f>
        <v/>
      </c>
      <c r="AF224" s="23" t="str">
        <f>IF(A224="","",IF(IF(OR(DATE($B$3,7,31)&gt;EOMONTH(DATE($B$3,7,1),0),NETWORKDAYS.INTL(DATE($B$3,7,31),DATE($B$3,7,31),1,'Non-working days'!$A$6:$A$45)=0),"",IF(COUNTIFS('Leave log'!$A$7:$A$306,Employees!$A$19,'Leave log'!$B$7:$B$306,"&lt;="&amp;DATE($B$3,7,31),'Leave log'!$C$7:$C$306,"&gt;="&amp;DATE($B$3,7,31),'Leave log'!$F$7:$F$306,"Approved")&gt;0,"A",""))="A","A",IF(OR(DATE($B$3,7,31)&gt;EOMONTH(DATE($B$3,7,1),0),NETWORKDAYS.INTL(DATE($B$3,7,31),DATE($B$3,7,31),1,'Non-working days'!$A$6:$A$45)=0),"",IF(COUNTIFS('Leave log'!$A$7:$A$306,Employees!$A$19,'Leave log'!$B$7:$B$306,"&lt;="&amp;DATE($B$3,7,31),'Leave log'!$C$7:$C$306,"&gt;="&amp;DATE($B$3,7,31),'Leave log'!$F$7:$F$306,"Pending")&gt;0,"P",""))))</f>
        <v/>
      </c>
    </row>
    <row r="225" spans="1:32" ht="18" customHeight="1" x14ac:dyDescent="0.3">
      <c r="A225" s="22" t="str">
        <f>IF(Employees!F20="Yes",Employees!B20,"")</f>
        <v/>
      </c>
      <c r="B225" s="23" t="str">
        <f>IF(A225="","",IF(IF(OR(DATE($B$3,7,1)&gt;EOMONTH(DATE($B$3,7,1),0),NETWORKDAYS.INTL(DATE($B$3,7,1),DATE($B$3,7,1),1,'Non-working days'!$A$6:$A$45)=0),"",IF(COUNTIFS('Leave log'!$A$7:$A$306,Employees!$A$20,'Leave log'!$B$7:$B$306,"&lt;="&amp;DATE($B$3,7,1),'Leave log'!$C$7:$C$306,"&gt;="&amp;DATE($B$3,7,1),'Leave log'!$F$7:$F$306,"Approved")&gt;0,"A",""))="A","A",IF(OR(DATE($B$3,7,1)&gt;EOMONTH(DATE($B$3,7,1),0),NETWORKDAYS.INTL(DATE($B$3,7,1),DATE($B$3,7,1),1,'Non-working days'!$A$6:$A$45)=0),"",IF(COUNTIFS('Leave log'!$A$7:$A$306,Employees!$A$20,'Leave log'!$B$7:$B$306,"&lt;="&amp;DATE($B$3,7,1),'Leave log'!$C$7:$C$306,"&gt;="&amp;DATE($B$3,7,1),'Leave log'!$F$7:$F$306,"Pending")&gt;0,"P",""))))</f>
        <v/>
      </c>
      <c r="C225" s="23" t="str">
        <f>IF(A225="","",IF(IF(OR(DATE($B$3,7,2)&gt;EOMONTH(DATE($B$3,7,1),0),NETWORKDAYS.INTL(DATE($B$3,7,2),DATE($B$3,7,2),1,'Non-working days'!$A$6:$A$45)=0),"",IF(COUNTIFS('Leave log'!$A$7:$A$306,Employees!$A$20,'Leave log'!$B$7:$B$306,"&lt;="&amp;DATE($B$3,7,2),'Leave log'!$C$7:$C$306,"&gt;="&amp;DATE($B$3,7,2),'Leave log'!$F$7:$F$306,"Approved")&gt;0,"A",""))="A","A",IF(OR(DATE($B$3,7,2)&gt;EOMONTH(DATE($B$3,7,1),0),NETWORKDAYS.INTL(DATE($B$3,7,2),DATE($B$3,7,2),1,'Non-working days'!$A$6:$A$45)=0),"",IF(COUNTIFS('Leave log'!$A$7:$A$306,Employees!$A$20,'Leave log'!$B$7:$B$306,"&lt;="&amp;DATE($B$3,7,2),'Leave log'!$C$7:$C$306,"&gt;="&amp;DATE($B$3,7,2),'Leave log'!$F$7:$F$306,"Pending")&gt;0,"P",""))))</f>
        <v/>
      </c>
      <c r="D225" s="23" t="str">
        <f>IF(A225="","",IF(IF(OR(DATE($B$3,7,3)&gt;EOMONTH(DATE($B$3,7,1),0),NETWORKDAYS.INTL(DATE($B$3,7,3),DATE($B$3,7,3),1,'Non-working days'!$A$6:$A$45)=0),"",IF(COUNTIFS('Leave log'!$A$7:$A$306,Employees!$A$20,'Leave log'!$B$7:$B$306,"&lt;="&amp;DATE($B$3,7,3),'Leave log'!$C$7:$C$306,"&gt;="&amp;DATE($B$3,7,3),'Leave log'!$F$7:$F$306,"Approved")&gt;0,"A",""))="A","A",IF(OR(DATE($B$3,7,3)&gt;EOMONTH(DATE($B$3,7,1),0),NETWORKDAYS.INTL(DATE($B$3,7,3),DATE($B$3,7,3),1,'Non-working days'!$A$6:$A$45)=0),"",IF(COUNTIFS('Leave log'!$A$7:$A$306,Employees!$A$20,'Leave log'!$B$7:$B$306,"&lt;="&amp;DATE($B$3,7,3),'Leave log'!$C$7:$C$306,"&gt;="&amp;DATE($B$3,7,3),'Leave log'!$F$7:$F$306,"Pending")&gt;0,"P",""))))</f>
        <v/>
      </c>
      <c r="E225" s="23" t="str">
        <f>IF(A225="","",IF(IF(OR(DATE($B$3,7,4)&gt;EOMONTH(DATE($B$3,7,1),0),NETWORKDAYS.INTL(DATE($B$3,7,4),DATE($B$3,7,4),1,'Non-working days'!$A$6:$A$45)=0),"",IF(COUNTIFS('Leave log'!$A$7:$A$306,Employees!$A$20,'Leave log'!$B$7:$B$306,"&lt;="&amp;DATE($B$3,7,4),'Leave log'!$C$7:$C$306,"&gt;="&amp;DATE($B$3,7,4),'Leave log'!$F$7:$F$306,"Approved")&gt;0,"A",""))="A","A",IF(OR(DATE($B$3,7,4)&gt;EOMONTH(DATE($B$3,7,1),0),NETWORKDAYS.INTL(DATE($B$3,7,4),DATE($B$3,7,4),1,'Non-working days'!$A$6:$A$45)=0),"",IF(COUNTIFS('Leave log'!$A$7:$A$306,Employees!$A$20,'Leave log'!$B$7:$B$306,"&lt;="&amp;DATE($B$3,7,4),'Leave log'!$C$7:$C$306,"&gt;="&amp;DATE($B$3,7,4),'Leave log'!$F$7:$F$306,"Pending")&gt;0,"P",""))))</f>
        <v/>
      </c>
      <c r="F225" s="23" t="str">
        <f>IF(A225="","",IF(IF(OR(DATE($B$3,7,5)&gt;EOMONTH(DATE($B$3,7,1),0),NETWORKDAYS.INTL(DATE($B$3,7,5),DATE($B$3,7,5),1,'Non-working days'!$A$6:$A$45)=0),"",IF(COUNTIFS('Leave log'!$A$7:$A$306,Employees!$A$20,'Leave log'!$B$7:$B$306,"&lt;="&amp;DATE($B$3,7,5),'Leave log'!$C$7:$C$306,"&gt;="&amp;DATE($B$3,7,5),'Leave log'!$F$7:$F$306,"Approved")&gt;0,"A",""))="A","A",IF(OR(DATE($B$3,7,5)&gt;EOMONTH(DATE($B$3,7,1),0),NETWORKDAYS.INTL(DATE($B$3,7,5),DATE($B$3,7,5),1,'Non-working days'!$A$6:$A$45)=0),"",IF(COUNTIFS('Leave log'!$A$7:$A$306,Employees!$A$20,'Leave log'!$B$7:$B$306,"&lt;="&amp;DATE($B$3,7,5),'Leave log'!$C$7:$C$306,"&gt;="&amp;DATE($B$3,7,5),'Leave log'!$F$7:$F$306,"Pending")&gt;0,"P",""))))</f>
        <v/>
      </c>
      <c r="G225" s="23" t="str">
        <f>IF(A225="","",IF(IF(OR(DATE($B$3,7,6)&gt;EOMONTH(DATE($B$3,7,1),0),NETWORKDAYS.INTL(DATE($B$3,7,6),DATE($B$3,7,6),1,'Non-working days'!$A$6:$A$45)=0),"",IF(COUNTIFS('Leave log'!$A$7:$A$306,Employees!$A$20,'Leave log'!$B$7:$B$306,"&lt;="&amp;DATE($B$3,7,6),'Leave log'!$C$7:$C$306,"&gt;="&amp;DATE($B$3,7,6),'Leave log'!$F$7:$F$306,"Approved")&gt;0,"A",""))="A","A",IF(OR(DATE($B$3,7,6)&gt;EOMONTH(DATE($B$3,7,1),0),NETWORKDAYS.INTL(DATE($B$3,7,6),DATE($B$3,7,6),1,'Non-working days'!$A$6:$A$45)=0),"",IF(COUNTIFS('Leave log'!$A$7:$A$306,Employees!$A$20,'Leave log'!$B$7:$B$306,"&lt;="&amp;DATE($B$3,7,6),'Leave log'!$C$7:$C$306,"&gt;="&amp;DATE($B$3,7,6),'Leave log'!$F$7:$F$306,"Pending")&gt;0,"P",""))))</f>
        <v/>
      </c>
      <c r="H225" s="23" t="str">
        <f>IF(A225="","",IF(IF(OR(DATE($B$3,7,7)&gt;EOMONTH(DATE($B$3,7,1),0),NETWORKDAYS.INTL(DATE($B$3,7,7),DATE($B$3,7,7),1,'Non-working days'!$A$6:$A$45)=0),"",IF(COUNTIFS('Leave log'!$A$7:$A$306,Employees!$A$20,'Leave log'!$B$7:$B$306,"&lt;="&amp;DATE($B$3,7,7),'Leave log'!$C$7:$C$306,"&gt;="&amp;DATE($B$3,7,7),'Leave log'!$F$7:$F$306,"Approved")&gt;0,"A",""))="A","A",IF(OR(DATE($B$3,7,7)&gt;EOMONTH(DATE($B$3,7,1),0),NETWORKDAYS.INTL(DATE($B$3,7,7),DATE($B$3,7,7),1,'Non-working days'!$A$6:$A$45)=0),"",IF(COUNTIFS('Leave log'!$A$7:$A$306,Employees!$A$20,'Leave log'!$B$7:$B$306,"&lt;="&amp;DATE($B$3,7,7),'Leave log'!$C$7:$C$306,"&gt;="&amp;DATE($B$3,7,7),'Leave log'!$F$7:$F$306,"Pending")&gt;0,"P",""))))</f>
        <v/>
      </c>
      <c r="I225" s="23" t="str">
        <f>IF(A225="","",IF(IF(OR(DATE($B$3,7,8)&gt;EOMONTH(DATE($B$3,7,1),0),NETWORKDAYS.INTL(DATE($B$3,7,8),DATE($B$3,7,8),1,'Non-working days'!$A$6:$A$45)=0),"",IF(COUNTIFS('Leave log'!$A$7:$A$306,Employees!$A$20,'Leave log'!$B$7:$B$306,"&lt;="&amp;DATE($B$3,7,8),'Leave log'!$C$7:$C$306,"&gt;="&amp;DATE($B$3,7,8),'Leave log'!$F$7:$F$306,"Approved")&gt;0,"A",""))="A","A",IF(OR(DATE($B$3,7,8)&gt;EOMONTH(DATE($B$3,7,1),0),NETWORKDAYS.INTL(DATE($B$3,7,8),DATE($B$3,7,8),1,'Non-working days'!$A$6:$A$45)=0),"",IF(COUNTIFS('Leave log'!$A$7:$A$306,Employees!$A$20,'Leave log'!$B$7:$B$306,"&lt;="&amp;DATE($B$3,7,8),'Leave log'!$C$7:$C$306,"&gt;="&amp;DATE($B$3,7,8),'Leave log'!$F$7:$F$306,"Pending")&gt;0,"P",""))))</f>
        <v/>
      </c>
      <c r="J225" s="23" t="str">
        <f>IF(A225="","",IF(IF(OR(DATE($B$3,7,9)&gt;EOMONTH(DATE($B$3,7,1),0),NETWORKDAYS.INTL(DATE($B$3,7,9),DATE($B$3,7,9),1,'Non-working days'!$A$6:$A$45)=0),"",IF(COUNTIFS('Leave log'!$A$7:$A$306,Employees!$A$20,'Leave log'!$B$7:$B$306,"&lt;="&amp;DATE($B$3,7,9),'Leave log'!$C$7:$C$306,"&gt;="&amp;DATE($B$3,7,9),'Leave log'!$F$7:$F$306,"Approved")&gt;0,"A",""))="A","A",IF(OR(DATE($B$3,7,9)&gt;EOMONTH(DATE($B$3,7,1),0),NETWORKDAYS.INTL(DATE($B$3,7,9),DATE($B$3,7,9),1,'Non-working days'!$A$6:$A$45)=0),"",IF(COUNTIFS('Leave log'!$A$7:$A$306,Employees!$A$20,'Leave log'!$B$7:$B$306,"&lt;="&amp;DATE($B$3,7,9),'Leave log'!$C$7:$C$306,"&gt;="&amp;DATE($B$3,7,9),'Leave log'!$F$7:$F$306,"Pending")&gt;0,"P",""))))</f>
        <v/>
      </c>
      <c r="K225" s="23" t="str">
        <f>IF(A225="","",IF(IF(OR(DATE($B$3,7,10)&gt;EOMONTH(DATE($B$3,7,1),0),NETWORKDAYS.INTL(DATE($B$3,7,10),DATE($B$3,7,10),1,'Non-working days'!$A$6:$A$45)=0),"",IF(COUNTIFS('Leave log'!$A$7:$A$306,Employees!$A$20,'Leave log'!$B$7:$B$306,"&lt;="&amp;DATE($B$3,7,10),'Leave log'!$C$7:$C$306,"&gt;="&amp;DATE($B$3,7,10),'Leave log'!$F$7:$F$306,"Approved")&gt;0,"A",""))="A","A",IF(OR(DATE($B$3,7,10)&gt;EOMONTH(DATE($B$3,7,1),0),NETWORKDAYS.INTL(DATE($B$3,7,10),DATE($B$3,7,10),1,'Non-working days'!$A$6:$A$45)=0),"",IF(COUNTIFS('Leave log'!$A$7:$A$306,Employees!$A$20,'Leave log'!$B$7:$B$306,"&lt;="&amp;DATE($B$3,7,10),'Leave log'!$C$7:$C$306,"&gt;="&amp;DATE($B$3,7,10),'Leave log'!$F$7:$F$306,"Pending")&gt;0,"P",""))))</f>
        <v/>
      </c>
      <c r="L225" s="23" t="str">
        <f>IF(A225="","",IF(IF(OR(DATE($B$3,7,11)&gt;EOMONTH(DATE($B$3,7,1),0),NETWORKDAYS.INTL(DATE($B$3,7,11),DATE($B$3,7,11),1,'Non-working days'!$A$6:$A$45)=0),"",IF(COUNTIFS('Leave log'!$A$7:$A$306,Employees!$A$20,'Leave log'!$B$7:$B$306,"&lt;="&amp;DATE($B$3,7,11),'Leave log'!$C$7:$C$306,"&gt;="&amp;DATE($B$3,7,11),'Leave log'!$F$7:$F$306,"Approved")&gt;0,"A",""))="A","A",IF(OR(DATE($B$3,7,11)&gt;EOMONTH(DATE($B$3,7,1),0),NETWORKDAYS.INTL(DATE($B$3,7,11),DATE($B$3,7,11),1,'Non-working days'!$A$6:$A$45)=0),"",IF(COUNTIFS('Leave log'!$A$7:$A$306,Employees!$A$20,'Leave log'!$B$7:$B$306,"&lt;="&amp;DATE($B$3,7,11),'Leave log'!$C$7:$C$306,"&gt;="&amp;DATE($B$3,7,11),'Leave log'!$F$7:$F$306,"Pending")&gt;0,"P",""))))</f>
        <v/>
      </c>
      <c r="M225" s="23" t="str">
        <f>IF(A225="","",IF(IF(OR(DATE($B$3,7,12)&gt;EOMONTH(DATE($B$3,7,1),0),NETWORKDAYS.INTL(DATE($B$3,7,12),DATE($B$3,7,12),1,'Non-working days'!$A$6:$A$45)=0),"",IF(COUNTIFS('Leave log'!$A$7:$A$306,Employees!$A$20,'Leave log'!$B$7:$B$306,"&lt;="&amp;DATE($B$3,7,12),'Leave log'!$C$7:$C$306,"&gt;="&amp;DATE($B$3,7,12),'Leave log'!$F$7:$F$306,"Approved")&gt;0,"A",""))="A","A",IF(OR(DATE($B$3,7,12)&gt;EOMONTH(DATE($B$3,7,1),0),NETWORKDAYS.INTL(DATE($B$3,7,12),DATE($B$3,7,12),1,'Non-working days'!$A$6:$A$45)=0),"",IF(COUNTIFS('Leave log'!$A$7:$A$306,Employees!$A$20,'Leave log'!$B$7:$B$306,"&lt;="&amp;DATE($B$3,7,12),'Leave log'!$C$7:$C$306,"&gt;="&amp;DATE($B$3,7,12),'Leave log'!$F$7:$F$306,"Pending")&gt;0,"P",""))))</f>
        <v/>
      </c>
      <c r="N225" s="23" t="str">
        <f>IF(A225="","",IF(IF(OR(DATE($B$3,7,13)&gt;EOMONTH(DATE($B$3,7,1),0),NETWORKDAYS.INTL(DATE($B$3,7,13),DATE($B$3,7,13),1,'Non-working days'!$A$6:$A$45)=0),"",IF(COUNTIFS('Leave log'!$A$7:$A$306,Employees!$A$20,'Leave log'!$B$7:$B$306,"&lt;="&amp;DATE($B$3,7,13),'Leave log'!$C$7:$C$306,"&gt;="&amp;DATE($B$3,7,13),'Leave log'!$F$7:$F$306,"Approved")&gt;0,"A",""))="A","A",IF(OR(DATE($B$3,7,13)&gt;EOMONTH(DATE($B$3,7,1),0),NETWORKDAYS.INTL(DATE($B$3,7,13),DATE($B$3,7,13),1,'Non-working days'!$A$6:$A$45)=0),"",IF(COUNTIFS('Leave log'!$A$7:$A$306,Employees!$A$20,'Leave log'!$B$7:$B$306,"&lt;="&amp;DATE($B$3,7,13),'Leave log'!$C$7:$C$306,"&gt;="&amp;DATE($B$3,7,13),'Leave log'!$F$7:$F$306,"Pending")&gt;0,"P",""))))</f>
        <v/>
      </c>
      <c r="O225" s="23" t="str">
        <f>IF(A225="","",IF(IF(OR(DATE($B$3,7,14)&gt;EOMONTH(DATE($B$3,7,1),0),NETWORKDAYS.INTL(DATE($B$3,7,14),DATE($B$3,7,14),1,'Non-working days'!$A$6:$A$45)=0),"",IF(COUNTIFS('Leave log'!$A$7:$A$306,Employees!$A$20,'Leave log'!$B$7:$B$306,"&lt;="&amp;DATE($B$3,7,14),'Leave log'!$C$7:$C$306,"&gt;="&amp;DATE($B$3,7,14),'Leave log'!$F$7:$F$306,"Approved")&gt;0,"A",""))="A","A",IF(OR(DATE($B$3,7,14)&gt;EOMONTH(DATE($B$3,7,1),0),NETWORKDAYS.INTL(DATE($B$3,7,14),DATE($B$3,7,14),1,'Non-working days'!$A$6:$A$45)=0),"",IF(COUNTIFS('Leave log'!$A$7:$A$306,Employees!$A$20,'Leave log'!$B$7:$B$306,"&lt;="&amp;DATE($B$3,7,14),'Leave log'!$C$7:$C$306,"&gt;="&amp;DATE($B$3,7,14),'Leave log'!$F$7:$F$306,"Pending")&gt;0,"P",""))))</f>
        <v/>
      </c>
      <c r="P225" s="23" t="str">
        <f>IF(A225="","",IF(IF(OR(DATE($B$3,7,15)&gt;EOMONTH(DATE($B$3,7,1),0),NETWORKDAYS.INTL(DATE($B$3,7,15),DATE($B$3,7,15),1,'Non-working days'!$A$6:$A$45)=0),"",IF(COUNTIFS('Leave log'!$A$7:$A$306,Employees!$A$20,'Leave log'!$B$7:$B$306,"&lt;="&amp;DATE($B$3,7,15),'Leave log'!$C$7:$C$306,"&gt;="&amp;DATE($B$3,7,15),'Leave log'!$F$7:$F$306,"Approved")&gt;0,"A",""))="A","A",IF(OR(DATE($B$3,7,15)&gt;EOMONTH(DATE($B$3,7,1),0),NETWORKDAYS.INTL(DATE($B$3,7,15),DATE($B$3,7,15),1,'Non-working days'!$A$6:$A$45)=0),"",IF(COUNTIFS('Leave log'!$A$7:$A$306,Employees!$A$20,'Leave log'!$B$7:$B$306,"&lt;="&amp;DATE($B$3,7,15),'Leave log'!$C$7:$C$306,"&gt;="&amp;DATE($B$3,7,15),'Leave log'!$F$7:$F$306,"Pending")&gt;0,"P",""))))</f>
        <v/>
      </c>
      <c r="Q225" s="23" t="str">
        <f>IF(A225="","",IF(IF(OR(DATE($B$3,7,16)&gt;EOMONTH(DATE($B$3,7,1),0),NETWORKDAYS.INTL(DATE($B$3,7,16),DATE($B$3,7,16),1,'Non-working days'!$A$6:$A$45)=0),"",IF(COUNTIFS('Leave log'!$A$7:$A$306,Employees!$A$20,'Leave log'!$B$7:$B$306,"&lt;="&amp;DATE($B$3,7,16),'Leave log'!$C$7:$C$306,"&gt;="&amp;DATE($B$3,7,16),'Leave log'!$F$7:$F$306,"Approved")&gt;0,"A",""))="A","A",IF(OR(DATE($B$3,7,16)&gt;EOMONTH(DATE($B$3,7,1),0),NETWORKDAYS.INTL(DATE($B$3,7,16),DATE($B$3,7,16),1,'Non-working days'!$A$6:$A$45)=0),"",IF(COUNTIFS('Leave log'!$A$7:$A$306,Employees!$A$20,'Leave log'!$B$7:$B$306,"&lt;="&amp;DATE($B$3,7,16),'Leave log'!$C$7:$C$306,"&gt;="&amp;DATE($B$3,7,16),'Leave log'!$F$7:$F$306,"Pending")&gt;0,"P",""))))</f>
        <v/>
      </c>
      <c r="R225" s="23" t="str">
        <f>IF(A225="","",IF(IF(OR(DATE($B$3,7,17)&gt;EOMONTH(DATE($B$3,7,1),0),NETWORKDAYS.INTL(DATE($B$3,7,17),DATE($B$3,7,17),1,'Non-working days'!$A$6:$A$45)=0),"",IF(COUNTIFS('Leave log'!$A$7:$A$306,Employees!$A$20,'Leave log'!$B$7:$B$306,"&lt;="&amp;DATE($B$3,7,17),'Leave log'!$C$7:$C$306,"&gt;="&amp;DATE($B$3,7,17),'Leave log'!$F$7:$F$306,"Approved")&gt;0,"A",""))="A","A",IF(OR(DATE($B$3,7,17)&gt;EOMONTH(DATE($B$3,7,1),0),NETWORKDAYS.INTL(DATE($B$3,7,17),DATE($B$3,7,17),1,'Non-working days'!$A$6:$A$45)=0),"",IF(COUNTIFS('Leave log'!$A$7:$A$306,Employees!$A$20,'Leave log'!$B$7:$B$306,"&lt;="&amp;DATE($B$3,7,17),'Leave log'!$C$7:$C$306,"&gt;="&amp;DATE($B$3,7,17),'Leave log'!$F$7:$F$306,"Pending")&gt;0,"P",""))))</f>
        <v/>
      </c>
      <c r="S225" s="23" t="str">
        <f>IF(A225="","",IF(IF(OR(DATE($B$3,7,18)&gt;EOMONTH(DATE($B$3,7,1),0),NETWORKDAYS.INTL(DATE($B$3,7,18),DATE($B$3,7,18),1,'Non-working days'!$A$6:$A$45)=0),"",IF(COUNTIFS('Leave log'!$A$7:$A$306,Employees!$A$20,'Leave log'!$B$7:$B$306,"&lt;="&amp;DATE($B$3,7,18),'Leave log'!$C$7:$C$306,"&gt;="&amp;DATE($B$3,7,18),'Leave log'!$F$7:$F$306,"Approved")&gt;0,"A",""))="A","A",IF(OR(DATE($B$3,7,18)&gt;EOMONTH(DATE($B$3,7,1),0),NETWORKDAYS.INTL(DATE($B$3,7,18),DATE($B$3,7,18),1,'Non-working days'!$A$6:$A$45)=0),"",IF(COUNTIFS('Leave log'!$A$7:$A$306,Employees!$A$20,'Leave log'!$B$7:$B$306,"&lt;="&amp;DATE($B$3,7,18),'Leave log'!$C$7:$C$306,"&gt;="&amp;DATE($B$3,7,18),'Leave log'!$F$7:$F$306,"Pending")&gt;0,"P",""))))</f>
        <v/>
      </c>
      <c r="T225" s="23" t="str">
        <f>IF(A225="","",IF(IF(OR(DATE($B$3,7,19)&gt;EOMONTH(DATE($B$3,7,1),0),NETWORKDAYS.INTL(DATE($B$3,7,19),DATE($B$3,7,19),1,'Non-working days'!$A$6:$A$45)=0),"",IF(COUNTIFS('Leave log'!$A$7:$A$306,Employees!$A$20,'Leave log'!$B$7:$B$306,"&lt;="&amp;DATE($B$3,7,19),'Leave log'!$C$7:$C$306,"&gt;="&amp;DATE($B$3,7,19),'Leave log'!$F$7:$F$306,"Approved")&gt;0,"A",""))="A","A",IF(OR(DATE($B$3,7,19)&gt;EOMONTH(DATE($B$3,7,1),0),NETWORKDAYS.INTL(DATE($B$3,7,19),DATE($B$3,7,19),1,'Non-working days'!$A$6:$A$45)=0),"",IF(COUNTIFS('Leave log'!$A$7:$A$306,Employees!$A$20,'Leave log'!$B$7:$B$306,"&lt;="&amp;DATE($B$3,7,19),'Leave log'!$C$7:$C$306,"&gt;="&amp;DATE($B$3,7,19),'Leave log'!$F$7:$F$306,"Pending")&gt;0,"P",""))))</f>
        <v/>
      </c>
      <c r="U225" s="23" t="str">
        <f>IF(A225="","",IF(IF(OR(DATE($B$3,7,20)&gt;EOMONTH(DATE($B$3,7,1),0),NETWORKDAYS.INTL(DATE($B$3,7,20),DATE($B$3,7,20),1,'Non-working days'!$A$6:$A$45)=0),"",IF(COUNTIFS('Leave log'!$A$7:$A$306,Employees!$A$20,'Leave log'!$B$7:$B$306,"&lt;="&amp;DATE($B$3,7,20),'Leave log'!$C$7:$C$306,"&gt;="&amp;DATE($B$3,7,20),'Leave log'!$F$7:$F$306,"Approved")&gt;0,"A",""))="A","A",IF(OR(DATE($B$3,7,20)&gt;EOMONTH(DATE($B$3,7,1),0),NETWORKDAYS.INTL(DATE($B$3,7,20),DATE($B$3,7,20),1,'Non-working days'!$A$6:$A$45)=0),"",IF(COUNTIFS('Leave log'!$A$7:$A$306,Employees!$A$20,'Leave log'!$B$7:$B$306,"&lt;="&amp;DATE($B$3,7,20),'Leave log'!$C$7:$C$306,"&gt;="&amp;DATE($B$3,7,20),'Leave log'!$F$7:$F$306,"Pending")&gt;0,"P",""))))</f>
        <v/>
      </c>
      <c r="V225" s="23" t="str">
        <f>IF(A225="","",IF(IF(OR(DATE($B$3,7,21)&gt;EOMONTH(DATE($B$3,7,1),0),NETWORKDAYS.INTL(DATE($B$3,7,21),DATE($B$3,7,21),1,'Non-working days'!$A$6:$A$45)=0),"",IF(COUNTIFS('Leave log'!$A$7:$A$306,Employees!$A$20,'Leave log'!$B$7:$B$306,"&lt;="&amp;DATE($B$3,7,21),'Leave log'!$C$7:$C$306,"&gt;="&amp;DATE($B$3,7,21),'Leave log'!$F$7:$F$306,"Approved")&gt;0,"A",""))="A","A",IF(OR(DATE($B$3,7,21)&gt;EOMONTH(DATE($B$3,7,1),0),NETWORKDAYS.INTL(DATE($B$3,7,21),DATE($B$3,7,21),1,'Non-working days'!$A$6:$A$45)=0),"",IF(COUNTIFS('Leave log'!$A$7:$A$306,Employees!$A$20,'Leave log'!$B$7:$B$306,"&lt;="&amp;DATE($B$3,7,21),'Leave log'!$C$7:$C$306,"&gt;="&amp;DATE($B$3,7,21),'Leave log'!$F$7:$F$306,"Pending")&gt;0,"P",""))))</f>
        <v/>
      </c>
      <c r="W225" s="23" t="str">
        <f>IF(A225="","",IF(IF(OR(DATE($B$3,7,22)&gt;EOMONTH(DATE($B$3,7,1),0),NETWORKDAYS.INTL(DATE($B$3,7,22),DATE($B$3,7,22),1,'Non-working days'!$A$6:$A$45)=0),"",IF(COUNTIFS('Leave log'!$A$7:$A$306,Employees!$A$20,'Leave log'!$B$7:$B$306,"&lt;="&amp;DATE($B$3,7,22),'Leave log'!$C$7:$C$306,"&gt;="&amp;DATE($B$3,7,22),'Leave log'!$F$7:$F$306,"Approved")&gt;0,"A",""))="A","A",IF(OR(DATE($B$3,7,22)&gt;EOMONTH(DATE($B$3,7,1),0),NETWORKDAYS.INTL(DATE($B$3,7,22),DATE($B$3,7,22),1,'Non-working days'!$A$6:$A$45)=0),"",IF(COUNTIFS('Leave log'!$A$7:$A$306,Employees!$A$20,'Leave log'!$B$7:$B$306,"&lt;="&amp;DATE($B$3,7,22),'Leave log'!$C$7:$C$306,"&gt;="&amp;DATE($B$3,7,22),'Leave log'!$F$7:$F$306,"Pending")&gt;0,"P",""))))</f>
        <v/>
      </c>
      <c r="X225" s="23" t="str">
        <f>IF(A225="","",IF(IF(OR(DATE($B$3,7,23)&gt;EOMONTH(DATE($B$3,7,1),0),NETWORKDAYS.INTL(DATE($B$3,7,23),DATE($B$3,7,23),1,'Non-working days'!$A$6:$A$45)=0),"",IF(COUNTIFS('Leave log'!$A$7:$A$306,Employees!$A$20,'Leave log'!$B$7:$B$306,"&lt;="&amp;DATE($B$3,7,23),'Leave log'!$C$7:$C$306,"&gt;="&amp;DATE($B$3,7,23),'Leave log'!$F$7:$F$306,"Approved")&gt;0,"A",""))="A","A",IF(OR(DATE($B$3,7,23)&gt;EOMONTH(DATE($B$3,7,1),0),NETWORKDAYS.INTL(DATE($B$3,7,23),DATE($B$3,7,23),1,'Non-working days'!$A$6:$A$45)=0),"",IF(COUNTIFS('Leave log'!$A$7:$A$306,Employees!$A$20,'Leave log'!$B$7:$B$306,"&lt;="&amp;DATE($B$3,7,23),'Leave log'!$C$7:$C$306,"&gt;="&amp;DATE($B$3,7,23),'Leave log'!$F$7:$F$306,"Pending")&gt;0,"P",""))))</f>
        <v/>
      </c>
      <c r="Y225" s="23" t="str">
        <f>IF(A225="","",IF(IF(OR(DATE($B$3,7,24)&gt;EOMONTH(DATE($B$3,7,1),0),NETWORKDAYS.INTL(DATE($B$3,7,24),DATE($B$3,7,24),1,'Non-working days'!$A$6:$A$45)=0),"",IF(COUNTIFS('Leave log'!$A$7:$A$306,Employees!$A$20,'Leave log'!$B$7:$B$306,"&lt;="&amp;DATE($B$3,7,24),'Leave log'!$C$7:$C$306,"&gt;="&amp;DATE($B$3,7,24),'Leave log'!$F$7:$F$306,"Approved")&gt;0,"A",""))="A","A",IF(OR(DATE($B$3,7,24)&gt;EOMONTH(DATE($B$3,7,1),0),NETWORKDAYS.INTL(DATE($B$3,7,24),DATE($B$3,7,24),1,'Non-working days'!$A$6:$A$45)=0),"",IF(COUNTIFS('Leave log'!$A$7:$A$306,Employees!$A$20,'Leave log'!$B$7:$B$306,"&lt;="&amp;DATE($B$3,7,24),'Leave log'!$C$7:$C$306,"&gt;="&amp;DATE($B$3,7,24),'Leave log'!$F$7:$F$306,"Pending")&gt;0,"P",""))))</f>
        <v/>
      </c>
      <c r="Z225" s="23" t="str">
        <f>IF(A225="","",IF(IF(OR(DATE($B$3,7,25)&gt;EOMONTH(DATE($B$3,7,1),0),NETWORKDAYS.INTL(DATE($B$3,7,25),DATE($B$3,7,25),1,'Non-working days'!$A$6:$A$45)=0),"",IF(COUNTIFS('Leave log'!$A$7:$A$306,Employees!$A$20,'Leave log'!$B$7:$B$306,"&lt;="&amp;DATE($B$3,7,25),'Leave log'!$C$7:$C$306,"&gt;="&amp;DATE($B$3,7,25),'Leave log'!$F$7:$F$306,"Approved")&gt;0,"A",""))="A","A",IF(OR(DATE($B$3,7,25)&gt;EOMONTH(DATE($B$3,7,1),0),NETWORKDAYS.INTL(DATE($B$3,7,25),DATE($B$3,7,25),1,'Non-working days'!$A$6:$A$45)=0),"",IF(COUNTIFS('Leave log'!$A$7:$A$306,Employees!$A$20,'Leave log'!$B$7:$B$306,"&lt;="&amp;DATE($B$3,7,25),'Leave log'!$C$7:$C$306,"&gt;="&amp;DATE($B$3,7,25),'Leave log'!$F$7:$F$306,"Pending")&gt;0,"P",""))))</f>
        <v/>
      </c>
      <c r="AA225" s="23" t="str">
        <f>IF(A225="","",IF(IF(OR(DATE($B$3,7,26)&gt;EOMONTH(DATE($B$3,7,1),0),NETWORKDAYS.INTL(DATE($B$3,7,26),DATE($B$3,7,26),1,'Non-working days'!$A$6:$A$45)=0),"",IF(COUNTIFS('Leave log'!$A$7:$A$306,Employees!$A$20,'Leave log'!$B$7:$B$306,"&lt;="&amp;DATE($B$3,7,26),'Leave log'!$C$7:$C$306,"&gt;="&amp;DATE($B$3,7,26),'Leave log'!$F$7:$F$306,"Approved")&gt;0,"A",""))="A","A",IF(OR(DATE($B$3,7,26)&gt;EOMONTH(DATE($B$3,7,1),0),NETWORKDAYS.INTL(DATE($B$3,7,26),DATE($B$3,7,26),1,'Non-working days'!$A$6:$A$45)=0),"",IF(COUNTIFS('Leave log'!$A$7:$A$306,Employees!$A$20,'Leave log'!$B$7:$B$306,"&lt;="&amp;DATE($B$3,7,26),'Leave log'!$C$7:$C$306,"&gt;="&amp;DATE($B$3,7,26),'Leave log'!$F$7:$F$306,"Pending")&gt;0,"P",""))))</f>
        <v/>
      </c>
      <c r="AB225" s="23" t="str">
        <f>IF(A225="","",IF(IF(OR(DATE($B$3,7,27)&gt;EOMONTH(DATE($B$3,7,1),0),NETWORKDAYS.INTL(DATE($B$3,7,27),DATE($B$3,7,27),1,'Non-working days'!$A$6:$A$45)=0),"",IF(COUNTIFS('Leave log'!$A$7:$A$306,Employees!$A$20,'Leave log'!$B$7:$B$306,"&lt;="&amp;DATE($B$3,7,27),'Leave log'!$C$7:$C$306,"&gt;="&amp;DATE($B$3,7,27),'Leave log'!$F$7:$F$306,"Approved")&gt;0,"A",""))="A","A",IF(OR(DATE($B$3,7,27)&gt;EOMONTH(DATE($B$3,7,1),0),NETWORKDAYS.INTL(DATE($B$3,7,27),DATE($B$3,7,27),1,'Non-working days'!$A$6:$A$45)=0),"",IF(COUNTIFS('Leave log'!$A$7:$A$306,Employees!$A$20,'Leave log'!$B$7:$B$306,"&lt;="&amp;DATE($B$3,7,27),'Leave log'!$C$7:$C$306,"&gt;="&amp;DATE($B$3,7,27),'Leave log'!$F$7:$F$306,"Pending")&gt;0,"P",""))))</f>
        <v/>
      </c>
      <c r="AC225" s="23" t="str">
        <f>IF(A225="","",IF(IF(OR(DATE($B$3,7,28)&gt;EOMONTH(DATE($B$3,7,1),0),NETWORKDAYS.INTL(DATE($B$3,7,28),DATE($B$3,7,28),1,'Non-working days'!$A$6:$A$45)=0),"",IF(COUNTIFS('Leave log'!$A$7:$A$306,Employees!$A$20,'Leave log'!$B$7:$B$306,"&lt;="&amp;DATE($B$3,7,28),'Leave log'!$C$7:$C$306,"&gt;="&amp;DATE($B$3,7,28),'Leave log'!$F$7:$F$306,"Approved")&gt;0,"A",""))="A","A",IF(OR(DATE($B$3,7,28)&gt;EOMONTH(DATE($B$3,7,1),0),NETWORKDAYS.INTL(DATE($B$3,7,28),DATE($B$3,7,28),1,'Non-working days'!$A$6:$A$45)=0),"",IF(COUNTIFS('Leave log'!$A$7:$A$306,Employees!$A$20,'Leave log'!$B$7:$B$306,"&lt;="&amp;DATE($B$3,7,28),'Leave log'!$C$7:$C$306,"&gt;="&amp;DATE($B$3,7,28),'Leave log'!$F$7:$F$306,"Pending")&gt;0,"P",""))))</f>
        <v/>
      </c>
      <c r="AD225" s="23" t="str">
        <f>IF(A225="","",IF(IF(OR(DATE($B$3,7,29)&gt;EOMONTH(DATE($B$3,7,1),0),NETWORKDAYS.INTL(DATE($B$3,7,29),DATE($B$3,7,29),1,'Non-working days'!$A$6:$A$45)=0),"",IF(COUNTIFS('Leave log'!$A$7:$A$306,Employees!$A$20,'Leave log'!$B$7:$B$306,"&lt;="&amp;DATE($B$3,7,29),'Leave log'!$C$7:$C$306,"&gt;="&amp;DATE($B$3,7,29),'Leave log'!$F$7:$F$306,"Approved")&gt;0,"A",""))="A","A",IF(OR(DATE($B$3,7,29)&gt;EOMONTH(DATE($B$3,7,1),0),NETWORKDAYS.INTL(DATE($B$3,7,29),DATE($B$3,7,29),1,'Non-working days'!$A$6:$A$45)=0),"",IF(COUNTIFS('Leave log'!$A$7:$A$306,Employees!$A$20,'Leave log'!$B$7:$B$306,"&lt;="&amp;DATE($B$3,7,29),'Leave log'!$C$7:$C$306,"&gt;="&amp;DATE($B$3,7,29),'Leave log'!$F$7:$F$306,"Pending")&gt;0,"P",""))))</f>
        <v/>
      </c>
      <c r="AE225" s="23" t="str">
        <f>IF(A225="","",IF(IF(OR(DATE($B$3,7,30)&gt;EOMONTH(DATE($B$3,7,1),0),NETWORKDAYS.INTL(DATE($B$3,7,30),DATE($B$3,7,30),1,'Non-working days'!$A$6:$A$45)=0),"",IF(COUNTIFS('Leave log'!$A$7:$A$306,Employees!$A$20,'Leave log'!$B$7:$B$306,"&lt;="&amp;DATE($B$3,7,30),'Leave log'!$C$7:$C$306,"&gt;="&amp;DATE($B$3,7,30),'Leave log'!$F$7:$F$306,"Approved")&gt;0,"A",""))="A","A",IF(OR(DATE($B$3,7,30)&gt;EOMONTH(DATE($B$3,7,1),0),NETWORKDAYS.INTL(DATE($B$3,7,30),DATE($B$3,7,30),1,'Non-working days'!$A$6:$A$45)=0),"",IF(COUNTIFS('Leave log'!$A$7:$A$306,Employees!$A$20,'Leave log'!$B$7:$B$306,"&lt;="&amp;DATE($B$3,7,30),'Leave log'!$C$7:$C$306,"&gt;="&amp;DATE($B$3,7,30),'Leave log'!$F$7:$F$306,"Pending")&gt;0,"P",""))))</f>
        <v/>
      </c>
      <c r="AF225" s="23" t="str">
        <f>IF(A225="","",IF(IF(OR(DATE($B$3,7,31)&gt;EOMONTH(DATE($B$3,7,1),0),NETWORKDAYS.INTL(DATE($B$3,7,31),DATE($B$3,7,31),1,'Non-working days'!$A$6:$A$45)=0),"",IF(COUNTIFS('Leave log'!$A$7:$A$306,Employees!$A$20,'Leave log'!$B$7:$B$306,"&lt;="&amp;DATE($B$3,7,31),'Leave log'!$C$7:$C$306,"&gt;="&amp;DATE($B$3,7,31),'Leave log'!$F$7:$F$306,"Approved")&gt;0,"A",""))="A","A",IF(OR(DATE($B$3,7,31)&gt;EOMONTH(DATE($B$3,7,1),0),NETWORKDAYS.INTL(DATE($B$3,7,31),DATE($B$3,7,31),1,'Non-working days'!$A$6:$A$45)=0),"",IF(COUNTIFS('Leave log'!$A$7:$A$306,Employees!$A$20,'Leave log'!$B$7:$B$306,"&lt;="&amp;DATE($B$3,7,31),'Leave log'!$C$7:$C$306,"&gt;="&amp;DATE($B$3,7,31),'Leave log'!$F$7:$F$306,"Pending")&gt;0,"P",""))))</f>
        <v/>
      </c>
    </row>
    <row r="226" spans="1:32" ht="18" customHeight="1" x14ac:dyDescent="0.3">
      <c r="A226" s="22" t="str">
        <f>IF(Employees!F21="Yes",Employees!B21,"")</f>
        <v/>
      </c>
      <c r="B226" s="23" t="str">
        <f>IF(A226="","",IF(IF(OR(DATE($B$3,7,1)&gt;EOMONTH(DATE($B$3,7,1),0),NETWORKDAYS.INTL(DATE($B$3,7,1),DATE($B$3,7,1),1,'Non-working days'!$A$6:$A$45)=0),"",IF(COUNTIFS('Leave log'!$A$7:$A$306,Employees!$A$21,'Leave log'!$B$7:$B$306,"&lt;="&amp;DATE($B$3,7,1),'Leave log'!$C$7:$C$306,"&gt;="&amp;DATE($B$3,7,1),'Leave log'!$F$7:$F$306,"Approved")&gt;0,"A",""))="A","A",IF(OR(DATE($B$3,7,1)&gt;EOMONTH(DATE($B$3,7,1),0),NETWORKDAYS.INTL(DATE($B$3,7,1),DATE($B$3,7,1),1,'Non-working days'!$A$6:$A$45)=0),"",IF(COUNTIFS('Leave log'!$A$7:$A$306,Employees!$A$21,'Leave log'!$B$7:$B$306,"&lt;="&amp;DATE($B$3,7,1),'Leave log'!$C$7:$C$306,"&gt;="&amp;DATE($B$3,7,1),'Leave log'!$F$7:$F$306,"Pending")&gt;0,"P",""))))</f>
        <v/>
      </c>
      <c r="C226" s="23" t="str">
        <f>IF(A226="","",IF(IF(OR(DATE($B$3,7,2)&gt;EOMONTH(DATE($B$3,7,1),0),NETWORKDAYS.INTL(DATE($B$3,7,2),DATE($B$3,7,2),1,'Non-working days'!$A$6:$A$45)=0),"",IF(COUNTIFS('Leave log'!$A$7:$A$306,Employees!$A$21,'Leave log'!$B$7:$B$306,"&lt;="&amp;DATE($B$3,7,2),'Leave log'!$C$7:$C$306,"&gt;="&amp;DATE($B$3,7,2),'Leave log'!$F$7:$F$306,"Approved")&gt;0,"A",""))="A","A",IF(OR(DATE($B$3,7,2)&gt;EOMONTH(DATE($B$3,7,1),0),NETWORKDAYS.INTL(DATE($B$3,7,2),DATE($B$3,7,2),1,'Non-working days'!$A$6:$A$45)=0),"",IF(COUNTIFS('Leave log'!$A$7:$A$306,Employees!$A$21,'Leave log'!$B$7:$B$306,"&lt;="&amp;DATE($B$3,7,2),'Leave log'!$C$7:$C$306,"&gt;="&amp;DATE($B$3,7,2),'Leave log'!$F$7:$F$306,"Pending")&gt;0,"P",""))))</f>
        <v/>
      </c>
      <c r="D226" s="23" t="str">
        <f>IF(A226="","",IF(IF(OR(DATE($B$3,7,3)&gt;EOMONTH(DATE($B$3,7,1),0),NETWORKDAYS.INTL(DATE($B$3,7,3),DATE($B$3,7,3),1,'Non-working days'!$A$6:$A$45)=0),"",IF(COUNTIFS('Leave log'!$A$7:$A$306,Employees!$A$21,'Leave log'!$B$7:$B$306,"&lt;="&amp;DATE($B$3,7,3),'Leave log'!$C$7:$C$306,"&gt;="&amp;DATE($B$3,7,3),'Leave log'!$F$7:$F$306,"Approved")&gt;0,"A",""))="A","A",IF(OR(DATE($B$3,7,3)&gt;EOMONTH(DATE($B$3,7,1),0),NETWORKDAYS.INTL(DATE($B$3,7,3),DATE($B$3,7,3),1,'Non-working days'!$A$6:$A$45)=0),"",IF(COUNTIFS('Leave log'!$A$7:$A$306,Employees!$A$21,'Leave log'!$B$7:$B$306,"&lt;="&amp;DATE($B$3,7,3),'Leave log'!$C$7:$C$306,"&gt;="&amp;DATE($B$3,7,3),'Leave log'!$F$7:$F$306,"Pending")&gt;0,"P",""))))</f>
        <v/>
      </c>
      <c r="E226" s="23" t="str">
        <f>IF(A226="","",IF(IF(OR(DATE($B$3,7,4)&gt;EOMONTH(DATE($B$3,7,1),0),NETWORKDAYS.INTL(DATE($B$3,7,4),DATE($B$3,7,4),1,'Non-working days'!$A$6:$A$45)=0),"",IF(COUNTIFS('Leave log'!$A$7:$A$306,Employees!$A$21,'Leave log'!$B$7:$B$306,"&lt;="&amp;DATE($B$3,7,4),'Leave log'!$C$7:$C$306,"&gt;="&amp;DATE($B$3,7,4),'Leave log'!$F$7:$F$306,"Approved")&gt;0,"A",""))="A","A",IF(OR(DATE($B$3,7,4)&gt;EOMONTH(DATE($B$3,7,1),0),NETWORKDAYS.INTL(DATE($B$3,7,4),DATE($B$3,7,4),1,'Non-working days'!$A$6:$A$45)=0),"",IF(COUNTIFS('Leave log'!$A$7:$A$306,Employees!$A$21,'Leave log'!$B$7:$B$306,"&lt;="&amp;DATE($B$3,7,4),'Leave log'!$C$7:$C$306,"&gt;="&amp;DATE($B$3,7,4),'Leave log'!$F$7:$F$306,"Pending")&gt;0,"P",""))))</f>
        <v/>
      </c>
      <c r="F226" s="23" t="str">
        <f>IF(A226="","",IF(IF(OR(DATE($B$3,7,5)&gt;EOMONTH(DATE($B$3,7,1),0),NETWORKDAYS.INTL(DATE($B$3,7,5),DATE($B$3,7,5),1,'Non-working days'!$A$6:$A$45)=0),"",IF(COUNTIFS('Leave log'!$A$7:$A$306,Employees!$A$21,'Leave log'!$B$7:$B$306,"&lt;="&amp;DATE($B$3,7,5),'Leave log'!$C$7:$C$306,"&gt;="&amp;DATE($B$3,7,5),'Leave log'!$F$7:$F$306,"Approved")&gt;0,"A",""))="A","A",IF(OR(DATE($B$3,7,5)&gt;EOMONTH(DATE($B$3,7,1),0),NETWORKDAYS.INTL(DATE($B$3,7,5),DATE($B$3,7,5),1,'Non-working days'!$A$6:$A$45)=0),"",IF(COUNTIFS('Leave log'!$A$7:$A$306,Employees!$A$21,'Leave log'!$B$7:$B$306,"&lt;="&amp;DATE($B$3,7,5),'Leave log'!$C$7:$C$306,"&gt;="&amp;DATE($B$3,7,5),'Leave log'!$F$7:$F$306,"Pending")&gt;0,"P",""))))</f>
        <v/>
      </c>
      <c r="G226" s="23" t="str">
        <f>IF(A226="","",IF(IF(OR(DATE($B$3,7,6)&gt;EOMONTH(DATE($B$3,7,1),0),NETWORKDAYS.INTL(DATE($B$3,7,6),DATE($B$3,7,6),1,'Non-working days'!$A$6:$A$45)=0),"",IF(COUNTIFS('Leave log'!$A$7:$A$306,Employees!$A$21,'Leave log'!$B$7:$B$306,"&lt;="&amp;DATE($B$3,7,6),'Leave log'!$C$7:$C$306,"&gt;="&amp;DATE($B$3,7,6),'Leave log'!$F$7:$F$306,"Approved")&gt;0,"A",""))="A","A",IF(OR(DATE($B$3,7,6)&gt;EOMONTH(DATE($B$3,7,1),0),NETWORKDAYS.INTL(DATE($B$3,7,6),DATE($B$3,7,6),1,'Non-working days'!$A$6:$A$45)=0),"",IF(COUNTIFS('Leave log'!$A$7:$A$306,Employees!$A$21,'Leave log'!$B$7:$B$306,"&lt;="&amp;DATE($B$3,7,6),'Leave log'!$C$7:$C$306,"&gt;="&amp;DATE($B$3,7,6),'Leave log'!$F$7:$F$306,"Pending")&gt;0,"P",""))))</f>
        <v/>
      </c>
      <c r="H226" s="23" t="str">
        <f>IF(A226="","",IF(IF(OR(DATE($B$3,7,7)&gt;EOMONTH(DATE($B$3,7,1),0),NETWORKDAYS.INTL(DATE($B$3,7,7),DATE($B$3,7,7),1,'Non-working days'!$A$6:$A$45)=0),"",IF(COUNTIFS('Leave log'!$A$7:$A$306,Employees!$A$21,'Leave log'!$B$7:$B$306,"&lt;="&amp;DATE($B$3,7,7),'Leave log'!$C$7:$C$306,"&gt;="&amp;DATE($B$3,7,7),'Leave log'!$F$7:$F$306,"Approved")&gt;0,"A",""))="A","A",IF(OR(DATE($B$3,7,7)&gt;EOMONTH(DATE($B$3,7,1),0),NETWORKDAYS.INTL(DATE($B$3,7,7),DATE($B$3,7,7),1,'Non-working days'!$A$6:$A$45)=0),"",IF(COUNTIFS('Leave log'!$A$7:$A$306,Employees!$A$21,'Leave log'!$B$7:$B$306,"&lt;="&amp;DATE($B$3,7,7),'Leave log'!$C$7:$C$306,"&gt;="&amp;DATE($B$3,7,7),'Leave log'!$F$7:$F$306,"Pending")&gt;0,"P",""))))</f>
        <v/>
      </c>
      <c r="I226" s="23" t="str">
        <f>IF(A226="","",IF(IF(OR(DATE($B$3,7,8)&gt;EOMONTH(DATE($B$3,7,1),0),NETWORKDAYS.INTL(DATE($B$3,7,8),DATE($B$3,7,8),1,'Non-working days'!$A$6:$A$45)=0),"",IF(COUNTIFS('Leave log'!$A$7:$A$306,Employees!$A$21,'Leave log'!$B$7:$B$306,"&lt;="&amp;DATE($B$3,7,8),'Leave log'!$C$7:$C$306,"&gt;="&amp;DATE($B$3,7,8),'Leave log'!$F$7:$F$306,"Approved")&gt;0,"A",""))="A","A",IF(OR(DATE($B$3,7,8)&gt;EOMONTH(DATE($B$3,7,1),0),NETWORKDAYS.INTL(DATE($B$3,7,8),DATE($B$3,7,8),1,'Non-working days'!$A$6:$A$45)=0),"",IF(COUNTIFS('Leave log'!$A$7:$A$306,Employees!$A$21,'Leave log'!$B$7:$B$306,"&lt;="&amp;DATE($B$3,7,8),'Leave log'!$C$7:$C$306,"&gt;="&amp;DATE($B$3,7,8),'Leave log'!$F$7:$F$306,"Pending")&gt;0,"P",""))))</f>
        <v/>
      </c>
      <c r="J226" s="23" t="str">
        <f>IF(A226="","",IF(IF(OR(DATE($B$3,7,9)&gt;EOMONTH(DATE($B$3,7,1),0),NETWORKDAYS.INTL(DATE($B$3,7,9),DATE($B$3,7,9),1,'Non-working days'!$A$6:$A$45)=0),"",IF(COUNTIFS('Leave log'!$A$7:$A$306,Employees!$A$21,'Leave log'!$B$7:$B$306,"&lt;="&amp;DATE($B$3,7,9),'Leave log'!$C$7:$C$306,"&gt;="&amp;DATE($B$3,7,9),'Leave log'!$F$7:$F$306,"Approved")&gt;0,"A",""))="A","A",IF(OR(DATE($B$3,7,9)&gt;EOMONTH(DATE($B$3,7,1),0),NETWORKDAYS.INTL(DATE($B$3,7,9),DATE($B$3,7,9),1,'Non-working days'!$A$6:$A$45)=0),"",IF(COUNTIFS('Leave log'!$A$7:$A$306,Employees!$A$21,'Leave log'!$B$7:$B$306,"&lt;="&amp;DATE($B$3,7,9),'Leave log'!$C$7:$C$306,"&gt;="&amp;DATE($B$3,7,9),'Leave log'!$F$7:$F$306,"Pending")&gt;0,"P",""))))</f>
        <v/>
      </c>
      <c r="K226" s="23" t="str">
        <f>IF(A226="","",IF(IF(OR(DATE($B$3,7,10)&gt;EOMONTH(DATE($B$3,7,1),0),NETWORKDAYS.INTL(DATE($B$3,7,10),DATE($B$3,7,10),1,'Non-working days'!$A$6:$A$45)=0),"",IF(COUNTIFS('Leave log'!$A$7:$A$306,Employees!$A$21,'Leave log'!$B$7:$B$306,"&lt;="&amp;DATE($B$3,7,10),'Leave log'!$C$7:$C$306,"&gt;="&amp;DATE($B$3,7,10),'Leave log'!$F$7:$F$306,"Approved")&gt;0,"A",""))="A","A",IF(OR(DATE($B$3,7,10)&gt;EOMONTH(DATE($B$3,7,1),0),NETWORKDAYS.INTL(DATE($B$3,7,10),DATE($B$3,7,10),1,'Non-working days'!$A$6:$A$45)=0),"",IF(COUNTIFS('Leave log'!$A$7:$A$306,Employees!$A$21,'Leave log'!$B$7:$B$306,"&lt;="&amp;DATE($B$3,7,10),'Leave log'!$C$7:$C$306,"&gt;="&amp;DATE($B$3,7,10),'Leave log'!$F$7:$F$306,"Pending")&gt;0,"P",""))))</f>
        <v/>
      </c>
      <c r="L226" s="23" t="str">
        <f>IF(A226="","",IF(IF(OR(DATE($B$3,7,11)&gt;EOMONTH(DATE($B$3,7,1),0),NETWORKDAYS.INTL(DATE($B$3,7,11),DATE($B$3,7,11),1,'Non-working days'!$A$6:$A$45)=0),"",IF(COUNTIFS('Leave log'!$A$7:$A$306,Employees!$A$21,'Leave log'!$B$7:$B$306,"&lt;="&amp;DATE($B$3,7,11),'Leave log'!$C$7:$C$306,"&gt;="&amp;DATE($B$3,7,11),'Leave log'!$F$7:$F$306,"Approved")&gt;0,"A",""))="A","A",IF(OR(DATE($B$3,7,11)&gt;EOMONTH(DATE($B$3,7,1),0),NETWORKDAYS.INTL(DATE($B$3,7,11),DATE($B$3,7,11),1,'Non-working days'!$A$6:$A$45)=0),"",IF(COUNTIFS('Leave log'!$A$7:$A$306,Employees!$A$21,'Leave log'!$B$7:$B$306,"&lt;="&amp;DATE($B$3,7,11),'Leave log'!$C$7:$C$306,"&gt;="&amp;DATE($B$3,7,11),'Leave log'!$F$7:$F$306,"Pending")&gt;0,"P",""))))</f>
        <v/>
      </c>
      <c r="M226" s="23" t="str">
        <f>IF(A226="","",IF(IF(OR(DATE($B$3,7,12)&gt;EOMONTH(DATE($B$3,7,1),0),NETWORKDAYS.INTL(DATE($B$3,7,12),DATE($B$3,7,12),1,'Non-working days'!$A$6:$A$45)=0),"",IF(COUNTIFS('Leave log'!$A$7:$A$306,Employees!$A$21,'Leave log'!$B$7:$B$306,"&lt;="&amp;DATE($B$3,7,12),'Leave log'!$C$7:$C$306,"&gt;="&amp;DATE($B$3,7,12),'Leave log'!$F$7:$F$306,"Approved")&gt;0,"A",""))="A","A",IF(OR(DATE($B$3,7,12)&gt;EOMONTH(DATE($B$3,7,1),0),NETWORKDAYS.INTL(DATE($B$3,7,12),DATE($B$3,7,12),1,'Non-working days'!$A$6:$A$45)=0),"",IF(COUNTIFS('Leave log'!$A$7:$A$306,Employees!$A$21,'Leave log'!$B$7:$B$306,"&lt;="&amp;DATE($B$3,7,12),'Leave log'!$C$7:$C$306,"&gt;="&amp;DATE($B$3,7,12),'Leave log'!$F$7:$F$306,"Pending")&gt;0,"P",""))))</f>
        <v/>
      </c>
      <c r="N226" s="23" t="str">
        <f>IF(A226="","",IF(IF(OR(DATE($B$3,7,13)&gt;EOMONTH(DATE($B$3,7,1),0),NETWORKDAYS.INTL(DATE($B$3,7,13),DATE($B$3,7,13),1,'Non-working days'!$A$6:$A$45)=0),"",IF(COUNTIFS('Leave log'!$A$7:$A$306,Employees!$A$21,'Leave log'!$B$7:$B$306,"&lt;="&amp;DATE($B$3,7,13),'Leave log'!$C$7:$C$306,"&gt;="&amp;DATE($B$3,7,13),'Leave log'!$F$7:$F$306,"Approved")&gt;0,"A",""))="A","A",IF(OR(DATE($B$3,7,13)&gt;EOMONTH(DATE($B$3,7,1),0),NETWORKDAYS.INTL(DATE($B$3,7,13),DATE($B$3,7,13),1,'Non-working days'!$A$6:$A$45)=0),"",IF(COUNTIFS('Leave log'!$A$7:$A$306,Employees!$A$21,'Leave log'!$B$7:$B$306,"&lt;="&amp;DATE($B$3,7,13),'Leave log'!$C$7:$C$306,"&gt;="&amp;DATE($B$3,7,13),'Leave log'!$F$7:$F$306,"Pending")&gt;0,"P",""))))</f>
        <v/>
      </c>
      <c r="O226" s="23" t="str">
        <f>IF(A226="","",IF(IF(OR(DATE($B$3,7,14)&gt;EOMONTH(DATE($B$3,7,1),0),NETWORKDAYS.INTL(DATE($B$3,7,14),DATE($B$3,7,14),1,'Non-working days'!$A$6:$A$45)=0),"",IF(COUNTIFS('Leave log'!$A$7:$A$306,Employees!$A$21,'Leave log'!$B$7:$B$306,"&lt;="&amp;DATE($B$3,7,14),'Leave log'!$C$7:$C$306,"&gt;="&amp;DATE($B$3,7,14),'Leave log'!$F$7:$F$306,"Approved")&gt;0,"A",""))="A","A",IF(OR(DATE($B$3,7,14)&gt;EOMONTH(DATE($B$3,7,1),0),NETWORKDAYS.INTL(DATE($B$3,7,14),DATE($B$3,7,14),1,'Non-working days'!$A$6:$A$45)=0),"",IF(COUNTIFS('Leave log'!$A$7:$A$306,Employees!$A$21,'Leave log'!$B$7:$B$306,"&lt;="&amp;DATE($B$3,7,14),'Leave log'!$C$7:$C$306,"&gt;="&amp;DATE($B$3,7,14),'Leave log'!$F$7:$F$306,"Pending")&gt;0,"P",""))))</f>
        <v/>
      </c>
      <c r="P226" s="23" t="str">
        <f>IF(A226="","",IF(IF(OR(DATE($B$3,7,15)&gt;EOMONTH(DATE($B$3,7,1),0),NETWORKDAYS.INTL(DATE($B$3,7,15),DATE($B$3,7,15),1,'Non-working days'!$A$6:$A$45)=0),"",IF(COUNTIFS('Leave log'!$A$7:$A$306,Employees!$A$21,'Leave log'!$B$7:$B$306,"&lt;="&amp;DATE($B$3,7,15),'Leave log'!$C$7:$C$306,"&gt;="&amp;DATE($B$3,7,15),'Leave log'!$F$7:$F$306,"Approved")&gt;0,"A",""))="A","A",IF(OR(DATE($B$3,7,15)&gt;EOMONTH(DATE($B$3,7,1),0),NETWORKDAYS.INTL(DATE($B$3,7,15),DATE($B$3,7,15),1,'Non-working days'!$A$6:$A$45)=0),"",IF(COUNTIFS('Leave log'!$A$7:$A$306,Employees!$A$21,'Leave log'!$B$7:$B$306,"&lt;="&amp;DATE($B$3,7,15),'Leave log'!$C$7:$C$306,"&gt;="&amp;DATE($B$3,7,15),'Leave log'!$F$7:$F$306,"Pending")&gt;0,"P",""))))</f>
        <v/>
      </c>
      <c r="Q226" s="23" t="str">
        <f>IF(A226="","",IF(IF(OR(DATE($B$3,7,16)&gt;EOMONTH(DATE($B$3,7,1),0),NETWORKDAYS.INTL(DATE($B$3,7,16),DATE($B$3,7,16),1,'Non-working days'!$A$6:$A$45)=0),"",IF(COUNTIFS('Leave log'!$A$7:$A$306,Employees!$A$21,'Leave log'!$B$7:$B$306,"&lt;="&amp;DATE($B$3,7,16),'Leave log'!$C$7:$C$306,"&gt;="&amp;DATE($B$3,7,16),'Leave log'!$F$7:$F$306,"Approved")&gt;0,"A",""))="A","A",IF(OR(DATE($B$3,7,16)&gt;EOMONTH(DATE($B$3,7,1),0),NETWORKDAYS.INTL(DATE($B$3,7,16),DATE($B$3,7,16),1,'Non-working days'!$A$6:$A$45)=0),"",IF(COUNTIFS('Leave log'!$A$7:$A$306,Employees!$A$21,'Leave log'!$B$7:$B$306,"&lt;="&amp;DATE($B$3,7,16),'Leave log'!$C$7:$C$306,"&gt;="&amp;DATE($B$3,7,16),'Leave log'!$F$7:$F$306,"Pending")&gt;0,"P",""))))</f>
        <v/>
      </c>
      <c r="R226" s="23" t="str">
        <f>IF(A226="","",IF(IF(OR(DATE($B$3,7,17)&gt;EOMONTH(DATE($B$3,7,1),0),NETWORKDAYS.INTL(DATE($B$3,7,17),DATE($B$3,7,17),1,'Non-working days'!$A$6:$A$45)=0),"",IF(COUNTIFS('Leave log'!$A$7:$A$306,Employees!$A$21,'Leave log'!$B$7:$B$306,"&lt;="&amp;DATE($B$3,7,17),'Leave log'!$C$7:$C$306,"&gt;="&amp;DATE($B$3,7,17),'Leave log'!$F$7:$F$306,"Approved")&gt;0,"A",""))="A","A",IF(OR(DATE($B$3,7,17)&gt;EOMONTH(DATE($B$3,7,1),0),NETWORKDAYS.INTL(DATE($B$3,7,17),DATE($B$3,7,17),1,'Non-working days'!$A$6:$A$45)=0),"",IF(COUNTIFS('Leave log'!$A$7:$A$306,Employees!$A$21,'Leave log'!$B$7:$B$306,"&lt;="&amp;DATE($B$3,7,17),'Leave log'!$C$7:$C$306,"&gt;="&amp;DATE($B$3,7,17),'Leave log'!$F$7:$F$306,"Pending")&gt;0,"P",""))))</f>
        <v/>
      </c>
      <c r="S226" s="23" t="str">
        <f>IF(A226="","",IF(IF(OR(DATE($B$3,7,18)&gt;EOMONTH(DATE($B$3,7,1),0),NETWORKDAYS.INTL(DATE($B$3,7,18),DATE($B$3,7,18),1,'Non-working days'!$A$6:$A$45)=0),"",IF(COUNTIFS('Leave log'!$A$7:$A$306,Employees!$A$21,'Leave log'!$B$7:$B$306,"&lt;="&amp;DATE($B$3,7,18),'Leave log'!$C$7:$C$306,"&gt;="&amp;DATE($B$3,7,18),'Leave log'!$F$7:$F$306,"Approved")&gt;0,"A",""))="A","A",IF(OR(DATE($B$3,7,18)&gt;EOMONTH(DATE($B$3,7,1),0),NETWORKDAYS.INTL(DATE($B$3,7,18),DATE($B$3,7,18),1,'Non-working days'!$A$6:$A$45)=0),"",IF(COUNTIFS('Leave log'!$A$7:$A$306,Employees!$A$21,'Leave log'!$B$7:$B$306,"&lt;="&amp;DATE($B$3,7,18),'Leave log'!$C$7:$C$306,"&gt;="&amp;DATE($B$3,7,18),'Leave log'!$F$7:$F$306,"Pending")&gt;0,"P",""))))</f>
        <v/>
      </c>
      <c r="T226" s="23" t="str">
        <f>IF(A226="","",IF(IF(OR(DATE($B$3,7,19)&gt;EOMONTH(DATE($B$3,7,1),0),NETWORKDAYS.INTL(DATE($B$3,7,19),DATE($B$3,7,19),1,'Non-working days'!$A$6:$A$45)=0),"",IF(COUNTIFS('Leave log'!$A$7:$A$306,Employees!$A$21,'Leave log'!$B$7:$B$306,"&lt;="&amp;DATE($B$3,7,19),'Leave log'!$C$7:$C$306,"&gt;="&amp;DATE($B$3,7,19),'Leave log'!$F$7:$F$306,"Approved")&gt;0,"A",""))="A","A",IF(OR(DATE($B$3,7,19)&gt;EOMONTH(DATE($B$3,7,1),0),NETWORKDAYS.INTL(DATE($B$3,7,19),DATE($B$3,7,19),1,'Non-working days'!$A$6:$A$45)=0),"",IF(COUNTIFS('Leave log'!$A$7:$A$306,Employees!$A$21,'Leave log'!$B$7:$B$306,"&lt;="&amp;DATE($B$3,7,19),'Leave log'!$C$7:$C$306,"&gt;="&amp;DATE($B$3,7,19),'Leave log'!$F$7:$F$306,"Pending")&gt;0,"P",""))))</f>
        <v/>
      </c>
      <c r="U226" s="23" t="str">
        <f>IF(A226="","",IF(IF(OR(DATE($B$3,7,20)&gt;EOMONTH(DATE($B$3,7,1),0),NETWORKDAYS.INTL(DATE($B$3,7,20),DATE($B$3,7,20),1,'Non-working days'!$A$6:$A$45)=0),"",IF(COUNTIFS('Leave log'!$A$7:$A$306,Employees!$A$21,'Leave log'!$B$7:$B$306,"&lt;="&amp;DATE($B$3,7,20),'Leave log'!$C$7:$C$306,"&gt;="&amp;DATE($B$3,7,20),'Leave log'!$F$7:$F$306,"Approved")&gt;0,"A",""))="A","A",IF(OR(DATE($B$3,7,20)&gt;EOMONTH(DATE($B$3,7,1),0),NETWORKDAYS.INTL(DATE($B$3,7,20),DATE($B$3,7,20),1,'Non-working days'!$A$6:$A$45)=0),"",IF(COUNTIFS('Leave log'!$A$7:$A$306,Employees!$A$21,'Leave log'!$B$7:$B$306,"&lt;="&amp;DATE($B$3,7,20),'Leave log'!$C$7:$C$306,"&gt;="&amp;DATE($B$3,7,20),'Leave log'!$F$7:$F$306,"Pending")&gt;0,"P",""))))</f>
        <v/>
      </c>
      <c r="V226" s="23" t="str">
        <f>IF(A226="","",IF(IF(OR(DATE($B$3,7,21)&gt;EOMONTH(DATE($B$3,7,1),0),NETWORKDAYS.INTL(DATE($B$3,7,21),DATE($B$3,7,21),1,'Non-working days'!$A$6:$A$45)=0),"",IF(COUNTIFS('Leave log'!$A$7:$A$306,Employees!$A$21,'Leave log'!$B$7:$B$306,"&lt;="&amp;DATE($B$3,7,21),'Leave log'!$C$7:$C$306,"&gt;="&amp;DATE($B$3,7,21),'Leave log'!$F$7:$F$306,"Approved")&gt;0,"A",""))="A","A",IF(OR(DATE($B$3,7,21)&gt;EOMONTH(DATE($B$3,7,1),0),NETWORKDAYS.INTL(DATE($B$3,7,21),DATE($B$3,7,21),1,'Non-working days'!$A$6:$A$45)=0),"",IF(COUNTIFS('Leave log'!$A$7:$A$306,Employees!$A$21,'Leave log'!$B$7:$B$306,"&lt;="&amp;DATE($B$3,7,21),'Leave log'!$C$7:$C$306,"&gt;="&amp;DATE($B$3,7,21),'Leave log'!$F$7:$F$306,"Pending")&gt;0,"P",""))))</f>
        <v/>
      </c>
      <c r="W226" s="23" t="str">
        <f>IF(A226="","",IF(IF(OR(DATE($B$3,7,22)&gt;EOMONTH(DATE($B$3,7,1),0),NETWORKDAYS.INTL(DATE($B$3,7,22),DATE($B$3,7,22),1,'Non-working days'!$A$6:$A$45)=0),"",IF(COUNTIFS('Leave log'!$A$7:$A$306,Employees!$A$21,'Leave log'!$B$7:$B$306,"&lt;="&amp;DATE($B$3,7,22),'Leave log'!$C$7:$C$306,"&gt;="&amp;DATE($B$3,7,22),'Leave log'!$F$7:$F$306,"Approved")&gt;0,"A",""))="A","A",IF(OR(DATE($B$3,7,22)&gt;EOMONTH(DATE($B$3,7,1),0),NETWORKDAYS.INTL(DATE($B$3,7,22),DATE($B$3,7,22),1,'Non-working days'!$A$6:$A$45)=0),"",IF(COUNTIFS('Leave log'!$A$7:$A$306,Employees!$A$21,'Leave log'!$B$7:$B$306,"&lt;="&amp;DATE($B$3,7,22),'Leave log'!$C$7:$C$306,"&gt;="&amp;DATE($B$3,7,22),'Leave log'!$F$7:$F$306,"Pending")&gt;0,"P",""))))</f>
        <v/>
      </c>
      <c r="X226" s="23" t="str">
        <f>IF(A226="","",IF(IF(OR(DATE($B$3,7,23)&gt;EOMONTH(DATE($B$3,7,1),0),NETWORKDAYS.INTL(DATE($B$3,7,23),DATE($B$3,7,23),1,'Non-working days'!$A$6:$A$45)=0),"",IF(COUNTIFS('Leave log'!$A$7:$A$306,Employees!$A$21,'Leave log'!$B$7:$B$306,"&lt;="&amp;DATE($B$3,7,23),'Leave log'!$C$7:$C$306,"&gt;="&amp;DATE($B$3,7,23),'Leave log'!$F$7:$F$306,"Approved")&gt;0,"A",""))="A","A",IF(OR(DATE($B$3,7,23)&gt;EOMONTH(DATE($B$3,7,1),0),NETWORKDAYS.INTL(DATE($B$3,7,23),DATE($B$3,7,23),1,'Non-working days'!$A$6:$A$45)=0),"",IF(COUNTIFS('Leave log'!$A$7:$A$306,Employees!$A$21,'Leave log'!$B$7:$B$306,"&lt;="&amp;DATE($B$3,7,23),'Leave log'!$C$7:$C$306,"&gt;="&amp;DATE($B$3,7,23),'Leave log'!$F$7:$F$306,"Pending")&gt;0,"P",""))))</f>
        <v/>
      </c>
      <c r="Y226" s="23" t="str">
        <f>IF(A226="","",IF(IF(OR(DATE($B$3,7,24)&gt;EOMONTH(DATE($B$3,7,1),0),NETWORKDAYS.INTL(DATE($B$3,7,24),DATE($B$3,7,24),1,'Non-working days'!$A$6:$A$45)=0),"",IF(COUNTIFS('Leave log'!$A$7:$A$306,Employees!$A$21,'Leave log'!$B$7:$B$306,"&lt;="&amp;DATE($B$3,7,24),'Leave log'!$C$7:$C$306,"&gt;="&amp;DATE($B$3,7,24),'Leave log'!$F$7:$F$306,"Approved")&gt;0,"A",""))="A","A",IF(OR(DATE($B$3,7,24)&gt;EOMONTH(DATE($B$3,7,1),0),NETWORKDAYS.INTL(DATE($B$3,7,24),DATE($B$3,7,24),1,'Non-working days'!$A$6:$A$45)=0),"",IF(COUNTIFS('Leave log'!$A$7:$A$306,Employees!$A$21,'Leave log'!$B$7:$B$306,"&lt;="&amp;DATE($B$3,7,24),'Leave log'!$C$7:$C$306,"&gt;="&amp;DATE($B$3,7,24),'Leave log'!$F$7:$F$306,"Pending")&gt;0,"P",""))))</f>
        <v/>
      </c>
      <c r="Z226" s="23" t="str">
        <f>IF(A226="","",IF(IF(OR(DATE($B$3,7,25)&gt;EOMONTH(DATE($B$3,7,1),0),NETWORKDAYS.INTL(DATE($B$3,7,25),DATE($B$3,7,25),1,'Non-working days'!$A$6:$A$45)=0),"",IF(COUNTIFS('Leave log'!$A$7:$A$306,Employees!$A$21,'Leave log'!$B$7:$B$306,"&lt;="&amp;DATE($B$3,7,25),'Leave log'!$C$7:$C$306,"&gt;="&amp;DATE($B$3,7,25),'Leave log'!$F$7:$F$306,"Approved")&gt;0,"A",""))="A","A",IF(OR(DATE($B$3,7,25)&gt;EOMONTH(DATE($B$3,7,1),0),NETWORKDAYS.INTL(DATE($B$3,7,25),DATE($B$3,7,25),1,'Non-working days'!$A$6:$A$45)=0),"",IF(COUNTIFS('Leave log'!$A$7:$A$306,Employees!$A$21,'Leave log'!$B$7:$B$306,"&lt;="&amp;DATE($B$3,7,25),'Leave log'!$C$7:$C$306,"&gt;="&amp;DATE($B$3,7,25),'Leave log'!$F$7:$F$306,"Pending")&gt;0,"P",""))))</f>
        <v/>
      </c>
      <c r="AA226" s="23" t="str">
        <f>IF(A226="","",IF(IF(OR(DATE($B$3,7,26)&gt;EOMONTH(DATE($B$3,7,1),0),NETWORKDAYS.INTL(DATE($B$3,7,26),DATE($B$3,7,26),1,'Non-working days'!$A$6:$A$45)=0),"",IF(COUNTIFS('Leave log'!$A$7:$A$306,Employees!$A$21,'Leave log'!$B$7:$B$306,"&lt;="&amp;DATE($B$3,7,26),'Leave log'!$C$7:$C$306,"&gt;="&amp;DATE($B$3,7,26),'Leave log'!$F$7:$F$306,"Approved")&gt;0,"A",""))="A","A",IF(OR(DATE($B$3,7,26)&gt;EOMONTH(DATE($B$3,7,1),0),NETWORKDAYS.INTL(DATE($B$3,7,26),DATE($B$3,7,26),1,'Non-working days'!$A$6:$A$45)=0),"",IF(COUNTIFS('Leave log'!$A$7:$A$306,Employees!$A$21,'Leave log'!$B$7:$B$306,"&lt;="&amp;DATE($B$3,7,26),'Leave log'!$C$7:$C$306,"&gt;="&amp;DATE($B$3,7,26),'Leave log'!$F$7:$F$306,"Pending")&gt;0,"P",""))))</f>
        <v/>
      </c>
      <c r="AB226" s="23" t="str">
        <f>IF(A226="","",IF(IF(OR(DATE($B$3,7,27)&gt;EOMONTH(DATE($B$3,7,1),0),NETWORKDAYS.INTL(DATE($B$3,7,27),DATE($B$3,7,27),1,'Non-working days'!$A$6:$A$45)=0),"",IF(COUNTIFS('Leave log'!$A$7:$A$306,Employees!$A$21,'Leave log'!$B$7:$B$306,"&lt;="&amp;DATE($B$3,7,27),'Leave log'!$C$7:$C$306,"&gt;="&amp;DATE($B$3,7,27),'Leave log'!$F$7:$F$306,"Approved")&gt;0,"A",""))="A","A",IF(OR(DATE($B$3,7,27)&gt;EOMONTH(DATE($B$3,7,1),0),NETWORKDAYS.INTL(DATE($B$3,7,27),DATE($B$3,7,27),1,'Non-working days'!$A$6:$A$45)=0),"",IF(COUNTIFS('Leave log'!$A$7:$A$306,Employees!$A$21,'Leave log'!$B$7:$B$306,"&lt;="&amp;DATE($B$3,7,27),'Leave log'!$C$7:$C$306,"&gt;="&amp;DATE($B$3,7,27),'Leave log'!$F$7:$F$306,"Pending")&gt;0,"P",""))))</f>
        <v/>
      </c>
      <c r="AC226" s="23" t="str">
        <f>IF(A226="","",IF(IF(OR(DATE($B$3,7,28)&gt;EOMONTH(DATE($B$3,7,1),0),NETWORKDAYS.INTL(DATE($B$3,7,28),DATE($B$3,7,28),1,'Non-working days'!$A$6:$A$45)=0),"",IF(COUNTIFS('Leave log'!$A$7:$A$306,Employees!$A$21,'Leave log'!$B$7:$B$306,"&lt;="&amp;DATE($B$3,7,28),'Leave log'!$C$7:$C$306,"&gt;="&amp;DATE($B$3,7,28),'Leave log'!$F$7:$F$306,"Approved")&gt;0,"A",""))="A","A",IF(OR(DATE($B$3,7,28)&gt;EOMONTH(DATE($B$3,7,1),0),NETWORKDAYS.INTL(DATE($B$3,7,28),DATE($B$3,7,28),1,'Non-working days'!$A$6:$A$45)=0),"",IF(COUNTIFS('Leave log'!$A$7:$A$306,Employees!$A$21,'Leave log'!$B$7:$B$306,"&lt;="&amp;DATE($B$3,7,28),'Leave log'!$C$7:$C$306,"&gt;="&amp;DATE($B$3,7,28),'Leave log'!$F$7:$F$306,"Pending")&gt;0,"P",""))))</f>
        <v/>
      </c>
      <c r="AD226" s="23" t="str">
        <f>IF(A226="","",IF(IF(OR(DATE($B$3,7,29)&gt;EOMONTH(DATE($B$3,7,1),0),NETWORKDAYS.INTL(DATE($B$3,7,29),DATE($B$3,7,29),1,'Non-working days'!$A$6:$A$45)=0),"",IF(COUNTIFS('Leave log'!$A$7:$A$306,Employees!$A$21,'Leave log'!$B$7:$B$306,"&lt;="&amp;DATE($B$3,7,29),'Leave log'!$C$7:$C$306,"&gt;="&amp;DATE($B$3,7,29),'Leave log'!$F$7:$F$306,"Approved")&gt;0,"A",""))="A","A",IF(OR(DATE($B$3,7,29)&gt;EOMONTH(DATE($B$3,7,1),0),NETWORKDAYS.INTL(DATE($B$3,7,29),DATE($B$3,7,29),1,'Non-working days'!$A$6:$A$45)=0),"",IF(COUNTIFS('Leave log'!$A$7:$A$306,Employees!$A$21,'Leave log'!$B$7:$B$306,"&lt;="&amp;DATE($B$3,7,29),'Leave log'!$C$7:$C$306,"&gt;="&amp;DATE($B$3,7,29),'Leave log'!$F$7:$F$306,"Pending")&gt;0,"P",""))))</f>
        <v/>
      </c>
      <c r="AE226" s="23" t="str">
        <f>IF(A226="","",IF(IF(OR(DATE($B$3,7,30)&gt;EOMONTH(DATE($B$3,7,1),0),NETWORKDAYS.INTL(DATE($B$3,7,30),DATE($B$3,7,30),1,'Non-working days'!$A$6:$A$45)=0),"",IF(COUNTIFS('Leave log'!$A$7:$A$306,Employees!$A$21,'Leave log'!$B$7:$B$306,"&lt;="&amp;DATE($B$3,7,30),'Leave log'!$C$7:$C$306,"&gt;="&amp;DATE($B$3,7,30),'Leave log'!$F$7:$F$306,"Approved")&gt;0,"A",""))="A","A",IF(OR(DATE($B$3,7,30)&gt;EOMONTH(DATE($B$3,7,1),0),NETWORKDAYS.INTL(DATE($B$3,7,30),DATE($B$3,7,30),1,'Non-working days'!$A$6:$A$45)=0),"",IF(COUNTIFS('Leave log'!$A$7:$A$306,Employees!$A$21,'Leave log'!$B$7:$B$306,"&lt;="&amp;DATE($B$3,7,30),'Leave log'!$C$7:$C$306,"&gt;="&amp;DATE($B$3,7,30),'Leave log'!$F$7:$F$306,"Pending")&gt;0,"P",""))))</f>
        <v/>
      </c>
      <c r="AF226" s="23" t="str">
        <f>IF(A226="","",IF(IF(OR(DATE($B$3,7,31)&gt;EOMONTH(DATE($B$3,7,1),0),NETWORKDAYS.INTL(DATE($B$3,7,31),DATE($B$3,7,31),1,'Non-working days'!$A$6:$A$45)=0),"",IF(COUNTIFS('Leave log'!$A$7:$A$306,Employees!$A$21,'Leave log'!$B$7:$B$306,"&lt;="&amp;DATE($B$3,7,31),'Leave log'!$C$7:$C$306,"&gt;="&amp;DATE($B$3,7,31),'Leave log'!$F$7:$F$306,"Approved")&gt;0,"A",""))="A","A",IF(OR(DATE($B$3,7,31)&gt;EOMONTH(DATE($B$3,7,1),0),NETWORKDAYS.INTL(DATE($B$3,7,31),DATE($B$3,7,31),1,'Non-working days'!$A$6:$A$45)=0),"",IF(COUNTIFS('Leave log'!$A$7:$A$306,Employees!$A$21,'Leave log'!$B$7:$B$306,"&lt;="&amp;DATE($B$3,7,31),'Leave log'!$C$7:$C$306,"&gt;="&amp;DATE($B$3,7,31),'Leave log'!$F$7:$F$306,"Pending")&gt;0,"P",""))))</f>
        <v/>
      </c>
    </row>
    <row r="227" spans="1:32" ht="18" customHeight="1" x14ac:dyDescent="0.3">
      <c r="A227" s="22" t="str">
        <f>IF(Employees!F22="Yes",Employees!B22,"")</f>
        <v/>
      </c>
      <c r="B227" s="23" t="str">
        <f>IF(A227="","",IF(IF(OR(DATE($B$3,7,1)&gt;EOMONTH(DATE($B$3,7,1),0),NETWORKDAYS.INTL(DATE($B$3,7,1),DATE($B$3,7,1),1,'Non-working days'!$A$6:$A$45)=0),"",IF(COUNTIFS('Leave log'!$A$7:$A$306,Employees!$A$22,'Leave log'!$B$7:$B$306,"&lt;="&amp;DATE($B$3,7,1),'Leave log'!$C$7:$C$306,"&gt;="&amp;DATE($B$3,7,1),'Leave log'!$F$7:$F$306,"Approved")&gt;0,"A",""))="A","A",IF(OR(DATE($B$3,7,1)&gt;EOMONTH(DATE($B$3,7,1),0),NETWORKDAYS.INTL(DATE($B$3,7,1),DATE($B$3,7,1),1,'Non-working days'!$A$6:$A$45)=0),"",IF(COUNTIFS('Leave log'!$A$7:$A$306,Employees!$A$22,'Leave log'!$B$7:$B$306,"&lt;="&amp;DATE($B$3,7,1),'Leave log'!$C$7:$C$306,"&gt;="&amp;DATE($B$3,7,1),'Leave log'!$F$7:$F$306,"Pending")&gt;0,"P",""))))</f>
        <v/>
      </c>
      <c r="C227" s="23" t="str">
        <f>IF(A227="","",IF(IF(OR(DATE($B$3,7,2)&gt;EOMONTH(DATE($B$3,7,1),0),NETWORKDAYS.INTL(DATE($B$3,7,2),DATE($B$3,7,2),1,'Non-working days'!$A$6:$A$45)=0),"",IF(COUNTIFS('Leave log'!$A$7:$A$306,Employees!$A$22,'Leave log'!$B$7:$B$306,"&lt;="&amp;DATE($B$3,7,2),'Leave log'!$C$7:$C$306,"&gt;="&amp;DATE($B$3,7,2),'Leave log'!$F$7:$F$306,"Approved")&gt;0,"A",""))="A","A",IF(OR(DATE($B$3,7,2)&gt;EOMONTH(DATE($B$3,7,1),0),NETWORKDAYS.INTL(DATE($B$3,7,2),DATE($B$3,7,2),1,'Non-working days'!$A$6:$A$45)=0),"",IF(COUNTIFS('Leave log'!$A$7:$A$306,Employees!$A$22,'Leave log'!$B$7:$B$306,"&lt;="&amp;DATE($B$3,7,2),'Leave log'!$C$7:$C$306,"&gt;="&amp;DATE($B$3,7,2),'Leave log'!$F$7:$F$306,"Pending")&gt;0,"P",""))))</f>
        <v/>
      </c>
      <c r="D227" s="23" t="str">
        <f>IF(A227="","",IF(IF(OR(DATE($B$3,7,3)&gt;EOMONTH(DATE($B$3,7,1),0),NETWORKDAYS.INTL(DATE($B$3,7,3),DATE($B$3,7,3),1,'Non-working days'!$A$6:$A$45)=0),"",IF(COUNTIFS('Leave log'!$A$7:$A$306,Employees!$A$22,'Leave log'!$B$7:$B$306,"&lt;="&amp;DATE($B$3,7,3),'Leave log'!$C$7:$C$306,"&gt;="&amp;DATE($B$3,7,3),'Leave log'!$F$7:$F$306,"Approved")&gt;0,"A",""))="A","A",IF(OR(DATE($B$3,7,3)&gt;EOMONTH(DATE($B$3,7,1),0),NETWORKDAYS.INTL(DATE($B$3,7,3),DATE($B$3,7,3),1,'Non-working days'!$A$6:$A$45)=0),"",IF(COUNTIFS('Leave log'!$A$7:$A$306,Employees!$A$22,'Leave log'!$B$7:$B$306,"&lt;="&amp;DATE($B$3,7,3),'Leave log'!$C$7:$C$306,"&gt;="&amp;DATE($B$3,7,3),'Leave log'!$F$7:$F$306,"Pending")&gt;0,"P",""))))</f>
        <v/>
      </c>
      <c r="E227" s="23" t="str">
        <f>IF(A227="","",IF(IF(OR(DATE($B$3,7,4)&gt;EOMONTH(DATE($B$3,7,1),0),NETWORKDAYS.INTL(DATE($B$3,7,4),DATE($B$3,7,4),1,'Non-working days'!$A$6:$A$45)=0),"",IF(COUNTIFS('Leave log'!$A$7:$A$306,Employees!$A$22,'Leave log'!$B$7:$B$306,"&lt;="&amp;DATE($B$3,7,4),'Leave log'!$C$7:$C$306,"&gt;="&amp;DATE($B$3,7,4),'Leave log'!$F$7:$F$306,"Approved")&gt;0,"A",""))="A","A",IF(OR(DATE($B$3,7,4)&gt;EOMONTH(DATE($B$3,7,1),0),NETWORKDAYS.INTL(DATE($B$3,7,4),DATE($B$3,7,4),1,'Non-working days'!$A$6:$A$45)=0),"",IF(COUNTIFS('Leave log'!$A$7:$A$306,Employees!$A$22,'Leave log'!$B$7:$B$306,"&lt;="&amp;DATE($B$3,7,4),'Leave log'!$C$7:$C$306,"&gt;="&amp;DATE($B$3,7,4),'Leave log'!$F$7:$F$306,"Pending")&gt;0,"P",""))))</f>
        <v/>
      </c>
      <c r="F227" s="23" t="str">
        <f>IF(A227="","",IF(IF(OR(DATE($B$3,7,5)&gt;EOMONTH(DATE($B$3,7,1),0),NETWORKDAYS.INTL(DATE($B$3,7,5),DATE($B$3,7,5),1,'Non-working days'!$A$6:$A$45)=0),"",IF(COUNTIFS('Leave log'!$A$7:$A$306,Employees!$A$22,'Leave log'!$B$7:$B$306,"&lt;="&amp;DATE($B$3,7,5),'Leave log'!$C$7:$C$306,"&gt;="&amp;DATE($B$3,7,5),'Leave log'!$F$7:$F$306,"Approved")&gt;0,"A",""))="A","A",IF(OR(DATE($B$3,7,5)&gt;EOMONTH(DATE($B$3,7,1),0),NETWORKDAYS.INTL(DATE($B$3,7,5),DATE($B$3,7,5),1,'Non-working days'!$A$6:$A$45)=0),"",IF(COUNTIFS('Leave log'!$A$7:$A$306,Employees!$A$22,'Leave log'!$B$7:$B$306,"&lt;="&amp;DATE($B$3,7,5),'Leave log'!$C$7:$C$306,"&gt;="&amp;DATE($B$3,7,5),'Leave log'!$F$7:$F$306,"Pending")&gt;0,"P",""))))</f>
        <v/>
      </c>
      <c r="G227" s="23" t="str">
        <f>IF(A227="","",IF(IF(OR(DATE($B$3,7,6)&gt;EOMONTH(DATE($B$3,7,1),0),NETWORKDAYS.INTL(DATE($B$3,7,6),DATE($B$3,7,6),1,'Non-working days'!$A$6:$A$45)=0),"",IF(COUNTIFS('Leave log'!$A$7:$A$306,Employees!$A$22,'Leave log'!$B$7:$B$306,"&lt;="&amp;DATE($B$3,7,6),'Leave log'!$C$7:$C$306,"&gt;="&amp;DATE($B$3,7,6),'Leave log'!$F$7:$F$306,"Approved")&gt;0,"A",""))="A","A",IF(OR(DATE($B$3,7,6)&gt;EOMONTH(DATE($B$3,7,1),0),NETWORKDAYS.INTL(DATE($B$3,7,6),DATE($B$3,7,6),1,'Non-working days'!$A$6:$A$45)=0),"",IF(COUNTIFS('Leave log'!$A$7:$A$306,Employees!$A$22,'Leave log'!$B$7:$B$306,"&lt;="&amp;DATE($B$3,7,6),'Leave log'!$C$7:$C$306,"&gt;="&amp;DATE($B$3,7,6),'Leave log'!$F$7:$F$306,"Pending")&gt;0,"P",""))))</f>
        <v/>
      </c>
      <c r="H227" s="23" t="str">
        <f>IF(A227="","",IF(IF(OR(DATE($B$3,7,7)&gt;EOMONTH(DATE($B$3,7,1),0),NETWORKDAYS.INTL(DATE($B$3,7,7),DATE($B$3,7,7),1,'Non-working days'!$A$6:$A$45)=0),"",IF(COUNTIFS('Leave log'!$A$7:$A$306,Employees!$A$22,'Leave log'!$B$7:$B$306,"&lt;="&amp;DATE($B$3,7,7),'Leave log'!$C$7:$C$306,"&gt;="&amp;DATE($B$3,7,7),'Leave log'!$F$7:$F$306,"Approved")&gt;0,"A",""))="A","A",IF(OR(DATE($B$3,7,7)&gt;EOMONTH(DATE($B$3,7,1),0),NETWORKDAYS.INTL(DATE($B$3,7,7),DATE($B$3,7,7),1,'Non-working days'!$A$6:$A$45)=0),"",IF(COUNTIFS('Leave log'!$A$7:$A$306,Employees!$A$22,'Leave log'!$B$7:$B$306,"&lt;="&amp;DATE($B$3,7,7),'Leave log'!$C$7:$C$306,"&gt;="&amp;DATE($B$3,7,7),'Leave log'!$F$7:$F$306,"Pending")&gt;0,"P",""))))</f>
        <v/>
      </c>
      <c r="I227" s="23" t="str">
        <f>IF(A227="","",IF(IF(OR(DATE($B$3,7,8)&gt;EOMONTH(DATE($B$3,7,1),0),NETWORKDAYS.INTL(DATE($B$3,7,8),DATE($B$3,7,8),1,'Non-working days'!$A$6:$A$45)=0),"",IF(COUNTIFS('Leave log'!$A$7:$A$306,Employees!$A$22,'Leave log'!$B$7:$B$306,"&lt;="&amp;DATE($B$3,7,8),'Leave log'!$C$7:$C$306,"&gt;="&amp;DATE($B$3,7,8),'Leave log'!$F$7:$F$306,"Approved")&gt;0,"A",""))="A","A",IF(OR(DATE($B$3,7,8)&gt;EOMONTH(DATE($B$3,7,1),0),NETWORKDAYS.INTL(DATE($B$3,7,8),DATE($B$3,7,8),1,'Non-working days'!$A$6:$A$45)=0),"",IF(COUNTIFS('Leave log'!$A$7:$A$306,Employees!$A$22,'Leave log'!$B$7:$B$306,"&lt;="&amp;DATE($B$3,7,8),'Leave log'!$C$7:$C$306,"&gt;="&amp;DATE($B$3,7,8),'Leave log'!$F$7:$F$306,"Pending")&gt;0,"P",""))))</f>
        <v/>
      </c>
      <c r="J227" s="23" t="str">
        <f>IF(A227="","",IF(IF(OR(DATE($B$3,7,9)&gt;EOMONTH(DATE($B$3,7,1),0),NETWORKDAYS.INTL(DATE($B$3,7,9),DATE($B$3,7,9),1,'Non-working days'!$A$6:$A$45)=0),"",IF(COUNTIFS('Leave log'!$A$7:$A$306,Employees!$A$22,'Leave log'!$B$7:$B$306,"&lt;="&amp;DATE($B$3,7,9),'Leave log'!$C$7:$C$306,"&gt;="&amp;DATE($B$3,7,9),'Leave log'!$F$7:$F$306,"Approved")&gt;0,"A",""))="A","A",IF(OR(DATE($B$3,7,9)&gt;EOMONTH(DATE($B$3,7,1),0),NETWORKDAYS.INTL(DATE($B$3,7,9),DATE($B$3,7,9),1,'Non-working days'!$A$6:$A$45)=0),"",IF(COUNTIFS('Leave log'!$A$7:$A$306,Employees!$A$22,'Leave log'!$B$7:$B$306,"&lt;="&amp;DATE($B$3,7,9),'Leave log'!$C$7:$C$306,"&gt;="&amp;DATE($B$3,7,9),'Leave log'!$F$7:$F$306,"Pending")&gt;0,"P",""))))</f>
        <v/>
      </c>
      <c r="K227" s="23" t="str">
        <f>IF(A227="","",IF(IF(OR(DATE($B$3,7,10)&gt;EOMONTH(DATE($B$3,7,1),0),NETWORKDAYS.INTL(DATE($B$3,7,10),DATE($B$3,7,10),1,'Non-working days'!$A$6:$A$45)=0),"",IF(COUNTIFS('Leave log'!$A$7:$A$306,Employees!$A$22,'Leave log'!$B$7:$B$306,"&lt;="&amp;DATE($B$3,7,10),'Leave log'!$C$7:$C$306,"&gt;="&amp;DATE($B$3,7,10),'Leave log'!$F$7:$F$306,"Approved")&gt;0,"A",""))="A","A",IF(OR(DATE($B$3,7,10)&gt;EOMONTH(DATE($B$3,7,1),0),NETWORKDAYS.INTL(DATE($B$3,7,10),DATE($B$3,7,10),1,'Non-working days'!$A$6:$A$45)=0),"",IF(COUNTIFS('Leave log'!$A$7:$A$306,Employees!$A$22,'Leave log'!$B$7:$B$306,"&lt;="&amp;DATE($B$3,7,10),'Leave log'!$C$7:$C$306,"&gt;="&amp;DATE($B$3,7,10),'Leave log'!$F$7:$F$306,"Pending")&gt;0,"P",""))))</f>
        <v/>
      </c>
      <c r="L227" s="23" t="str">
        <f>IF(A227="","",IF(IF(OR(DATE($B$3,7,11)&gt;EOMONTH(DATE($B$3,7,1),0),NETWORKDAYS.INTL(DATE($B$3,7,11),DATE($B$3,7,11),1,'Non-working days'!$A$6:$A$45)=0),"",IF(COUNTIFS('Leave log'!$A$7:$A$306,Employees!$A$22,'Leave log'!$B$7:$B$306,"&lt;="&amp;DATE($B$3,7,11),'Leave log'!$C$7:$C$306,"&gt;="&amp;DATE($B$3,7,11),'Leave log'!$F$7:$F$306,"Approved")&gt;0,"A",""))="A","A",IF(OR(DATE($B$3,7,11)&gt;EOMONTH(DATE($B$3,7,1),0),NETWORKDAYS.INTL(DATE($B$3,7,11),DATE($B$3,7,11),1,'Non-working days'!$A$6:$A$45)=0),"",IF(COUNTIFS('Leave log'!$A$7:$A$306,Employees!$A$22,'Leave log'!$B$7:$B$306,"&lt;="&amp;DATE($B$3,7,11),'Leave log'!$C$7:$C$306,"&gt;="&amp;DATE($B$3,7,11),'Leave log'!$F$7:$F$306,"Pending")&gt;0,"P",""))))</f>
        <v/>
      </c>
      <c r="M227" s="23" t="str">
        <f>IF(A227="","",IF(IF(OR(DATE($B$3,7,12)&gt;EOMONTH(DATE($B$3,7,1),0),NETWORKDAYS.INTL(DATE($B$3,7,12),DATE($B$3,7,12),1,'Non-working days'!$A$6:$A$45)=0),"",IF(COUNTIFS('Leave log'!$A$7:$A$306,Employees!$A$22,'Leave log'!$B$7:$B$306,"&lt;="&amp;DATE($B$3,7,12),'Leave log'!$C$7:$C$306,"&gt;="&amp;DATE($B$3,7,12),'Leave log'!$F$7:$F$306,"Approved")&gt;0,"A",""))="A","A",IF(OR(DATE($B$3,7,12)&gt;EOMONTH(DATE($B$3,7,1),0),NETWORKDAYS.INTL(DATE($B$3,7,12),DATE($B$3,7,12),1,'Non-working days'!$A$6:$A$45)=0),"",IF(COUNTIFS('Leave log'!$A$7:$A$306,Employees!$A$22,'Leave log'!$B$7:$B$306,"&lt;="&amp;DATE($B$3,7,12),'Leave log'!$C$7:$C$306,"&gt;="&amp;DATE($B$3,7,12),'Leave log'!$F$7:$F$306,"Pending")&gt;0,"P",""))))</f>
        <v/>
      </c>
      <c r="N227" s="23" t="str">
        <f>IF(A227="","",IF(IF(OR(DATE($B$3,7,13)&gt;EOMONTH(DATE($B$3,7,1),0),NETWORKDAYS.INTL(DATE($B$3,7,13),DATE($B$3,7,13),1,'Non-working days'!$A$6:$A$45)=0),"",IF(COUNTIFS('Leave log'!$A$7:$A$306,Employees!$A$22,'Leave log'!$B$7:$B$306,"&lt;="&amp;DATE($B$3,7,13),'Leave log'!$C$7:$C$306,"&gt;="&amp;DATE($B$3,7,13),'Leave log'!$F$7:$F$306,"Approved")&gt;0,"A",""))="A","A",IF(OR(DATE($B$3,7,13)&gt;EOMONTH(DATE($B$3,7,1),0),NETWORKDAYS.INTL(DATE($B$3,7,13),DATE($B$3,7,13),1,'Non-working days'!$A$6:$A$45)=0),"",IF(COUNTIFS('Leave log'!$A$7:$A$306,Employees!$A$22,'Leave log'!$B$7:$B$306,"&lt;="&amp;DATE($B$3,7,13),'Leave log'!$C$7:$C$306,"&gt;="&amp;DATE($B$3,7,13),'Leave log'!$F$7:$F$306,"Pending")&gt;0,"P",""))))</f>
        <v/>
      </c>
      <c r="O227" s="23" t="str">
        <f>IF(A227="","",IF(IF(OR(DATE($B$3,7,14)&gt;EOMONTH(DATE($B$3,7,1),0),NETWORKDAYS.INTL(DATE($B$3,7,14),DATE($B$3,7,14),1,'Non-working days'!$A$6:$A$45)=0),"",IF(COUNTIFS('Leave log'!$A$7:$A$306,Employees!$A$22,'Leave log'!$B$7:$B$306,"&lt;="&amp;DATE($B$3,7,14),'Leave log'!$C$7:$C$306,"&gt;="&amp;DATE($B$3,7,14),'Leave log'!$F$7:$F$306,"Approved")&gt;0,"A",""))="A","A",IF(OR(DATE($B$3,7,14)&gt;EOMONTH(DATE($B$3,7,1),0),NETWORKDAYS.INTL(DATE($B$3,7,14),DATE($B$3,7,14),1,'Non-working days'!$A$6:$A$45)=0),"",IF(COUNTIFS('Leave log'!$A$7:$A$306,Employees!$A$22,'Leave log'!$B$7:$B$306,"&lt;="&amp;DATE($B$3,7,14),'Leave log'!$C$7:$C$306,"&gt;="&amp;DATE($B$3,7,14),'Leave log'!$F$7:$F$306,"Pending")&gt;0,"P",""))))</f>
        <v/>
      </c>
      <c r="P227" s="23" t="str">
        <f>IF(A227="","",IF(IF(OR(DATE($B$3,7,15)&gt;EOMONTH(DATE($B$3,7,1),0),NETWORKDAYS.INTL(DATE($B$3,7,15),DATE($B$3,7,15),1,'Non-working days'!$A$6:$A$45)=0),"",IF(COUNTIFS('Leave log'!$A$7:$A$306,Employees!$A$22,'Leave log'!$B$7:$B$306,"&lt;="&amp;DATE($B$3,7,15),'Leave log'!$C$7:$C$306,"&gt;="&amp;DATE($B$3,7,15),'Leave log'!$F$7:$F$306,"Approved")&gt;0,"A",""))="A","A",IF(OR(DATE($B$3,7,15)&gt;EOMONTH(DATE($B$3,7,1),0),NETWORKDAYS.INTL(DATE($B$3,7,15),DATE($B$3,7,15),1,'Non-working days'!$A$6:$A$45)=0),"",IF(COUNTIFS('Leave log'!$A$7:$A$306,Employees!$A$22,'Leave log'!$B$7:$B$306,"&lt;="&amp;DATE($B$3,7,15),'Leave log'!$C$7:$C$306,"&gt;="&amp;DATE($B$3,7,15),'Leave log'!$F$7:$F$306,"Pending")&gt;0,"P",""))))</f>
        <v/>
      </c>
      <c r="Q227" s="23" t="str">
        <f>IF(A227="","",IF(IF(OR(DATE($B$3,7,16)&gt;EOMONTH(DATE($B$3,7,1),0),NETWORKDAYS.INTL(DATE($B$3,7,16),DATE($B$3,7,16),1,'Non-working days'!$A$6:$A$45)=0),"",IF(COUNTIFS('Leave log'!$A$7:$A$306,Employees!$A$22,'Leave log'!$B$7:$B$306,"&lt;="&amp;DATE($B$3,7,16),'Leave log'!$C$7:$C$306,"&gt;="&amp;DATE($B$3,7,16),'Leave log'!$F$7:$F$306,"Approved")&gt;0,"A",""))="A","A",IF(OR(DATE($B$3,7,16)&gt;EOMONTH(DATE($B$3,7,1),0),NETWORKDAYS.INTL(DATE($B$3,7,16),DATE($B$3,7,16),1,'Non-working days'!$A$6:$A$45)=0),"",IF(COUNTIFS('Leave log'!$A$7:$A$306,Employees!$A$22,'Leave log'!$B$7:$B$306,"&lt;="&amp;DATE($B$3,7,16),'Leave log'!$C$7:$C$306,"&gt;="&amp;DATE($B$3,7,16),'Leave log'!$F$7:$F$306,"Pending")&gt;0,"P",""))))</f>
        <v/>
      </c>
      <c r="R227" s="23" t="str">
        <f>IF(A227="","",IF(IF(OR(DATE($B$3,7,17)&gt;EOMONTH(DATE($B$3,7,1),0),NETWORKDAYS.INTL(DATE($B$3,7,17),DATE($B$3,7,17),1,'Non-working days'!$A$6:$A$45)=0),"",IF(COUNTIFS('Leave log'!$A$7:$A$306,Employees!$A$22,'Leave log'!$B$7:$B$306,"&lt;="&amp;DATE($B$3,7,17),'Leave log'!$C$7:$C$306,"&gt;="&amp;DATE($B$3,7,17),'Leave log'!$F$7:$F$306,"Approved")&gt;0,"A",""))="A","A",IF(OR(DATE($B$3,7,17)&gt;EOMONTH(DATE($B$3,7,1),0),NETWORKDAYS.INTL(DATE($B$3,7,17),DATE($B$3,7,17),1,'Non-working days'!$A$6:$A$45)=0),"",IF(COUNTIFS('Leave log'!$A$7:$A$306,Employees!$A$22,'Leave log'!$B$7:$B$306,"&lt;="&amp;DATE($B$3,7,17),'Leave log'!$C$7:$C$306,"&gt;="&amp;DATE($B$3,7,17),'Leave log'!$F$7:$F$306,"Pending")&gt;0,"P",""))))</f>
        <v/>
      </c>
      <c r="S227" s="23" t="str">
        <f>IF(A227="","",IF(IF(OR(DATE($B$3,7,18)&gt;EOMONTH(DATE($B$3,7,1),0),NETWORKDAYS.INTL(DATE($B$3,7,18),DATE($B$3,7,18),1,'Non-working days'!$A$6:$A$45)=0),"",IF(COUNTIFS('Leave log'!$A$7:$A$306,Employees!$A$22,'Leave log'!$B$7:$B$306,"&lt;="&amp;DATE($B$3,7,18),'Leave log'!$C$7:$C$306,"&gt;="&amp;DATE($B$3,7,18),'Leave log'!$F$7:$F$306,"Approved")&gt;0,"A",""))="A","A",IF(OR(DATE($B$3,7,18)&gt;EOMONTH(DATE($B$3,7,1),0),NETWORKDAYS.INTL(DATE($B$3,7,18),DATE($B$3,7,18),1,'Non-working days'!$A$6:$A$45)=0),"",IF(COUNTIFS('Leave log'!$A$7:$A$306,Employees!$A$22,'Leave log'!$B$7:$B$306,"&lt;="&amp;DATE($B$3,7,18),'Leave log'!$C$7:$C$306,"&gt;="&amp;DATE($B$3,7,18),'Leave log'!$F$7:$F$306,"Pending")&gt;0,"P",""))))</f>
        <v/>
      </c>
      <c r="T227" s="23" t="str">
        <f>IF(A227="","",IF(IF(OR(DATE($B$3,7,19)&gt;EOMONTH(DATE($B$3,7,1),0),NETWORKDAYS.INTL(DATE($B$3,7,19),DATE($B$3,7,19),1,'Non-working days'!$A$6:$A$45)=0),"",IF(COUNTIFS('Leave log'!$A$7:$A$306,Employees!$A$22,'Leave log'!$B$7:$B$306,"&lt;="&amp;DATE($B$3,7,19),'Leave log'!$C$7:$C$306,"&gt;="&amp;DATE($B$3,7,19),'Leave log'!$F$7:$F$306,"Approved")&gt;0,"A",""))="A","A",IF(OR(DATE($B$3,7,19)&gt;EOMONTH(DATE($B$3,7,1),0),NETWORKDAYS.INTL(DATE($B$3,7,19),DATE($B$3,7,19),1,'Non-working days'!$A$6:$A$45)=0),"",IF(COUNTIFS('Leave log'!$A$7:$A$306,Employees!$A$22,'Leave log'!$B$7:$B$306,"&lt;="&amp;DATE($B$3,7,19),'Leave log'!$C$7:$C$306,"&gt;="&amp;DATE($B$3,7,19),'Leave log'!$F$7:$F$306,"Pending")&gt;0,"P",""))))</f>
        <v/>
      </c>
      <c r="U227" s="23" t="str">
        <f>IF(A227="","",IF(IF(OR(DATE($B$3,7,20)&gt;EOMONTH(DATE($B$3,7,1),0),NETWORKDAYS.INTL(DATE($B$3,7,20),DATE($B$3,7,20),1,'Non-working days'!$A$6:$A$45)=0),"",IF(COUNTIFS('Leave log'!$A$7:$A$306,Employees!$A$22,'Leave log'!$B$7:$B$306,"&lt;="&amp;DATE($B$3,7,20),'Leave log'!$C$7:$C$306,"&gt;="&amp;DATE($B$3,7,20),'Leave log'!$F$7:$F$306,"Approved")&gt;0,"A",""))="A","A",IF(OR(DATE($B$3,7,20)&gt;EOMONTH(DATE($B$3,7,1),0),NETWORKDAYS.INTL(DATE($B$3,7,20),DATE($B$3,7,20),1,'Non-working days'!$A$6:$A$45)=0),"",IF(COUNTIFS('Leave log'!$A$7:$A$306,Employees!$A$22,'Leave log'!$B$7:$B$306,"&lt;="&amp;DATE($B$3,7,20),'Leave log'!$C$7:$C$306,"&gt;="&amp;DATE($B$3,7,20),'Leave log'!$F$7:$F$306,"Pending")&gt;0,"P",""))))</f>
        <v/>
      </c>
      <c r="V227" s="23" t="str">
        <f>IF(A227="","",IF(IF(OR(DATE($B$3,7,21)&gt;EOMONTH(DATE($B$3,7,1),0),NETWORKDAYS.INTL(DATE($B$3,7,21),DATE($B$3,7,21),1,'Non-working days'!$A$6:$A$45)=0),"",IF(COUNTIFS('Leave log'!$A$7:$A$306,Employees!$A$22,'Leave log'!$B$7:$B$306,"&lt;="&amp;DATE($B$3,7,21),'Leave log'!$C$7:$C$306,"&gt;="&amp;DATE($B$3,7,21),'Leave log'!$F$7:$F$306,"Approved")&gt;0,"A",""))="A","A",IF(OR(DATE($B$3,7,21)&gt;EOMONTH(DATE($B$3,7,1),0),NETWORKDAYS.INTL(DATE($B$3,7,21),DATE($B$3,7,21),1,'Non-working days'!$A$6:$A$45)=0),"",IF(COUNTIFS('Leave log'!$A$7:$A$306,Employees!$A$22,'Leave log'!$B$7:$B$306,"&lt;="&amp;DATE($B$3,7,21),'Leave log'!$C$7:$C$306,"&gt;="&amp;DATE($B$3,7,21),'Leave log'!$F$7:$F$306,"Pending")&gt;0,"P",""))))</f>
        <v/>
      </c>
      <c r="W227" s="23" t="str">
        <f>IF(A227="","",IF(IF(OR(DATE($B$3,7,22)&gt;EOMONTH(DATE($B$3,7,1),0),NETWORKDAYS.INTL(DATE($B$3,7,22),DATE($B$3,7,22),1,'Non-working days'!$A$6:$A$45)=0),"",IF(COUNTIFS('Leave log'!$A$7:$A$306,Employees!$A$22,'Leave log'!$B$7:$B$306,"&lt;="&amp;DATE($B$3,7,22),'Leave log'!$C$7:$C$306,"&gt;="&amp;DATE($B$3,7,22),'Leave log'!$F$7:$F$306,"Approved")&gt;0,"A",""))="A","A",IF(OR(DATE($B$3,7,22)&gt;EOMONTH(DATE($B$3,7,1),0),NETWORKDAYS.INTL(DATE($B$3,7,22),DATE($B$3,7,22),1,'Non-working days'!$A$6:$A$45)=0),"",IF(COUNTIFS('Leave log'!$A$7:$A$306,Employees!$A$22,'Leave log'!$B$7:$B$306,"&lt;="&amp;DATE($B$3,7,22),'Leave log'!$C$7:$C$306,"&gt;="&amp;DATE($B$3,7,22),'Leave log'!$F$7:$F$306,"Pending")&gt;0,"P",""))))</f>
        <v/>
      </c>
      <c r="X227" s="23" t="str">
        <f>IF(A227="","",IF(IF(OR(DATE($B$3,7,23)&gt;EOMONTH(DATE($B$3,7,1),0),NETWORKDAYS.INTL(DATE($B$3,7,23),DATE($B$3,7,23),1,'Non-working days'!$A$6:$A$45)=0),"",IF(COUNTIFS('Leave log'!$A$7:$A$306,Employees!$A$22,'Leave log'!$B$7:$B$306,"&lt;="&amp;DATE($B$3,7,23),'Leave log'!$C$7:$C$306,"&gt;="&amp;DATE($B$3,7,23),'Leave log'!$F$7:$F$306,"Approved")&gt;0,"A",""))="A","A",IF(OR(DATE($B$3,7,23)&gt;EOMONTH(DATE($B$3,7,1),0),NETWORKDAYS.INTL(DATE($B$3,7,23),DATE($B$3,7,23),1,'Non-working days'!$A$6:$A$45)=0),"",IF(COUNTIFS('Leave log'!$A$7:$A$306,Employees!$A$22,'Leave log'!$B$7:$B$306,"&lt;="&amp;DATE($B$3,7,23),'Leave log'!$C$7:$C$306,"&gt;="&amp;DATE($B$3,7,23),'Leave log'!$F$7:$F$306,"Pending")&gt;0,"P",""))))</f>
        <v/>
      </c>
      <c r="Y227" s="23" t="str">
        <f>IF(A227="","",IF(IF(OR(DATE($B$3,7,24)&gt;EOMONTH(DATE($B$3,7,1),0),NETWORKDAYS.INTL(DATE($B$3,7,24),DATE($B$3,7,24),1,'Non-working days'!$A$6:$A$45)=0),"",IF(COUNTIFS('Leave log'!$A$7:$A$306,Employees!$A$22,'Leave log'!$B$7:$B$306,"&lt;="&amp;DATE($B$3,7,24),'Leave log'!$C$7:$C$306,"&gt;="&amp;DATE($B$3,7,24),'Leave log'!$F$7:$F$306,"Approved")&gt;0,"A",""))="A","A",IF(OR(DATE($B$3,7,24)&gt;EOMONTH(DATE($B$3,7,1),0),NETWORKDAYS.INTL(DATE($B$3,7,24),DATE($B$3,7,24),1,'Non-working days'!$A$6:$A$45)=0),"",IF(COUNTIFS('Leave log'!$A$7:$A$306,Employees!$A$22,'Leave log'!$B$7:$B$306,"&lt;="&amp;DATE($B$3,7,24),'Leave log'!$C$7:$C$306,"&gt;="&amp;DATE($B$3,7,24),'Leave log'!$F$7:$F$306,"Pending")&gt;0,"P",""))))</f>
        <v/>
      </c>
      <c r="Z227" s="23" t="str">
        <f>IF(A227="","",IF(IF(OR(DATE($B$3,7,25)&gt;EOMONTH(DATE($B$3,7,1),0),NETWORKDAYS.INTL(DATE($B$3,7,25),DATE($B$3,7,25),1,'Non-working days'!$A$6:$A$45)=0),"",IF(COUNTIFS('Leave log'!$A$7:$A$306,Employees!$A$22,'Leave log'!$B$7:$B$306,"&lt;="&amp;DATE($B$3,7,25),'Leave log'!$C$7:$C$306,"&gt;="&amp;DATE($B$3,7,25),'Leave log'!$F$7:$F$306,"Approved")&gt;0,"A",""))="A","A",IF(OR(DATE($B$3,7,25)&gt;EOMONTH(DATE($B$3,7,1),0),NETWORKDAYS.INTL(DATE($B$3,7,25),DATE($B$3,7,25),1,'Non-working days'!$A$6:$A$45)=0),"",IF(COUNTIFS('Leave log'!$A$7:$A$306,Employees!$A$22,'Leave log'!$B$7:$B$306,"&lt;="&amp;DATE($B$3,7,25),'Leave log'!$C$7:$C$306,"&gt;="&amp;DATE($B$3,7,25),'Leave log'!$F$7:$F$306,"Pending")&gt;0,"P",""))))</f>
        <v/>
      </c>
      <c r="AA227" s="23" t="str">
        <f>IF(A227="","",IF(IF(OR(DATE($B$3,7,26)&gt;EOMONTH(DATE($B$3,7,1),0),NETWORKDAYS.INTL(DATE($B$3,7,26),DATE($B$3,7,26),1,'Non-working days'!$A$6:$A$45)=0),"",IF(COUNTIFS('Leave log'!$A$7:$A$306,Employees!$A$22,'Leave log'!$B$7:$B$306,"&lt;="&amp;DATE($B$3,7,26),'Leave log'!$C$7:$C$306,"&gt;="&amp;DATE($B$3,7,26),'Leave log'!$F$7:$F$306,"Approved")&gt;0,"A",""))="A","A",IF(OR(DATE($B$3,7,26)&gt;EOMONTH(DATE($B$3,7,1),0),NETWORKDAYS.INTL(DATE($B$3,7,26),DATE($B$3,7,26),1,'Non-working days'!$A$6:$A$45)=0),"",IF(COUNTIFS('Leave log'!$A$7:$A$306,Employees!$A$22,'Leave log'!$B$7:$B$306,"&lt;="&amp;DATE($B$3,7,26),'Leave log'!$C$7:$C$306,"&gt;="&amp;DATE($B$3,7,26),'Leave log'!$F$7:$F$306,"Pending")&gt;0,"P",""))))</f>
        <v/>
      </c>
      <c r="AB227" s="23" t="str">
        <f>IF(A227="","",IF(IF(OR(DATE($B$3,7,27)&gt;EOMONTH(DATE($B$3,7,1),0),NETWORKDAYS.INTL(DATE($B$3,7,27),DATE($B$3,7,27),1,'Non-working days'!$A$6:$A$45)=0),"",IF(COUNTIFS('Leave log'!$A$7:$A$306,Employees!$A$22,'Leave log'!$B$7:$B$306,"&lt;="&amp;DATE($B$3,7,27),'Leave log'!$C$7:$C$306,"&gt;="&amp;DATE($B$3,7,27),'Leave log'!$F$7:$F$306,"Approved")&gt;0,"A",""))="A","A",IF(OR(DATE($B$3,7,27)&gt;EOMONTH(DATE($B$3,7,1),0),NETWORKDAYS.INTL(DATE($B$3,7,27),DATE($B$3,7,27),1,'Non-working days'!$A$6:$A$45)=0),"",IF(COUNTIFS('Leave log'!$A$7:$A$306,Employees!$A$22,'Leave log'!$B$7:$B$306,"&lt;="&amp;DATE($B$3,7,27),'Leave log'!$C$7:$C$306,"&gt;="&amp;DATE($B$3,7,27),'Leave log'!$F$7:$F$306,"Pending")&gt;0,"P",""))))</f>
        <v/>
      </c>
      <c r="AC227" s="23" t="str">
        <f>IF(A227="","",IF(IF(OR(DATE($B$3,7,28)&gt;EOMONTH(DATE($B$3,7,1),0),NETWORKDAYS.INTL(DATE($B$3,7,28),DATE($B$3,7,28),1,'Non-working days'!$A$6:$A$45)=0),"",IF(COUNTIFS('Leave log'!$A$7:$A$306,Employees!$A$22,'Leave log'!$B$7:$B$306,"&lt;="&amp;DATE($B$3,7,28),'Leave log'!$C$7:$C$306,"&gt;="&amp;DATE($B$3,7,28),'Leave log'!$F$7:$F$306,"Approved")&gt;0,"A",""))="A","A",IF(OR(DATE($B$3,7,28)&gt;EOMONTH(DATE($B$3,7,1),0),NETWORKDAYS.INTL(DATE($B$3,7,28),DATE($B$3,7,28),1,'Non-working days'!$A$6:$A$45)=0),"",IF(COUNTIFS('Leave log'!$A$7:$A$306,Employees!$A$22,'Leave log'!$B$7:$B$306,"&lt;="&amp;DATE($B$3,7,28),'Leave log'!$C$7:$C$306,"&gt;="&amp;DATE($B$3,7,28),'Leave log'!$F$7:$F$306,"Pending")&gt;0,"P",""))))</f>
        <v/>
      </c>
      <c r="AD227" s="23" t="str">
        <f>IF(A227="","",IF(IF(OR(DATE($B$3,7,29)&gt;EOMONTH(DATE($B$3,7,1),0),NETWORKDAYS.INTL(DATE($B$3,7,29),DATE($B$3,7,29),1,'Non-working days'!$A$6:$A$45)=0),"",IF(COUNTIFS('Leave log'!$A$7:$A$306,Employees!$A$22,'Leave log'!$B$7:$B$306,"&lt;="&amp;DATE($B$3,7,29),'Leave log'!$C$7:$C$306,"&gt;="&amp;DATE($B$3,7,29),'Leave log'!$F$7:$F$306,"Approved")&gt;0,"A",""))="A","A",IF(OR(DATE($B$3,7,29)&gt;EOMONTH(DATE($B$3,7,1),0),NETWORKDAYS.INTL(DATE($B$3,7,29),DATE($B$3,7,29),1,'Non-working days'!$A$6:$A$45)=0),"",IF(COUNTIFS('Leave log'!$A$7:$A$306,Employees!$A$22,'Leave log'!$B$7:$B$306,"&lt;="&amp;DATE($B$3,7,29),'Leave log'!$C$7:$C$306,"&gt;="&amp;DATE($B$3,7,29),'Leave log'!$F$7:$F$306,"Pending")&gt;0,"P",""))))</f>
        <v/>
      </c>
      <c r="AE227" s="23" t="str">
        <f>IF(A227="","",IF(IF(OR(DATE($B$3,7,30)&gt;EOMONTH(DATE($B$3,7,1),0),NETWORKDAYS.INTL(DATE($B$3,7,30),DATE($B$3,7,30),1,'Non-working days'!$A$6:$A$45)=0),"",IF(COUNTIFS('Leave log'!$A$7:$A$306,Employees!$A$22,'Leave log'!$B$7:$B$306,"&lt;="&amp;DATE($B$3,7,30),'Leave log'!$C$7:$C$306,"&gt;="&amp;DATE($B$3,7,30),'Leave log'!$F$7:$F$306,"Approved")&gt;0,"A",""))="A","A",IF(OR(DATE($B$3,7,30)&gt;EOMONTH(DATE($B$3,7,1),0),NETWORKDAYS.INTL(DATE($B$3,7,30),DATE($B$3,7,30),1,'Non-working days'!$A$6:$A$45)=0),"",IF(COUNTIFS('Leave log'!$A$7:$A$306,Employees!$A$22,'Leave log'!$B$7:$B$306,"&lt;="&amp;DATE($B$3,7,30),'Leave log'!$C$7:$C$306,"&gt;="&amp;DATE($B$3,7,30),'Leave log'!$F$7:$F$306,"Pending")&gt;0,"P",""))))</f>
        <v/>
      </c>
      <c r="AF227" s="23" t="str">
        <f>IF(A227="","",IF(IF(OR(DATE($B$3,7,31)&gt;EOMONTH(DATE($B$3,7,1),0),NETWORKDAYS.INTL(DATE($B$3,7,31),DATE($B$3,7,31),1,'Non-working days'!$A$6:$A$45)=0),"",IF(COUNTIFS('Leave log'!$A$7:$A$306,Employees!$A$22,'Leave log'!$B$7:$B$306,"&lt;="&amp;DATE($B$3,7,31),'Leave log'!$C$7:$C$306,"&gt;="&amp;DATE($B$3,7,31),'Leave log'!$F$7:$F$306,"Approved")&gt;0,"A",""))="A","A",IF(OR(DATE($B$3,7,31)&gt;EOMONTH(DATE($B$3,7,1),0),NETWORKDAYS.INTL(DATE($B$3,7,31),DATE($B$3,7,31),1,'Non-working days'!$A$6:$A$45)=0),"",IF(COUNTIFS('Leave log'!$A$7:$A$306,Employees!$A$22,'Leave log'!$B$7:$B$306,"&lt;="&amp;DATE($B$3,7,31),'Leave log'!$C$7:$C$306,"&gt;="&amp;DATE($B$3,7,31),'Leave log'!$F$7:$F$306,"Pending")&gt;0,"P",""))))</f>
        <v/>
      </c>
    </row>
    <row r="228" spans="1:32" ht="18" customHeight="1" x14ac:dyDescent="0.3">
      <c r="A228" s="22" t="str">
        <f>IF(Employees!F23="Yes",Employees!B23,"")</f>
        <v/>
      </c>
      <c r="B228" s="23" t="str">
        <f>IF(A228="","",IF(IF(OR(DATE($B$3,7,1)&gt;EOMONTH(DATE($B$3,7,1),0),NETWORKDAYS.INTL(DATE($B$3,7,1),DATE($B$3,7,1),1,'Non-working days'!$A$6:$A$45)=0),"",IF(COUNTIFS('Leave log'!$A$7:$A$306,Employees!$A$23,'Leave log'!$B$7:$B$306,"&lt;="&amp;DATE($B$3,7,1),'Leave log'!$C$7:$C$306,"&gt;="&amp;DATE($B$3,7,1),'Leave log'!$F$7:$F$306,"Approved")&gt;0,"A",""))="A","A",IF(OR(DATE($B$3,7,1)&gt;EOMONTH(DATE($B$3,7,1),0),NETWORKDAYS.INTL(DATE($B$3,7,1),DATE($B$3,7,1),1,'Non-working days'!$A$6:$A$45)=0),"",IF(COUNTIFS('Leave log'!$A$7:$A$306,Employees!$A$23,'Leave log'!$B$7:$B$306,"&lt;="&amp;DATE($B$3,7,1),'Leave log'!$C$7:$C$306,"&gt;="&amp;DATE($B$3,7,1),'Leave log'!$F$7:$F$306,"Pending")&gt;0,"P",""))))</f>
        <v/>
      </c>
      <c r="C228" s="23" t="str">
        <f>IF(A228="","",IF(IF(OR(DATE($B$3,7,2)&gt;EOMONTH(DATE($B$3,7,1),0),NETWORKDAYS.INTL(DATE($B$3,7,2),DATE($B$3,7,2),1,'Non-working days'!$A$6:$A$45)=0),"",IF(COUNTIFS('Leave log'!$A$7:$A$306,Employees!$A$23,'Leave log'!$B$7:$B$306,"&lt;="&amp;DATE($B$3,7,2),'Leave log'!$C$7:$C$306,"&gt;="&amp;DATE($B$3,7,2),'Leave log'!$F$7:$F$306,"Approved")&gt;0,"A",""))="A","A",IF(OR(DATE($B$3,7,2)&gt;EOMONTH(DATE($B$3,7,1),0),NETWORKDAYS.INTL(DATE($B$3,7,2),DATE($B$3,7,2),1,'Non-working days'!$A$6:$A$45)=0),"",IF(COUNTIFS('Leave log'!$A$7:$A$306,Employees!$A$23,'Leave log'!$B$7:$B$306,"&lt;="&amp;DATE($B$3,7,2),'Leave log'!$C$7:$C$306,"&gt;="&amp;DATE($B$3,7,2),'Leave log'!$F$7:$F$306,"Pending")&gt;0,"P",""))))</f>
        <v/>
      </c>
      <c r="D228" s="23" t="str">
        <f>IF(A228="","",IF(IF(OR(DATE($B$3,7,3)&gt;EOMONTH(DATE($B$3,7,1),0),NETWORKDAYS.INTL(DATE($B$3,7,3),DATE($B$3,7,3),1,'Non-working days'!$A$6:$A$45)=0),"",IF(COUNTIFS('Leave log'!$A$7:$A$306,Employees!$A$23,'Leave log'!$B$7:$B$306,"&lt;="&amp;DATE($B$3,7,3),'Leave log'!$C$7:$C$306,"&gt;="&amp;DATE($B$3,7,3),'Leave log'!$F$7:$F$306,"Approved")&gt;0,"A",""))="A","A",IF(OR(DATE($B$3,7,3)&gt;EOMONTH(DATE($B$3,7,1),0),NETWORKDAYS.INTL(DATE($B$3,7,3),DATE($B$3,7,3),1,'Non-working days'!$A$6:$A$45)=0),"",IF(COUNTIFS('Leave log'!$A$7:$A$306,Employees!$A$23,'Leave log'!$B$7:$B$306,"&lt;="&amp;DATE($B$3,7,3),'Leave log'!$C$7:$C$306,"&gt;="&amp;DATE($B$3,7,3),'Leave log'!$F$7:$F$306,"Pending")&gt;0,"P",""))))</f>
        <v/>
      </c>
      <c r="E228" s="23" t="str">
        <f>IF(A228="","",IF(IF(OR(DATE($B$3,7,4)&gt;EOMONTH(DATE($B$3,7,1),0),NETWORKDAYS.INTL(DATE($B$3,7,4),DATE($B$3,7,4),1,'Non-working days'!$A$6:$A$45)=0),"",IF(COUNTIFS('Leave log'!$A$7:$A$306,Employees!$A$23,'Leave log'!$B$7:$B$306,"&lt;="&amp;DATE($B$3,7,4),'Leave log'!$C$7:$C$306,"&gt;="&amp;DATE($B$3,7,4),'Leave log'!$F$7:$F$306,"Approved")&gt;0,"A",""))="A","A",IF(OR(DATE($B$3,7,4)&gt;EOMONTH(DATE($B$3,7,1),0),NETWORKDAYS.INTL(DATE($B$3,7,4),DATE($B$3,7,4),1,'Non-working days'!$A$6:$A$45)=0),"",IF(COUNTIFS('Leave log'!$A$7:$A$306,Employees!$A$23,'Leave log'!$B$7:$B$306,"&lt;="&amp;DATE($B$3,7,4),'Leave log'!$C$7:$C$306,"&gt;="&amp;DATE($B$3,7,4),'Leave log'!$F$7:$F$306,"Pending")&gt;0,"P",""))))</f>
        <v/>
      </c>
      <c r="F228" s="23" t="str">
        <f>IF(A228="","",IF(IF(OR(DATE($B$3,7,5)&gt;EOMONTH(DATE($B$3,7,1),0),NETWORKDAYS.INTL(DATE($B$3,7,5),DATE($B$3,7,5),1,'Non-working days'!$A$6:$A$45)=0),"",IF(COUNTIFS('Leave log'!$A$7:$A$306,Employees!$A$23,'Leave log'!$B$7:$B$306,"&lt;="&amp;DATE($B$3,7,5),'Leave log'!$C$7:$C$306,"&gt;="&amp;DATE($B$3,7,5),'Leave log'!$F$7:$F$306,"Approved")&gt;0,"A",""))="A","A",IF(OR(DATE($B$3,7,5)&gt;EOMONTH(DATE($B$3,7,1),0),NETWORKDAYS.INTL(DATE($B$3,7,5),DATE($B$3,7,5),1,'Non-working days'!$A$6:$A$45)=0),"",IF(COUNTIFS('Leave log'!$A$7:$A$306,Employees!$A$23,'Leave log'!$B$7:$B$306,"&lt;="&amp;DATE($B$3,7,5),'Leave log'!$C$7:$C$306,"&gt;="&amp;DATE($B$3,7,5),'Leave log'!$F$7:$F$306,"Pending")&gt;0,"P",""))))</f>
        <v/>
      </c>
      <c r="G228" s="23" t="str">
        <f>IF(A228="","",IF(IF(OR(DATE($B$3,7,6)&gt;EOMONTH(DATE($B$3,7,1),0),NETWORKDAYS.INTL(DATE($B$3,7,6),DATE($B$3,7,6),1,'Non-working days'!$A$6:$A$45)=0),"",IF(COUNTIFS('Leave log'!$A$7:$A$306,Employees!$A$23,'Leave log'!$B$7:$B$306,"&lt;="&amp;DATE($B$3,7,6),'Leave log'!$C$7:$C$306,"&gt;="&amp;DATE($B$3,7,6),'Leave log'!$F$7:$F$306,"Approved")&gt;0,"A",""))="A","A",IF(OR(DATE($B$3,7,6)&gt;EOMONTH(DATE($B$3,7,1),0),NETWORKDAYS.INTL(DATE($B$3,7,6),DATE($B$3,7,6),1,'Non-working days'!$A$6:$A$45)=0),"",IF(COUNTIFS('Leave log'!$A$7:$A$306,Employees!$A$23,'Leave log'!$B$7:$B$306,"&lt;="&amp;DATE($B$3,7,6),'Leave log'!$C$7:$C$306,"&gt;="&amp;DATE($B$3,7,6),'Leave log'!$F$7:$F$306,"Pending")&gt;0,"P",""))))</f>
        <v/>
      </c>
      <c r="H228" s="23" t="str">
        <f>IF(A228="","",IF(IF(OR(DATE($B$3,7,7)&gt;EOMONTH(DATE($B$3,7,1),0),NETWORKDAYS.INTL(DATE($B$3,7,7),DATE($B$3,7,7),1,'Non-working days'!$A$6:$A$45)=0),"",IF(COUNTIFS('Leave log'!$A$7:$A$306,Employees!$A$23,'Leave log'!$B$7:$B$306,"&lt;="&amp;DATE($B$3,7,7),'Leave log'!$C$7:$C$306,"&gt;="&amp;DATE($B$3,7,7),'Leave log'!$F$7:$F$306,"Approved")&gt;0,"A",""))="A","A",IF(OR(DATE($B$3,7,7)&gt;EOMONTH(DATE($B$3,7,1),0),NETWORKDAYS.INTL(DATE($B$3,7,7),DATE($B$3,7,7),1,'Non-working days'!$A$6:$A$45)=0),"",IF(COUNTIFS('Leave log'!$A$7:$A$306,Employees!$A$23,'Leave log'!$B$7:$B$306,"&lt;="&amp;DATE($B$3,7,7),'Leave log'!$C$7:$C$306,"&gt;="&amp;DATE($B$3,7,7),'Leave log'!$F$7:$F$306,"Pending")&gt;0,"P",""))))</f>
        <v/>
      </c>
      <c r="I228" s="23" t="str">
        <f>IF(A228="","",IF(IF(OR(DATE($B$3,7,8)&gt;EOMONTH(DATE($B$3,7,1),0),NETWORKDAYS.INTL(DATE($B$3,7,8),DATE($B$3,7,8),1,'Non-working days'!$A$6:$A$45)=0),"",IF(COUNTIFS('Leave log'!$A$7:$A$306,Employees!$A$23,'Leave log'!$B$7:$B$306,"&lt;="&amp;DATE($B$3,7,8),'Leave log'!$C$7:$C$306,"&gt;="&amp;DATE($B$3,7,8),'Leave log'!$F$7:$F$306,"Approved")&gt;0,"A",""))="A","A",IF(OR(DATE($B$3,7,8)&gt;EOMONTH(DATE($B$3,7,1),0),NETWORKDAYS.INTL(DATE($B$3,7,8),DATE($B$3,7,8),1,'Non-working days'!$A$6:$A$45)=0),"",IF(COUNTIFS('Leave log'!$A$7:$A$306,Employees!$A$23,'Leave log'!$B$7:$B$306,"&lt;="&amp;DATE($B$3,7,8),'Leave log'!$C$7:$C$306,"&gt;="&amp;DATE($B$3,7,8),'Leave log'!$F$7:$F$306,"Pending")&gt;0,"P",""))))</f>
        <v/>
      </c>
      <c r="J228" s="23" t="str">
        <f>IF(A228="","",IF(IF(OR(DATE($B$3,7,9)&gt;EOMONTH(DATE($B$3,7,1),0),NETWORKDAYS.INTL(DATE($B$3,7,9),DATE($B$3,7,9),1,'Non-working days'!$A$6:$A$45)=0),"",IF(COUNTIFS('Leave log'!$A$7:$A$306,Employees!$A$23,'Leave log'!$B$7:$B$306,"&lt;="&amp;DATE($B$3,7,9),'Leave log'!$C$7:$C$306,"&gt;="&amp;DATE($B$3,7,9),'Leave log'!$F$7:$F$306,"Approved")&gt;0,"A",""))="A","A",IF(OR(DATE($B$3,7,9)&gt;EOMONTH(DATE($B$3,7,1),0),NETWORKDAYS.INTL(DATE($B$3,7,9),DATE($B$3,7,9),1,'Non-working days'!$A$6:$A$45)=0),"",IF(COUNTIFS('Leave log'!$A$7:$A$306,Employees!$A$23,'Leave log'!$B$7:$B$306,"&lt;="&amp;DATE($B$3,7,9),'Leave log'!$C$7:$C$306,"&gt;="&amp;DATE($B$3,7,9),'Leave log'!$F$7:$F$306,"Pending")&gt;0,"P",""))))</f>
        <v/>
      </c>
      <c r="K228" s="23" t="str">
        <f>IF(A228="","",IF(IF(OR(DATE($B$3,7,10)&gt;EOMONTH(DATE($B$3,7,1),0),NETWORKDAYS.INTL(DATE($B$3,7,10),DATE($B$3,7,10),1,'Non-working days'!$A$6:$A$45)=0),"",IF(COUNTIFS('Leave log'!$A$7:$A$306,Employees!$A$23,'Leave log'!$B$7:$B$306,"&lt;="&amp;DATE($B$3,7,10),'Leave log'!$C$7:$C$306,"&gt;="&amp;DATE($B$3,7,10),'Leave log'!$F$7:$F$306,"Approved")&gt;0,"A",""))="A","A",IF(OR(DATE($B$3,7,10)&gt;EOMONTH(DATE($B$3,7,1),0),NETWORKDAYS.INTL(DATE($B$3,7,10),DATE($B$3,7,10),1,'Non-working days'!$A$6:$A$45)=0),"",IF(COUNTIFS('Leave log'!$A$7:$A$306,Employees!$A$23,'Leave log'!$B$7:$B$306,"&lt;="&amp;DATE($B$3,7,10),'Leave log'!$C$7:$C$306,"&gt;="&amp;DATE($B$3,7,10),'Leave log'!$F$7:$F$306,"Pending")&gt;0,"P",""))))</f>
        <v/>
      </c>
      <c r="L228" s="23" t="str">
        <f>IF(A228="","",IF(IF(OR(DATE($B$3,7,11)&gt;EOMONTH(DATE($B$3,7,1),0),NETWORKDAYS.INTL(DATE($B$3,7,11),DATE($B$3,7,11),1,'Non-working days'!$A$6:$A$45)=0),"",IF(COUNTIFS('Leave log'!$A$7:$A$306,Employees!$A$23,'Leave log'!$B$7:$B$306,"&lt;="&amp;DATE($B$3,7,11),'Leave log'!$C$7:$C$306,"&gt;="&amp;DATE($B$3,7,11),'Leave log'!$F$7:$F$306,"Approved")&gt;0,"A",""))="A","A",IF(OR(DATE($B$3,7,11)&gt;EOMONTH(DATE($B$3,7,1),0),NETWORKDAYS.INTL(DATE($B$3,7,11),DATE($B$3,7,11),1,'Non-working days'!$A$6:$A$45)=0),"",IF(COUNTIFS('Leave log'!$A$7:$A$306,Employees!$A$23,'Leave log'!$B$7:$B$306,"&lt;="&amp;DATE($B$3,7,11),'Leave log'!$C$7:$C$306,"&gt;="&amp;DATE($B$3,7,11),'Leave log'!$F$7:$F$306,"Pending")&gt;0,"P",""))))</f>
        <v/>
      </c>
      <c r="M228" s="23" t="str">
        <f>IF(A228="","",IF(IF(OR(DATE($B$3,7,12)&gt;EOMONTH(DATE($B$3,7,1),0),NETWORKDAYS.INTL(DATE($B$3,7,12),DATE($B$3,7,12),1,'Non-working days'!$A$6:$A$45)=0),"",IF(COUNTIFS('Leave log'!$A$7:$A$306,Employees!$A$23,'Leave log'!$B$7:$B$306,"&lt;="&amp;DATE($B$3,7,12),'Leave log'!$C$7:$C$306,"&gt;="&amp;DATE($B$3,7,12),'Leave log'!$F$7:$F$306,"Approved")&gt;0,"A",""))="A","A",IF(OR(DATE($B$3,7,12)&gt;EOMONTH(DATE($B$3,7,1),0),NETWORKDAYS.INTL(DATE($B$3,7,12),DATE($B$3,7,12),1,'Non-working days'!$A$6:$A$45)=0),"",IF(COUNTIFS('Leave log'!$A$7:$A$306,Employees!$A$23,'Leave log'!$B$7:$B$306,"&lt;="&amp;DATE($B$3,7,12),'Leave log'!$C$7:$C$306,"&gt;="&amp;DATE($B$3,7,12),'Leave log'!$F$7:$F$306,"Pending")&gt;0,"P",""))))</f>
        <v/>
      </c>
      <c r="N228" s="23" t="str">
        <f>IF(A228="","",IF(IF(OR(DATE($B$3,7,13)&gt;EOMONTH(DATE($B$3,7,1),0),NETWORKDAYS.INTL(DATE($B$3,7,13),DATE($B$3,7,13),1,'Non-working days'!$A$6:$A$45)=0),"",IF(COUNTIFS('Leave log'!$A$7:$A$306,Employees!$A$23,'Leave log'!$B$7:$B$306,"&lt;="&amp;DATE($B$3,7,13),'Leave log'!$C$7:$C$306,"&gt;="&amp;DATE($B$3,7,13),'Leave log'!$F$7:$F$306,"Approved")&gt;0,"A",""))="A","A",IF(OR(DATE($B$3,7,13)&gt;EOMONTH(DATE($B$3,7,1),0),NETWORKDAYS.INTL(DATE($B$3,7,13),DATE($B$3,7,13),1,'Non-working days'!$A$6:$A$45)=0),"",IF(COUNTIFS('Leave log'!$A$7:$A$306,Employees!$A$23,'Leave log'!$B$7:$B$306,"&lt;="&amp;DATE($B$3,7,13),'Leave log'!$C$7:$C$306,"&gt;="&amp;DATE($B$3,7,13),'Leave log'!$F$7:$F$306,"Pending")&gt;0,"P",""))))</f>
        <v/>
      </c>
      <c r="O228" s="23" t="str">
        <f>IF(A228="","",IF(IF(OR(DATE($B$3,7,14)&gt;EOMONTH(DATE($B$3,7,1),0),NETWORKDAYS.INTL(DATE($B$3,7,14),DATE($B$3,7,14),1,'Non-working days'!$A$6:$A$45)=0),"",IF(COUNTIFS('Leave log'!$A$7:$A$306,Employees!$A$23,'Leave log'!$B$7:$B$306,"&lt;="&amp;DATE($B$3,7,14),'Leave log'!$C$7:$C$306,"&gt;="&amp;DATE($B$3,7,14),'Leave log'!$F$7:$F$306,"Approved")&gt;0,"A",""))="A","A",IF(OR(DATE($B$3,7,14)&gt;EOMONTH(DATE($B$3,7,1),0),NETWORKDAYS.INTL(DATE($B$3,7,14),DATE($B$3,7,14),1,'Non-working days'!$A$6:$A$45)=0),"",IF(COUNTIFS('Leave log'!$A$7:$A$306,Employees!$A$23,'Leave log'!$B$7:$B$306,"&lt;="&amp;DATE($B$3,7,14),'Leave log'!$C$7:$C$306,"&gt;="&amp;DATE($B$3,7,14),'Leave log'!$F$7:$F$306,"Pending")&gt;0,"P",""))))</f>
        <v/>
      </c>
      <c r="P228" s="23" t="str">
        <f>IF(A228="","",IF(IF(OR(DATE($B$3,7,15)&gt;EOMONTH(DATE($B$3,7,1),0),NETWORKDAYS.INTL(DATE($B$3,7,15),DATE($B$3,7,15),1,'Non-working days'!$A$6:$A$45)=0),"",IF(COUNTIFS('Leave log'!$A$7:$A$306,Employees!$A$23,'Leave log'!$B$7:$B$306,"&lt;="&amp;DATE($B$3,7,15),'Leave log'!$C$7:$C$306,"&gt;="&amp;DATE($B$3,7,15),'Leave log'!$F$7:$F$306,"Approved")&gt;0,"A",""))="A","A",IF(OR(DATE($B$3,7,15)&gt;EOMONTH(DATE($B$3,7,1),0),NETWORKDAYS.INTL(DATE($B$3,7,15),DATE($B$3,7,15),1,'Non-working days'!$A$6:$A$45)=0),"",IF(COUNTIFS('Leave log'!$A$7:$A$306,Employees!$A$23,'Leave log'!$B$7:$B$306,"&lt;="&amp;DATE($B$3,7,15),'Leave log'!$C$7:$C$306,"&gt;="&amp;DATE($B$3,7,15),'Leave log'!$F$7:$F$306,"Pending")&gt;0,"P",""))))</f>
        <v/>
      </c>
      <c r="Q228" s="23" t="str">
        <f>IF(A228="","",IF(IF(OR(DATE($B$3,7,16)&gt;EOMONTH(DATE($B$3,7,1),0),NETWORKDAYS.INTL(DATE($B$3,7,16),DATE($B$3,7,16),1,'Non-working days'!$A$6:$A$45)=0),"",IF(COUNTIFS('Leave log'!$A$7:$A$306,Employees!$A$23,'Leave log'!$B$7:$B$306,"&lt;="&amp;DATE($B$3,7,16),'Leave log'!$C$7:$C$306,"&gt;="&amp;DATE($B$3,7,16),'Leave log'!$F$7:$F$306,"Approved")&gt;0,"A",""))="A","A",IF(OR(DATE($B$3,7,16)&gt;EOMONTH(DATE($B$3,7,1),0),NETWORKDAYS.INTL(DATE($B$3,7,16),DATE($B$3,7,16),1,'Non-working days'!$A$6:$A$45)=0),"",IF(COUNTIFS('Leave log'!$A$7:$A$306,Employees!$A$23,'Leave log'!$B$7:$B$306,"&lt;="&amp;DATE($B$3,7,16),'Leave log'!$C$7:$C$306,"&gt;="&amp;DATE($B$3,7,16),'Leave log'!$F$7:$F$306,"Pending")&gt;0,"P",""))))</f>
        <v/>
      </c>
      <c r="R228" s="23" t="str">
        <f>IF(A228="","",IF(IF(OR(DATE($B$3,7,17)&gt;EOMONTH(DATE($B$3,7,1),0),NETWORKDAYS.INTL(DATE($B$3,7,17),DATE($B$3,7,17),1,'Non-working days'!$A$6:$A$45)=0),"",IF(COUNTIFS('Leave log'!$A$7:$A$306,Employees!$A$23,'Leave log'!$B$7:$B$306,"&lt;="&amp;DATE($B$3,7,17),'Leave log'!$C$7:$C$306,"&gt;="&amp;DATE($B$3,7,17),'Leave log'!$F$7:$F$306,"Approved")&gt;0,"A",""))="A","A",IF(OR(DATE($B$3,7,17)&gt;EOMONTH(DATE($B$3,7,1),0),NETWORKDAYS.INTL(DATE($B$3,7,17),DATE($B$3,7,17),1,'Non-working days'!$A$6:$A$45)=0),"",IF(COUNTIFS('Leave log'!$A$7:$A$306,Employees!$A$23,'Leave log'!$B$7:$B$306,"&lt;="&amp;DATE($B$3,7,17),'Leave log'!$C$7:$C$306,"&gt;="&amp;DATE($B$3,7,17),'Leave log'!$F$7:$F$306,"Pending")&gt;0,"P",""))))</f>
        <v/>
      </c>
      <c r="S228" s="23" t="str">
        <f>IF(A228="","",IF(IF(OR(DATE($B$3,7,18)&gt;EOMONTH(DATE($B$3,7,1),0),NETWORKDAYS.INTL(DATE($B$3,7,18),DATE($B$3,7,18),1,'Non-working days'!$A$6:$A$45)=0),"",IF(COUNTIFS('Leave log'!$A$7:$A$306,Employees!$A$23,'Leave log'!$B$7:$B$306,"&lt;="&amp;DATE($B$3,7,18),'Leave log'!$C$7:$C$306,"&gt;="&amp;DATE($B$3,7,18),'Leave log'!$F$7:$F$306,"Approved")&gt;0,"A",""))="A","A",IF(OR(DATE($B$3,7,18)&gt;EOMONTH(DATE($B$3,7,1),0),NETWORKDAYS.INTL(DATE($B$3,7,18),DATE($B$3,7,18),1,'Non-working days'!$A$6:$A$45)=0),"",IF(COUNTIFS('Leave log'!$A$7:$A$306,Employees!$A$23,'Leave log'!$B$7:$B$306,"&lt;="&amp;DATE($B$3,7,18),'Leave log'!$C$7:$C$306,"&gt;="&amp;DATE($B$3,7,18),'Leave log'!$F$7:$F$306,"Pending")&gt;0,"P",""))))</f>
        <v/>
      </c>
      <c r="T228" s="23" t="str">
        <f>IF(A228="","",IF(IF(OR(DATE($B$3,7,19)&gt;EOMONTH(DATE($B$3,7,1),0),NETWORKDAYS.INTL(DATE($B$3,7,19),DATE($B$3,7,19),1,'Non-working days'!$A$6:$A$45)=0),"",IF(COUNTIFS('Leave log'!$A$7:$A$306,Employees!$A$23,'Leave log'!$B$7:$B$306,"&lt;="&amp;DATE($B$3,7,19),'Leave log'!$C$7:$C$306,"&gt;="&amp;DATE($B$3,7,19),'Leave log'!$F$7:$F$306,"Approved")&gt;0,"A",""))="A","A",IF(OR(DATE($B$3,7,19)&gt;EOMONTH(DATE($B$3,7,1),0),NETWORKDAYS.INTL(DATE($B$3,7,19),DATE($B$3,7,19),1,'Non-working days'!$A$6:$A$45)=0),"",IF(COUNTIFS('Leave log'!$A$7:$A$306,Employees!$A$23,'Leave log'!$B$7:$B$306,"&lt;="&amp;DATE($B$3,7,19),'Leave log'!$C$7:$C$306,"&gt;="&amp;DATE($B$3,7,19),'Leave log'!$F$7:$F$306,"Pending")&gt;0,"P",""))))</f>
        <v/>
      </c>
      <c r="U228" s="23" t="str">
        <f>IF(A228="","",IF(IF(OR(DATE($B$3,7,20)&gt;EOMONTH(DATE($B$3,7,1),0),NETWORKDAYS.INTL(DATE($B$3,7,20),DATE($B$3,7,20),1,'Non-working days'!$A$6:$A$45)=0),"",IF(COUNTIFS('Leave log'!$A$7:$A$306,Employees!$A$23,'Leave log'!$B$7:$B$306,"&lt;="&amp;DATE($B$3,7,20),'Leave log'!$C$7:$C$306,"&gt;="&amp;DATE($B$3,7,20),'Leave log'!$F$7:$F$306,"Approved")&gt;0,"A",""))="A","A",IF(OR(DATE($B$3,7,20)&gt;EOMONTH(DATE($B$3,7,1),0),NETWORKDAYS.INTL(DATE($B$3,7,20),DATE($B$3,7,20),1,'Non-working days'!$A$6:$A$45)=0),"",IF(COUNTIFS('Leave log'!$A$7:$A$306,Employees!$A$23,'Leave log'!$B$7:$B$306,"&lt;="&amp;DATE($B$3,7,20),'Leave log'!$C$7:$C$306,"&gt;="&amp;DATE($B$3,7,20),'Leave log'!$F$7:$F$306,"Pending")&gt;0,"P",""))))</f>
        <v/>
      </c>
      <c r="V228" s="23" t="str">
        <f>IF(A228="","",IF(IF(OR(DATE($B$3,7,21)&gt;EOMONTH(DATE($B$3,7,1),0),NETWORKDAYS.INTL(DATE($B$3,7,21),DATE($B$3,7,21),1,'Non-working days'!$A$6:$A$45)=0),"",IF(COUNTIFS('Leave log'!$A$7:$A$306,Employees!$A$23,'Leave log'!$B$7:$B$306,"&lt;="&amp;DATE($B$3,7,21),'Leave log'!$C$7:$C$306,"&gt;="&amp;DATE($B$3,7,21),'Leave log'!$F$7:$F$306,"Approved")&gt;0,"A",""))="A","A",IF(OR(DATE($B$3,7,21)&gt;EOMONTH(DATE($B$3,7,1),0),NETWORKDAYS.INTL(DATE($B$3,7,21),DATE($B$3,7,21),1,'Non-working days'!$A$6:$A$45)=0),"",IF(COUNTIFS('Leave log'!$A$7:$A$306,Employees!$A$23,'Leave log'!$B$7:$B$306,"&lt;="&amp;DATE($B$3,7,21),'Leave log'!$C$7:$C$306,"&gt;="&amp;DATE($B$3,7,21),'Leave log'!$F$7:$F$306,"Pending")&gt;0,"P",""))))</f>
        <v/>
      </c>
      <c r="W228" s="23" t="str">
        <f>IF(A228="","",IF(IF(OR(DATE($B$3,7,22)&gt;EOMONTH(DATE($B$3,7,1),0),NETWORKDAYS.INTL(DATE($B$3,7,22),DATE($B$3,7,22),1,'Non-working days'!$A$6:$A$45)=0),"",IF(COUNTIFS('Leave log'!$A$7:$A$306,Employees!$A$23,'Leave log'!$B$7:$B$306,"&lt;="&amp;DATE($B$3,7,22),'Leave log'!$C$7:$C$306,"&gt;="&amp;DATE($B$3,7,22),'Leave log'!$F$7:$F$306,"Approved")&gt;0,"A",""))="A","A",IF(OR(DATE($B$3,7,22)&gt;EOMONTH(DATE($B$3,7,1),0),NETWORKDAYS.INTL(DATE($B$3,7,22),DATE($B$3,7,22),1,'Non-working days'!$A$6:$A$45)=0),"",IF(COUNTIFS('Leave log'!$A$7:$A$306,Employees!$A$23,'Leave log'!$B$7:$B$306,"&lt;="&amp;DATE($B$3,7,22),'Leave log'!$C$7:$C$306,"&gt;="&amp;DATE($B$3,7,22),'Leave log'!$F$7:$F$306,"Pending")&gt;0,"P",""))))</f>
        <v/>
      </c>
      <c r="X228" s="23" t="str">
        <f>IF(A228="","",IF(IF(OR(DATE($B$3,7,23)&gt;EOMONTH(DATE($B$3,7,1),0),NETWORKDAYS.INTL(DATE($B$3,7,23),DATE($B$3,7,23),1,'Non-working days'!$A$6:$A$45)=0),"",IF(COUNTIFS('Leave log'!$A$7:$A$306,Employees!$A$23,'Leave log'!$B$7:$B$306,"&lt;="&amp;DATE($B$3,7,23),'Leave log'!$C$7:$C$306,"&gt;="&amp;DATE($B$3,7,23),'Leave log'!$F$7:$F$306,"Approved")&gt;0,"A",""))="A","A",IF(OR(DATE($B$3,7,23)&gt;EOMONTH(DATE($B$3,7,1),0),NETWORKDAYS.INTL(DATE($B$3,7,23),DATE($B$3,7,23),1,'Non-working days'!$A$6:$A$45)=0),"",IF(COUNTIFS('Leave log'!$A$7:$A$306,Employees!$A$23,'Leave log'!$B$7:$B$306,"&lt;="&amp;DATE($B$3,7,23),'Leave log'!$C$7:$C$306,"&gt;="&amp;DATE($B$3,7,23),'Leave log'!$F$7:$F$306,"Pending")&gt;0,"P",""))))</f>
        <v/>
      </c>
      <c r="Y228" s="23" t="str">
        <f>IF(A228="","",IF(IF(OR(DATE($B$3,7,24)&gt;EOMONTH(DATE($B$3,7,1),0),NETWORKDAYS.INTL(DATE($B$3,7,24),DATE($B$3,7,24),1,'Non-working days'!$A$6:$A$45)=0),"",IF(COUNTIFS('Leave log'!$A$7:$A$306,Employees!$A$23,'Leave log'!$B$7:$B$306,"&lt;="&amp;DATE($B$3,7,24),'Leave log'!$C$7:$C$306,"&gt;="&amp;DATE($B$3,7,24),'Leave log'!$F$7:$F$306,"Approved")&gt;0,"A",""))="A","A",IF(OR(DATE($B$3,7,24)&gt;EOMONTH(DATE($B$3,7,1),0),NETWORKDAYS.INTL(DATE($B$3,7,24),DATE($B$3,7,24),1,'Non-working days'!$A$6:$A$45)=0),"",IF(COUNTIFS('Leave log'!$A$7:$A$306,Employees!$A$23,'Leave log'!$B$7:$B$306,"&lt;="&amp;DATE($B$3,7,24),'Leave log'!$C$7:$C$306,"&gt;="&amp;DATE($B$3,7,24),'Leave log'!$F$7:$F$306,"Pending")&gt;0,"P",""))))</f>
        <v/>
      </c>
      <c r="Z228" s="23" t="str">
        <f>IF(A228="","",IF(IF(OR(DATE($B$3,7,25)&gt;EOMONTH(DATE($B$3,7,1),0),NETWORKDAYS.INTL(DATE($B$3,7,25),DATE($B$3,7,25),1,'Non-working days'!$A$6:$A$45)=0),"",IF(COUNTIFS('Leave log'!$A$7:$A$306,Employees!$A$23,'Leave log'!$B$7:$B$306,"&lt;="&amp;DATE($B$3,7,25),'Leave log'!$C$7:$C$306,"&gt;="&amp;DATE($B$3,7,25),'Leave log'!$F$7:$F$306,"Approved")&gt;0,"A",""))="A","A",IF(OR(DATE($B$3,7,25)&gt;EOMONTH(DATE($B$3,7,1),0),NETWORKDAYS.INTL(DATE($B$3,7,25),DATE($B$3,7,25),1,'Non-working days'!$A$6:$A$45)=0),"",IF(COUNTIFS('Leave log'!$A$7:$A$306,Employees!$A$23,'Leave log'!$B$7:$B$306,"&lt;="&amp;DATE($B$3,7,25),'Leave log'!$C$7:$C$306,"&gt;="&amp;DATE($B$3,7,25),'Leave log'!$F$7:$F$306,"Pending")&gt;0,"P",""))))</f>
        <v/>
      </c>
      <c r="AA228" s="23" t="str">
        <f>IF(A228="","",IF(IF(OR(DATE($B$3,7,26)&gt;EOMONTH(DATE($B$3,7,1),0),NETWORKDAYS.INTL(DATE($B$3,7,26),DATE($B$3,7,26),1,'Non-working days'!$A$6:$A$45)=0),"",IF(COUNTIFS('Leave log'!$A$7:$A$306,Employees!$A$23,'Leave log'!$B$7:$B$306,"&lt;="&amp;DATE($B$3,7,26),'Leave log'!$C$7:$C$306,"&gt;="&amp;DATE($B$3,7,26),'Leave log'!$F$7:$F$306,"Approved")&gt;0,"A",""))="A","A",IF(OR(DATE($B$3,7,26)&gt;EOMONTH(DATE($B$3,7,1),0),NETWORKDAYS.INTL(DATE($B$3,7,26),DATE($B$3,7,26),1,'Non-working days'!$A$6:$A$45)=0),"",IF(COUNTIFS('Leave log'!$A$7:$A$306,Employees!$A$23,'Leave log'!$B$7:$B$306,"&lt;="&amp;DATE($B$3,7,26),'Leave log'!$C$7:$C$306,"&gt;="&amp;DATE($B$3,7,26),'Leave log'!$F$7:$F$306,"Pending")&gt;0,"P",""))))</f>
        <v/>
      </c>
      <c r="AB228" s="23" t="str">
        <f>IF(A228="","",IF(IF(OR(DATE($B$3,7,27)&gt;EOMONTH(DATE($B$3,7,1),0),NETWORKDAYS.INTL(DATE($B$3,7,27),DATE($B$3,7,27),1,'Non-working days'!$A$6:$A$45)=0),"",IF(COUNTIFS('Leave log'!$A$7:$A$306,Employees!$A$23,'Leave log'!$B$7:$B$306,"&lt;="&amp;DATE($B$3,7,27),'Leave log'!$C$7:$C$306,"&gt;="&amp;DATE($B$3,7,27),'Leave log'!$F$7:$F$306,"Approved")&gt;0,"A",""))="A","A",IF(OR(DATE($B$3,7,27)&gt;EOMONTH(DATE($B$3,7,1),0),NETWORKDAYS.INTL(DATE($B$3,7,27),DATE($B$3,7,27),1,'Non-working days'!$A$6:$A$45)=0),"",IF(COUNTIFS('Leave log'!$A$7:$A$306,Employees!$A$23,'Leave log'!$B$7:$B$306,"&lt;="&amp;DATE($B$3,7,27),'Leave log'!$C$7:$C$306,"&gt;="&amp;DATE($B$3,7,27),'Leave log'!$F$7:$F$306,"Pending")&gt;0,"P",""))))</f>
        <v/>
      </c>
      <c r="AC228" s="23" t="str">
        <f>IF(A228="","",IF(IF(OR(DATE($B$3,7,28)&gt;EOMONTH(DATE($B$3,7,1),0),NETWORKDAYS.INTL(DATE($B$3,7,28),DATE($B$3,7,28),1,'Non-working days'!$A$6:$A$45)=0),"",IF(COUNTIFS('Leave log'!$A$7:$A$306,Employees!$A$23,'Leave log'!$B$7:$B$306,"&lt;="&amp;DATE($B$3,7,28),'Leave log'!$C$7:$C$306,"&gt;="&amp;DATE($B$3,7,28),'Leave log'!$F$7:$F$306,"Approved")&gt;0,"A",""))="A","A",IF(OR(DATE($B$3,7,28)&gt;EOMONTH(DATE($B$3,7,1),0),NETWORKDAYS.INTL(DATE($B$3,7,28),DATE($B$3,7,28),1,'Non-working days'!$A$6:$A$45)=0),"",IF(COUNTIFS('Leave log'!$A$7:$A$306,Employees!$A$23,'Leave log'!$B$7:$B$306,"&lt;="&amp;DATE($B$3,7,28),'Leave log'!$C$7:$C$306,"&gt;="&amp;DATE($B$3,7,28),'Leave log'!$F$7:$F$306,"Pending")&gt;0,"P",""))))</f>
        <v/>
      </c>
      <c r="AD228" s="23" t="str">
        <f>IF(A228="","",IF(IF(OR(DATE($B$3,7,29)&gt;EOMONTH(DATE($B$3,7,1),0),NETWORKDAYS.INTL(DATE($B$3,7,29),DATE($B$3,7,29),1,'Non-working days'!$A$6:$A$45)=0),"",IF(COUNTIFS('Leave log'!$A$7:$A$306,Employees!$A$23,'Leave log'!$B$7:$B$306,"&lt;="&amp;DATE($B$3,7,29),'Leave log'!$C$7:$C$306,"&gt;="&amp;DATE($B$3,7,29),'Leave log'!$F$7:$F$306,"Approved")&gt;0,"A",""))="A","A",IF(OR(DATE($B$3,7,29)&gt;EOMONTH(DATE($B$3,7,1),0),NETWORKDAYS.INTL(DATE($B$3,7,29),DATE($B$3,7,29),1,'Non-working days'!$A$6:$A$45)=0),"",IF(COUNTIFS('Leave log'!$A$7:$A$306,Employees!$A$23,'Leave log'!$B$7:$B$306,"&lt;="&amp;DATE($B$3,7,29),'Leave log'!$C$7:$C$306,"&gt;="&amp;DATE($B$3,7,29),'Leave log'!$F$7:$F$306,"Pending")&gt;0,"P",""))))</f>
        <v/>
      </c>
      <c r="AE228" s="23" t="str">
        <f>IF(A228="","",IF(IF(OR(DATE($B$3,7,30)&gt;EOMONTH(DATE($B$3,7,1),0),NETWORKDAYS.INTL(DATE($B$3,7,30),DATE($B$3,7,30),1,'Non-working days'!$A$6:$A$45)=0),"",IF(COUNTIFS('Leave log'!$A$7:$A$306,Employees!$A$23,'Leave log'!$B$7:$B$306,"&lt;="&amp;DATE($B$3,7,30),'Leave log'!$C$7:$C$306,"&gt;="&amp;DATE($B$3,7,30),'Leave log'!$F$7:$F$306,"Approved")&gt;0,"A",""))="A","A",IF(OR(DATE($B$3,7,30)&gt;EOMONTH(DATE($B$3,7,1),0),NETWORKDAYS.INTL(DATE($B$3,7,30),DATE($B$3,7,30),1,'Non-working days'!$A$6:$A$45)=0),"",IF(COUNTIFS('Leave log'!$A$7:$A$306,Employees!$A$23,'Leave log'!$B$7:$B$306,"&lt;="&amp;DATE($B$3,7,30),'Leave log'!$C$7:$C$306,"&gt;="&amp;DATE($B$3,7,30),'Leave log'!$F$7:$F$306,"Pending")&gt;0,"P",""))))</f>
        <v/>
      </c>
      <c r="AF228" s="23" t="str">
        <f>IF(A228="","",IF(IF(OR(DATE($B$3,7,31)&gt;EOMONTH(DATE($B$3,7,1),0),NETWORKDAYS.INTL(DATE($B$3,7,31),DATE($B$3,7,31),1,'Non-working days'!$A$6:$A$45)=0),"",IF(COUNTIFS('Leave log'!$A$7:$A$306,Employees!$A$23,'Leave log'!$B$7:$B$306,"&lt;="&amp;DATE($B$3,7,31),'Leave log'!$C$7:$C$306,"&gt;="&amp;DATE($B$3,7,31),'Leave log'!$F$7:$F$306,"Approved")&gt;0,"A",""))="A","A",IF(OR(DATE($B$3,7,31)&gt;EOMONTH(DATE($B$3,7,1),0),NETWORKDAYS.INTL(DATE($B$3,7,31),DATE($B$3,7,31),1,'Non-working days'!$A$6:$A$45)=0),"",IF(COUNTIFS('Leave log'!$A$7:$A$306,Employees!$A$23,'Leave log'!$B$7:$B$306,"&lt;="&amp;DATE($B$3,7,31),'Leave log'!$C$7:$C$306,"&gt;="&amp;DATE($B$3,7,31),'Leave log'!$F$7:$F$306,"Pending")&gt;0,"P",""))))</f>
        <v/>
      </c>
    </row>
    <row r="229" spans="1:32" ht="18" customHeight="1" x14ac:dyDescent="0.3">
      <c r="A229" s="22" t="str">
        <f>IF(Employees!F24="Yes",Employees!B24,"")</f>
        <v/>
      </c>
      <c r="B229" s="23" t="str">
        <f>IF(A229="","",IF(IF(OR(DATE($B$3,7,1)&gt;EOMONTH(DATE($B$3,7,1),0),NETWORKDAYS.INTL(DATE($B$3,7,1),DATE($B$3,7,1),1,'Non-working days'!$A$6:$A$45)=0),"",IF(COUNTIFS('Leave log'!$A$7:$A$306,Employees!$A$24,'Leave log'!$B$7:$B$306,"&lt;="&amp;DATE($B$3,7,1),'Leave log'!$C$7:$C$306,"&gt;="&amp;DATE($B$3,7,1),'Leave log'!$F$7:$F$306,"Approved")&gt;0,"A",""))="A","A",IF(OR(DATE($B$3,7,1)&gt;EOMONTH(DATE($B$3,7,1),0),NETWORKDAYS.INTL(DATE($B$3,7,1),DATE($B$3,7,1),1,'Non-working days'!$A$6:$A$45)=0),"",IF(COUNTIFS('Leave log'!$A$7:$A$306,Employees!$A$24,'Leave log'!$B$7:$B$306,"&lt;="&amp;DATE($B$3,7,1),'Leave log'!$C$7:$C$306,"&gt;="&amp;DATE($B$3,7,1),'Leave log'!$F$7:$F$306,"Pending")&gt;0,"P",""))))</f>
        <v/>
      </c>
      <c r="C229" s="23" t="str">
        <f>IF(A229="","",IF(IF(OR(DATE($B$3,7,2)&gt;EOMONTH(DATE($B$3,7,1),0),NETWORKDAYS.INTL(DATE($B$3,7,2),DATE($B$3,7,2),1,'Non-working days'!$A$6:$A$45)=0),"",IF(COUNTIFS('Leave log'!$A$7:$A$306,Employees!$A$24,'Leave log'!$B$7:$B$306,"&lt;="&amp;DATE($B$3,7,2),'Leave log'!$C$7:$C$306,"&gt;="&amp;DATE($B$3,7,2),'Leave log'!$F$7:$F$306,"Approved")&gt;0,"A",""))="A","A",IF(OR(DATE($B$3,7,2)&gt;EOMONTH(DATE($B$3,7,1),0),NETWORKDAYS.INTL(DATE($B$3,7,2),DATE($B$3,7,2),1,'Non-working days'!$A$6:$A$45)=0),"",IF(COUNTIFS('Leave log'!$A$7:$A$306,Employees!$A$24,'Leave log'!$B$7:$B$306,"&lt;="&amp;DATE($B$3,7,2),'Leave log'!$C$7:$C$306,"&gt;="&amp;DATE($B$3,7,2),'Leave log'!$F$7:$F$306,"Pending")&gt;0,"P",""))))</f>
        <v/>
      </c>
      <c r="D229" s="23" t="str">
        <f>IF(A229="","",IF(IF(OR(DATE($B$3,7,3)&gt;EOMONTH(DATE($B$3,7,1),0),NETWORKDAYS.INTL(DATE($B$3,7,3),DATE($B$3,7,3),1,'Non-working days'!$A$6:$A$45)=0),"",IF(COUNTIFS('Leave log'!$A$7:$A$306,Employees!$A$24,'Leave log'!$B$7:$B$306,"&lt;="&amp;DATE($B$3,7,3),'Leave log'!$C$7:$C$306,"&gt;="&amp;DATE($B$3,7,3),'Leave log'!$F$7:$F$306,"Approved")&gt;0,"A",""))="A","A",IF(OR(DATE($B$3,7,3)&gt;EOMONTH(DATE($B$3,7,1),0),NETWORKDAYS.INTL(DATE($B$3,7,3),DATE($B$3,7,3),1,'Non-working days'!$A$6:$A$45)=0),"",IF(COUNTIFS('Leave log'!$A$7:$A$306,Employees!$A$24,'Leave log'!$B$7:$B$306,"&lt;="&amp;DATE($B$3,7,3),'Leave log'!$C$7:$C$306,"&gt;="&amp;DATE($B$3,7,3),'Leave log'!$F$7:$F$306,"Pending")&gt;0,"P",""))))</f>
        <v/>
      </c>
      <c r="E229" s="23" t="str">
        <f>IF(A229="","",IF(IF(OR(DATE($B$3,7,4)&gt;EOMONTH(DATE($B$3,7,1),0),NETWORKDAYS.INTL(DATE($B$3,7,4),DATE($B$3,7,4),1,'Non-working days'!$A$6:$A$45)=0),"",IF(COUNTIFS('Leave log'!$A$7:$A$306,Employees!$A$24,'Leave log'!$B$7:$B$306,"&lt;="&amp;DATE($B$3,7,4),'Leave log'!$C$7:$C$306,"&gt;="&amp;DATE($B$3,7,4),'Leave log'!$F$7:$F$306,"Approved")&gt;0,"A",""))="A","A",IF(OR(DATE($B$3,7,4)&gt;EOMONTH(DATE($B$3,7,1),0),NETWORKDAYS.INTL(DATE($B$3,7,4),DATE($B$3,7,4),1,'Non-working days'!$A$6:$A$45)=0),"",IF(COUNTIFS('Leave log'!$A$7:$A$306,Employees!$A$24,'Leave log'!$B$7:$B$306,"&lt;="&amp;DATE($B$3,7,4),'Leave log'!$C$7:$C$306,"&gt;="&amp;DATE($B$3,7,4),'Leave log'!$F$7:$F$306,"Pending")&gt;0,"P",""))))</f>
        <v/>
      </c>
      <c r="F229" s="23" t="str">
        <f>IF(A229="","",IF(IF(OR(DATE($B$3,7,5)&gt;EOMONTH(DATE($B$3,7,1),0),NETWORKDAYS.INTL(DATE($B$3,7,5),DATE($B$3,7,5),1,'Non-working days'!$A$6:$A$45)=0),"",IF(COUNTIFS('Leave log'!$A$7:$A$306,Employees!$A$24,'Leave log'!$B$7:$B$306,"&lt;="&amp;DATE($B$3,7,5),'Leave log'!$C$7:$C$306,"&gt;="&amp;DATE($B$3,7,5),'Leave log'!$F$7:$F$306,"Approved")&gt;0,"A",""))="A","A",IF(OR(DATE($B$3,7,5)&gt;EOMONTH(DATE($B$3,7,1),0),NETWORKDAYS.INTL(DATE($B$3,7,5),DATE($B$3,7,5),1,'Non-working days'!$A$6:$A$45)=0),"",IF(COUNTIFS('Leave log'!$A$7:$A$306,Employees!$A$24,'Leave log'!$B$7:$B$306,"&lt;="&amp;DATE($B$3,7,5),'Leave log'!$C$7:$C$306,"&gt;="&amp;DATE($B$3,7,5),'Leave log'!$F$7:$F$306,"Pending")&gt;0,"P",""))))</f>
        <v/>
      </c>
      <c r="G229" s="23" t="str">
        <f>IF(A229="","",IF(IF(OR(DATE($B$3,7,6)&gt;EOMONTH(DATE($B$3,7,1),0),NETWORKDAYS.INTL(DATE($B$3,7,6),DATE($B$3,7,6),1,'Non-working days'!$A$6:$A$45)=0),"",IF(COUNTIFS('Leave log'!$A$7:$A$306,Employees!$A$24,'Leave log'!$B$7:$B$306,"&lt;="&amp;DATE($B$3,7,6),'Leave log'!$C$7:$C$306,"&gt;="&amp;DATE($B$3,7,6),'Leave log'!$F$7:$F$306,"Approved")&gt;0,"A",""))="A","A",IF(OR(DATE($B$3,7,6)&gt;EOMONTH(DATE($B$3,7,1),0),NETWORKDAYS.INTL(DATE($B$3,7,6),DATE($B$3,7,6),1,'Non-working days'!$A$6:$A$45)=0),"",IF(COUNTIFS('Leave log'!$A$7:$A$306,Employees!$A$24,'Leave log'!$B$7:$B$306,"&lt;="&amp;DATE($B$3,7,6),'Leave log'!$C$7:$C$306,"&gt;="&amp;DATE($B$3,7,6),'Leave log'!$F$7:$F$306,"Pending")&gt;0,"P",""))))</f>
        <v/>
      </c>
      <c r="H229" s="23" t="str">
        <f>IF(A229="","",IF(IF(OR(DATE($B$3,7,7)&gt;EOMONTH(DATE($B$3,7,1),0),NETWORKDAYS.INTL(DATE($B$3,7,7),DATE($B$3,7,7),1,'Non-working days'!$A$6:$A$45)=0),"",IF(COUNTIFS('Leave log'!$A$7:$A$306,Employees!$A$24,'Leave log'!$B$7:$B$306,"&lt;="&amp;DATE($B$3,7,7),'Leave log'!$C$7:$C$306,"&gt;="&amp;DATE($B$3,7,7),'Leave log'!$F$7:$F$306,"Approved")&gt;0,"A",""))="A","A",IF(OR(DATE($B$3,7,7)&gt;EOMONTH(DATE($B$3,7,1),0),NETWORKDAYS.INTL(DATE($B$3,7,7),DATE($B$3,7,7),1,'Non-working days'!$A$6:$A$45)=0),"",IF(COUNTIFS('Leave log'!$A$7:$A$306,Employees!$A$24,'Leave log'!$B$7:$B$306,"&lt;="&amp;DATE($B$3,7,7),'Leave log'!$C$7:$C$306,"&gt;="&amp;DATE($B$3,7,7),'Leave log'!$F$7:$F$306,"Pending")&gt;0,"P",""))))</f>
        <v/>
      </c>
      <c r="I229" s="23" t="str">
        <f>IF(A229="","",IF(IF(OR(DATE($B$3,7,8)&gt;EOMONTH(DATE($B$3,7,1),0),NETWORKDAYS.INTL(DATE($B$3,7,8),DATE($B$3,7,8),1,'Non-working days'!$A$6:$A$45)=0),"",IF(COUNTIFS('Leave log'!$A$7:$A$306,Employees!$A$24,'Leave log'!$B$7:$B$306,"&lt;="&amp;DATE($B$3,7,8),'Leave log'!$C$7:$C$306,"&gt;="&amp;DATE($B$3,7,8),'Leave log'!$F$7:$F$306,"Approved")&gt;0,"A",""))="A","A",IF(OR(DATE($B$3,7,8)&gt;EOMONTH(DATE($B$3,7,1),0),NETWORKDAYS.INTL(DATE($B$3,7,8),DATE($B$3,7,8),1,'Non-working days'!$A$6:$A$45)=0),"",IF(COUNTIFS('Leave log'!$A$7:$A$306,Employees!$A$24,'Leave log'!$B$7:$B$306,"&lt;="&amp;DATE($B$3,7,8),'Leave log'!$C$7:$C$306,"&gt;="&amp;DATE($B$3,7,8),'Leave log'!$F$7:$F$306,"Pending")&gt;0,"P",""))))</f>
        <v/>
      </c>
      <c r="J229" s="23" t="str">
        <f>IF(A229="","",IF(IF(OR(DATE($B$3,7,9)&gt;EOMONTH(DATE($B$3,7,1),0),NETWORKDAYS.INTL(DATE($B$3,7,9),DATE($B$3,7,9),1,'Non-working days'!$A$6:$A$45)=0),"",IF(COUNTIFS('Leave log'!$A$7:$A$306,Employees!$A$24,'Leave log'!$B$7:$B$306,"&lt;="&amp;DATE($B$3,7,9),'Leave log'!$C$7:$C$306,"&gt;="&amp;DATE($B$3,7,9),'Leave log'!$F$7:$F$306,"Approved")&gt;0,"A",""))="A","A",IF(OR(DATE($B$3,7,9)&gt;EOMONTH(DATE($B$3,7,1),0),NETWORKDAYS.INTL(DATE($B$3,7,9),DATE($B$3,7,9),1,'Non-working days'!$A$6:$A$45)=0),"",IF(COUNTIFS('Leave log'!$A$7:$A$306,Employees!$A$24,'Leave log'!$B$7:$B$306,"&lt;="&amp;DATE($B$3,7,9),'Leave log'!$C$7:$C$306,"&gt;="&amp;DATE($B$3,7,9),'Leave log'!$F$7:$F$306,"Pending")&gt;0,"P",""))))</f>
        <v/>
      </c>
      <c r="K229" s="23" t="str">
        <f>IF(A229="","",IF(IF(OR(DATE($B$3,7,10)&gt;EOMONTH(DATE($B$3,7,1),0),NETWORKDAYS.INTL(DATE($B$3,7,10),DATE($B$3,7,10),1,'Non-working days'!$A$6:$A$45)=0),"",IF(COUNTIFS('Leave log'!$A$7:$A$306,Employees!$A$24,'Leave log'!$B$7:$B$306,"&lt;="&amp;DATE($B$3,7,10),'Leave log'!$C$7:$C$306,"&gt;="&amp;DATE($B$3,7,10),'Leave log'!$F$7:$F$306,"Approved")&gt;0,"A",""))="A","A",IF(OR(DATE($B$3,7,10)&gt;EOMONTH(DATE($B$3,7,1),0),NETWORKDAYS.INTL(DATE($B$3,7,10),DATE($B$3,7,10),1,'Non-working days'!$A$6:$A$45)=0),"",IF(COUNTIFS('Leave log'!$A$7:$A$306,Employees!$A$24,'Leave log'!$B$7:$B$306,"&lt;="&amp;DATE($B$3,7,10),'Leave log'!$C$7:$C$306,"&gt;="&amp;DATE($B$3,7,10),'Leave log'!$F$7:$F$306,"Pending")&gt;0,"P",""))))</f>
        <v/>
      </c>
      <c r="L229" s="23" t="str">
        <f>IF(A229="","",IF(IF(OR(DATE($B$3,7,11)&gt;EOMONTH(DATE($B$3,7,1),0),NETWORKDAYS.INTL(DATE($B$3,7,11),DATE($B$3,7,11),1,'Non-working days'!$A$6:$A$45)=0),"",IF(COUNTIFS('Leave log'!$A$7:$A$306,Employees!$A$24,'Leave log'!$B$7:$B$306,"&lt;="&amp;DATE($B$3,7,11),'Leave log'!$C$7:$C$306,"&gt;="&amp;DATE($B$3,7,11),'Leave log'!$F$7:$F$306,"Approved")&gt;0,"A",""))="A","A",IF(OR(DATE($B$3,7,11)&gt;EOMONTH(DATE($B$3,7,1),0),NETWORKDAYS.INTL(DATE($B$3,7,11),DATE($B$3,7,11),1,'Non-working days'!$A$6:$A$45)=0),"",IF(COUNTIFS('Leave log'!$A$7:$A$306,Employees!$A$24,'Leave log'!$B$7:$B$306,"&lt;="&amp;DATE($B$3,7,11),'Leave log'!$C$7:$C$306,"&gt;="&amp;DATE($B$3,7,11),'Leave log'!$F$7:$F$306,"Pending")&gt;0,"P",""))))</f>
        <v/>
      </c>
      <c r="M229" s="23" t="str">
        <f>IF(A229="","",IF(IF(OR(DATE($B$3,7,12)&gt;EOMONTH(DATE($B$3,7,1),0),NETWORKDAYS.INTL(DATE($B$3,7,12),DATE($B$3,7,12),1,'Non-working days'!$A$6:$A$45)=0),"",IF(COUNTIFS('Leave log'!$A$7:$A$306,Employees!$A$24,'Leave log'!$B$7:$B$306,"&lt;="&amp;DATE($B$3,7,12),'Leave log'!$C$7:$C$306,"&gt;="&amp;DATE($B$3,7,12),'Leave log'!$F$7:$F$306,"Approved")&gt;0,"A",""))="A","A",IF(OR(DATE($B$3,7,12)&gt;EOMONTH(DATE($B$3,7,1),0),NETWORKDAYS.INTL(DATE($B$3,7,12),DATE($B$3,7,12),1,'Non-working days'!$A$6:$A$45)=0),"",IF(COUNTIFS('Leave log'!$A$7:$A$306,Employees!$A$24,'Leave log'!$B$7:$B$306,"&lt;="&amp;DATE($B$3,7,12),'Leave log'!$C$7:$C$306,"&gt;="&amp;DATE($B$3,7,12),'Leave log'!$F$7:$F$306,"Pending")&gt;0,"P",""))))</f>
        <v/>
      </c>
      <c r="N229" s="23" t="str">
        <f>IF(A229="","",IF(IF(OR(DATE($B$3,7,13)&gt;EOMONTH(DATE($B$3,7,1),0),NETWORKDAYS.INTL(DATE($B$3,7,13),DATE($B$3,7,13),1,'Non-working days'!$A$6:$A$45)=0),"",IF(COUNTIFS('Leave log'!$A$7:$A$306,Employees!$A$24,'Leave log'!$B$7:$B$306,"&lt;="&amp;DATE($B$3,7,13),'Leave log'!$C$7:$C$306,"&gt;="&amp;DATE($B$3,7,13),'Leave log'!$F$7:$F$306,"Approved")&gt;0,"A",""))="A","A",IF(OR(DATE($B$3,7,13)&gt;EOMONTH(DATE($B$3,7,1),0),NETWORKDAYS.INTL(DATE($B$3,7,13),DATE($B$3,7,13),1,'Non-working days'!$A$6:$A$45)=0),"",IF(COUNTIFS('Leave log'!$A$7:$A$306,Employees!$A$24,'Leave log'!$B$7:$B$306,"&lt;="&amp;DATE($B$3,7,13),'Leave log'!$C$7:$C$306,"&gt;="&amp;DATE($B$3,7,13),'Leave log'!$F$7:$F$306,"Pending")&gt;0,"P",""))))</f>
        <v/>
      </c>
      <c r="O229" s="23" t="str">
        <f>IF(A229="","",IF(IF(OR(DATE($B$3,7,14)&gt;EOMONTH(DATE($B$3,7,1),0),NETWORKDAYS.INTL(DATE($B$3,7,14),DATE($B$3,7,14),1,'Non-working days'!$A$6:$A$45)=0),"",IF(COUNTIFS('Leave log'!$A$7:$A$306,Employees!$A$24,'Leave log'!$B$7:$B$306,"&lt;="&amp;DATE($B$3,7,14),'Leave log'!$C$7:$C$306,"&gt;="&amp;DATE($B$3,7,14),'Leave log'!$F$7:$F$306,"Approved")&gt;0,"A",""))="A","A",IF(OR(DATE($B$3,7,14)&gt;EOMONTH(DATE($B$3,7,1),0),NETWORKDAYS.INTL(DATE($B$3,7,14),DATE($B$3,7,14),1,'Non-working days'!$A$6:$A$45)=0),"",IF(COUNTIFS('Leave log'!$A$7:$A$306,Employees!$A$24,'Leave log'!$B$7:$B$306,"&lt;="&amp;DATE($B$3,7,14),'Leave log'!$C$7:$C$306,"&gt;="&amp;DATE($B$3,7,14),'Leave log'!$F$7:$F$306,"Pending")&gt;0,"P",""))))</f>
        <v/>
      </c>
      <c r="P229" s="23" t="str">
        <f>IF(A229="","",IF(IF(OR(DATE($B$3,7,15)&gt;EOMONTH(DATE($B$3,7,1),0),NETWORKDAYS.INTL(DATE($B$3,7,15),DATE($B$3,7,15),1,'Non-working days'!$A$6:$A$45)=0),"",IF(COUNTIFS('Leave log'!$A$7:$A$306,Employees!$A$24,'Leave log'!$B$7:$B$306,"&lt;="&amp;DATE($B$3,7,15),'Leave log'!$C$7:$C$306,"&gt;="&amp;DATE($B$3,7,15),'Leave log'!$F$7:$F$306,"Approved")&gt;0,"A",""))="A","A",IF(OR(DATE($B$3,7,15)&gt;EOMONTH(DATE($B$3,7,1),0),NETWORKDAYS.INTL(DATE($B$3,7,15),DATE($B$3,7,15),1,'Non-working days'!$A$6:$A$45)=0),"",IF(COUNTIFS('Leave log'!$A$7:$A$306,Employees!$A$24,'Leave log'!$B$7:$B$306,"&lt;="&amp;DATE($B$3,7,15),'Leave log'!$C$7:$C$306,"&gt;="&amp;DATE($B$3,7,15),'Leave log'!$F$7:$F$306,"Pending")&gt;0,"P",""))))</f>
        <v/>
      </c>
      <c r="Q229" s="23" t="str">
        <f>IF(A229="","",IF(IF(OR(DATE($B$3,7,16)&gt;EOMONTH(DATE($B$3,7,1),0),NETWORKDAYS.INTL(DATE($B$3,7,16),DATE($B$3,7,16),1,'Non-working days'!$A$6:$A$45)=0),"",IF(COUNTIFS('Leave log'!$A$7:$A$306,Employees!$A$24,'Leave log'!$B$7:$B$306,"&lt;="&amp;DATE($B$3,7,16),'Leave log'!$C$7:$C$306,"&gt;="&amp;DATE($B$3,7,16),'Leave log'!$F$7:$F$306,"Approved")&gt;0,"A",""))="A","A",IF(OR(DATE($B$3,7,16)&gt;EOMONTH(DATE($B$3,7,1),0),NETWORKDAYS.INTL(DATE($B$3,7,16),DATE($B$3,7,16),1,'Non-working days'!$A$6:$A$45)=0),"",IF(COUNTIFS('Leave log'!$A$7:$A$306,Employees!$A$24,'Leave log'!$B$7:$B$306,"&lt;="&amp;DATE($B$3,7,16),'Leave log'!$C$7:$C$306,"&gt;="&amp;DATE($B$3,7,16),'Leave log'!$F$7:$F$306,"Pending")&gt;0,"P",""))))</f>
        <v/>
      </c>
      <c r="R229" s="23" t="str">
        <f>IF(A229="","",IF(IF(OR(DATE($B$3,7,17)&gt;EOMONTH(DATE($B$3,7,1),0),NETWORKDAYS.INTL(DATE($B$3,7,17),DATE($B$3,7,17),1,'Non-working days'!$A$6:$A$45)=0),"",IF(COUNTIFS('Leave log'!$A$7:$A$306,Employees!$A$24,'Leave log'!$B$7:$B$306,"&lt;="&amp;DATE($B$3,7,17),'Leave log'!$C$7:$C$306,"&gt;="&amp;DATE($B$3,7,17),'Leave log'!$F$7:$F$306,"Approved")&gt;0,"A",""))="A","A",IF(OR(DATE($B$3,7,17)&gt;EOMONTH(DATE($B$3,7,1),0),NETWORKDAYS.INTL(DATE($B$3,7,17),DATE($B$3,7,17),1,'Non-working days'!$A$6:$A$45)=0),"",IF(COUNTIFS('Leave log'!$A$7:$A$306,Employees!$A$24,'Leave log'!$B$7:$B$306,"&lt;="&amp;DATE($B$3,7,17),'Leave log'!$C$7:$C$306,"&gt;="&amp;DATE($B$3,7,17),'Leave log'!$F$7:$F$306,"Pending")&gt;0,"P",""))))</f>
        <v/>
      </c>
      <c r="S229" s="23" t="str">
        <f>IF(A229="","",IF(IF(OR(DATE($B$3,7,18)&gt;EOMONTH(DATE($B$3,7,1),0),NETWORKDAYS.INTL(DATE($B$3,7,18),DATE($B$3,7,18),1,'Non-working days'!$A$6:$A$45)=0),"",IF(COUNTIFS('Leave log'!$A$7:$A$306,Employees!$A$24,'Leave log'!$B$7:$B$306,"&lt;="&amp;DATE($B$3,7,18),'Leave log'!$C$7:$C$306,"&gt;="&amp;DATE($B$3,7,18),'Leave log'!$F$7:$F$306,"Approved")&gt;0,"A",""))="A","A",IF(OR(DATE($B$3,7,18)&gt;EOMONTH(DATE($B$3,7,1),0),NETWORKDAYS.INTL(DATE($B$3,7,18),DATE($B$3,7,18),1,'Non-working days'!$A$6:$A$45)=0),"",IF(COUNTIFS('Leave log'!$A$7:$A$306,Employees!$A$24,'Leave log'!$B$7:$B$306,"&lt;="&amp;DATE($B$3,7,18),'Leave log'!$C$7:$C$306,"&gt;="&amp;DATE($B$3,7,18),'Leave log'!$F$7:$F$306,"Pending")&gt;0,"P",""))))</f>
        <v/>
      </c>
      <c r="T229" s="23" t="str">
        <f>IF(A229="","",IF(IF(OR(DATE($B$3,7,19)&gt;EOMONTH(DATE($B$3,7,1),0),NETWORKDAYS.INTL(DATE($B$3,7,19),DATE($B$3,7,19),1,'Non-working days'!$A$6:$A$45)=0),"",IF(COUNTIFS('Leave log'!$A$7:$A$306,Employees!$A$24,'Leave log'!$B$7:$B$306,"&lt;="&amp;DATE($B$3,7,19),'Leave log'!$C$7:$C$306,"&gt;="&amp;DATE($B$3,7,19),'Leave log'!$F$7:$F$306,"Approved")&gt;0,"A",""))="A","A",IF(OR(DATE($B$3,7,19)&gt;EOMONTH(DATE($B$3,7,1),0),NETWORKDAYS.INTL(DATE($B$3,7,19),DATE($B$3,7,19),1,'Non-working days'!$A$6:$A$45)=0),"",IF(COUNTIFS('Leave log'!$A$7:$A$306,Employees!$A$24,'Leave log'!$B$7:$B$306,"&lt;="&amp;DATE($B$3,7,19),'Leave log'!$C$7:$C$306,"&gt;="&amp;DATE($B$3,7,19),'Leave log'!$F$7:$F$306,"Pending")&gt;0,"P",""))))</f>
        <v/>
      </c>
      <c r="U229" s="23" t="str">
        <f>IF(A229="","",IF(IF(OR(DATE($B$3,7,20)&gt;EOMONTH(DATE($B$3,7,1),0),NETWORKDAYS.INTL(DATE($B$3,7,20),DATE($B$3,7,20),1,'Non-working days'!$A$6:$A$45)=0),"",IF(COUNTIFS('Leave log'!$A$7:$A$306,Employees!$A$24,'Leave log'!$B$7:$B$306,"&lt;="&amp;DATE($B$3,7,20),'Leave log'!$C$7:$C$306,"&gt;="&amp;DATE($B$3,7,20),'Leave log'!$F$7:$F$306,"Approved")&gt;0,"A",""))="A","A",IF(OR(DATE($B$3,7,20)&gt;EOMONTH(DATE($B$3,7,1),0),NETWORKDAYS.INTL(DATE($B$3,7,20),DATE($B$3,7,20),1,'Non-working days'!$A$6:$A$45)=0),"",IF(COUNTIFS('Leave log'!$A$7:$A$306,Employees!$A$24,'Leave log'!$B$7:$B$306,"&lt;="&amp;DATE($B$3,7,20),'Leave log'!$C$7:$C$306,"&gt;="&amp;DATE($B$3,7,20),'Leave log'!$F$7:$F$306,"Pending")&gt;0,"P",""))))</f>
        <v/>
      </c>
      <c r="V229" s="23" t="str">
        <f>IF(A229="","",IF(IF(OR(DATE($B$3,7,21)&gt;EOMONTH(DATE($B$3,7,1),0),NETWORKDAYS.INTL(DATE($B$3,7,21),DATE($B$3,7,21),1,'Non-working days'!$A$6:$A$45)=0),"",IF(COUNTIFS('Leave log'!$A$7:$A$306,Employees!$A$24,'Leave log'!$B$7:$B$306,"&lt;="&amp;DATE($B$3,7,21),'Leave log'!$C$7:$C$306,"&gt;="&amp;DATE($B$3,7,21),'Leave log'!$F$7:$F$306,"Approved")&gt;0,"A",""))="A","A",IF(OR(DATE($B$3,7,21)&gt;EOMONTH(DATE($B$3,7,1),0),NETWORKDAYS.INTL(DATE($B$3,7,21),DATE($B$3,7,21),1,'Non-working days'!$A$6:$A$45)=0),"",IF(COUNTIFS('Leave log'!$A$7:$A$306,Employees!$A$24,'Leave log'!$B$7:$B$306,"&lt;="&amp;DATE($B$3,7,21),'Leave log'!$C$7:$C$306,"&gt;="&amp;DATE($B$3,7,21),'Leave log'!$F$7:$F$306,"Pending")&gt;0,"P",""))))</f>
        <v/>
      </c>
      <c r="W229" s="23" t="str">
        <f>IF(A229="","",IF(IF(OR(DATE($B$3,7,22)&gt;EOMONTH(DATE($B$3,7,1),0),NETWORKDAYS.INTL(DATE($B$3,7,22),DATE($B$3,7,22),1,'Non-working days'!$A$6:$A$45)=0),"",IF(COUNTIFS('Leave log'!$A$7:$A$306,Employees!$A$24,'Leave log'!$B$7:$B$306,"&lt;="&amp;DATE($B$3,7,22),'Leave log'!$C$7:$C$306,"&gt;="&amp;DATE($B$3,7,22),'Leave log'!$F$7:$F$306,"Approved")&gt;0,"A",""))="A","A",IF(OR(DATE($B$3,7,22)&gt;EOMONTH(DATE($B$3,7,1),0),NETWORKDAYS.INTL(DATE($B$3,7,22),DATE($B$3,7,22),1,'Non-working days'!$A$6:$A$45)=0),"",IF(COUNTIFS('Leave log'!$A$7:$A$306,Employees!$A$24,'Leave log'!$B$7:$B$306,"&lt;="&amp;DATE($B$3,7,22),'Leave log'!$C$7:$C$306,"&gt;="&amp;DATE($B$3,7,22),'Leave log'!$F$7:$F$306,"Pending")&gt;0,"P",""))))</f>
        <v/>
      </c>
      <c r="X229" s="23" t="str">
        <f>IF(A229="","",IF(IF(OR(DATE($B$3,7,23)&gt;EOMONTH(DATE($B$3,7,1),0),NETWORKDAYS.INTL(DATE($B$3,7,23),DATE($B$3,7,23),1,'Non-working days'!$A$6:$A$45)=0),"",IF(COUNTIFS('Leave log'!$A$7:$A$306,Employees!$A$24,'Leave log'!$B$7:$B$306,"&lt;="&amp;DATE($B$3,7,23),'Leave log'!$C$7:$C$306,"&gt;="&amp;DATE($B$3,7,23),'Leave log'!$F$7:$F$306,"Approved")&gt;0,"A",""))="A","A",IF(OR(DATE($B$3,7,23)&gt;EOMONTH(DATE($B$3,7,1),0),NETWORKDAYS.INTL(DATE($B$3,7,23),DATE($B$3,7,23),1,'Non-working days'!$A$6:$A$45)=0),"",IF(COUNTIFS('Leave log'!$A$7:$A$306,Employees!$A$24,'Leave log'!$B$7:$B$306,"&lt;="&amp;DATE($B$3,7,23),'Leave log'!$C$7:$C$306,"&gt;="&amp;DATE($B$3,7,23),'Leave log'!$F$7:$F$306,"Pending")&gt;0,"P",""))))</f>
        <v/>
      </c>
      <c r="Y229" s="23" t="str">
        <f>IF(A229="","",IF(IF(OR(DATE($B$3,7,24)&gt;EOMONTH(DATE($B$3,7,1),0),NETWORKDAYS.INTL(DATE($B$3,7,24),DATE($B$3,7,24),1,'Non-working days'!$A$6:$A$45)=0),"",IF(COUNTIFS('Leave log'!$A$7:$A$306,Employees!$A$24,'Leave log'!$B$7:$B$306,"&lt;="&amp;DATE($B$3,7,24),'Leave log'!$C$7:$C$306,"&gt;="&amp;DATE($B$3,7,24),'Leave log'!$F$7:$F$306,"Approved")&gt;0,"A",""))="A","A",IF(OR(DATE($B$3,7,24)&gt;EOMONTH(DATE($B$3,7,1),0),NETWORKDAYS.INTL(DATE($B$3,7,24),DATE($B$3,7,24),1,'Non-working days'!$A$6:$A$45)=0),"",IF(COUNTIFS('Leave log'!$A$7:$A$306,Employees!$A$24,'Leave log'!$B$7:$B$306,"&lt;="&amp;DATE($B$3,7,24),'Leave log'!$C$7:$C$306,"&gt;="&amp;DATE($B$3,7,24),'Leave log'!$F$7:$F$306,"Pending")&gt;0,"P",""))))</f>
        <v/>
      </c>
      <c r="Z229" s="23" t="str">
        <f>IF(A229="","",IF(IF(OR(DATE($B$3,7,25)&gt;EOMONTH(DATE($B$3,7,1),0),NETWORKDAYS.INTL(DATE($B$3,7,25),DATE($B$3,7,25),1,'Non-working days'!$A$6:$A$45)=0),"",IF(COUNTIFS('Leave log'!$A$7:$A$306,Employees!$A$24,'Leave log'!$B$7:$B$306,"&lt;="&amp;DATE($B$3,7,25),'Leave log'!$C$7:$C$306,"&gt;="&amp;DATE($B$3,7,25),'Leave log'!$F$7:$F$306,"Approved")&gt;0,"A",""))="A","A",IF(OR(DATE($B$3,7,25)&gt;EOMONTH(DATE($B$3,7,1),0),NETWORKDAYS.INTL(DATE($B$3,7,25),DATE($B$3,7,25),1,'Non-working days'!$A$6:$A$45)=0),"",IF(COUNTIFS('Leave log'!$A$7:$A$306,Employees!$A$24,'Leave log'!$B$7:$B$306,"&lt;="&amp;DATE($B$3,7,25),'Leave log'!$C$7:$C$306,"&gt;="&amp;DATE($B$3,7,25),'Leave log'!$F$7:$F$306,"Pending")&gt;0,"P",""))))</f>
        <v/>
      </c>
      <c r="AA229" s="23" t="str">
        <f>IF(A229="","",IF(IF(OR(DATE($B$3,7,26)&gt;EOMONTH(DATE($B$3,7,1),0),NETWORKDAYS.INTL(DATE($B$3,7,26),DATE($B$3,7,26),1,'Non-working days'!$A$6:$A$45)=0),"",IF(COUNTIFS('Leave log'!$A$7:$A$306,Employees!$A$24,'Leave log'!$B$7:$B$306,"&lt;="&amp;DATE($B$3,7,26),'Leave log'!$C$7:$C$306,"&gt;="&amp;DATE($B$3,7,26),'Leave log'!$F$7:$F$306,"Approved")&gt;0,"A",""))="A","A",IF(OR(DATE($B$3,7,26)&gt;EOMONTH(DATE($B$3,7,1),0),NETWORKDAYS.INTL(DATE($B$3,7,26),DATE($B$3,7,26),1,'Non-working days'!$A$6:$A$45)=0),"",IF(COUNTIFS('Leave log'!$A$7:$A$306,Employees!$A$24,'Leave log'!$B$7:$B$306,"&lt;="&amp;DATE($B$3,7,26),'Leave log'!$C$7:$C$306,"&gt;="&amp;DATE($B$3,7,26),'Leave log'!$F$7:$F$306,"Pending")&gt;0,"P",""))))</f>
        <v/>
      </c>
      <c r="AB229" s="23" t="str">
        <f>IF(A229="","",IF(IF(OR(DATE($B$3,7,27)&gt;EOMONTH(DATE($B$3,7,1),0),NETWORKDAYS.INTL(DATE($B$3,7,27),DATE($B$3,7,27),1,'Non-working days'!$A$6:$A$45)=0),"",IF(COUNTIFS('Leave log'!$A$7:$A$306,Employees!$A$24,'Leave log'!$B$7:$B$306,"&lt;="&amp;DATE($B$3,7,27),'Leave log'!$C$7:$C$306,"&gt;="&amp;DATE($B$3,7,27),'Leave log'!$F$7:$F$306,"Approved")&gt;0,"A",""))="A","A",IF(OR(DATE($B$3,7,27)&gt;EOMONTH(DATE($B$3,7,1),0),NETWORKDAYS.INTL(DATE($B$3,7,27),DATE($B$3,7,27),1,'Non-working days'!$A$6:$A$45)=0),"",IF(COUNTIFS('Leave log'!$A$7:$A$306,Employees!$A$24,'Leave log'!$B$7:$B$306,"&lt;="&amp;DATE($B$3,7,27),'Leave log'!$C$7:$C$306,"&gt;="&amp;DATE($B$3,7,27),'Leave log'!$F$7:$F$306,"Pending")&gt;0,"P",""))))</f>
        <v/>
      </c>
      <c r="AC229" s="23" t="str">
        <f>IF(A229="","",IF(IF(OR(DATE($B$3,7,28)&gt;EOMONTH(DATE($B$3,7,1),0),NETWORKDAYS.INTL(DATE($B$3,7,28),DATE($B$3,7,28),1,'Non-working days'!$A$6:$A$45)=0),"",IF(COUNTIFS('Leave log'!$A$7:$A$306,Employees!$A$24,'Leave log'!$B$7:$B$306,"&lt;="&amp;DATE($B$3,7,28),'Leave log'!$C$7:$C$306,"&gt;="&amp;DATE($B$3,7,28),'Leave log'!$F$7:$F$306,"Approved")&gt;0,"A",""))="A","A",IF(OR(DATE($B$3,7,28)&gt;EOMONTH(DATE($B$3,7,1),0),NETWORKDAYS.INTL(DATE($B$3,7,28),DATE($B$3,7,28),1,'Non-working days'!$A$6:$A$45)=0),"",IF(COUNTIFS('Leave log'!$A$7:$A$306,Employees!$A$24,'Leave log'!$B$7:$B$306,"&lt;="&amp;DATE($B$3,7,28),'Leave log'!$C$7:$C$306,"&gt;="&amp;DATE($B$3,7,28),'Leave log'!$F$7:$F$306,"Pending")&gt;0,"P",""))))</f>
        <v/>
      </c>
      <c r="AD229" s="23" t="str">
        <f>IF(A229="","",IF(IF(OR(DATE($B$3,7,29)&gt;EOMONTH(DATE($B$3,7,1),0),NETWORKDAYS.INTL(DATE($B$3,7,29),DATE($B$3,7,29),1,'Non-working days'!$A$6:$A$45)=0),"",IF(COUNTIFS('Leave log'!$A$7:$A$306,Employees!$A$24,'Leave log'!$B$7:$B$306,"&lt;="&amp;DATE($B$3,7,29),'Leave log'!$C$7:$C$306,"&gt;="&amp;DATE($B$3,7,29),'Leave log'!$F$7:$F$306,"Approved")&gt;0,"A",""))="A","A",IF(OR(DATE($B$3,7,29)&gt;EOMONTH(DATE($B$3,7,1),0),NETWORKDAYS.INTL(DATE($B$3,7,29),DATE($B$3,7,29),1,'Non-working days'!$A$6:$A$45)=0),"",IF(COUNTIFS('Leave log'!$A$7:$A$306,Employees!$A$24,'Leave log'!$B$7:$B$306,"&lt;="&amp;DATE($B$3,7,29),'Leave log'!$C$7:$C$306,"&gt;="&amp;DATE($B$3,7,29),'Leave log'!$F$7:$F$306,"Pending")&gt;0,"P",""))))</f>
        <v/>
      </c>
      <c r="AE229" s="23" t="str">
        <f>IF(A229="","",IF(IF(OR(DATE($B$3,7,30)&gt;EOMONTH(DATE($B$3,7,1),0),NETWORKDAYS.INTL(DATE($B$3,7,30),DATE($B$3,7,30),1,'Non-working days'!$A$6:$A$45)=0),"",IF(COUNTIFS('Leave log'!$A$7:$A$306,Employees!$A$24,'Leave log'!$B$7:$B$306,"&lt;="&amp;DATE($B$3,7,30),'Leave log'!$C$7:$C$306,"&gt;="&amp;DATE($B$3,7,30),'Leave log'!$F$7:$F$306,"Approved")&gt;0,"A",""))="A","A",IF(OR(DATE($B$3,7,30)&gt;EOMONTH(DATE($B$3,7,1),0),NETWORKDAYS.INTL(DATE($B$3,7,30),DATE($B$3,7,30),1,'Non-working days'!$A$6:$A$45)=0),"",IF(COUNTIFS('Leave log'!$A$7:$A$306,Employees!$A$24,'Leave log'!$B$7:$B$306,"&lt;="&amp;DATE($B$3,7,30),'Leave log'!$C$7:$C$306,"&gt;="&amp;DATE($B$3,7,30),'Leave log'!$F$7:$F$306,"Pending")&gt;0,"P",""))))</f>
        <v/>
      </c>
      <c r="AF229" s="23" t="str">
        <f>IF(A229="","",IF(IF(OR(DATE($B$3,7,31)&gt;EOMONTH(DATE($B$3,7,1),0),NETWORKDAYS.INTL(DATE($B$3,7,31),DATE($B$3,7,31),1,'Non-working days'!$A$6:$A$45)=0),"",IF(COUNTIFS('Leave log'!$A$7:$A$306,Employees!$A$24,'Leave log'!$B$7:$B$306,"&lt;="&amp;DATE($B$3,7,31),'Leave log'!$C$7:$C$306,"&gt;="&amp;DATE($B$3,7,31),'Leave log'!$F$7:$F$306,"Approved")&gt;0,"A",""))="A","A",IF(OR(DATE($B$3,7,31)&gt;EOMONTH(DATE($B$3,7,1),0),NETWORKDAYS.INTL(DATE($B$3,7,31),DATE($B$3,7,31),1,'Non-working days'!$A$6:$A$45)=0),"",IF(COUNTIFS('Leave log'!$A$7:$A$306,Employees!$A$24,'Leave log'!$B$7:$B$306,"&lt;="&amp;DATE($B$3,7,31),'Leave log'!$C$7:$C$306,"&gt;="&amp;DATE($B$3,7,31),'Leave log'!$F$7:$F$306,"Pending")&gt;0,"P",""))))</f>
        <v/>
      </c>
    </row>
    <row r="230" spans="1:32" ht="18" customHeight="1" x14ac:dyDescent="0.3">
      <c r="A230" s="22" t="str">
        <f>IF(Employees!F25="Yes",Employees!B25,"")</f>
        <v/>
      </c>
      <c r="B230" s="23" t="str">
        <f>IF(A230="","",IF(IF(OR(DATE($B$3,7,1)&gt;EOMONTH(DATE($B$3,7,1),0),NETWORKDAYS.INTL(DATE($B$3,7,1),DATE($B$3,7,1),1,'Non-working days'!$A$6:$A$45)=0),"",IF(COUNTIFS('Leave log'!$A$7:$A$306,Employees!$A$25,'Leave log'!$B$7:$B$306,"&lt;="&amp;DATE($B$3,7,1),'Leave log'!$C$7:$C$306,"&gt;="&amp;DATE($B$3,7,1),'Leave log'!$F$7:$F$306,"Approved")&gt;0,"A",""))="A","A",IF(OR(DATE($B$3,7,1)&gt;EOMONTH(DATE($B$3,7,1),0),NETWORKDAYS.INTL(DATE($B$3,7,1),DATE($B$3,7,1),1,'Non-working days'!$A$6:$A$45)=0),"",IF(COUNTIFS('Leave log'!$A$7:$A$306,Employees!$A$25,'Leave log'!$B$7:$B$306,"&lt;="&amp;DATE($B$3,7,1),'Leave log'!$C$7:$C$306,"&gt;="&amp;DATE($B$3,7,1),'Leave log'!$F$7:$F$306,"Pending")&gt;0,"P",""))))</f>
        <v/>
      </c>
      <c r="C230" s="23" t="str">
        <f>IF(A230="","",IF(IF(OR(DATE($B$3,7,2)&gt;EOMONTH(DATE($B$3,7,1),0),NETWORKDAYS.INTL(DATE($B$3,7,2),DATE($B$3,7,2),1,'Non-working days'!$A$6:$A$45)=0),"",IF(COUNTIFS('Leave log'!$A$7:$A$306,Employees!$A$25,'Leave log'!$B$7:$B$306,"&lt;="&amp;DATE($B$3,7,2),'Leave log'!$C$7:$C$306,"&gt;="&amp;DATE($B$3,7,2),'Leave log'!$F$7:$F$306,"Approved")&gt;0,"A",""))="A","A",IF(OR(DATE($B$3,7,2)&gt;EOMONTH(DATE($B$3,7,1),0),NETWORKDAYS.INTL(DATE($B$3,7,2),DATE($B$3,7,2),1,'Non-working days'!$A$6:$A$45)=0),"",IF(COUNTIFS('Leave log'!$A$7:$A$306,Employees!$A$25,'Leave log'!$B$7:$B$306,"&lt;="&amp;DATE($B$3,7,2),'Leave log'!$C$7:$C$306,"&gt;="&amp;DATE($B$3,7,2),'Leave log'!$F$7:$F$306,"Pending")&gt;0,"P",""))))</f>
        <v/>
      </c>
      <c r="D230" s="23" t="str">
        <f>IF(A230="","",IF(IF(OR(DATE($B$3,7,3)&gt;EOMONTH(DATE($B$3,7,1),0),NETWORKDAYS.INTL(DATE($B$3,7,3),DATE($B$3,7,3),1,'Non-working days'!$A$6:$A$45)=0),"",IF(COUNTIFS('Leave log'!$A$7:$A$306,Employees!$A$25,'Leave log'!$B$7:$B$306,"&lt;="&amp;DATE($B$3,7,3),'Leave log'!$C$7:$C$306,"&gt;="&amp;DATE($B$3,7,3),'Leave log'!$F$7:$F$306,"Approved")&gt;0,"A",""))="A","A",IF(OR(DATE($B$3,7,3)&gt;EOMONTH(DATE($B$3,7,1),0),NETWORKDAYS.INTL(DATE($B$3,7,3),DATE($B$3,7,3),1,'Non-working days'!$A$6:$A$45)=0),"",IF(COUNTIFS('Leave log'!$A$7:$A$306,Employees!$A$25,'Leave log'!$B$7:$B$306,"&lt;="&amp;DATE($B$3,7,3),'Leave log'!$C$7:$C$306,"&gt;="&amp;DATE($B$3,7,3),'Leave log'!$F$7:$F$306,"Pending")&gt;0,"P",""))))</f>
        <v/>
      </c>
      <c r="E230" s="23" t="str">
        <f>IF(A230="","",IF(IF(OR(DATE($B$3,7,4)&gt;EOMONTH(DATE($B$3,7,1),0),NETWORKDAYS.INTL(DATE($B$3,7,4),DATE($B$3,7,4),1,'Non-working days'!$A$6:$A$45)=0),"",IF(COUNTIFS('Leave log'!$A$7:$A$306,Employees!$A$25,'Leave log'!$B$7:$B$306,"&lt;="&amp;DATE($B$3,7,4),'Leave log'!$C$7:$C$306,"&gt;="&amp;DATE($B$3,7,4),'Leave log'!$F$7:$F$306,"Approved")&gt;0,"A",""))="A","A",IF(OR(DATE($B$3,7,4)&gt;EOMONTH(DATE($B$3,7,1),0),NETWORKDAYS.INTL(DATE($B$3,7,4),DATE($B$3,7,4),1,'Non-working days'!$A$6:$A$45)=0),"",IF(COUNTIFS('Leave log'!$A$7:$A$306,Employees!$A$25,'Leave log'!$B$7:$B$306,"&lt;="&amp;DATE($B$3,7,4),'Leave log'!$C$7:$C$306,"&gt;="&amp;DATE($B$3,7,4),'Leave log'!$F$7:$F$306,"Pending")&gt;0,"P",""))))</f>
        <v/>
      </c>
      <c r="F230" s="23" t="str">
        <f>IF(A230="","",IF(IF(OR(DATE($B$3,7,5)&gt;EOMONTH(DATE($B$3,7,1),0),NETWORKDAYS.INTL(DATE($B$3,7,5),DATE($B$3,7,5),1,'Non-working days'!$A$6:$A$45)=0),"",IF(COUNTIFS('Leave log'!$A$7:$A$306,Employees!$A$25,'Leave log'!$B$7:$B$306,"&lt;="&amp;DATE($B$3,7,5),'Leave log'!$C$7:$C$306,"&gt;="&amp;DATE($B$3,7,5),'Leave log'!$F$7:$F$306,"Approved")&gt;0,"A",""))="A","A",IF(OR(DATE($B$3,7,5)&gt;EOMONTH(DATE($B$3,7,1),0),NETWORKDAYS.INTL(DATE($B$3,7,5),DATE($B$3,7,5),1,'Non-working days'!$A$6:$A$45)=0),"",IF(COUNTIFS('Leave log'!$A$7:$A$306,Employees!$A$25,'Leave log'!$B$7:$B$306,"&lt;="&amp;DATE($B$3,7,5),'Leave log'!$C$7:$C$306,"&gt;="&amp;DATE($B$3,7,5),'Leave log'!$F$7:$F$306,"Pending")&gt;0,"P",""))))</f>
        <v/>
      </c>
      <c r="G230" s="23" t="str">
        <f>IF(A230="","",IF(IF(OR(DATE($B$3,7,6)&gt;EOMONTH(DATE($B$3,7,1),0),NETWORKDAYS.INTL(DATE($B$3,7,6),DATE($B$3,7,6),1,'Non-working days'!$A$6:$A$45)=0),"",IF(COUNTIFS('Leave log'!$A$7:$A$306,Employees!$A$25,'Leave log'!$B$7:$B$306,"&lt;="&amp;DATE($B$3,7,6),'Leave log'!$C$7:$C$306,"&gt;="&amp;DATE($B$3,7,6),'Leave log'!$F$7:$F$306,"Approved")&gt;0,"A",""))="A","A",IF(OR(DATE($B$3,7,6)&gt;EOMONTH(DATE($B$3,7,1),0),NETWORKDAYS.INTL(DATE($B$3,7,6),DATE($B$3,7,6),1,'Non-working days'!$A$6:$A$45)=0),"",IF(COUNTIFS('Leave log'!$A$7:$A$306,Employees!$A$25,'Leave log'!$B$7:$B$306,"&lt;="&amp;DATE($B$3,7,6),'Leave log'!$C$7:$C$306,"&gt;="&amp;DATE($B$3,7,6),'Leave log'!$F$7:$F$306,"Pending")&gt;0,"P",""))))</f>
        <v/>
      </c>
      <c r="H230" s="23" t="str">
        <f>IF(A230="","",IF(IF(OR(DATE($B$3,7,7)&gt;EOMONTH(DATE($B$3,7,1),0),NETWORKDAYS.INTL(DATE($B$3,7,7),DATE($B$3,7,7),1,'Non-working days'!$A$6:$A$45)=0),"",IF(COUNTIFS('Leave log'!$A$7:$A$306,Employees!$A$25,'Leave log'!$B$7:$B$306,"&lt;="&amp;DATE($B$3,7,7),'Leave log'!$C$7:$C$306,"&gt;="&amp;DATE($B$3,7,7),'Leave log'!$F$7:$F$306,"Approved")&gt;0,"A",""))="A","A",IF(OR(DATE($B$3,7,7)&gt;EOMONTH(DATE($B$3,7,1),0),NETWORKDAYS.INTL(DATE($B$3,7,7),DATE($B$3,7,7),1,'Non-working days'!$A$6:$A$45)=0),"",IF(COUNTIFS('Leave log'!$A$7:$A$306,Employees!$A$25,'Leave log'!$B$7:$B$306,"&lt;="&amp;DATE($B$3,7,7),'Leave log'!$C$7:$C$306,"&gt;="&amp;DATE($B$3,7,7),'Leave log'!$F$7:$F$306,"Pending")&gt;0,"P",""))))</f>
        <v/>
      </c>
      <c r="I230" s="23" t="str">
        <f>IF(A230="","",IF(IF(OR(DATE($B$3,7,8)&gt;EOMONTH(DATE($B$3,7,1),0),NETWORKDAYS.INTL(DATE($B$3,7,8),DATE($B$3,7,8),1,'Non-working days'!$A$6:$A$45)=0),"",IF(COUNTIFS('Leave log'!$A$7:$A$306,Employees!$A$25,'Leave log'!$B$7:$B$306,"&lt;="&amp;DATE($B$3,7,8),'Leave log'!$C$7:$C$306,"&gt;="&amp;DATE($B$3,7,8),'Leave log'!$F$7:$F$306,"Approved")&gt;0,"A",""))="A","A",IF(OR(DATE($B$3,7,8)&gt;EOMONTH(DATE($B$3,7,1),0),NETWORKDAYS.INTL(DATE($B$3,7,8),DATE($B$3,7,8),1,'Non-working days'!$A$6:$A$45)=0),"",IF(COUNTIFS('Leave log'!$A$7:$A$306,Employees!$A$25,'Leave log'!$B$7:$B$306,"&lt;="&amp;DATE($B$3,7,8),'Leave log'!$C$7:$C$306,"&gt;="&amp;DATE($B$3,7,8),'Leave log'!$F$7:$F$306,"Pending")&gt;0,"P",""))))</f>
        <v/>
      </c>
      <c r="J230" s="23" t="str">
        <f>IF(A230="","",IF(IF(OR(DATE($B$3,7,9)&gt;EOMONTH(DATE($B$3,7,1),0),NETWORKDAYS.INTL(DATE($B$3,7,9),DATE($B$3,7,9),1,'Non-working days'!$A$6:$A$45)=0),"",IF(COUNTIFS('Leave log'!$A$7:$A$306,Employees!$A$25,'Leave log'!$B$7:$B$306,"&lt;="&amp;DATE($B$3,7,9),'Leave log'!$C$7:$C$306,"&gt;="&amp;DATE($B$3,7,9),'Leave log'!$F$7:$F$306,"Approved")&gt;0,"A",""))="A","A",IF(OR(DATE($B$3,7,9)&gt;EOMONTH(DATE($B$3,7,1),0),NETWORKDAYS.INTL(DATE($B$3,7,9),DATE($B$3,7,9),1,'Non-working days'!$A$6:$A$45)=0),"",IF(COUNTIFS('Leave log'!$A$7:$A$306,Employees!$A$25,'Leave log'!$B$7:$B$306,"&lt;="&amp;DATE($B$3,7,9),'Leave log'!$C$7:$C$306,"&gt;="&amp;DATE($B$3,7,9),'Leave log'!$F$7:$F$306,"Pending")&gt;0,"P",""))))</f>
        <v/>
      </c>
      <c r="K230" s="23" t="str">
        <f>IF(A230="","",IF(IF(OR(DATE($B$3,7,10)&gt;EOMONTH(DATE($B$3,7,1),0),NETWORKDAYS.INTL(DATE($B$3,7,10),DATE($B$3,7,10),1,'Non-working days'!$A$6:$A$45)=0),"",IF(COUNTIFS('Leave log'!$A$7:$A$306,Employees!$A$25,'Leave log'!$B$7:$B$306,"&lt;="&amp;DATE($B$3,7,10),'Leave log'!$C$7:$C$306,"&gt;="&amp;DATE($B$3,7,10),'Leave log'!$F$7:$F$306,"Approved")&gt;0,"A",""))="A","A",IF(OR(DATE($B$3,7,10)&gt;EOMONTH(DATE($B$3,7,1),0),NETWORKDAYS.INTL(DATE($B$3,7,10),DATE($B$3,7,10),1,'Non-working days'!$A$6:$A$45)=0),"",IF(COUNTIFS('Leave log'!$A$7:$A$306,Employees!$A$25,'Leave log'!$B$7:$B$306,"&lt;="&amp;DATE($B$3,7,10),'Leave log'!$C$7:$C$306,"&gt;="&amp;DATE($B$3,7,10),'Leave log'!$F$7:$F$306,"Pending")&gt;0,"P",""))))</f>
        <v/>
      </c>
      <c r="L230" s="23" t="str">
        <f>IF(A230="","",IF(IF(OR(DATE($B$3,7,11)&gt;EOMONTH(DATE($B$3,7,1),0),NETWORKDAYS.INTL(DATE($B$3,7,11),DATE($B$3,7,11),1,'Non-working days'!$A$6:$A$45)=0),"",IF(COUNTIFS('Leave log'!$A$7:$A$306,Employees!$A$25,'Leave log'!$B$7:$B$306,"&lt;="&amp;DATE($B$3,7,11),'Leave log'!$C$7:$C$306,"&gt;="&amp;DATE($B$3,7,11),'Leave log'!$F$7:$F$306,"Approved")&gt;0,"A",""))="A","A",IF(OR(DATE($B$3,7,11)&gt;EOMONTH(DATE($B$3,7,1),0),NETWORKDAYS.INTL(DATE($B$3,7,11),DATE($B$3,7,11),1,'Non-working days'!$A$6:$A$45)=0),"",IF(COUNTIFS('Leave log'!$A$7:$A$306,Employees!$A$25,'Leave log'!$B$7:$B$306,"&lt;="&amp;DATE($B$3,7,11),'Leave log'!$C$7:$C$306,"&gt;="&amp;DATE($B$3,7,11),'Leave log'!$F$7:$F$306,"Pending")&gt;0,"P",""))))</f>
        <v/>
      </c>
      <c r="M230" s="23" t="str">
        <f>IF(A230="","",IF(IF(OR(DATE($B$3,7,12)&gt;EOMONTH(DATE($B$3,7,1),0),NETWORKDAYS.INTL(DATE($B$3,7,12),DATE($B$3,7,12),1,'Non-working days'!$A$6:$A$45)=0),"",IF(COUNTIFS('Leave log'!$A$7:$A$306,Employees!$A$25,'Leave log'!$B$7:$B$306,"&lt;="&amp;DATE($B$3,7,12),'Leave log'!$C$7:$C$306,"&gt;="&amp;DATE($B$3,7,12),'Leave log'!$F$7:$F$306,"Approved")&gt;0,"A",""))="A","A",IF(OR(DATE($B$3,7,12)&gt;EOMONTH(DATE($B$3,7,1),0),NETWORKDAYS.INTL(DATE($B$3,7,12),DATE($B$3,7,12),1,'Non-working days'!$A$6:$A$45)=0),"",IF(COUNTIFS('Leave log'!$A$7:$A$306,Employees!$A$25,'Leave log'!$B$7:$B$306,"&lt;="&amp;DATE($B$3,7,12),'Leave log'!$C$7:$C$306,"&gt;="&amp;DATE($B$3,7,12),'Leave log'!$F$7:$F$306,"Pending")&gt;0,"P",""))))</f>
        <v/>
      </c>
      <c r="N230" s="23" t="str">
        <f>IF(A230="","",IF(IF(OR(DATE($B$3,7,13)&gt;EOMONTH(DATE($B$3,7,1),0),NETWORKDAYS.INTL(DATE($B$3,7,13),DATE($B$3,7,13),1,'Non-working days'!$A$6:$A$45)=0),"",IF(COUNTIFS('Leave log'!$A$7:$A$306,Employees!$A$25,'Leave log'!$B$7:$B$306,"&lt;="&amp;DATE($B$3,7,13),'Leave log'!$C$7:$C$306,"&gt;="&amp;DATE($B$3,7,13),'Leave log'!$F$7:$F$306,"Approved")&gt;0,"A",""))="A","A",IF(OR(DATE($B$3,7,13)&gt;EOMONTH(DATE($B$3,7,1),0),NETWORKDAYS.INTL(DATE($B$3,7,13),DATE($B$3,7,13),1,'Non-working days'!$A$6:$A$45)=0),"",IF(COUNTIFS('Leave log'!$A$7:$A$306,Employees!$A$25,'Leave log'!$B$7:$B$306,"&lt;="&amp;DATE($B$3,7,13),'Leave log'!$C$7:$C$306,"&gt;="&amp;DATE($B$3,7,13),'Leave log'!$F$7:$F$306,"Pending")&gt;0,"P",""))))</f>
        <v/>
      </c>
      <c r="O230" s="23" t="str">
        <f>IF(A230="","",IF(IF(OR(DATE($B$3,7,14)&gt;EOMONTH(DATE($B$3,7,1),0),NETWORKDAYS.INTL(DATE($B$3,7,14),DATE($B$3,7,14),1,'Non-working days'!$A$6:$A$45)=0),"",IF(COUNTIFS('Leave log'!$A$7:$A$306,Employees!$A$25,'Leave log'!$B$7:$B$306,"&lt;="&amp;DATE($B$3,7,14),'Leave log'!$C$7:$C$306,"&gt;="&amp;DATE($B$3,7,14),'Leave log'!$F$7:$F$306,"Approved")&gt;0,"A",""))="A","A",IF(OR(DATE($B$3,7,14)&gt;EOMONTH(DATE($B$3,7,1),0),NETWORKDAYS.INTL(DATE($B$3,7,14),DATE($B$3,7,14),1,'Non-working days'!$A$6:$A$45)=0),"",IF(COUNTIFS('Leave log'!$A$7:$A$306,Employees!$A$25,'Leave log'!$B$7:$B$306,"&lt;="&amp;DATE($B$3,7,14),'Leave log'!$C$7:$C$306,"&gt;="&amp;DATE($B$3,7,14),'Leave log'!$F$7:$F$306,"Pending")&gt;0,"P",""))))</f>
        <v/>
      </c>
      <c r="P230" s="23" t="str">
        <f>IF(A230="","",IF(IF(OR(DATE($B$3,7,15)&gt;EOMONTH(DATE($B$3,7,1),0),NETWORKDAYS.INTL(DATE($B$3,7,15),DATE($B$3,7,15),1,'Non-working days'!$A$6:$A$45)=0),"",IF(COUNTIFS('Leave log'!$A$7:$A$306,Employees!$A$25,'Leave log'!$B$7:$B$306,"&lt;="&amp;DATE($B$3,7,15),'Leave log'!$C$7:$C$306,"&gt;="&amp;DATE($B$3,7,15),'Leave log'!$F$7:$F$306,"Approved")&gt;0,"A",""))="A","A",IF(OR(DATE($B$3,7,15)&gt;EOMONTH(DATE($B$3,7,1),0),NETWORKDAYS.INTL(DATE($B$3,7,15),DATE($B$3,7,15),1,'Non-working days'!$A$6:$A$45)=0),"",IF(COUNTIFS('Leave log'!$A$7:$A$306,Employees!$A$25,'Leave log'!$B$7:$B$306,"&lt;="&amp;DATE($B$3,7,15),'Leave log'!$C$7:$C$306,"&gt;="&amp;DATE($B$3,7,15),'Leave log'!$F$7:$F$306,"Pending")&gt;0,"P",""))))</f>
        <v/>
      </c>
      <c r="Q230" s="23" t="str">
        <f>IF(A230="","",IF(IF(OR(DATE($B$3,7,16)&gt;EOMONTH(DATE($B$3,7,1),0),NETWORKDAYS.INTL(DATE($B$3,7,16),DATE($B$3,7,16),1,'Non-working days'!$A$6:$A$45)=0),"",IF(COUNTIFS('Leave log'!$A$7:$A$306,Employees!$A$25,'Leave log'!$B$7:$B$306,"&lt;="&amp;DATE($B$3,7,16),'Leave log'!$C$7:$C$306,"&gt;="&amp;DATE($B$3,7,16),'Leave log'!$F$7:$F$306,"Approved")&gt;0,"A",""))="A","A",IF(OR(DATE($B$3,7,16)&gt;EOMONTH(DATE($B$3,7,1),0),NETWORKDAYS.INTL(DATE($B$3,7,16),DATE($B$3,7,16),1,'Non-working days'!$A$6:$A$45)=0),"",IF(COUNTIFS('Leave log'!$A$7:$A$306,Employees!$A$25,'Leave log'!$B$7:$B$306,"&lt;="&amp;DATE($B$3,7,16),'Leave log'!$C$7:$C$306,"&gt;="&amp;DATE($B$3,7,16),'Leave log'!$F$7:$F$306,"Pending")&gt;0,"P",""))))</f>
        <v/>
      </c>
      <c r="R230" s="23" t="str">
        <f>IF(A230="","",IF(IF(OR(DATE($B$3,7,17)&gt;EOMONTH(DATE($B$3,7,1),0),NETWORKDAYS.INTL(DATE($B$3,7,17),DATE($B$3,7,17),1,'Non-working days'!$A$6:$A$45)=0),"",IF(COUNTIFS('Leave log'!$A$7:$A$306,Employees!$A$25,'Leave log'!$B$7:$B$306,"&lt;="&amp;DATE($B$3,7,17),'Leave log'!$C$7:$C$306,"&gt;="&amp;DATE($B$3,7,17),'Leave log'!$F$7:$F$306,"Approved")&gt;0,"A",""))="A","A",IF(OR(DATE($B$3,7,17)&gt;EOMONTH(DATE($B$3,7,1),0),NETWORKDAYS.INTL(DATE($B$3,7,17),DATE($B$3,7,17),1,'Non-working days'!$A$6:$A$45)=0),"",IF(COUNTIFS('Leave log'!$A$7:$A$306,Employees!$A$25,'Leave log'!$B$7:$B$306,"&lt;="&amp;DATE($B$3,7,17),'Leave log'!$C$7:$C$306,"&gt;="&amp;DATE($B$3,7,17),'Leave log'!$F$7:$F$306,"Pending")&gt;0,"P",""))))</f>
        <v/>
      </c>
      <c r="S230" s="23" t="str">
        <f>IF(A230="","",IF(IF(OR(DATE($B$3,7,18)&gt;EOMONTH(DATE($B$3,7,1),0),NETWORKDAYS.INTL(DATE($B$3,7,18),DATE($B$3,7,18),1,'Non-working days'!$A$6:$A$45)=0),"",IF(COUNTIFS('Leave log'!$A$7:$A$306,Employees!$A$25,'Leave log'!$B$7:$B$306,"&lt;="&amp;DATE($B$3,7,18),'Leave log'!$C$7:$C$306,"&gt;="&amp;DATE($B$3,7,18),'Leave log'!$F$7:$F$306,"Approved")&gt;0,"A",""))="A","A",IF(OR(DATE($B$3,7,18)&gt;EOMONTH(DATE($B$3,7,1),0),NETWORKDAYS.INTL(DATE($B$3,7,18),DATE($B$3,7,18),1,'Non-working days'!$A$6:$A$45)=0),"",IF(COUNTIFS('Leave log'!$A$7:$A$306,Employees!$A$25,'Leave log'!$B$7:$B$306,"&lt;="&amp;DATE($B$3,7,18),'Leave log'!$C$7:$C$306,"&gt;="&amp;DATE($B$3,7,18),'Leave log'!$F$7:$F$306,"Pending")&gt;0,"P",""))))</f>
        <v/>
      </c>
      <c r="T230" s="23" t="str">
        <f>IF(A230="","",IF(IF(OR(DATE($B$3,7,19)&gt;EOMONTH(DATE($B$3,7,1),0),NETWORKDAYS.INTL(DATE($B$3,7,19),DATE($B$3,7,19),1,'Non-working days'!$A$6:$A$45)=0),"",IF(COUNTIFS('Leave log'!$A$7:$A$306,Employees!$A$25,'Leave log'!$B$7:$B$306,"&lt;="&amp;DATE($B$3,7,19),'Leave log'!$C$7:$C$306,"&gt;="&amp;DATE($B$3,7,19),'Leave log'!$F$7:$F$306,"Approved")&gt;0,"A",""))="A","A",IF(OR(DATE($B$3,7,19)&gt;EOMONTH(DATE($B$3,7,1),0),NETWORKDAYS.INTL(DATE($B$3,7,19),DATE($B$3,7,19),1,'Non-working days'!$A$6:$A$45)=0),"",IF(COUNTIFS('Leave log'!$A$7:$A$306,Employees!$A$25,'Leave log'!$B$7:$B$306,"&lt;="&amp;DATE($B$3,7,19),'Leave log'!$C$7:$C$306,"&gt;="&amp;DATE($B$3,7,19),'Leave log'!$F$7:$F$306,"Pending")&gt;0,"P",""))))</f>
        <v/>
      </c>
      <c r="U230" s="23" t="str">
        <f>IF(A230="","",IF(IF(OR(DATE($B$3,7,20)&gt;EOMONTH(DATE($B$3,7,1),0),NETWORKDAYS.INTL(DATE($B$3,7,20),DATE($B$3,7,20),1,'Non-working days'!$A$6:$A$45)=0),"",IF(COUNTIFS('Leave log'!$A$7:$A$306,Employees!$A$25,'Leave log'!$B$7:$B$306,"&lt;="&amp;DATE($B$3,7,20),'Leave log'!$C$7:$C$306,"&gt;="&amp;DATE($B$3,7,20),'Leave log'!$F$7:$F$306,"Approved")&gt;0,"A",""))="A","A",IF(OR(DATE($B$3,7,20)&gt;EOMONTH(DATE($B$3,7,1),0),NETWORKDAYS.INTL(DATE($B$3,7,20),DATE($B$3,7,20),1,'Non-working days'!$A$6:$A$45)=0),"",IF(COUNTIFS('Leave log'!$A$7:$A$306,Employees!$A$25,'Leave log'!$B$7:$B$306,"&lt;="&amp;DATE($B$3,7,20),'Leave log'!$C$7:$C$306,"&gt;="&amp;DATE($B$3,7,20),'Leave log'!$F$7:$F$306,"Pending")&gt;0,"P",""))))</f>
        <v/>
      </c>
      <c r="V230" s="23" t="str">
        <f>IF(A230="","",IF(IF(OR(DATE($B$3,7,21)&gt;EOMONTH(DATE($B$3,7,1),0),NETWORKDAYS.INTL(DATE($B$3,7,21),DATE($B$3,7,21),1,'Non-working days'!$A$6:$A$45)=0),"",IF(COUNTIFS('Leave log'!$A$7:$A$306,Employees!$A$25,'Leave log'!$B$7:$B$306,"&lt;="&amp;DATE($B$3,7,21),'Leave log'!$C$7:$C$306,"&gt;="&amp;DATE($B$3,7,21),'Leave log'!$F$7:$F$306,"Approved")&gt;0,"A",""))="A","A",IF(OR(DATE($B$3,7,21)&gt;EOMONTH(DATE($B$3,7,1),0),NETWORKDAYS.INTL(DATE($B$3,7,21),DATE($B$3,7,21),1,'Non-working days'!$A$6:$A$45)=0),"",IF(COUNTIFS('Leave log'!$A$7:$A$306,Employees!$A$25,'Leave log'!$B$7:$B$306,"&lt;="&amp;DATE($B$3,7,21),'Leave log'!$C$7:$C$306,"&gt;="&amp;DATE($B$3,7,21),'Leave log'!$F$7:$F$306,"Pending")&gt;0,"P",""))))</f>
        <v/>
      </c>
      <c r="W230" s="23" t="str">
        <f>IF(A230="","",IF(IF(OR(DATE($B$3,7,22)&gt;EOMONTH(DATE($B$3,7,1),0),NETWORKDAYS.INTL(DATE($B$3,7,22),DATE($B$3,7,22),1,'Non-working days'!$A$6:$A$45)=0),"",IF(COUNTIFS('Leave log'!$A$7:$A$306,Employees!$A$25,'Leave log'!$B$7:$B$306,"&lt;="&amp;DATE($B$3,7,22),'Leave log'!$C$7:$C$306,"&gt;="&amp;DATE($B$3,7,22),'Leave log'!$F$7:$F$306,"Approved")&gt;0,"A",""))="A","A",IF(OR(DATE($B$3,7,22)&gt;EOMONTH(DATE($B$3,7,1),0),NETWORKDAYS.INTL(DATE($B$3,7,22),DATE($B$3,7,22),1,'Non-working days'!$A$6:$A$45)=0),"",IF(COUNTIFS('Leave log'!$A$7:$A$306,Employees!$A$25,'Leave log'!$B$7:$B$306,"&lt;="&amp;DATE($B$3,7,22),'Leave log'!$C$7:$C$306,"&gt;="&amp;DATE($B$3,7,22),'Leave log'!$F$7:$F$306,"Pending")&gt;0,"P",""))))</f>
        <v/>
      </c>
      <c r="X230" s="23" t="str">
        <f>IF(A230="","",IF(IF(OR(DATE($B$3,7,23)&gt;EOMONTH(DATE($B$3,7,1),0),NETWORKDAYS.INTL(DATE($B$3,7,23),DATE($B$3,7,23),1,'Non-working days'!$A$6:$A$45)=0),"",IF(COUNTIFS('Leave log'!$A$7:$A$306,Employees!$A$25,'Leave log'!$B$7:$B$306,"&lt;="&amp;DATE($B$3,7,23),'Leave log'!$C$7:$C$306,"&gt;="&amp;DATE($B$3,7,23),'Leave log'!$F$7:$F$306,"Approved")&gt;0,"A",""))="A","A",IF(OR(DATE($B$3,7,23)&gt;EOMONTH(DATE($B$3,7,1),0),NETWORKDAYS.INTL(DATE($B$3,7,23),DATE($B$3,7,23),1,'Non-working days'!$A$6:$A$45)=0),"",IF(COUNTIFS('Leave log'!$A$7:$A$306,Employees!$A$25,'Leave log'!$B$7:$B$306,"&lt;="&amp;DATE($B$3,7,23),'Leave log'!$C$7:$C$306,"&gt;="&amp;DATE($B$3,7,23),'Leave log'!$F$7:$F$306,"Pending")&gt;0,"P",""))))</f>
        <v/>
      </c>
      <c r="Y230" s="23" t="str">
        <f>IF(A230="","",IF(IF(OR(DATE($B$3,7,24)&gt;EOMONTH(DATE($B$3,7,1),0),NETWORKDAYS.INTL(DATE($B$3,7,24),DATE($B$3,7,24),1,'Non-working days'!$A$6:$A$45)=0),"",IF(COUNTIFS('Leave log'!$A$7:$A$306,Employees!$A$25,'Leave log'!$B$7:$B$306,"&lt;="&amp;DATE($B$3,7,24),'Leave log'!$C$7:$C$306,"&gt;="&amp;DATE($B$3,7,24),'Leave log'!$F$7:$F$306,"Approved")&gt;0,"A",""))="A","A",IF(OR(DATE($B$3,7,24)&gt;EOMONTH(DATE($B$3,7,1),0),NETWORKDAYS.INTL(DATE($B$3,7,24),DATE($B$3,7,24),1,'Non-working days'!$A$6:$A$45)=0),"",IF(COUNTIFS('Leave log'!$A$7:$A$306,Employees!$A$25,'Leave log'!$B$7:$B$306,"&lt;="&amp;DATE($B$3,7,24),'Leave log'!$C$7:$C$306,"&gt;="&amp;DATE($B$3,7,24),'Leave log'!$F$7:$F$306,"Pending")&gt;0,"P",""))))</f>
        <v/>
      </c>
      <c r="Z230" s="23" t="str">
        <f>IF(A230="","",IF(IF(OR(DATE($B$3,7,25)&gt;EOMONTH(DATE($B$3,7,1),0),NETWORKDAYS.INTL(DATE($B$3,7,25),DATE($B$3,7,25),1,'Non-working days'!$A$6:$A$45)=0),"",IF(COUNTIFS('Leave log'!$A$7:$A$306,Employees!$A$25,'Leave log'!$B$7:$B$306,"&lt;="&amp;DATE($B$3,7,25),'Leave log'!$C$7:$C$306,"&gt;="&amp;DATE($B$3,7,25),'Leave log'!$F$7:$F$306,"Approved")&gt;0,"A",""))="A","A",IF(OR(DATE($B$3,7,25)&gt;EOMONTH(DATE($B$3,7,1),0),NETWORKDAYS.INTL(DATE($B$3,7,25),DATE($B$3,7,25),1,'Non-working days'!$A$6:$A$45)=0),"",IF(COUNTIFS('Leave log'!$A$7:$A$306,Employees!$A$25,'Leave log'!$B$7:$B$306,"&lt;="&amp;DATE($B$3,7,25),'Leave log'!$C$7:$C$306,"&gt;="&amp;DATE($B$3,7,25),'Leave log'!$F$7:$F$306,"Pending")&gt;0,"P",""))))</f>
        <v/>
      </c>
      <c r="AA230" s="23" t="str">
        <f>IF(A230="","",IF(IF(OR(DATE($B$3,7,26)&gt;EOMONTH(DATE($B$3,7,1),0),NETWORKDAYS.INTL(DATE($B$3,7,26),DATE($B$3,7,26),1,'Non-working days'!$A$6:$A$45)=0),"",IF(COUNTIFS('Leave log'!$A$7:$A$306,Employees!$A$25,'Leave log'!$B$7:$B$306,"&lt;="&amp;DATE($B$3,7,26),'Leave log'!$C$7:$C$306,"&gt;="&amp;DATE($B$3,7,26),'Leave log'!$F$7:$F$306,"Approved")&gt;0,"A",""))="A","A",IF(OR(DATE($B$3,7,26)&gt;EOMONTH(DATE($B$3,7,1),0),NETWORKDAYS.INTL(DATE($B$3,7,26),DATE($B$3,7,26),1,'Non-working days'!$A$6:$A$45)=0),"",IF(COUNTIFS('Leave log'!$A$7:$A$306,Employees!$A$25,'Leave log'!$B$7:$B$306,"&lt;="&amp;DATE($B$3,7,26),'Leave log'!$C$7:$C$306,"&gt;="&amp;DATE($B$3,7,26),'Leave log'!$F$7:$F$306,"Pending")&gt;0,"P",""))))</f>
        <v/>
      </c>
      <c r="AB230" s="23" t="str">
        <f>IF(A230="","",IF(IF(OR(DATE($B$3,7,27)&gt;EOMONTH(DATE($B$3,7,1),0),NETWORKDAYS.INTL(DATE($B$3,7,27),DATE($B$3,7,27),1,'Non-working days'!$A$6:$A$45)=0),"",IF(COUNTIFS('Leave log'!$A$7:$A$306,Employees!$A$25,'Leave log'!$B$7:$B$306,"&lt;="&amp;DATE($B$3,7,27),'Leave log'!$C$7:$C$306,"&gt;="&amp;DATE($B$3,7,27),'Leave log'!$F$7:$F$306,"Approved")&gt;0,"A",""))="A","A",IF(OR(DATE($B$3,7,27)&gt;EOMONTH(DATE($B$3,7,1),0),NETWORKDAYS.INTL(DATE($B$3,7,27),DATE($B$3,7,27),1,'Non-working days'!$A$6:$A$45)=0),"",IF(COUNTIFS('Leave log'!$A$7:$A$306,Employees!$A$25,'Leave log'!$B$7:$B$306,"&lt;="&amp;DATE($B$3,7,27),'Leave log'!$C$7:$C$306,"&gt;="&amp;DATE($B$3,7,27),'Leave log'!$F$7:$F$306,"Pending")&gt;0,"P",""))))</f>
        <v/>
      </c>
      <c r="AC230" s="23" t="str">
        <f>IF(A230="","",IF(IF(OR(DATE($B$3,7,28)&gt;EOMONTH(DATE($B$3,7,1),0),NETWORKDAYS.INTL(DATE($B$3,7,28),DATE($B$3,7,28),1,'Non-working days'!$A$6:$A$45)=0),"",IF(COUNTIFS('Leave log'!$A$7:$A$306,Employees!$A$25,'Leave log'!$B$7:$B$306,"&lt;="&amp;DATE($B$3,7,28),'Leave log'!$C$7:$C$306,"&gt;="&amp;DATE($B$3,7,28),'Leave log'!$F$7:$F$306,"Approved")&gt;0,"A",""))="A","A",IF(OR(DATE($B$3,7,28)&gt;EOMONTH(DATE($B$3,7,1),0),NETWORKDAYS.INTL(DATE($B$3,7,28),DATE($B$3,7,28),1,'Non-working days'!$A$6:$A$45)=0),"",IF(COUNTIFS('Leave log'!$A$7:$A$306,Employees!$A$25,'Leave log'!$B$7:$B$306,"&lt;="&amp;DATE($B$3,7,28),'Leave log'!$C$7:$C$306,"&gt;="&amp;DATE($B$3,7,28),'Leave log'!$F$7:$F$306,"Pending")&gt;0,"P",""))))</f>
        <v/>
      </c>
      <c r="AD230" s="23" t="str">
        <f>IF(A230="","",IF(IF(OR(DATE($B$3,7,29)&gt;EOMONTH(DATE($B$3,7,1),0),NETWORKDAYS.INTL(DATE($B$3,7,29),DATE($B$3,7,29),1,'Non-working days'!$A$6:$A$45)=0),"",IF(COUNTIFS('Leave log'!$A$7:$A$306,Employees!$A$25,'Leave log'!$B$7:$B$306,"&lt;="&amp;DATE($B$3,7,29),'Leave log'!$C$7:$C$306,"&gt;="&amp;DATE($B$3,7,29),'Leave log'!$F$7:$F$306,"Approved")&gt;0,"A",""))="A","A",IF(OR(DATE($B$3,7,29)&gt;EOMONTH(DATE($B$3,7,1),0),NETWORKDAYS.INTL(DATE($B$3,7,29),DATE($B$3,7,29),1,'Non-working days'!$A$6:$A$45)=0),"",IF(COUNTIFS('Leave log'!$A$7:$A$306,Employees!$A$25,'Leave log'!$B$7:$B$306,"&lt;="&amp;DATE($B$3,7,29),'Leave log'!$C$7:$C$306,"&gt;="&amp;DATE($B$3,7,29),'Leave log'!$F$7:$F$306,"Pending")&gt;0,"P",""))))</f>
        <v/>
      </c>
      <c r="AE230" s="23" t="str">
        <f>IF(A230="","",IF(IF(OR(DATE($B$3,7,30)&gt;EOMONTH(DATE($B$3,7,1),0),NETWORKDAYS.INTL(DATE($B$3,7,30),DATE($B$3,7,30),1,'Non-working days'!$A$6:$A$45)=0),"",IF(COUNTIFS('Leave log'!$A$7:$A$306,Employees!$A$25,'Leave log'!$B$7:$B$306,"&lt;="&amp;DATE($B$3,7,30),'Leave log'!$C$7:$C$306,"&gt;="&amp;DATE($B$3,7,30),'Leave log'!$F$7:$F$306,"Approved")&gt;0,"A",""))="A","A",IF(OR(DATE($B$3,7,30)&gt;EOMONTH(DATE($B$3,7,1),0),NETWORKDAYS.INTL(DATE($B$3,7,30),DATE($B$3,7,30),1,'Non-working days'!$A$6:$A$45)=0),"",IF(COUNTIFS('Leave log'!$A$7:$A$306,Employees!$A$25,'Leave log'!$B$7:$B$306,"&lt;="&amp;DATE($B$3,7,30),'Leave log'!$C$7:$C$306,"&gt;="&amp;DATE($B$3,7,30),'Leave log'!$F$7:$F$306,"Pending")&gt;0,"P",""))))</f>
        <v/>
      </c>
      <c r="AF230" s="23" t="str">
        <f>IF(A230="","",IF(IF(OR(DATE($B$3,7,31)&gt;EOMONTH(DATE($B$3,7,1),0),NETWORKDAYS.INTL(DATE($B$3,7,31),DATE($B$3,7,31),1,'Non-working days'!$A$6:$A$45)=0),"",IF(COUNTIFS('Leave log'!$A$7:$A$306,Employees!$A$25,'Leave log'!$B$7:$B$306,"&lt;="&amp;DATE($B$3,7,31),'Leave log'!$C$7:$C$306,"&gt;="&amp;DATE($B$3,7,31),'Leave log'!$F$7:$F$306,"Approved")&gt;0,"A",""))="A","A",IF(OR(DATE($B$3,7,31)&gt;EOMONTH(DATE($B$3,7,1),0),NETWORKDAYS.INTL(DATE($B$3,7,31),DATE($B$3,7,31),1,'Non-working days'!$A$6:$A$45)=0),"",IF(COUNTIFS('Leave log'!$A$7:$A$306,Employees!$A$25,'Leave log'!$B$7:$B$306,"&lt;="&amp;DATE($B$3,7,31),'Leave log'!$C$7:$C$306,"&gt;="&amp;DATE($B$3,7,31),'Leave log'!$F$7:$F$306,"Pending")&gt;0,"P",""))))</f>
        <v/>
      </c>
    </row>
    <row r="231" spans="1:32" ht="18" customHeight="1" x14ac:dyDescent="0.3">
      <c r="A231" s="22" t="str">
        <f>IF(Employees!F26="Yes",Employees!B26,"")</f>
        <v/>
      </c>
      <c r="B231" s="23" t="str">
        <f>IF(A231="","",IF(IF(OR(DATE($B$3,7,1)&gt;EOMONTH(DATE($B$3,7,1),0),NETWORKDAYS.INTL(DATE($B$3,7,1),DATE($B$3,7,1),1,'Non-working days'!$A$6:$A$45)=0),"",IF(COUNTIFS('Leave log'!$A$7:$A$306,Employees!$A$26,'Leave log'!$B$7:$B$306,"&lt;="&amp;DATE($B$3,7,1),'Leave log'!$C$7:$C$306,"&gt;="&amp;DATE($B$3,7,1),'Leave log'!$F$7:$F$306,"Approved")&gt;0,"A",""))="A","A",IF(OR(DATE($B$3,7,1)&gt;EOMONTH(DATE($B$3,7,1),0),NETWORKDAYS.INTL(DATE($B$3,7,1),DATE($B$3,7,1),1,'Non-working days'!$A$6:$A$45)=0),"",IF(COUNTIFS('Leave log'!$A$7:$A$306,Employees!$A$26,'Leave log'!$B$7:$B$306,"&lt;="&amp;DATE($B$3,7,1),'Leave log'!$C$7:$C$306,"&gt;="&amp;DATE($B$3,7,1),'Leave log'!$F$7:$F$306,"Pending")&gt;0,"P",""))))</f>
        <v/>
      </c>
      <c r="C231" s="23" t="str">
        <f>IF(A231="","",IF(IF(OR(DATE($B$3,7,2)&gt;EOMONTH(DATE($B$3,7,1),0),NETWORKDAYS.INTL(DATE($B$3,7,2),DATE($B$3,7,2),1,'Non-working days'!$A$6:$A$45)=0),"",IF(COUNTIFS('Leave log'!$A$7:$A$306,Employees!$A$26,'Leave log'!$B$7:$B$306,"&lt;="&amp;DATE($B$3,7,2),'Leave log'!$C$7:$C$306,"&gt;="&amp;DATE($B$3,7,2),'Leave log'!$F$7:$F$306,"Approved")&gt;0,"A",""))="A","A",IF(OR(DATE($B$3,7,2)&gt;EOMONTH(DATE($B$3,7,1),0),NETWORKDAYS.INTL(DATE($B$3,7,2),DATE($B$3,7,2),1,'Non-working days'!$A$6:$A$45)=0),"",IF(COUNTIFS('Leave log'!$A$7:$A$306,Employees!$A$26,'Leave log'!$B$7:$B$306,"&lt;="&amp;DATE($B$3,7,2),'Leave log'!$C$7:$C$306,"&gt;="&amp;DATE($B$3,7,2),'Leave log'!$F$7:$F$306,"Pending")&gt;0,"P",""))))</f>
        <v/>
      </c>
      <c r="D231" s="23" t="str">
        <f>IF(A231="","",IF(IF(OR(DATE($B$3,7,3)&gt;EOMONTH(DATE($B$3,7,1),0),NETWORKDAYS.INTL(DATE($B$3,7,3),DATE($B$3,7,3),1,'Non-working days'!$A$6:$A$45)=0),"",IF(COUNTIFS('Leave log'!$A$7:$A$306,Employees!$A$26,'Leave log'!$B$7:$B$306,"&lt;="&amp;DATE($B$3,7,3),'Leave log'!$C$7:$C$306,"&gt;="&amp;DATE($B$3,7,3),'Leave log'!$F$7:$F$306,"Approved")&gt;0,"A",""))="A","A",IF(OR(DATE($B$3,7,3)&gt;EOMONTH(DATE($B$3,7,1),0),NETWORKDAYS.INTL(DATE($B$3,7,3),DATE($B$3,7,3),1,'Non-working days'!$A$6:$A$45)=0),"",IF(COUNTIFS('Leave log'!$A$7:$A$306,Employees!$A$26,'Leave log'!$B$7:$B$306,"&lt;="&amp;DATE($B$3,7,3),'Leave log'!$C$7:$C$306,"&gt;="&amp;DATE($B$3,7,3),'Leave log'!$F$7:$F$306,"Pending")&gt;0,"P",""))))</f>
        <v/>
      </c>
      <c r="E231" s="23" t="str">
        <f>IF(A231="","",IF(IF(OR(DATE($B$3,7,4)&gt;EOMONTH(DATE($B$3,7,1),0),NETWORKDAYS.INTL(DATE($B$3,7,4),DATE($B$3,7,4),1,'Non-working days'!$A$6:$A$45)=0),"",IF(COUNTIFS('Leave log'!$A$7:$A$306,Employees!$A$26,'Leave log'!$B$7:$B$306,"&lt;="&amp;DATE($B$3,7,4),'Leave log'!$C$7:$C$306,"&gt;="&amp;DATE($B$3,7,4),'Leave log'!$F$7:$F$306,"Approved")&gt;0,"A",""))="A","A",IF(OR(DATE($B$3,7,4)&gt;EOMONTH(DATE($B$3,7,1),0),NETWORKDAYS.INTL(DATE($B$3,7,4),DATE($B$3,7,4),1,'Non-working days'!$A$6:$A$45)=0),"",IF(COUNTIFS('Leave log'!$A$7:$A$306,Employees!$A$26,'Leave log'!$B$7:$B$306,"&lt;="&amp;DATE($B$3,7,4),'Leave log'!$C$7:$C$306,"&gt;="&amp;DATE($B$3,7,4),'Leave log'!$F$7:$F$306,"Pending")&gt;0,"P",""))))</f>
        <v/>
      </c>
      <c r="F231" s="23" t="str">
        <f>IF(A231="","",IF(IF(OR(DATE($B$3,7,5)&gt;EOMONTH(DATE($B$3,7,1),0),NETWORKDAYS.INTL(DATE($B$3,7,5),DATE($B$3,7,5),1,'Non-working days'!$A$6:$A$45)=0),"",IF(COUNTIFS('Leave log'!$A$7:$A$306,Employees!$A$26,'Leave log'!$B$7:$B$306,"&lt;="&amp;DATE($B$3,7,5),'Leave log'!$C$7:$C$306,"&gt;="&amp;DATE($B$3,7,5),'Leave log'!$F$7:$F$306,"Approved")&gt;0,"A",""))="A","A",IF(OR(DATE($B$3,7,5)&gt;EOMONTH(DATE($B$3,7,1),0),NETWORKDAYS.INTL(DATE($B$3,7,5),DATE($B$3,7,5),1,'Non-working days'!$A$6:$A$45)=0),"",IF(COUNTIFS('Leave log'!$A$7:$A$306,Employees!$A$26,'Leave log'!$B$7:$B$306,"&lt;="&amp;DATE($B$3,7,5),'Leave log'!$C$7:$C$306,"&gt;="&amp;DATE($B$3,7,5),'Leave log'!$F$7:$F$306,"Pending")&gt;0,"P",""))))</f>
        <v/>
      </c>
      <c r="G231" s="23" t="str">
        <f>IF(A231="","",IF(IF(OR(DATE($B$3,7,6)&gt;EOMONTH(DATE($B$3,7,1),0),NETWORKDAYS.INTL(DATE($B$3,7,6),DATE($B$3,7,6),1,'Non-working days'!$A$6:$A$45)=0),"",IF(COUNTIFS('Leave log'!$A$7:$A$306,Employees!$A$26,'Leave log'!$B$7:$B$306,"&lt;="&amp;DATE($B$3,7,6),'Leave log'!$C$7:$C$306,"&gt;="&amp;DATE($B$3,7,6),'Leave log'!$F$7:$F$306,"Approved")&gt;0,"A",""))="A","A",IF(OR(DATE($B$3,7,6)&gt;EOMONTH(DATE($B$3,7,1),0),NETWORKDAYS.INTL(DATE($B$3,7,6),DATE($B$3,7,6),1,'Non-working days'!$A$6:$A$45)=0),"",IF(COUNTIFS('Leave log'!$A$7:$A$306,Employees!$A$26,'Leave log'!$B$7:$B$306,"&lt;="&amp;DATE($B$3,7,6),'Leave log'!$C$7:$C$306,"&gt;="&amp;DATE($B$3,7,6),'Leave log'!$F$7:$F$306,"Pending")&gt;0,"P",""))))</f>
        <v/>
      </c>
      <c r="H231" s="23" t="str">
        <f>IF(A231="","",IF(IF(OR(DATE($B$3,7,7)&gt;EOMONTH(DATE($B$3,7,1),0),NETWORKDAYS.INTL(DATE($B$3,7,7),DATE($B$3,7,7),1,'Non-working days'!$A$6:$A$45)=0),"",IF(COUNTIFS('Leave log'!$A$7:$A$306,Employees!$A$26,'Leave log'!$B$7:$B$306,"&lt;="&amp;DATE($B$3,7,7),'Leave log'!$C$7:$C$306,"&gt;="&amp;DATE($B$3,7,7),'Leave log'!$F$7:$F$306,"Approved")&gt;0,"A",""))="A","A",IF(OR(DATE($B$3,7,7)&gt;EOMONTH(DATE($B$3,7,1),0),NETWORKDAYS.INTL(DATE($B$3,7,7),DATE($B$3,7,7),1,'Non-working days'!$A$6:$A$45)=0),"",IF(COUNTIFS('Leave log'!$A$7:$A$306,Employees!$A$26,'Leave log'!$B$7:$B$306,"&lt;="&amp;DATE($B$3,7,7),'Leave log'!$C$7:$C$306,"&gt;="&amp;DATE($B$3,7,7),'Leave log'!$F$7:$F$306,"Pending")&gt;0,"P",""))))</f>
        <v/>
      </c>
      <c r="I231" s="23" t="str">
        <f>IF(A231="","",IF(IF(OR(DATE($B$3,7,8)&gt;EOMONTH(DATE($B$3,7,1),0),NETWORKDAYS.INTL(DATE($B$3,7,8),DATE($B$3,7,8),1,'Non-working days'!$A$6:$A$45)=0),"",IF(COUNTIFS('Leave log'!$A$7:$A$306,Employees!$A$26,'Leave log'!$B$7:$B$306,"&lt;="&amp;DATE($B$3,7,8),'Leave log'!$C$7:$C$306,"&gt;="&amp;DATE($B$3,7,8),'Leave log'!$F$7:$F$306,"Approved")&gt;0,"A",""))="A","A",IF(OR(DATE($B$3,7,8)&gt;EOMONTH(DATE($B$3,7,1),0),NETWORKDAYS.INTL(DATE($B$3,7,8),DATE($B$3,7,8),1,'Non-working days'!$A$6:$A$45)=0),"",IF(COUNTIFS('Leave log'!$A$7:$A$306,Employees!$A$26,'Leave log'!$B$7:$B$306,"&lt;="&amp;DATE($B$3,7,8),'Leave log'!$C$7:$C$306,"&gt;="&amp;DATE($B$3,7,8),'Leave log'!$F$7:$F$306,"Pending")&gt;0,"P",""))))</f>
        <v/>
      </c>
      <c r="J231" s="23" t="str">
        <f>IF(A231="","",IF(IF(OR(DATE($B$3,7,9)&gt;EOMONTH(DATE($B$3,7,1),0),NETWORKDAYS.INTL(DATE($B$3,7,9),DATE($B$3,7,9),1,'Non-working days'!$A$6:$A$45)=0),"",IF(COUNTIFS('Leave log'!$A$7:$A$306,Employees!$A$26,'Leave log'!$B$7:$B$306,"&lt;="&amp;DATE($B$3,7,9),'Leave log'!$C$7:$C$306,"&gt;="&amp;DATE($B$3,7,9),'Leave log'!$F$7:$F$306,"Approved")&gt;0,"A",""))="A","A",IF(OR(DATE($B$3,7,9)&gt;EOMONTH(DATE($B$3,7,1),0),NETWORKDAYS.INTL(DATE($B$3,7,9),DATE($B$3,7,9),1,'Non-working days'!$A$6:$A$45)=0),"",IF(COUNTIFS('Leave log'!$A$7:$A$306,Employees!$A$26,'Leave log'!$B$7:$B$306,"&lt;="&amp;DATE($B$3,7,9),'Leave log'!$C$7:$C$306,"&gt;="&amp;DATE($B$3,7,9),'Leave log'!$F$7:$F$306,"Pending")&gt;0,"P",""))))</f>
        <v/>
      </c>
      <c r="K231" s="23" t="str">
        <f>IF(A231="","",IF(IF(OR(DATE($B$3,7,10)&gt;EOMONTH(DATE($B$3,7,1),0),NETWORKDAYS.INTL(DATE($B$3,7,10),DATE($B$3,7,10),1,'Non-working days'!$A$6:$A$45)=0),"",IF(COUNTIFS('Leave log'!$A$7:$A$306,Employees!$A$26,'Leave log'!$B$7:$B$306,"&lt;="&amp;DATE($B$3,7,10),'Leave log'!$C$7:$C$306,"&gt;="&amp;DATE($B$3,7,10),'Leave log'!$F$7:$F$306,"Approved")&gt;0,"A",""))="A","A",IF(OR(DATE($B$3,7,10)&gt;EOMONTH(DATE($B$3,7,1),0),NETWORKDAYS.INTL(DATE($B$3,7,10),DATE($B$3,7,10),1,'Non-working days'!$A$6:$A$45)=0),"",IF(COUNTIFS('Leave log'!$A$7:$A$306,Employees!$A$26,'Leave log'!$B$7:$B$306,"&lt;="&amp;DATE($B$3,7,10),'Leave log'!$C$7:$C$306,"&gt;="&amp;DATE($B$3,7,10),'Leave log'!$F$7:$F$306,"Pending")&gt;0,"P",""))))</f>
        <v/>
      </c>
      <c r="L231" s="23" t="str">
        <f>IF(A231="","",IF(IF(OR(DATE($B$3,7,11)&gt;EOMONTH(DATE($B$3,7,1),0),NETWORKDAYS.INTL(DATE($B$3,7,11),DATE($B$3,7,11),1,'Non-working days'!$A$6:$A$45)=0),"",IF(COUNTIFS('Leave log'!$A$7:$A$306,Employees!$A$26,'Leave log'!$B$7:$B$306,"&lt;="&amp;DATE($B$3,7,11),'Leave log'!$C$7:$C$306,"&gt;="&amp;DATE($B$3,7,11),'Leave log'!$F$7:$F$306,"Approved")&gt;0,"A",""))="A","A",IF(OR(DATE($B$3,7,11)&gt;EOMONTH(DATE($B$3,7,1),0),NETWORKDAYS.INTL(DATE($B$3,7,11),DATE($B$3,7,11),1,'Non-working days'!$A$6:$A$45)=0),"",IF(COUNTIFS('Leave log'!$A$7:$A$306,Employees!$A$26,'Leave log'!$B$7:$B$306,"&lt;="&amp;DATE($B$3,7,11),'Leave log'!$C$7:$C$306,"&gt;="&amp;DATE($B$3,7,11),'Leave log'!$F$7:$F$306,"Pending")&gt;0,"P",""))))</f>
        <v/>
      </c>
      <c r="M231" s="23" t="str">
        <f>IF(A231="","",IF(IF(OR(DATE($B$3,7,12)&gt;EOMONTH(DATE($B$3,7,1),0),NETWORKDAYS.INTL(DATE($B$3,7,12),DATE($B$3,7,12),1,'Non-working days'!$A$6:$A$45)=0),"",IF(COUNTIFS('Leave log'!$A$7:$A$306,Employees!$A$26,'Leave log'!$B$7:$B$306,"&lt;="&amp;DATE($B$3,7,12),'Leave log'!$C$7:$C$306,"&gt;="&amp;DATE($B$3,7,12),'Leave log'!$F$7:$F$306,"Approved")&gt;0,"A",""))="A","A",IF(OR(DATE($B$3,7,12)&gt;EOMONTH(DATE($B$3,7,1),0),NETWORKDAYS.INTL(DATE($B$3,7,12),DATE($B$3,7,12),1,'Non-working days'!$A$6:$A$45)=0),"",IF(COUNTIFS('Leave log'!$A$7:$A$306,Employees!$A$26,'Leave log'!$B$7:$B$306,"&lt;="&amp;DATE($B$3,7,12),'Leave log'!$C$7:$C$306,"&gt;="&amp;DATE($B$3,7,12),'Leave log'!$F$7:$F$306,"Pending")&gt;0,"P",""))))</f>
        <v/>
      </c>
      <c r="N231" s="23" t="str">
        <f>IF(A231="","",IF(IF(OR(DATE($B$3,7,13)&gt;EOMONTH(DATE($B$3,7,1),0),NETWORKDAYS.INTL(DATE($B$3,7,13),DATE($B$3,7,13),1,'Non-working days'!$A$6:$A$45)=0),"",IF(COUNTIFS('Leave log'!$A$7:$A$306,Employees!$A$26,'Leave log'!$B$7:$B$306,"&lt;="&amp;DATE($B$3,7,13),'Leave log'!$C$7:$C$306,"&gt;="&amp;DATE($B$3,7,13),'Leave log'!$F$7:$F$306,"Approved")&gt;0,"A",""))="A","A",IF(OR(DATE($B$3,7,13)&gt;EOMONTH(DATE($B$3,7,1),0),NETWORKDAYS.INTL(DATE($B$3,7,13),DATE($B$3,7,13),1,'Non-working days'!$A$6:$A$45)=0),"",IF(COUNTIFS('Leave log'!$A$7:$A$306,Employees!$A$26,'Leave log'!$B$7:$B$306,"&lt;="&amp;DATE($B$3,7,13),'Leave log'!$C$7:$C$306,"&gt;="&amp;DATE($B$3,7,13),'Leave log'!$F$7:$F$306,"Pending")&gt;0,"P",""))))</f>
        <v/>
      </c>
      <c r="O231" s="23" t="str">
        <f>IF(A231="","",IF(IF(OR(DATE($B$3,7,14)&gt;EOMONTH(DATE($B$3,7,1),0),NETWORKDAYS.INTL(DATE($B$3,7,14),DATE($B$3,7,14),1,'Non-working days'!$A$6:$A$45)=0),"",IF(COUNTIFS('Leave log'!$A$7:$A$306,Employees!$A$26,'Leave log'!$B$7:$B$306,"&lt;="&amp;DATE($B$3,7,14),'Leave log'!$C$7:$C$306,"&gt;="&amp;DATE($B$3,7,14),'Leave log'!$F$7:$F$306,"Approved")&gt;0,"A",""))="A","A",IF(OR(DATE($B$3,7,14)&gt;EOMONTH(DATE($B$3,7,1),0),NETWORKDAYS.INTL(DATE($B$3,7,14),DATE($B$3,7,14),1,'Non-working days'!$A$6:$A$45)=0),"",IF(COUNTIFS('Leave log'!$A$7:$A$306,Employees!$A$26,'Leave log'!$B$7:$B$306,"&lt;="&amp;DATE($B$3,7,14),'Leave log'!$C$7:$C$306,"&gt;="&amp;DATE($B$3,7,14),'Leave log'!$F$7:$F$306,"Pending")&gt;0,"P",""))))</f>
        <v/>
      </c>
      <c r="P231" s="23" t="str">
        <f>IF(A231="","",IF(IF(OR(DATE($B$3,7,15)&gt;EOMONTH(DATE($B$3,7,1),0),NETWORKDAYS.INTL(DATE($B$3,7,15),DATE($B$3,7,15),1,'Non-working days'!$A$6:$A$45)=0),"",IF(COUNTIFS('Leave log'!$A$7:$A$306,Employees!$A$26,'Leave log'!$B$7:$B$306,"&lt;="&amp;DATE($B$3,7,15),'Leave log'!$C$7:$C$306,"&gt;="&amp;DATE($B$3,7,15),'Leave log'!$F$7:$F$306,"Approved")&gt;0,"A",""))="A","A",IF(OR(DATE($B$3,7,15)&gt;EOMONTH(DATE($B$3,7,1),0),NETWORKDAYS.INTL(DATE($B$3,7,15),DATE($B$3,7,15),1,'Non-working days'!$A$6:$A$45)=0),"",IF(COUNTIFS('Leave log'!$A$7:$A$306,Employees!$A$26,'Leave log'!$B$7:$B$306,"&lt;="&amp;DATE($B$3,7,15),'Leave log'!$C$7:$C$306,"&gt;="&amp;DATE($B$3,7,15),'Leave log'!$F$7:$F$306,"Pending")&gt;0,"P",""))))</f>
        <v/>
      </c>
      <c r="Q231" s="23" t="str">
        <f>IF(A231="","",IF(IF(OR(DATE($B$3,7,16)&gt;EOMONTH(DATE($B$3,7,1),0),NETWORKDAYS.INTL(DATE($B$3,7,16),DATE($B$3,7,16),1,'Non-working days'!$A$6:$A$45)=0),"",IF(COUNTIFS('Leave log'!$A$7:$A$306,Employees!$A$26,'Leave log'!$B$7:$B$306,"&lt;="&amp;DATE($B$3,7,16),'Leave log'!$C$7:$C$306,"&gt;="&amp;DATE($B$3,7,16),'Leave log'!$F$7:$F$306,"Approved")&gt;0,"A",""))="A","A",IF(OR(DATE($B$3,7,16)&gt;EOMONTH(DATE($B$3,7,1),0),NETWORKDAYS.INTL(DATE($B$3,7,16),DATE($B$3,7,16),1,'Non-working days'!$A$6:$A$45)=0),"",IF(COUNTIFS('Leave log'!$A$7:$A$306,Employees!$A$26,'Leave log'!$B$7:$B$306,"&lt;="&amp;DATE($B$3,7,16),'Leave log'!$C$7:$C$306,"&gt;="&amp;DATE($B$3,7,16),'Leave log'!$F$7:$F$306,"Pending")&gt;0,"P",""))))</f>
        <v/>
      </c>
      <c r="R231" s="23" t="str">
        <f>IF(A231="","",IF(IF(OR(DATE($B$3,7,17)&gt;EOMONTH(DATE($B$3,7,1),0),NETWORKDAYS.INTL(DATE($B$3,7,17),DATE($B$3,7,17),1,'Non-working days'!$A$6:$A$45)=0),"",IF(COUNTIFS('Leave log'!$A$7:$A$306,Employees!$A$26,'Leave log'!$B$7:$B$306,"&lt;="&amp;DATE($B$3,7,17),'Leave log'!$C$7:$C$306,"&gt;="&amp;DATE($B$3,7,17),'Leave log'!$F$7:$F$306,"Approved")&gt;0,"A",""))="A","A",IF(OR(DATE($B$3,7,17)&gt;EOMONTH(DATE($B$3,7,1),0),NETWORKDAYS.INTL(DATE($B$3,7,17),DATE($B$3,7,17),1,'Non-working days'!$A$6:$A$45)=0),"",IF(COUNTIFS('Leave log'!$A$7:$A$306,Employees!$A$26,'Leave log'!$B$7:$B$306,"&lt;="&amp;DATE($B$3,7,17),'Leave log'!$C$7:$C$306,"&gt;="&amp;DATE($B$3,7,17),'Leave log'!$F$7:$F$306,"Pending")&gt;0,"P",""))))</f>
        <v/>
      </c>
      <c r="S231" s="23" t="str">
        <f>IF(A231="","",IF(IF(OR(DATE($B$3,7,18)&gt;EOMONTH(DATE($B$3,7,1),0),NETWORKDAYS.INTL(DATE($B$3,7,18),DATE($B$3,7,18),1,'Non-working days'!$A$6:$A$45)=0),"",IF(COUNTIFS('Leave log'!$A$7:$A$306,Employees!$A$26,'Leave log'!$B$7:$B$306,"&lt;="&amp;DATE($B$3,7,18),'Leave log'!$C$7:$C$306,"&gt;="&amp;DATE($B$3,7,18),'Leave log'!$F$7:$F$306,"Approved")&gt;0,"A",""))="A","A",IF(OR(DATE($B$3,7,18)&gt;EOMONTH(DATE($B$3,7,1),0),NETWORKDAYS.INTL(DATE($B$3,7,18),DATE($B$3,7,18),1,'Non-working days'!$A$6:$A$45)=0),"",IF(COUNTIFS('Leave log'!$A$7:$A$306,Employees!$A$26,'Leave log'!$B$7:$B$306,"&lt;="&amp;DATE($B$3,7,18),'Leave log'!$C$7:$C$306,"&gt;="&amp;DATE($B$3,7,18),'Leave log'!$F$7:$F$306,"Pending")&gt;0,"P",""))))</f>
        <v/>
      </c>
      <c r="T231" s="23" t="str">
        <f>IF(A231="","",IF(IF(OR(DATE($B$3,7,19)&gt;EOMONTH(DATE($B$3,7,1),0),NETWORKDAYS.INTL(DATE($B$3,7,19),DATE($B$3,7,19),1,'Non-working days'!$A$6:$A$45)=0),"",IF(COUNTIFS('Leave log'!$A$7:$A$306,Employees!$A$26,'Leave log'!$B$7:$B$306,"&lt;="&amp;DATE($B$3,7,19),'Leave log'!$C$7:$C$306,"&gt;="&amp;DATE($B$3,7,19),'Leave log'!$F$7:$F$306,"Approved")&gt;0,"A",""))="A","A",IF(OR(DATE($B$3,7,19)&gt;EOMONTH(DATE($B$3,7,1),0),NETWORKDAYS.INTL(DATE($B$3,7,19),DATE($B$3,7,19),1,'Non-working days'!$A$6:$A$45)=0),"",IF(COUNTIFS('Leave log'!$A$7:$A$306,Employees!$A$26,'Leave log'!$B$7:$B$306,"&lt;="&amp;DATE($B$3,7,19),'Leave log'!$C$7:$C$306,"&gt;="&amp;DATE($B$3,7,19),'Leave log'!$F$7:$F$306,"Pending")&gt;0,"P",""))))</f>
        <v/>
      </c>
      <c r="U231" s="23" t="str">
        <f>IF(A231="","",IF(IF(OR(DATE($B$3,7,20)&gt;EOMONTH(DATE($B$3,7,1),0),NETWORKDAYS.INTL(DATE($B$3,7,20),DATE($B$3,7,20),1,'Non-working days'!$A$6:$A$45)=0),"",IF(COUNTIFS('Leave log'!$A$7:$A$306,Employees!$A$26,'Leave log'!$B$7:$B$306,"&lt;="&amp;DATE($B$3,7,20),'Leave log'!$C$7:$C$306,"&gt;="&amp;DATE($B$3,7,20),'Leave log'!$F$7:$F$306,"Approved")&gt;0,"A",""))="A","A",IF(OR(DATE($B$3,7,20)&gt;EOMONTH(DATE($B$3,7,1),0),NETWORKDAYS.INTL(DATE($B$3,7,20),DATE($B$3,7,20),1,'Non-working days'!$A$6:$A$45)=0),"",IF(COUNTIFS('Leave log'!$A$7:$A$306,Employees!$A$26,'Leave log'!$B$7:$B$306,"&lt;="&amp;DATE($B$3,7,20),'Leave log'!$C$7:$C$306,"&gt;="&amp;DATE($B$3,7,20),'Leave log'!$F$7:$F$306,"Pending")&gt;0,"P",""))))</f>
        <v/>
      </c>
      <c r="V231" s="23" t="str">
        <f>IF(A231="","",IF(IF(OR(DATE($B$3,7,21)&gt;EOMONTH(DATE($B$3,7,1),0),NETWORKDAYS.INTL(DATE($B$3,7,21),DATE($B$3,7,21),1,'Non-working days'!$A$6:$A$45)=0),"",IF(COUNTIFS('Leave log'!$A$7:$A$306,Employees!$A$26,'Leave log'!$B$7:$B$306,"&lt;="&amp;DATE($B$3,7,21),'Leave log'!$C$7:$C$306,"&gt;="&amp;DATE($B$3,7,21),'Leave log'!$F$7:$F$306,"Approved")&gt;0,"A",""))="A","A",IF(OR(DATE($B$3,7,21)&gt;EOMONTH(DATE($B$3,7,1),0),NETWORKDAYS.INTL(DATE($B$3,7,21),DATE($B$3,7,21),1,'Non-working days'!$A$6:$A$45)=0),"",IF(COUNTIFS('Leave log'!$A$7:$A$306,Employees!$A$26,'Leave log'!$B$7:$B$306,"&lt;="&amp;DATE($B$3,7,21),'Leave log'!$C$7:$C$306,"&gt;="&amp;DATE($B$3,7,21),'Leave log'!$F$7:$F$306,"Pending")&gt;0,"P",""))))</f>
        <v/>
      </c>
      <c r="W231" s="23" t="str">
        <f>IF(A231="","",IF(IF(OR(DATE($B$3,7,22)&gt;EOMONTH(DATE($B$3,7,1),0),NETWORKDAYS.INTL(DATE($B$3,7,22),DATE($B$3,7,22),1,'Non-working days'!$A$6:$A$45)=0),"",IF(COUNTIFS('Leave log'!$A$7:$A$306,Employees!$A$26,'Leave log'!$B$7:$B$306,"&lt;="&amp;DATE($B$3,7,22),'Leave log'!$C$7:$C$306,"&gt;="&amp;DATE($B$3,7,22),'Leave log'!$F$7:$F$306,"Approved")&gt;0,"A",""))="A","A",IF(OR(DATE($B$3,7,22)&gt;EOMONTH(DATE($B$3,7,1),0),NETWORKDAYS.INTL(DATE($B$3,7,22),DATE($B$3,7,22),1,'Non-working days'!$A$6:$A$45)=0),"",IF(COUNTIFS('Leave log'!$A$7:$A$306,Employees!$A$26,'Leave log'!$B$7:$B$306,"&lt;="&amp;DATE($B$3,7,22),'Leave log'!$C$7:$C$306,"&gt;="&amp;DATE($B$3,7,22),'Leave log'!$F$7:$F$306,"Pending")&gt;0,"P",""))))</f>
        <v/>
      </c>
      <c r="X231" s="23" t="str">
        <f>IF(A231="","",IF(IF(OR(DATE($B$3,7,23)&gt;EOMONTH(DATE($B$3,7,1),0),NETWORKDAYS.INTL(DATE($B$3,7,23),DATE($B$3,7,23),1,'Non-working days'!$A$6:$A$45)=0),"",IF(COUNTIFS('Leave log'!$A$7:$A$306,Employees!$A$26,'Leave log'!$B$7:$B$306,"&lt;="&amp;DATE($B$3,7,23),'Leave log'!$C$7:$C$306,"&gt;="&amp;DATE($B$3,7,23),'Leave log'!$F$7:$F$306,"Approved")&gt;0,"A",""))="A","A",IF(OR(DATE($B$3,7,23)&gt;EOMONTH(DATE($B$3,7,1),0),NETWORKDAYS.INTL(DATE($B$3,7,23),DATE($B$3,7,23),1,'Non-working days'!$A$6:$A$45)=0),"",IF(COUNTIFS('Leave log'!$A$7:$A$306,Employees!$A$26,'Leave log'!$B$7:$B$306,"&lt;="&amp;DATE($B$3,7,23),'Leave log'!$C$7:$C$306,"&gt;="&amp;DATE($B$3,7,23),'Leave log'!$F$7:$F$306,"Pending")&gt;0,"P",""))))</f>
        <v/>
      </c>
      <c r="Y231" s="23" t="str">
        <f>IF(A231="","",IF(IF(OR(DATE($B$3,7,24)&gt;EOMONTH(DATE($B$3,7,1),0),NETWORKDAYS.INTL(DATE($B$3,7,24),DATE($B$3,7,24),1,'Non-working days'!$A$6:$A$45)=0),"",IF(COUNTIFS('Leave log'!$A$7:$A$306,Employees!$A$26,'Leave log'!$B$7:$B$306,"&lt;="&amp;DATE($B$3,7,24),'Leave log'!$C$7:$C$306,"&gt;="&amp;DATE($B$3,7,24),'Leave log'!$F$7:$F$306,"Approved")&gt;0,"A",""))="A","A",IF(OR(DATE($B$3,7,24)&gt;EOMONTH(DATE($B$3,7,1),0),NETWORKDAYS.INTL(DATE($B$3,7,24),DATE($B$3,7,24),1,'Non-working days'!$A$6:$A$45)=0),"",IF(COUNTIFS('Leave log'!$A$7:$A$306,Employees!$A$26,'Leave log'!$B$7:$B$306,"&lt;="&amp;DATE($B$3,7,24),'Leave log'!$C$7:$C$306,"&gt;="&amp;DATE($B$3,7,24),'Leave log'!$F$7:$F$306,"Pending")&gt;0,"P",""))))</f>
        <v/>
      </c>
      <c r="Z231" s="23" t="str">
        <f>IF(A231="","",IF(IF(OR(DATE($B$3,7,25)&gt;EOMONTH(DATE($B$3,7,1),0),NETWORKDAYS.INTL(DATE($B$3,7,25),DATE($B$3,7,25),1,'Non-working days'!$A$6:$A$45)=0),"",IF(COUNTIFS('Leave log'!$A$7:$A$306,Employees!$A$26,'Leave log'!$B$7:$B$306,"&lt;="&amp;DATE($B$3,7,25),'Leave log'!$C$7:$C$306,"&gt;="&amp;DATE($B$3,7,25),'Leave log'!$F$7:$F$306,"Approved")&gt;0,"A",""))="A","A",IF(OR(DATE($B$3,7,25)&gt;EOMONTH(DATE($B$3,7,1),0),NETWORKDAYS.INTL(DATE($B$3,7,25),DATE($B$3,7,25),1,'Non-working days'!$A$6:$A$45)=0),"",IF(COUNTIFS('Leave log'!$A$7:$A$306,Employees!$A$26,'Leave log'!$B$7:$B$306,"&lt;="&amp;DATE($B$3,7,25),'Leave log'!$C$7:$C$306,"&gt;="&amp;DATE($B$3,7,25),'Leave log'!$F$7:$F$306,"Pending")&gt;0,"P",""))))</f>
        <v/>
      </c>
      <c r="AA231" s="23" t="str">
        <f>IF(A231="","",IF(IF(OR(DATE($B$3,7,26)&gt;EOMONTH(DATE($B$3,7,1),0),NETWORKDAYS.INTL(DATE($B$3,7,26),DATE($B$3,7,26),1,'Non-working days'!$A$6:$A$45)=0),"",IF(COUNTIFS('Leave log'!$A$7:$A$306,Employees!$A$26,'Leave log'!$B$7:$B$306,"&lt;="&amp;DATE($B$3,7,26),'Leave log'!$C$7:$C$306,"&gt;="&amp;DATE($B$3,7,26),'Leave log'!$F$7:$F$306,"Approved")&gt;0,"A",""))="A","A",IF(OR(DATE($B$3,7,26)&gt;EOMONTH(DATE($B$3,7,1),0),NETWORKDAYS.INTL(DATE($B$3,7,26),DATE($B$3,7,26),1,'Non-working days'!$A$6:$A$45)=0),"",IF(COUNTIFS('Leave log'!$A$7:$A$306,Employees!$A$26,'Leave log'!$B$7:$B$306,"&lt;="&amp;DATE($B$3,7,26),'Leave log'!$C$7:$C$306,"&gt;="&amp;DATE($B$3,7,26),'Leave log'!$F$7:$F$306,"Pending")&gt;0,"P",""))))</f>
        <v/>
      </c>
      <c r="AB231" s="23" t="str">
        <f>IF(A231="","",IF(IF(OR(DATE($B$3,7,27)&gt;EOMONTH(DATE($B$3,7,1),0),NETWORKDAYS.INTL(DATE($B$3,7,27),DATE($B$3,7,27),1,'Non-working days'!$A$6:$A$45)=0),"",IF(COUNTIFS('Leave log'!$A$7:$A$306,Employees!$A$26,'Leave log'!$B$7:$B$306,"&lt;="&amp;DATE($B$3,7,27),'Leave log'!$C$7:$C$306,"&gt;="&amp;DATE($B$3,7,27),'Leave log'!$F$7:$F$306,"Approved")&gt;0,"A",""))="A","A",IF(OR(DATE($B$3,7,27)&gt;EOMONTH(DATE($B$3,7,1),0),NETWORKDAYS.INTL(DATE($B$3,7,27),DATE($B$3,7,27),1,'Non-working days'!$A$6:$A$45)=0),"",IF(COUNTIFS('Leave log'!$A$7:$A$306,Employees!$A$26,'Leave log'!$B$7:$B$306,"&lt;="&amp;DATE($B$3,7,27),'Leave log'!$C$7:$C$306,"&gt;="&amp;DATE($B$3,7,27),'Leave log'!$F$7:$F$306,"Pending")&gt;0,"P",""))))</f>
        <v/>
      </c>
      <c r="AC231" s="23" t="str">
        <f>IF(A231="","",IF(IF(OR(DATE($B$3,7,28)&gt;EOMONTH(DATE($B$3,7,1),0),NETWORKDAYS.INTL(DATE($B$3,7,28),DATE($B$3,7,28),1,'Non-working days'!$A$6:$A$45)=0),"",IF(COUNTIFS('Leave log'!$A$7:$A$306,Employees!$A$26,'Leave log'!$B$7:$B$306,"&lt;="&amp;DATE($B$3,7,28),'Leave log'!$C$7:$C$306,"&gt;="&amp;DATE($B$3,7,28),'Leave log'!$F$7:$F$306,"Approved")&gt;0,"A",""))="A","A",IF(OR(DATE($B$3,7,28)&gt;EOMONTH(DATE($B$3,7,1),0),NETWORKDAYS.INTL(DATE($B$3,7,28),DATE($B$3,7,28),1,'Non-working days'!$A$6:$A$45)=0),"",IF(COUNTIFS('Leave log'!$A$7:$A$306,Employees!$A$26,'Leave log'!$B$7:$B$306,"&lt;="&amp;DATE($B$3,7,28),'Leave log'!$C$7:$C$306,"&gt;="&amp;DATE($B$3,7,28),'Leave log'!$F$7:$F$306,"Pending")&gt;0,"P",""))))</f>
        <v/>
      </c>
      <c r="AD231" s="23" t="str">
        <f>IF(A231="","",IF(IF(OR(DATE($B$3,7,29)&gt;EOMONTH(DATE($B$3,7,1),0),NETWORKDAYS.INTL(DATE($B$3,7,29),DATE($B$3,7,29),1,'Non-working days'!$A$6:$A$45)=0),"",IF(COUNTIFS('Leave log'!$A$7:$A$306,Employees!$A$26,'Leave log'!$B$7:$B$306,"&lt;="&amp;DATE($B$3,7,29),'Leave log'!$C$7:$C$306,"&gt;="&amp;DATE($B$3,7,29),'Leave log'!$F$7:$F$306,"Approved")&gt;0,"A",""))="A","A",IF(OR(DATE($B$3,7,29)&gt;EOMONTH(DATE($B$3,7,1),0),NETWORKDAYS.INTL(DATE($B$3,7,29),DATE($B$3,7,29),1,'Non-working days'!$A$6:$A$45)=0),"",IF(COUNTIFS('Leave log'!$A$7:$A$306,Employees!$A$26,'Leave log'!$B$7:$B$306,"&lt;="&amp;DATE($B$3,7,29),'Leave log'!$C$7:$C$306,"&gt;="&amp;DATE($B$3,7,29),'Leave log'!$F$7:$F$306,"Pending")&gt;0,"P",""))))</f>
        <v/>
      </c>
      <c r="AE231" s="23" t="str">
        <f>IF(A231="","",IF(IF(OR(DATE($B$3,7,30)&gt;EOMONTH(DATE($B$3,7,1),0),NETWORKDAYS.INTL(DATE($B$3,7,30),DATE($B$3,7,30),1,'Non-working days'!$A$6:$A$45)=0),"",IF(COUNTIFS('Leave log'!$A$7:$A$306,Employees!$A$26,'Leave log'!$B$7:$B$306,"&lt;="&amp;DATE($B$3,7,30),'Leave log'!$C$7:$C$306,"&gt;="&amp;DATE($B$3,7,30),'Leave log'!$F$7:$F$306,"Approved")&gt;0,"A",""))="A","A",IF(OR(DATE($B$3,7,30)&gt;EOMONTH(DATE($B$3,7,1),0),NETWORKDAYS.INTL(DATE($B$3,7,30),DATE($B$3,7,30),1,'Non-working days'!$A$6:$A$45)=0),"",IF(COUNTIFS('Leave log'!$A$7:$A$306,Employees!$A$26,'Leave log'!$B$7:$B$306,"&lt;="&amp;DATE($B$3,7,30),'Leave log'!$C$7:$C$306,"&gt;="&amp;DATE($B$3,7,30),'Leave log'!$F$7:$F$306,"Pending")&gt;0,"P",""))))</f>
        <v/>
      </c>
      <c r="AF231" s="23" t="str">
        <f>IF(A231="","",IF(IF(OR(DATE($B$3,7,31)&gt;EOMONTH(DATE($B$3,7,1),0),NETWORKDAYS.INTL(DATE($B$3,7,31),DATE($B$3,7,31),1,'Non-working days'!$A$6:$A$45)=0),"",IF(COUNTIFS('Leave log'!$A$7:$A$306,Employees!$A$26,'Leave log'!$B$7:$B$306,"&lt;="&amp;DATE($B$3,7,31),'Leave log'!$C$7:$C$306,"&gt;="&amp;DATE($B$3,7,31),'Leave log'!$F$7:$F$306,"Approved")&gt;0,"A",""))="A","A",IF(OR(DATE($B$3,7,31)&gt;EOMONTH(DATE($B$3,7,1),0),NETWORKDAYS.INTL(DATE($B$3,7,31),DATE($B$3,7,31),1,'Non-working days'!$A$6:$A$45)=0),"",IF(COUNTIFS('Leave log'!$A$7:$A$306,Employees!$A$26,'Leave log'!$B$7:$B$306,"&lt;="&amp;DATE($B$3,7,31),'Leave log'!$C$7:$C$306,"&gt;="&amp;DATE($B$3,7,31),'Leave log'!$F$7:$F$306,"Pending")&gt;0,"P",""))))</f>
        <v/>
      </c>
    </row>
    <row r="232" spans="1:32" ht="18" customHeight="1" x14ac:dyDescent="0.3">
      <c r="A232" s="22" t="str">
        <f>IF(Employees!F27="Yes",Employees!B27,"")</f>
        <v/>
      </c>
      <c r="B232" s="23" t="str">
        <f>IF(A232="","",IF(IF(OR(DATE($B$3,7,1)&gt;EOMONTH(DATE($B$3,7,1),0),NETWORKDAYS.INTL(DATE($B$3,7,1),DATE($B$3,7,1),1,'Non-working days'!$A$6:$A$45)=0),"",IF(COUNTIFS('Leave log'!$A$7:$A$306,Employees!$A$27,'Leave log'!$B$7:$B$306,"&lt;="&amp;DATE($B$3,7,1),'Leave log'!$C$7:$C$306,"&gt;="&amp;DATE($B$3,7,1),'Leave log'!$F$7:$F$306,"Approved")&gt;0,"A",""))="A","A",IF(OR(DATE($B$3,7,1)&gt;EOMONTH(DATE($B$3,7,1),0),NETWORKDAYS.INTL(DATE($B$3,7,1),DATE($B$3,7,1),1,'Non-working days'!$A$6:$A$45)=0),"",IF(COUNTIFS('Leave log'!$A$7:$A$306,Employees!$A$27,'Leave log'!$B$7:$B$306,"&lt;="&amp;DATE($B$3,7,1),'Leave log'!$C$7:$C$306,"&gt;="&amp;DATE($B$3,7,1),'Leave log'!$F$7:$F$306,"Pending")&gt;0,"P",""))))</f>
        <v/>
      </c>
      <c r="C232" s="23" t="str">
        <f>IF(A232="","",IF(IF(OR(DATE($B$3,7,2)&gt;EOMONTH(DATE($B$3,7,1),0),NETWORKDAYS.INTL(DATE($B$3,7,2),DATE($B$3,7,2),1,'Non-working days'!$A$6:$A$45)=0),"",IF(COUNTIFS('Leave log'!$A$7:$A$306,Employees!$A$27,'Leave log'!$B$7:$B$306,"&lt;="&amp;DATE($B$3,7,2),'Leave log'!$C$7:$C$306,"&gt;="&amp;DATE($B$3,7,2),'Leave log'!$F$7:$F$306,"Approved")&gt;0,"A",""))="A","A",IF(OR(DATE($B$3,7,2)&gt;EOMONTH(DATE($B$3,7,1),0),NETWORKDAYS.INTL(DATE($B$3,7,2),DATE($B$3,7,2),1,'Non-working days'!$A$6:$A$45)=0),"",IF(COUNTIFS('Leave log'!$A$7:$A$306,Employees!$A$27,'Leave log'!$B$7:$B$306,"&lt;="&amp;DATE($B$3,7,2),'Leave log'!$C$7:$C$306,"&gt;="&amp;DATE($B$3,7,2),'Leave log'!$F$7:$F$306,"Pending")&gt;0,"P",""))))</f>
        <v/>
      </c>
      <c r="D232" s="23" t="str">
        <f>IF(A232="","",IF(IF(OR(DATE($B$3,7,3)&gt;EOMONTH(DATE($B$3,7,1),0),NETWORKDAYS.INTL(DATE($B$3,7,3),DATE($B$3,7,3),1,'Non-working days'!$A$6:$A$45)=0),"",IF(COUNTIFS('Leave log'!$A$7:$A$306,Employees!$A$27,'Leave log'!$B$7:$B$306,"&lt;="&amp;DATE($B$3,7,3),'Leave log'!$C$7:$C$306,"&gt;="&amp;DATE($B$3,7,3),'Leave log'!$F$7:$F$306,"Approved")&gt;0,"A",""))="A","A",IF(OR(DATE($B$3,7,3)&gt;EOMONTH(DATE($B$3,7,1),0),NETWORKDAYS.INTL(DATE($B$3,7,3),DATE($B$3,7,3),1,'Non-working days'!$A$6:$A$45)=0),"",IF(COUNTIFS('Leave log'!$A$7:$A$306,Employees!$A$27,'Leave log'!$B$7:$B$306,"&lt;="&amp;DATE($B$3,7,3),'Leave log'!$C$7:$C$306,"&gt;="&amp;DATE($B$3,7,3),'Leave log'!$F$7:$F$306,"Pending")&gt;0,"P",""))))</f>
        <v/>
      </c>
      <c r="E232" s="23" t="str">
        <f>IF(A232="","",IF(IF(OR(DATE($B$3,7,4)&gt;EOMONTH(DATE($B$3,7,1),0),NETWORKDAYS.INTL(DATE($B$3,7,4),DATE($B$3,7,4),1,'Non-working days'!$A$6:$A$45)=0),"",IF(COUNTIFS('Leave log'!$A$7:$A$306,Employees!$A$27,'Leave log'!$B$7:$B$306,"&lt;="&amp;DATE($B$3,7,4),'Leave log'!$C$7:$C$306,"&gt;="&amp;DATE($B$3,7,4),'Leave log'!$F$7:$F$306,"Approved")&gt;0,"A",""))="A","A",IF(OR(DATE($B$3,7,4)&gt;EOMONTH(DATE($B$3,7,1),0),NETWORKDAYS.INTL(DATE($B$3,7,4),DATE($B$3,7,4),1,'Non-working days'!$A$6:$A$45)=0),"",IF(COUNTIFS('Leave log'!$A$7:$A$306,Employees!$A$27,'Leave log'!$B$7:$B$306,"&lt;="&amp;DATE($B$3,7,4),'Leave log'!$C$7:$C$306,"&gt;="&amp;DATE($B$3,7,4),'Leave log'!$F$7:$F$306,"Pending")&gt;0,"P",""))))</f>
        <v/>
      </c>
      <c r="F232" s="23" t="str">
        <f>IF(A232="","",IF(IF(OR(DATE($B$3,7,5)&gt;EOMONTH(DATE($B$3,7,1),0),NETWORKDAYS.INTL(DATE($B$3,7,5),DATE($B$3,7,5),1,'Non-working days'!$A$6:$A$45)=0),"",IF(COUNTIFS('Leave log'!$A$7:$A$306,Employees!$A$27,'Leave log'!$B$7:$B$306,"&lt;="&amp;DATE($B$3,7,5),'Leave log'!$C$7:$C$306,"&gt;="&amp;DATE($B$3,7,5),'Leave log'!$F$7:$F$306,"Approved")&gt;0,"A",""))="A","A",IF(OR(DATE($B$3,7,5)&gt;EOMONTH(DATE($B$3,7,1),0),NETWORKDAYS.INTL(DATE($B$3,7,5),DATE($B$3,7,5),1,'Non-working days'!$A$6:$A$45)=0),"",IF(COUNTIFS('Leave log'!$A$7:$A$306,Employees!$A$27,'Leave log'!$B$7:$B$306,"&lt;="&amp;DATE($B$3,7,5),'Leave log'!$C$7:$C$306,"&gt;="&amp;DATE($B$3,7,5),'Leave log'!$F$7:$F$306,"Pending")&gt;0,"P",""))))</f>
        <v/>
      </c>
      <c r="G232" s="23" t="str">
        <f>IF(A232="","",IF(IF(OR(DATE($B$3,7,6)&gt;EOMONTH(DATE($B$3,7,1),0),NETWORKDAYS.INTL(DATE($B$3,7,6),DATE($B$3,7,6),1,'Non-working days'!$A$6:$A$45)=0),"",IF(COUNTIFS('Leave log'!$A$7:$A$306,Employees!$A$27,'Leave log'!$B$7:$B$306,"&lt;="&amp;DATE($B$3,7,6),'Leave log'!$C$7:$C$306,"&gt;="&amp;DATE($B$3,7,6),'Leave log'!$F$7:$F$306,"Approved")&gt;0,"A",""))="A","A",IF(OR(DATE($B$3,7,6)&gt;EOMONTH(DATE($B$3,7,1),0),NETWORKDAYS.INTL(DATE($B$3,7,6),DATE($B$3,7,6),1,'Non-working days'!$A$6:$A$45)=0),"",IF(COUNTIFS('Leave log'!$A$7:$A$306,Employees!$A$27,'Leave log'!$B$7:$B$306,"&lt;="&amp;DATE($B$3,7,6),'Leave log'!$C$7:$C$306,"&gt;="&amp;DATE($B$3,7,6),'Leave log'!$F$7:$F$306,"Pending")&gt;0,"P",""))))</f>
        <v/>
      </c>
      <c r="H232" s="23" t="str">
        <f>IF(A232="","",IF(IF(OR(DATE($B$3,7,7)&gt;EOMONTH(DATE($B$3,7,1),0),NETWORKDAYS.INTL(DATE($B$3,7,7),DATE($B$3,7,7),1,'Non-working days'!$A$6:$A$45)=0),"",IF(COUNTIFS('Leave log'!$A$7:$A$306,Employees!$A$27,'Leave log'!$B$7:$B$306,"&lt;="&amp;DATE($B$3,7,7),'Leave log'!$C$7:$C$306,"&gt;="&amp;DATE($B$3,7,7),'Leave log'!$F$7:$F$306,"Approved")&gt;0,"A",""))="A","A",IF(OR(DATE($B$3,7,7)&gt;EOMONTH(DATE($B$3,7,1),0),NETWORKDAYS.INTL(DATE($B$3,7,7),DATE($B$3,7,7),1,'Non-working days'!$A$6:$A$45)=0),"",IF(COUNTIFS('Leave log'!$A$7:$A$306,Employees!$A$27,'Leave log'!$B$7:$B$306,"&lt;="&amp;DATE($B$3,7,7),'Leave log'!$C$7:$C$306,"&gt;="&amp;DATE($B$3,7,7),'Leave log'!$F$7:$F$306,"Pending")&gt;0,"P",""))))</f>
        <v/>
      </c>
      <c r="I232" s="23" t="str">
        <f>IF(A232="","",IF(IF(OR(DATE($B$3,7,8)&gt;EOMONTH(DATE($B$3,7,1),0),NETWORKDAYS.INTL(DATE($B$3,7,8),DATE($B$3,7,8),1,'Non-working days'!$A$6:$A$45)=0),"",IF(COUNTIFS('Leave log'!$A$7:$A$306,Employees!$A$27,'Leave log'!$B$7:$B$306,"&lt;="&amp;DATE($B$3,7,8),'Leave log'!$C$7:$C$306,"&gt;="&amp;DATE($B$3,7,8),'Leave log'!$F$7:$F$306,"Approved")&gt;0,"A",""))="A","A",IF(OR(DATE($B$3,7,8)&gt;EOMONTH(DATE($B$3,7,1),0),NETWORKDAYS.INTL(DATE($B$3,7,8),DATE($B$3,7,8),1,'Non-working days'!$A$6:$A$45)=0),"",IF(COUNTIFS('Leave log'!$A$7:$A$306,Employees!$A$27,'Leave log'!$B$7:$B$306,"&lt;="&amp;DATE($B$3,7,8),'Leave log'!$C$7:$C$306,"&gt;="&amp;DATE($B$3,7,8),'Leave log'!$F$7:$F$306,"Pending")&gt;0,"P",""))))</f>
        <v/>
      </c>
      <c r="J232" s="23" t="str">
        <f>IF(A232="","",IF(IF(OR(DATE($B$3,7,9)&gt;EOMONTH(DATE($B$3,7,1),0),NETWORKDAYS.INTL(DATE($B$3,7,9),DATE($B$3,7,9),1,'Non-working days'!$A$6:$A$45)=0),"",IF(COUNTIFS('Leave log'!$A$7:$A$306,Employees!$A$27,'Leave log'!$B$7:$B$306,"&lt;="&amp;DATE($B$3,7,9),'Leave log'!$C$7:$C$306,"&gt;="&amp;DATE($B$3,7,9),'Leave log'!$F$7:$F$306,"Approved")&gt;0,"A",""))="A","A",IF(OR(DATE($B$3,7,9)&gt;EOMONTH(DATE($B$3,7,1),0),NETWORKDAYS.INTL(DATE($B$3,7,9),DATE($B$3,7,9),1,'Non-working days'!$A$6:$A$45)=0),"",IF(COUNTIFS('Leave log'!$A$7:$A$306,Employees!$A$27,'Leave log'!$B$7:$B$306,"&lt;="&amp;DATE($B$3,7,9),'Leave log'!$C$7:$C$306,"&gt;="&amp;DATE($B$3,7,9),'Leave log'!$F$7:$F$306,"Pending")&gt;0,"P",""))))</f>
        <v/>
      </c>
      <c r="K232" s="23" t="str">
        <f>IF(A232="","",IF(IF(OR(DATE($B$3,7,10)&gt;EOMONTH(DATE($B$3,7,1),0),NETWORKDAYS.INTL(DATE($B$3,7,10),DATE($B$3,7,10),1,'Non-working days'!$A$6:$A$45)=0),"",IF(COUNTIFS('Leave log'!$A$7:$A$306,Employees!$A$27,'Leave log'!$B$7:$B$306,"&lt;="&amp;DATE($B$3,7,10),'Leave log'!$C$7:$C$306,"&gt;="&amp;DATE($B$3,7,10),'Leave log'!$F$7:$F$306,"Approved")&gt;0,"A",""))="A","A",IF(OR(DATE($B$3,7,10)&gt;EOMONTH(DATE($B$3,7,1),0),NETWORKDAYS.INTL(DATE($B$3,7,10),DATE($B$3,7,10),1,'Non-working days'!$A$6:$A$45)=0),"",IF(COUNTIFS('Leave log'!$A$7:$A$306,Employees!$A$27,'Leave log'!$B$7:$B$306,"&lt;="&amp;DATE($B$3,7,10),'Leave log'!$C$7:$C$306,"&gt;="&amp;DATE($B$3,7,10),'Leave log'!$F$7:$F$306,"Pending")&gt;0,"P",""))))</f>
        <v/>
      </c>
      <c r="L232" s="23" t="str">
        <f>IF(A232="","",IF(IF(OR(DATE($B$3,7,11)&gt;EOMONTH(DATE($B$3,7,1),0),NETWORKDAYS.INTL(DATE($B$3,7,11),DATE($B$3,7,11),1,'Non-working days'!$A$6:$A$45)=0),"",IF(COUNTIFS('Leave log'!$A$7:$A$306,Employees!$A$27,'Leave log'!$B$7:$B$306,"&lt;="&amp;DATE($B$3,7,11),'Leave log'!$C$7:$C$306,"&gt;="&amp;DATE($B$3,7,11),'Leave log'!$F$7:$F$306,"Approved")&gt;0,"A",""))="A","A",IF(OR(DATE($B$3,7,11)&gt;EOMONTH(DATE($B$3,7,1),0),NETWORKDAYS.INTL(DATE($B$3,7,11),DATE($B$3,7,11),1,'Non-working days'!$A$6:$A$45)=0),"",IF(COUNTIFS('Leave log'!$A$7:$A$306,Employees!$A$27,'Leave log'!$B$7:$B$306,"&lt;="&amp;DATE($B$3,7,11),'Leave log'!$C$7:$C$306,"&gt;="&amp;DATE($B$3,7,11),'Leave log'!$F$7:$F$306,"Pending")&gt;0,"P",""))))</f>
        <v/>
      </c>
      <c r="M232" s="23" t="str">
        <f>IF(A232="","",IF(IF(OR(DATE($B$3,7,12)&gt;EOMONTH(DATE($B$3,7,1),0),NETWORKDAYS.INTL(DATE($B$3,7,12),DATE($B$3,7,12),1,'Non-working days'!$A$6:$A$45)=0),"",IF(COUNTIFS('Leave log'!$A$7:$A$306,Employees!$A$27,'Leave log'!$B$7:$B$306,"&lt;="&amp;DATE($B$3,7,12),'Leave log'!$C$7:$C$306,"&gt;="&amp;DATE($B$3,7,12),'Leave log'!$F$7:$F$306,"Approved")&gt;0,"A",""))="A","A",IF(OR(DATE($B$3,7,12)&gt;EOMONTH(DATE($B$3,7,1),0),NETWORKDAYS.INTL(DATE($B$3,7,12),DATE($B$3,7,12),1,'Non-working days'!$A$6:$A$45)=0),"",IF(COUNTIFS('Leave log'!$A$7:$A$306,Employees!$A$27,'Leave log'!$B$7:$B$306,"&lt;="&amp;DATE($B$3,7,12),'Leave log'!$C$7:$C$306,"&gt;="&amp;DATE($B$3,7,12),'Leave log'!$F$7:$F$306,"Pending")&gt;0,"P",""))))</f>
        <v/>
      </c>
      <c r="N232" s="23" t="str">
        <f>IF(A232="","",IF(IF(OR(DATE($B$3,7,13)&gt;EOMONTH(DATE($B$3,7,1),0),NETWORKDAYS.INTL(DATE($B$3,7,13),DATE($B$3,7,13),1,'Non-working days'!$A$6:$A$45)=0),"",IF(COUNTIFS('Leave log'!$A$7:$A$306,Employees!$A$27,'Leave log'!$B$7:$B$306,"&lt;="&amp;DATE($B$3,7,13),'Leave log'!$C$7:$C$306,"&gt;="&amp;DATE($B$3,7,13),'Leave log'!$F$7:$F$306,"Approved")&gt;0,"A",""))="A","A",IF(OR(DATE($B$3,7,13)&gt;EOMONTH(DATE($B$3,7,1),0),NETWORKDAYS.INTL(DATE($B$3,7,13),DATE($B$3,7,13),1,'Non-working days'!$A$6:$A$45)=0),"",IF(COUNTIFS('Leave log'!$A$7:$A$306,Employees!$A$27,'Leave log'!$B$7:$B$306,"&lt;="&amp;DATE($B$3,7,13),'Leave log'!$C$7:$C$306,"&gt;="&amp;DATE($B$3,7,13),'Leave log'!$F$7:$F$306,"Pending")&gt;0,"P",""))))</f>
        <v/>
      </c>
      <c r="O232" s="23" t="str">
        <f>IF(A232="","",IF(IF(OR(DATE($B$3,7,14)&gt;EOMONTH(DATE($B$3,7,1),0),NETWORKDAYS.INTL(DATE($B$3,7,14),DATE($B$3,7,14),1,'Non-working days'!$A$6:$A$45)=0),"",IF(COUNTIFS('Leave log'!$A$7:$A$306,Employees!$A$27,'Leave log'!$B$7:$B$306,"&lt;="&amp;DATE($B$3,7,14),'Leave log'!$C$7:$C$306,"&gt;="&amp;DATE($B$3,7,14),'Leave log'!$F$7:$F$306,"Approved")&gt;0,"A",""))="A","A",IF(OR(DATE($B$3,7,14)&gt;EOMONTH(DATE($B$3,7,1),0),NETWORKDAYS.INTL(DATE($B$3,7,14),DATE($B$3,7,14),1,'Non-working days'!$A$6:$A$45)=0),"",IF(COUNTIFS('Leave log'!$A$7:$A$306,Employees!$A$27,'Leave log'!$B$7:$B$306,"&lt;="&amp;DATE($B$3,7,14),'Leave log'!$C$7:$C$306,"&gt;="&amp;DATE($B$3,7,14),'Leave log'!$F$7:$F$306,"Pending")&gt;0,"P",""))))</f>
        <v/>
      </c>
      <c r="P232" s="23" t="str">
        <f>IF(A232="","",IF(IF(OR(DATE($B$3,7,15)&gt;EOMONTH(DATE($B$3,7,1),0),NETWORKDAYS.INTL(DATE($B$3,7,15),DATE($B$3,7,15),1,'Non-working days'!$A$6:$A$45)=0),"",IF(COUNTIFS('Leave log'!$A$7:$A$306,Employees!$A$27,'Leave log'!$B$7:$B$306,"&lt;="&amp;DATE($B$3,7,15),'Leave log'!$C$7:$C$306,"&gt;="&amp;DATE($B$3,7,15),'Leave log'!$F$7:$F$306,"Approved")&gt;0,"A",""))="A","A",IF(OR(DATE($B$3,7,15)&gt;EOMONTH(DATE($B$3,7,1),0),NETWORKDAYS.INTL(DATE($B$3,7,15),DATE($B$3,7,15),1,'Non-working days'!$A$6:$A$45)=0),"",IF(COUNTIFS('Leave log'!$A$7:$A$306,Employees!$A$27,'Leave log'!$B$7:$B$306,"&lt;="&amp;DATE($B$3,7,15),'Leave log'!$C$7:$C$306,"&gt;="&amp;DATE($B$3,7,15),'Leave log'!$F$7:$F$306,"Pending")&gt;0,"P",""))))</f>
        <v/>
      </c>
      <c r="Q232" s="23" t="str">
        <f>IF(A232="","",IF(IF(OR(DATE($B$3,7,16)&gt;EOMONTH(DATE($B$3,7,1),0),NETWORKDAYS.INTL(DATE($B$3,7,16),DATE($B$3,7,16),1,'Non-working days'!$A$6:$A$45)=0),"",IF(COUNTIFS('Leave log'!$A$7:$A$306,Employees!$A$27,'Leave log'!$B$7:$B$306,"&lt;="&amp;DATE($B$3,7,16),'Leave log'!$C$7:$C$306,"&gt;="&amp;DATE($B$3,7,16),'Leave log'!$F$7:$F$306,"Approved")&gt;0,"A",""))="A","A",IF(OR(DATE($B$3,7,16)&gt;EOMONTH(DATE($B$3,7,1),0),NETWORKDAYS.INTL(DATE($B$3,7,16),DATE($B$3,7,16),1,'Non-working days'!$A$6:$A$45)=0),"",IF(COUNTIFS('Leave log'!$A$7:$A$306,Employees!$A$27,'Leave log'!$B$7:$B$306,"&lt;="&amp;DATE($B$3,7,16),'Leave log'!$C$7:$C$306,"&gt;="&amp;DATE($B$3,7,16),'Leave log'!$F$7:$F$306,"Pending")&gt;0,"P",""))))</f>
        <v/>
      </c>
      <c r="R232" s="23" t="str">
        <f>IF(A232="","",IF(IF(OR(DATE($B$3,7,17)&gt;EOMONTH(DATE($B$3,7,1),0),NETWORKDAYS.INTL(DATE($B$3,7,17),DATE($B$3,7,17),1,'Non-working days'!$A$6:$A$45)=0),"",IF(COUNTIFS('Leave log'!$A$7:$A$306,Employees!$A$27,'Leave log'!$B$7:$B$306,"&lt;="&amp;DATE($B$3,7,17),'Leave log'!$C$7:$C$306,"&gt;="&amp;DATE($B$3,7,17),'Leave log'!$F$7:$F$306,"Approved")&gt;0,"A",""))="A","A",IF(OR(DATE($B$3,7,17)&gt;EOMONTH(DATE($B$3,7,1),0),NETWORKDAYS.INTL(DATE($B$3,7,17),DATE($B$3,7,17),1,'Non-working days'!$A$6:$A$45)=0),"",IF(COUNTIFS('Leave log'!$A$7:$A$306,Employees!$A$27,'Leave log'!$B$7:$B$306,"&lt;="&amp;DATE($B$3,7,17),'Leave log'!$C$7:$C$306,"&gt;="&amp;DATE($B$3,7,17),'Leave log'!$F$7:$F$306,"Pending")&gt;0,"P",""))))</f>
        <v/>
      </c>
      <c r="S232" s="23" t="str">
        <f>IF(A232="","",IF(IF(OR(DATE($B$3,7,18)&gt;EOMONTH(DATE($B$3,7,1),0),NETWORKDAYS.INTL(DATE($B$3,7,18),DATE($B$3,7,18),1,'Non-working days'!$A$6:$A$45)=0),"",IF(COUNTIFS('Leave log'!$A$7:$A$306,Employees!$A$27,'Leave log'!$B$7:$B$306,"&lt;="&amp;DATE($B$3,7,18),'Leave log'!$C$7:$C$306,"&gt;="&amp;DATE($B$3,7,18),'Leave log'!$F$7:$F$306,"Approved")&gt;0,"A",""))="A","A",IF(OR(DATE($B$3,7,18)&gt;EOMONTH(DATE($B$3,7,1),0),NETWORKDAYS.INTL(DATE($B$3,7,18),DATE($B$3,7,18),1,'Non-working days'!$A$6:$A$45)=0),"",IF(COUNTIFS('Leave log'!$A$7:$A$306,Employees!$A$27,'Leave log'!$B$7:$B$306,"&lt;="&amp;DATE($B$3,7,18),'Leave log'!$C$7:$C$306,"&gt;="&amp;DATE($B$3,7,18),'Leave log'!$F$7:$F$306,"Pending")&gt;0,"P",""))))</f>
        <v/>
      </c>
      <c r="T232" s="23" t="str">
        <f>IF(A232="","",IF(IF(OR(DATE($B$3,7,19)&gt;EOMONTH(DATE($B$3,7,1),0),NETWORKDAYS.INTL(DATE($B$3,7,19),DATE($B$3,7,19),1,'Non-working days'!$A$6:$A$45)=0),"",IF(COUNTIFS('Leave log'!$A$7:$A$306,Employees!$A$27,'Leave log'!$B$7:$B$306,"&lt;="&amp;DATE($B$3,7,19),'Leave log'!$C$7:$C$306,"&gt;="&amp;DATE($B$3,7,19),'Leave log'!$F$7:$F$306,"Approved")&gt;0,"A",""))="A","A",IF(OR(DATE($B$3,7,19)&gt;EOMONTH(DATE($B$3,7,1),0),NETWORKDAYS.INTL(DATE($B$3,7,19),DATE($B$3,7,19),1,'Non-working days'!$A$6:$A$45)=0),"",IF(COUNTIFS('Leave log'!$A$7:$A$306,Employees!$A$27,'Leave log'!$B$7:$B$306,"&lt;="&amp;DATE($B$3,7,19),'Leave log'!$C$7:$C$306,"&gt;="&amp;DATE($B$3,7,19),'Leave log'!$F$7:$F$306,"Pending")&gt;0,"P",""))))</f>
        <v/>
      </c>
      <c r="U232" s="23" t="str">
        <f>IF(A232="","",IF(IF(OR(DATE($B$3,7,20)&gt;EOMONTH(DATE($B$3,7,1),0),NETWORKDAYS.INTL(DATE($B$3,7,20),DATE($B$3,7,20),1,'Non-working days'!$A$6:$A$45)=0),"",IF(COUNTIFS('Leave log'!$A$7:$A$306,Employees!$A$27,'Leave log'!$B$7:$B$306,"&lt;="&amp;DATE($B$3,7,20),'Leave log'!$C$7:$C$306,"&gt;="&amp;DATE($B$3,7,20),'Leave log'!$F$7:$F$306,"Approved")&gt;0,"A",""))="A","A",IF(OR(DATE($B$3,7,20)&gt;EOMONTH(DATE($B$3,7,1),0),NETWORKDAYS.INTL(DATE($B$3,7,20),DATE($B$3,7,20),1,'Non-working days'!$A$6:$A$45)=0),"",IF(COUNTIFS('Leave log'!$A$7:$A$306,Employees!$A$27,'Leave log'!$B$7:$B$306,"&lt;="&amp;DATE($B$3,7,20),'Leave log'!$C$7:$C$306,"&gt;="&amp;DATE($B$3,7,20),'Leave log'!$F$7:$F$306,"Pending")&gt;0,"P",""))))</f>
        <v/>
      </c>
      <c r="V232" s="23" t="str">
        <f>IF(A232="","",IF(IF(OR(DATE($B$3,7,21)&gt;EOMONTH(DATE($B$3,7,1),0),NETWORKDAYS.INTL(DATE($B$3,7,21),DATE($B$3,7,21),1,'Non-working days'!$A$6:$A$45)=0),"",IF(COUNTIFS('Leave log'!$A$7:$A$306,Employees!$A$27,'Leave log'!$B$7:$B$306,"&lt;="&amp;DATE($B$3,7,21),'Leave log'!$C$7:$C$306,"&gt;="&amp;DATE($B$3,7,21),'Leave log'!$F$7:$F$306,"Approved")&gt;0,"A",""))="A","A",IF(OR(DATE($B$3,7,21)&gt;EOMONTH(DATE($B$3,7,1),0),NETWORKDAYS.INTL(DATE($B$3,7,21),DATE($B$3,7,21),1,'Non-working days'!$A$6:$A$45)=0),"",IF(COUNTIFS('Leave log'!$A$7:$A$306,Employees!$A$27,'Leave log'!$B$7:$B$306,"&lt;="&amp;DATE($B$3,7,21),'Leave log'!$C$7:$C$306,"&gt;="&amp;DATE($B$3,7,21),'Leave log'!$F$7:$F$306,"Pending")&gt;0,"P",""))))</f>
        <v/>
      </c>
      <c r="W232" s="23" t="str">
        <f>IF(A232="","",IF(IF(OR(DATE($B$3,7,22)&gt;EOMONTH(DATE($B$3,7,1),0),NETWORKDAYS.INTL(DATE($B$3,7,22),DATE($B$3,7,22),1,'Non-working days'!$A$6:$A$45)=0),"",IF(COUNTIFS('Leave log'!$A$7:$A$306,Employees!$A$27,'Leave log'!$B$7:$B$306,"&lt;="&amp;DATE($B$3,7,22),'Leave log'!$C$7:$C$306,"&gt;="&amp;DATE($B$3,7,22),'Leave log'!$F$7:$F$306,"Approved")&gt;0,"A",""))="A","A",IF(OR(DATE($B$3,7,22)&gt;EOMONTH(DATE($B$3,7,1),0),NETWORKDAYS.INTL(DATE($B$3,7,22),DATE($B$3,7,22),1,'Non-working days'!$A$6:$A$45)=0),"",IF(COUNTIFS('Leave log'!$A$7:$A$306,Employees!$A$27,'Leave log'!$B$7:$B$306,"&lt;="&amp;DATE($B$3,7,22),'Leave log'!$C$7:$C$306,"&gt;="&amp;DATE($B$3,7,22),'Leave log'!$F$7:$F$306,"Pending")&gt;0,"P",""))))</f>
        <v/>
      </c>
      <c r="X232" s="23" t="str">
        <f>IF(A232="","",IF(IF(OR(DATE($B$3,7,23)&gt;EOMONTH(DATE($B$3,7,1),0),NETWORKDAYS.INTL(DATE($B$3,7,23),DATE($B$3,7,23),1,'Non-working days'!$A$6:$A$45)=0),"",IF(COUNTIFS('Leave log'!$A$7:$A$306,Employees!$A$27,'Leave log'!$B$7:$B$306,"&lt;="&amp;DATE($B$3,7,23),'Leave log'!$C$7:$C$306,"&gt;="&amp;DATE($B$3,7,23),'Leave log'!$F$7:$F$306,"Approved")&gt;0,"A",""))="A","A",IF(OR(DATE($B$3,7,23)&gt;EOMONTH(DATE($B$3,7,1),0),NETWORKDAYS.INTL(DATE($B$3,7,23),DATE($B$3,7,23),1,'Non-working days'!$A$6:$A$45)=0),"",IF(COUNTIFS('Leave log'!$A$7:$A$306,Employees!$A$27,'Leave log'!$B$7:$B$306,"&lt;="&amp;DATE($B$3,7,23),'Leave log'!$C$7:$C$306,"&gt;="&amp;DATE($B$3,7,23),'Leave log'!$F$7:$F$306,"Pending")&gt;0,"P",""))))</f>
        <v/>
      </c>
      <c r="Y232" s="23" t="str">
        <f>IF(A232="","",IF(IF(OR(DATE($B$3,7,24)&gt;EOMONTH(DATE($B$3,7,1),0),NETWORKDAYS.INTL(DATE($B$3,7,24),DATE($B$3,7,24),1,'Non-working days'!$A$6:$A$45)=0),"",IF(COUNTIFS('Leave log'!$A$7:$A$306,Employees!$A$27,'Leave log'!$B$7:$B$306,"&lt;="&amp;DATE($B$3,7,24),'Leave log'!$C$7:$C$306,"&gt;="&amp;DATE($B$3,7,24),'Leave log'!$F$7:$F$306,"Approved")&gt;0,"A",""))="A","A",IF(OR(DATE($B$3,7,24)&gt;EOMONTH(DATE($B$3,7,1),0),NETWORKDAYS.INTL(DATE($B$3,7,24),DATE($B$3,7,24),1,'Non-working days'!$A$6:$A$45)=0),"",IF(COUNTIFS('Leave log'!$A$7:$A$306,Employees!$A$27,'Leave log'!$B$7:$B$306,"&lt;="&amp;DATE($B$3,7,24),'Leave log'!$C$7:$C$306,"&gt;="&amp;DATE($B$3,7,24),'Leave log'!$F$7:$F$306,"Pending")&gt;0,"P",""))))</f>
        <v/>
      </c>
      <c r="Z232" s="23" t="str">
        <f>IF(A232="","",IF(IF(OR(DATE($B$3,7,25)&gt;EOMONTH(DATE($B$3,7,1),0),NETWORKDAYS.INTL(DATE($B$3,7,25),DATE($B$3,7,25),1,'Non-working days'!$A$6:$A$45)=0),"",IF(COUNTIFS('Leave log'!$A$7:$A$306,Employees!$A$27,'Leave log'!$B$7:$B$306,"&lt;="&amp;DATE($B$3,7,25),'Leave log'!$C$7:$C$306,"&gt;="&amp;DATE($B$3,7,25),'Leave log'!$F$7:$F$306,"Approved")&gt;0,"A",""))="A","A",IF(OR(DATE($B$3,7,25)&gt;EOMONTH(DATE($B$3,7,1),0),NETWORKDAYS.INTL(DATE($B$3,7,25),DATE($B$3,7,25),1,'Non-working days'!$A$6:$A$45)=0),"",IF(COUNTIFS('Leave log'!$A$7:$A$306,Employees!$A$27,'Leave log'!$B$7:$B$306,"&lt;="&amp;DATE($B$3,7,25),'Leave log'!$C$7:$C$306,"&gt;="&amp;DATE($B$3,7,25),'Leave log'!$F$7:$F$306,"Pending")&gt;0,"P",""))))</f>
        <v/>
      </c>
      <c r="AA232" s="23" t="str">
        <f>IF(A232="","",IF(IF(OR(DATE($B$3,7,26)&gt;EOMONTH(DATE($B$3,7,1),0),NETWORKDAYS.INTL(DATE($B$3,7,26),DATE($B$3,7,26),1,'Non-working days'!$A$6:$A$45)=0),"",IF(COUNTIFS('Leave log'!$A$7:$A$306,Employees!$A$27,'Leave log'!$B$7:$B$306,"&lt;="&amp;DATE($B$3,7,26),'Leave log'!$C$7:$C$306,"&gt;="&amp;DATE($B$3,7,26),'Leave log'!$F$7:$F$306,"Approved")&gt;0,"A",""))="A","A",IF(OR(DATE($B$3,7,26)&gt;EOMONTH(DATE($B$3,7,1),0),NETWORKDAYS.INTL(DATE($B$3,7,26),DATE($B$3,7,26),1,'Non-working days'!$A$6:$A$45)=0),"",IF(COUNTIFS('Leave log'!$A$7:$A$306,Employees!$A$27,'Leave log'!$B$7:$B$306,"&lt;="&amp;DATE($B$3,7,26),'Leave log'!$C$7:$C$306,"&gt;="&amp;DATE($B$3,7,26),'Leave log'!$F$7:$F$306,"Pending")&gt;0,"P",""))))</f>
        <v/>
      </c>
      <c r="AB232" s="23" t="str">
        <f>IF(A232="","",IF(IF(OR(DATE($B$3,7,27)&gt;EOMONTH(DATE($B$3,7,1),0),NETWORKDAYS.INTL(DATE($B$3,7,27),DATE($B$3,7,27),1,'Non-working days'!$A$6:$A$45)=0),"",IF(COUNTIFS('Leave log'!$A$7:$A$306,Employees!$A$27,'Leave log'!$B$7:$B$306,"&lt;="&amp;DATE($B$3,7,27),'Leave log'!$C$7:$C$306,"&gt;="&amp;DATE($B$3,7,27),'Leave log'!$F$7:$F$306,"Approved")&gt;0,"A",""))="A","A",IF(OR(DATE($B$3,7,27)&gt;EOMONTH(DATE($B$3,7,1),0),NETWORKDAYS.INTL(DATE($B$3,7,27),DATE($B$3,7,27),1,'Non-working days'!$A$6:$A$45)=0),"",IF(COUNTIFS('Leave log'!$A$7:$A$306,Employees!$A$27,'Leave log'!$B$7:$B$306,"&lt;="&amp;DATE($B$3,7,27),'Leave log'!$C$7:$C$306,"&gt;="&amp;DATE($B$3,7,27),'Leave log'!$F$7:$F$306,"Pending")&gt;0,"P",""))))</f>
        <v/>
      </c>
      <c r="AC232" s="23" t="str">
        <f>IF(A232="","",IF(IF(OR(DATE($B$3,7,28)&gt;EOMONTH(DATE($B$3,7,1),0),NETWORKDAYS.INTL(DATE($B$3,7,28),DATE($B$3,7,28),1,'Non-working days'!$A$6:$A$45)=0),"",IF(COUNTIFS('Leave log'!$A$7:$A$306,Employees!$A$27,'Leave log'!$B$7:$B$306,"&lt;="&amp;DATE($B$3,7,28),'Leave log'!$C$7:$C$306,"&gt;="&amp;DATE($B$3,7,28),'Leave log'!$F$7:$F$306,"Approved")&gt;0,"A",""))="A","A",IF(OR(DATE($B$3,7,28)&gt;EOMONTH(DATE($B$3,7,1),0),NETWORKDAYS.INTL(DATE($B$3,7,28),DATE($B$3,7,28),1,'Non-working days'!$A$6:$A$45)=0),"",IF(COUNTIFS('Leave log'!$A$7:$A$306,Employees!$A$27,'Leave log'!$B$7:$B$306,"&lt;="&amp;DATE($B$3,7,28),'Leave log'!$C$7:$C$306,"&gt;="&amp;DATE($B$3,7,28),'Leave log'!$F$7:$F$306,"Pending")&gt;0,"P",""))))</f>
        <v/>
      </c>
      <c r="AD232" s="23" t="str">
        <f>IF(A232="","",IF(IF(OR(DATE($B$3,7,29)&gt;EOMONTH(DATE($B$3,7,1),0),NETWORKDAYS.INTL(DATE($B$3,7,29),DATE($B$3,7,29),1,'Non-working days'!$A$6:$A$45)=0),"",IF(COUNTIFS('Leave log'!$A$7:$A$306,Employees!$A$27,'Leave log'!$B$7:$B$306,"&lt;="&amp;DATE($B$3,7,29),'Leave log'!$C$7:$C$306,"&gt;="&amp;DATE($B$3,7,29),'Leave log'!$F$7:$F$306,"Approved")&gt;0,"A",""))="A","A",IF(OR(DATE($B$3,7,29)&gt;EOMONTH(DATE($B$3,7,1),0),NETWORKDAYS.INTL(DATE($B$3,7,29),DATE($B$3,7,29),1,'Non-working days'!$A$6:$A$45)=0),"",IF(COUNTIFS('Leave log'!$A$7:$A$306,Employees!$A$27,'Leave log'!$B$7:$B$306,"&lt;="&amp;DATE($B$3,7,29),'Leave log'!$C$7:$C$306,"&gt;="&amp;DATE($B$3,7,29),'Leave log'!$F$7:$F$306,"Pending")&gt;0,"P",""))))</f>
        <v/>
      </c>
      <c r="AE232" s="23" t="str">
        <f>IF(A232="","",IF(IF(OR(DATE($B$3,7,30)&gt;EOMONTH(DATE($B$3,7,1),0),NETWORKDAYS.INTL(DATE($B$3,7,30),DATE($B$3,7,30),1,'Non-working days'!$A$6:$A$45)=0),"",IF(COUNTIFS('Leave log'!$A$7:$A$306,Employees!$A$27,'Leave log'!$B$7:$B$306,"&lt;="&amp;DATE($B$3,7,30),'Leave log'!$C$7:$C$306,"&gt;="&amp;DATE($B$3,7,30),'Leave log'!$F$7:$F$306,"Approved")&gt;0,"A",""))="A","A",IF(OR(DATE($B$3,7,30)&gt;EOMONTH(DATE($B$3,7,1),0),NETWORKDAYS.INTL(DATE($B$3,7,30),DATE($B$3,7,30),1,'Non-working days'!$A$6:$A$45)=0),"",IF(COUNTIFS('Leave log'!$A$7:$A$306,Employees!$A$27,'Leave log'!$B$7:$B$306,"&lt;="&amp;DATE($B$3,7,30),'Leave log'!$C$7:$C$306,"&gt;="&amp;DATE($B$3,7,30),'Leave log'!$F$7:$F$306,"Pending")&gt;0,"P",""))))</f>
        <v/>
      </c>
      <c r="AF232" s="23" t="str">
        <f>IF(A232="","",IF(IF(OR(DATE($B$3,7,31)&gt;EOMONTH(DATE($B$3,7,1),0),NETWORKDAYS.INTL(DATE($B$3,7,31),DATE($B$3,7,31),1,'Non-working days'!$A$6:$A$45)=0),"",IF(COUNTIFS('Leave log'!$A$7:$A$306,Employees!$A$27,'Leave log'!$B$7:$B$306,"&lt;="&amp;DATE($B$3,7,31),'Leave log'!$C$7:$C$306,"&gt;="&amp;DATE($B$3,7,31),'Leave log'!$F$7:$F$306,"Approved")&gt;0,"A",""))="A","A",IF(OR(DATE($B$3,7,31)&gt;EOMONTH(DATE($B$3,7,1),0),NETWORKDAYS.INTL(DATE($B$3,7,31),DATE($B$3,7,31),1,'Non-working days'!$A$6:$A$45)=0),"",IF(COUNTIFS('Leave log'!$A$7:$A$306,Employees!$A$27,'Leave log'!$B$7:$B$306,"&lt;="&amp;DATE($B$3,7,31),'Leave log'!$C$7:$C$306,"&gt;="&amp;DATE($B$3,7,31),'Leave log'!$F$7:$F$306,"Pending")&gt;0,"P",""))))</f>
        <v/>
      </c>
    </row>
    <row r="233" spans="1:32" ht="18" customHeight="1" x14ac:dyDescent="0.3">
      <c r="A233" s="22" t="str">
        <f>IF(Employees!F28="Yes",Employees!B28,"")</f>
        <v/>
      </c>
      <c r="B233" s="23" t="str">
        <f>IF(A233="","",IF(IF(OR(DATE($B$3,7,1)&gt;EOMONTH(DATE($B$3,7,1),0),NETWORKDAYS.INTL(DATE($B$3,7,1),DATE($B$3,7,1),1,'Non-working days'!$A$6:$A$45)=0),"",IF(COUNTIFS('Leave log'!$A$7:$A$306,Employees!$A$28,'Leave log'!$B$7:$B$306,"&lt;="&amp;DATE($B$3,7,1),'Leave log'!$C$7:$C$306,"&gt;="&amp;DATE($B$3,7,1),'Leave log'!$F$7:$F$306,"Approved")&gt;0,"A",""))="A","A",IF(OR(DATE($B$3,7,1)&gt;EOMONTH(DATE($B$3,7,1),0),NETWORKDAYS.INTL(DATE($B$3,7,1),DATE($B$3,7,1),1,'Non-working days'!$A$6:$A$45)=0),"",IF(COUNTIFS('Leave log'!$A$7:$A$306,Employees!$A$28,'Leave log'!$B$7:$B$306,"&lt;="&amp;DATE($B$3,7,1),'Leave log'!$C$7:$C$306,"&gt;="&amp;DATE($B$3,7,1),'Leave log'!$F$7:$F$306,"Pending")&gt;0,"P",""))))</f>
        <v/>
      </c>
      <c r="C233" s="23" t="str">
        <f>IF(A233="","",IF(IF(OR(DATE($B$3,7,2)&gt;EOMONTH(DATE($B$3,7,1),0),NETWORKDAYS.INTL(DATE($B$3,7,2),DATE($B$3,7,2),1,'Non-working days'!$A$6:$A$45)=0),"",IF(COUNTIFS('Leave log'!$A$7:$A$306,Employees!$A$28,'Leave log'!$B$7:$B$306,"&lt;="&amp;DATE($B$3,7,2),'Leave log'!$C$7:$C$306,"&gt;="&amp;DATE($B$3,7,2),'Leave log'!$F$7:$F$306,"Approved")&gt;0,"A",""))="A","A",IF(OR(DATE($B$3,7,2)&gt;EOMONTH(DATE($B$3,7,1),0),NETWORKDAYS.INTL(DATE($B$3,7,2),DATE($B$3,7,2),1,'Non-working days'!$A$6:$A$45)=0),"",IF(COUNTIFS('Leave log'!$A$7:$A$306,Employees!$A$28,'Leave log'!$B$7:$B$306,"&lt;="&amp;DATE($B$3,7,2),'Leave log'!$C$7:$C$306,"&gt;="&amp;DATE($B$3,7,2),'Leave log'!$F$7:$F$306,"Pending")&gt;0,"P",""))))</f>
        <v/>
      </c>
      <c r="D233" s="23" t="str">
        <f>IF(A233="","",IF(IF(OR(DATE($B$3,7,3)&gt;EOMONTH(DATE($B$3,7,1),0),NETWORKDAYS.INTL(DATE($B$3,7,3),DATE($B$3,7,3),1,'Non-working days'!$A$6:$A$45)=0),"",IF(COUNTIFS('Leave log'!$A$7:$A$306,Employees!$A$28,'Leave log'!$B$7:$B$306,"&lt;="&amp;DATE($B$3,7,3),'Leave log'!$C$7:$C$306,"&gt;="&amp;DATE($B$3,7,3),'Leave log'!$F$7:$F$306,"Approved")&gt;0,"A",""))="A","A",IF(OR(DATE($B$3,7,3)&gt;EOMONTH(DATE($B$3,7,1),0),NETWORKDAYS.INTL(DATE($B$3,7,3),DATE($B$3,7,3),1,'Non-working days'!$A$6:$A$45)=0),"",IF(COUNTIFS('Leave log'!$A$7:$A$306,Employees!$A$28,'Leave log'!$B$7:$B$306,"&lt;="&amp;DATE($B$3,7,3),'Leave log'!$C$7:$C$306,"&gt;="&amp;DATE($B$3,7,3),'Leave log'!$F$7:$F$306,"Pending")&gt;0,"P",""))))</f>
        <v/>
      </c>
      <c r="E233" s="23" t="str">
        <f>IF(A233="","",IF(IF(OR(DATE($B$3,7,4)&gt;EOMONTH(DATE($B$3,7,1),0),NETWORKDAYS.INTL(DATE($B$3,7,4),DATE($B$3,7,4),1,'Non-working days'!$A$6:$A$45)=0),"",IF(COUNTIFS('Leave log'!$A$7:$A$306,Employees!$A$28,'Leave log'!$B$7:$B$306,"&lt;="&amp;DATE($B$3,7,4),'Leave log'!$C$7:$C$306,"&gt;="&amp;DATE($B$3,7,4),'Leave log'!$F$7:$F$306,"Approved")&gt;0,"A",""))="A","A",IF(OR(DATE($B$3,7,4)&gt;EOMONTH(DATE($B$3,7,1),0),NETWORKDAYS.INTL(DATE($B$3,7,4),DATE($B$3,7,4),1,'Non-working days'!$A$6:$A$45)=0),"",IF(COUNTIFS('Leave log'!$A$7:$A$306,Employees!$A$28,'Leave log'!$B$7:$B$306,"&lt;="&amp;DATE($B$3,7,4),'Leave log'!$C$7:$C$306,"&gt;="&amp;DATE($B$3,7,4),'Leave log'!$F$7:$F$306,"Pending")&gt;0,"P",""))))</f>
        <v/>
      </c>
      <c r="F233" s="23" t="str">
        <f>IF(A233="","",IF(IF(OR(DATE($B$3,7,5)&gt;EOMONTH(DATE($B$3,7,1),0),NETWORKDAYS.INTL(DATE($B$3,7,5),DATE($B$3,7,5),1,'Non-working days'!$A$6:$A$45)=0),"",IF(COUNTIFS('Leave log'!$A$7:$A$306,Employees!$A$28,'Leave log'!$B$7:$B$306,"&lt;="&amp;DATE($B$3,7,5),'Leave log'!$C$7:$C$306,"&gt;="&amp;DATE($B$3,7,5),'Leave log'!$F$7:$F$306,"Approved")&gt;0,"A",""))="A","A",IF(OR(DATE($B$3,7,5)&gt;EOMONTH(DATE($B$3,7,1),0),NETWORKDAYS.INTL(DATE($B$3,7,5),DATE($B$3,7,5),1,'Non-working days'!$A$6:$A$45)=0),"",IF(COUNTIFS('Leave log'!$A$7:$A$306,Employees!$A$28,'Leave log'!$B$7:$B$306,"&lt;="&amp;DATE($B$3,7,5),'Leave log'!$C$7:$C$306,"&gt;="&amp;DATE($B$3,7,5),'Leave log'!$F$7:$F$306,"Pending")&gt;0,"P",""))))</f>
        <v/>
      </c>
      <c r="G233" s="23" t="str">
        <f>IF(A233="","",IF(IF(OR(DATE($B$3,7,6)&gt;EOMONTH(DATE($B$3,7,1),0),NETWORKDAYS.INTL(DATE($B$3,7,6),DATE($B$3,7,6),1,'Non-working days'!$A$6:$A$45)=0),"",IF(COUNTIFS('Leave log'!$A$7:$A$306,Employees!$A$28,'Leave log'!$B$7:$B$306,"&lt;="&amp;DATE($B$3,7,6),'Leave log'!$C$7:$C$306,"&gt;="&amp;DATE($B$3,7,6),'Leave log'!$F$7:$F$306,"Approved")&gt;0,"A",""))="A","A",IF(OR(DATE($B$3,7,6)&gt;EOMONTH(DATE($B$3,7,1),0),NETWORKDAYS.INTL(DATE($B$3,7,6),DATE($B$3,7,6),1,'Non-working days'!$A$6:$A$45)=0),"",IF(COUNTIFS('Leave log'!$A$7:$A$306,Employees!$A$28,'Leave log'!$B$7:$B$306,"&lt;="&amp;DATE($B$3,7,6),'Leave log'!$C$7:$C$306,"&gt;="&amp;DATE($B$3,7,6),'Leave log'!$F$7:$F$306,"Pending")&gt;0,"P",""))))</f>
        <v/>
      </c>
      <c r="H233" s="23" t="str">
        <f>IF(A233="","",IF(IF(OR(DATE($B$3,7,7)&gt;EOMONTH(DATE($B$3,7,1),0),NETWORKDAYS.INTL(DATE($B$3,7,7),DATE($B$3,7,7),1,'Non-working days'!$A$6:$A$45)=0),"",IF(COUNTIFS('Leave log'!$A$7:$A$306,Employees!$A$28,'Leave log'!$B$7:$B$306,"&lt;="&amp;DATE($B$3,7,7),'Leave log'!$C$7:$C$306,"&gt;="&amp;DATE($B$3,7,7),'Leave log'!$F$7:$F$306,"Approved")&gt;0,"A",""))="A","A",IF(OR(DATE($B$3,7,7)&gt;EOMONTH(DATE($B$3,7,1),0),NETWORKDAYS.INTL(DATE($B$3,7,7),DATE($B$3,7,7),1,'Non-working days'!$A$6:$A$45)=0),"",IF(COUNTIFS('Leave log'!$A$7:$A$306,Employees!$A$28,'Leave log'!$B$7:$B$306,"&lt;="&amp;DATE($B$3,7,7),'Leave log'!$C$7:$C$306,"&gt;="&amp;DATE($B$3,7,7),'Leave log'!$F$7:$F$306,"Pending")&gt;0,"P",""))))</f>
        <v/>
      </c>
      <c r="I233" s="23" t="str">
        <f>IF(A233="","",IF(IF(OR(DATE($B$3,7,8)&gt;EOMONTH(DATE($B$3,7,1),0),NETWORKDAYS.INTL(DATE($B$3,7,8),DATE($B$3,7,8),1,'Non-working days'!$A$6:$A$45)=0),"",IF(COUNTIFS('Leave log'!$A$7:$A$306,Employees!$A$28,'Leave log'!$B$7:$B$306,"&lt;="&amp;DATE($B$3,7,8),'Leave log'!$C$7:$C$306,"&gt;="&amp;DATE($B$3,7,8),'Leave log'!$F$7:$F$306,"Approved")&gt;0,"A",""))="A","A",IF(OR(DATE($B$3,7,8)&gt;EOMONTH(DATE($B$3,7,1),0),NETWORKDAYS.INTL(DATE($B$3,7,8),DATE($B$3,7,8),1,'Non-working days'!$A$6:$A$45)=0),"",IF(COUNTIFS('Leave log'!$A$7:$A$306,Employees!$A$28,'Leave log'!$B$7:$B$306,"&lt;="&amp;DATE($B$3,7,8),'Leave log'!$C$7:$C$306,"&gt;="&amp;DATE($B$3,7,8),'Leave log'!$F$7:$F$306,"Pending")&gt;0,"P",""))))</f>
        <v/>
      </c>
      <c r="J233" s="23" t="str">
        <f>IF(A233="","",IF(IF(OR(DATE($B$3,7,9)&gt;EOMONTH(DATE($B$3,7,1),0),NETWORKDAYS.INTL(DATE($B$3,7,9),DATE($B$3,7,9),1,'Non-working days'!$A$6:$A$45)=0),"",IF(COUNTIFS('Leave log'!$A$7:$A$306,Employees!$A$28,'Leave log'!$B$7:$B$306,"&lt;="&amp;DATE($B$3,7,9),'Leave log'!$C$7:$C$306,"&gt;="&amp;DATE($B$3,7,9),'Leave log'!$F$7:$F$306,"Approved")&gt;0,"A",""))="A","A",IF(OR(DATE($B$3,7,9)&gt;EOMONTH(DATE($B$3,7,1),0),NETWORKDAYS.INTL(DATE($B$3,7,9),DATE($B$3,7,9),1,'Non-working days'!$A$6:$A$45)=0),"",IF(COUNTIFS('Leave log'!$A$7:$A$306,Employees!$A$28,'Leave log'!$B$7:$B$306,"&lt;="&amp;DATE($B$3,7,9),'Leave log'!$C$7:$C$306,"&gt;="&amp;DATE($B$3,7,9),'Leave log'!$F$7:$F$306,"Pending")&gt;0,"P",""))))</f>
        <v/>
      </c>
      <c r="K233" s="23" t="str">
        <f>IF(A233="","",IF(IF(OR(DATE($B$3,7,10)&gt;EOMONTH(DATE($B$3,7,1),0),NETWORKDAYS.INTL(DATE($B$3,7,10),DATE($B$3,7,10),1,'Non-working days'!$A$6:$A$45)=0),"",IF(COUNTIFS('Leave log'!$A$7:$A$306,Employees!$A$28,'Leave log'!$B$7:$B$306,"&lt;="&amp;DATE($B$3,7,10),'Leave log'!$C$7:$C$306,"&gt;="&amp;DATE($B$3,7,10),'Leave log'!$F$7:$F$306,"Approved")&gt;0,"A",""))="A","A",IF(OR(DATE($B$3,7,10)&gt;EOMONTH(DATE($B$3,7,1),0),NETWORKDAYS.INTL(DATE($B$3,7,10),DATE($B$3,7,10),1,'Non-working days'!$A$6:$A$45)=0),"",IF(COUNTIFS('Leave log'!$A$7:$A$306,Employees!$A$28,'Leave log'!$B$7:$B$306,"&lt;="&amp;DATE($B$3,7,10),'Leave log'!$C$7:$C$306,"&gt;="&amp;DATE($B$3,7,10),'Leave log'!$F$7:$F$306,"Pending")&gt;0,"P",""))))</f>
        <v/>
      </c>
      <c r="L233" s="23" t="str">
        <f>IF(A233="","",IF(IF(OR(DATE($B$3,7,11)&gt;EOMONTH(DATE($B$3,7,1),0),NETWORKDAYS.INTL(DATE($B$3,7,11),DATE($B$3,7,11),1,'Non-working days'!$A$6:$A$45)=0),"",IF(COUNTIFS('Leave log'!$A$7:$A$306,Employees!$A$28,'Leave log'!$B$7:$B$306,"&lt;="&amp;DATE($B$3,7,11),'Leave log'!$C$7:$C$306,"&gt;="&amp;DATE($B$3,7,11),'Leave log'!$F$7:$F$306,"Approved")&gt;0,"A",""))="A","A",IF(OR(DATE($B$3,7,11)&gt;EOMONTH(DATE($B$3,7,1),0),NETWORKDAYS.INTL(DATE($B$3,7,11),DATE($B$3,7,11),1,'Non-working days'!$A$6:$A$45)=0),"",IF(COUNTIFS('Leave log'!$A$7:$A$306,Employees!$A$28,'Leave log'!$B$7:$B$306,"&lt;="&amp;DATE($B$3,7,11),'Leave log'!$C$7:$C$306,"&gt;="&amp;DATE($B$3,7,11),'Leave log'!$F$7:$F$306,"Pending")&gt;0,"P",""))))</f>
        <v/>
      </c>
      <c r="M233" s="23" t="str">
        <f>IF(A233="","",IF(IF(OR(DATE($B$3,7,12)&gt;EOMONTH(DATE($B$3,7,1),0),NETWORKDAYS.INTL(DATE($B$3,7,12),DATE($B$3,7,12),1,'Non-working days'!$A$6:$A$45)=0),"",IF(COUNTIFS('Leave log'!$A$7:$A$306,Employees!$A$28,'Leave log'!$B$7:$B$306,"&lt;="&amp;DATE($B$3,7,12),'Leave log'!$C$7:$C$306,"&gt;="&amp;DATE($B$3,7,12),'Leave log'!$F$7:$F$306,"Approved")&gt;0,"A",""))="A","A",IF(OR(DATE($B$3,7,12)&gt;EOMONTH(DATE($B$3,7,1),0),NETWORKDAYS.INTL(DATE($B$3,7,12),DATE($B$3,7,12),1,'Non-working days'!$A$6:$A$45)=0),"",IF(COUNTIFS('Leave log'!$A$7:$A$306,Employees!$A$28,'Leave log'!$B$7:$B$306,"&lt;="&amp;DATE($B$3,7,12),'Leave log'!$C$7:$C$306,"&gt;="&amp;DATE($B$3,7,12),'Leave log'!$F$7:$F$306,"Pending")&gt;0,"P",""))))</f>
        <v/>
      </c>
      <c r="N233" s="23" t="str">
        <f>IF(A233="","",IF(IF(OR(DATE($B$3,7,13)&gt;EOMONTH(DATE($B$3,7,1),0),NETWORKDAYS.INTL(DATE($B$3,7,13),DATE($B$3,7,13),1,'Non-working days'!$A$6:$A$45)=0),"",IF(COUNTIFS('Leave log'!$A$7:$A$306,Employees!$A$28,'Leave log'!$B$7:$B$306,"&lt;="&amp;DATE($B$3,7,13),'Leave log'!$C$7:$C$306,"&gt;="&amp;DATE($B$3,7,13),'Leave log'!$F$7:$F$306,"Approved")&gt;0,"A",""))="A","A",IF(OR(DATE($B$3,7,13)&gt;EOMONTH(DATE($B$3,7,1),0),NETWORKDAYS.INTL(DATE($B$3,7,13),DATE($B$3,7,13),1,'Non-working days'!$A$6:$A$45)=0),"",IF(COUNTIFS('Leave log'!$A$7:$A$306,Employees!$A$28,'Leave log'!$B$7:$B$306,"&lt;="&amp;DATE($B$3,7,13),'Leave log'!$C$7:$C$306,"&gt;="&amp;DATE($B$3,7,13),'Leave log'!$F$7:$F$306,"Pending")&gt;0,"P",""))))</f>
        <v/>
      </c>
      <c r="O233" s="23" t="str">
        <f>IF(A233="","",IF(IF(OR(DATE($B$3,7,14)&gt;EOMONTH(DATE($B$3,7,1),0),NETWORKDAYS.INTL(DATE($B$3,7,14),DATE($B$3,7,14),1,'Non-working days'!$A$6:$A$45)=0),"",IF(COUNTIFS('Leave log'!$A$7:$A$306,Employees!$A$28,'Leave log'!$B$7:$B$306,"&lt;="&amp;DATE($B$3,7,14),'Leave log'!$C$7:$C$306,"&gt;="&amp;DATE($B$3,7,14),'Leave log'!$F$7:$F$306,"Approved")&gt;0,"A",""))="A","A",IF(OR(DATE($B$3,7,14)&gt;EOMONTH(DATE($B$3,7,1),0),NETWORKDAYS.INTL(DATE($B$3,7,14),DATE($B$3,7,14),1,'Non-working days'!$A$6:$A$45)=0),"",IF(COUNTIFS('Leave log'!$A$7:$A$306,Employees!$A$28,'Leave log'!$B$7:$B$306,"&lt;="&amp;DATE($B$3,7,14),'Leave log'!$C$7:$C$306,"&gt;="&amp;DATE($B$3,7,14),'Leave log'!$F$7:$F$306,"Pending")&gt;0,"P",""))))</f>
        <v/>
      </c>
      <c r="P233" s="23" t="str">
        <f>IF(A233="","",IF(IF(OR(DATE($B$3,7,15)&gt;EOMONTH(DATE($B$3,7,1),0),NETWORKDAYS.INTL(DATE($B$3,7,15),DATE($B$3,7,15),1,'Non-working days'!$A$6:$A$45)=0),"",IF(COUNTIFS('Leave log'!$A$7:$A$306,Employees!$A$28,'Leave log'!$B$7:$B$306,"&lt;="&amp;DATE($B$3,7,15),'Leave log'!$C$7:$C$306,"&gt;="&amp;DATE($B$3,7,15),'Leave log'!$F$7:$F$306,"Approved")&gt;0,"A",""))="A","A",IF(OR(DATE($B$3,7,15)&gt;EOMONTH(DATE($B$3,7,1),0),NETWORKDAYS.INTL(DATE($B$3,7,15),DATE($B$3,7,15),1,'Non-working days'!$A$6:$A$45)=0),"",IF(COUNTIFS('Leave log'!$A$7:$A$306,Employees!$A$28,'Leave log'!$B$7:$B$306,"&lt;="&amp;DATE($B$3,7,15),'Leave log'!$C$7:$C$306,"&gt;="&amp;DATE($B$3,7,15),'Leave log'!$F$7:$F$306,"Pending")&gt;0,"P",""))))</f>
        <v/>
      </c>
      <c r="Q233" s="23" t="str">
        <f>IF(A233="","",IF(IF(OR(DATE($B$3,7,16)&gt;EOMONTH(DATE($B$3,7,1),0),NETWORKDAYS.INTL(DATE($B$3,7,16),DATE($B$3,7,16),1,'Non-working days'!$A$6:$A$45)=0),"",IF(COUNTIFS('Leave log'!$A$7:$A$306,Employees!$A$28,'Leave log'!$B$7:$B$306,"&lt;="&amp;DATE($B$3,7,16),'Leave log'!$C$7:$C$306,"&gt;="&amp;DATE($B$3,7,16),'Leave log'!$F$7:$F$306,"Approved")&gt;0,"A",""))="A","A",IF(OR(DATE($B$3,7,16)&gt;EOMONTH(DATE($B$3,7,1),0),NETWORKDAYS.INTL(DATE($B$3,7,16),DATE($B$3,7,16),1,'Non-working days'!$A$6:$A$45)=0),"",IF(COUNTIFS('Leave log'!$A$7:$A$306,Employees!$A$28,'Leave log'!$B$7:$B$306,"&lt;="&amp;DATE($B$3,7,16),'Leave log'!$C$7:$C$306,"&gt;="&amp;DATE($B$3,7,16),'Leave log'!$F$7:$F$306,"Pending")&gt;0,"P",""))))</f>
        <v/>
      </c>
      <c r="R233" s="23" t="str">
        <f>IF(A233="","",IF(IF(OR(DATE($B$3,7,17)&gt;EOMONTH(DATE($B$3,7,1),0),NETWORKDAYS.INTL(DATE($B$3,7,17),DATE($B$3,7,17),1,'Non-working days'!$A$6:$A$45)=0),"",IF(COUNTIFS('Leave log'!$A$7:$A$306,Employees!$A$28,'Leave log'!$B$7:$B$306,"&lt;="&amp;DATE($B$3,7,17),'Leave log'!$C$7:$C$306,"&gt;="&amp;DATE($B$3,7,17),'Leave log'!$F$7:$F$306,"Approved")&gt;0,"A",""))="A","A",IF(OR(DATE($B$3,7,17)&gt;EOMONTH(DATE($B$3,7,1),0),NETWORKDAYS.INTL(DATE($B$3,7,17),DATE($B$3,7,17),1,'Non-working days'!$A$6:$A$45)=0),"",IF(COUNTIFS('Leave log'!$A$7:$A$306,Employees!$A$28,'Leave log'!$B$7:$B$306,"&lt;="&amp;DATE($B$3,7,17),'Leave log'!$C$7:$C$306,"&gt;="&amp;DATE($B$3,7,17),'Leave log'!$F$7:$F$306,"Pending")&gt;0,"P",""))))</f>
        <v/>
      </c>
      <c r="S233" s="23" t="str">
        <f>IF(A233="","",IF(IF(OR(DATE($B$3,7,18)&gt;EOMONTH(DATE($B$3,7,1),0),NETWORKDAYS.INTL(DATE($B$3,7,18),DATE($B$3,7,18),1,'Non-working days'!$A$6:$A$45)=0),"",IF(COUNTIFS('Leave log'!$A$7:$A$306,Employees!$A$28,'Leave log'!$B$7:$B$306,"&lt;="&amp;DATE($B$3,7,18),'Leave log'!$C$7:$C$306,"&gt;="&amp;DATE($B$3,7,18),'Leave log'!$F$7:$F$306,"Approved")&gt;0,"A",""))="A","A",IF(OR(DATE($B$3,7,18)&gt;EOMONTH(DATE($B$3,7,1),0),NETWORKDAYS.INTL(DATE($B$3,7,18),DATE($B$3,7,18),1,'Non-working days'!$A$6:$A$45)=0),"",IF(COUNTIFS('Leave log'!$A$7:$A$306,Employees!$A$28,'Leave log'!$B$7:$B$306,"&lt;="&amp;DATE($B$3,7,18),'Leave log'!$C$7:$C$306,"&gt;="&amp;DATE($B$3,7,18),'Leave log'!$F$7:$F$306,"Pending")&gt;0,"P",""))))</f>
        <v/>
      </c>
      <c r="T233" s="23" t="str">
        <f>IF(A233="","",IF(IF(OR(DATE($B$3,7,19)&gt;EOMONTH(DATE($B$3,7,1),0),NETWORKDAYS.INTL(DATE($B$3,7,19),DATE($B$3,7,19),1,'Non-working days'!$A$6:$A$45)=0),"",IF(COUNTIFS('Leave log'!$A$7:$A$306,Employees!$A$28,'Leave log'!$B$7:$B$306,"&lt;="&amp;DATE($B$3,7,19),'Leave log'!$C$7:$C$306,"&gt;="&amp;DATE($B$3,7,19),'Leave log'!$F$7:$F$306,"Approved")&gt;0,"A",""))="A","A",IF(OR(DATE($B$3,7,19)&gt;EOMONTH(DATE($B$3,7,1),0),NETWORKDAYS.INTL(DATE($B$3,7,19),DATE($B$3,7,19),1,'Non-working days'!$A$6:$A$45)=0),"",IF(COUNTIFS('Leave log'!$A$7:$A$306,Employees!$A$28,'Leave log'!$B$7:$B$306,"&lt;="&amp;DATE($B$3,7,19),'Leave log'!$C$7:$C$306,"&gt;="&amp;DATE($B$3,7,19),'Leave log'!$F$7:$F$306,"Pending")&gt;0,"P",""))))</f>
        <v/>
      </c>
      <c r="U233" s="23" t="str">
        <f>IF(A233="","",IF(IF(OR(DATE($B$3,7,20)&gt;EOMONTH(DATE($B$3,7,1),0),NETWORKDAYS.INTL(DATE($B$3,7,20),DATE($B$3,7,20),1,'Non-working days'!$A$6:$A$45)=0),"",IF(COUNTIFS('Leave log'!$A$7:$A$306,Employees!$A$28,'Leave log'!$B$7:$B$306,"&lt;="&amp;DATE($B$3,7,20),'Leave log'!$C$7:$C$306,"&gt;="&amp;DATE($B$3,7,20),'Leave log'!$F$7:$F$306,"Approved")&gt;0,"A",""))="A","A",IF(OR(DATE($B$3,7,20)&gt;EOMONTH(DATE($B$3,7,1),0),NETWORKDAYS.INTL(DATE($B$3,7,20),DATE($B$3,7,20),1,'Non-working days'!$A$6:$A$45)=0),"",IF(COUNTIFS('Leave log'!$A$7:$A$306,Employees!$A$28,'Leave log'!$B$7:$B$306,"&lt;="&amp;DATE($B$3,7,20),'Leave log'!$C$7:$C$306,"&gt;="&amp;DATE($B$3,7,20),'Leave log'!$F$7:$F$306,"Pending")&gt;0,"P",""))))</f>
        <v/>
      </c>
      <c r="V233" s="23" t="str">
        <f>IF(A233="","",IF(IF(OR(DATE($B$3,7,21)&gt;EOMONTH(DATE($B$3,7,1),0),NETWORKDAYS.INTL(DATE($B$3,7,21),DATE($B$3,7,21),1,'Non-working days'!$A$6:$A$45)=0),"",IF(COUNTIFS('Leave log'!$A$7:$A$306,Employees!$A$28,'Leave log'!$B$7:$B$306,"&lt;="&amp;DATE($B$3,7,21),'Leave log'!$C$7:$C$306,"&gt;="&amp;DATE($B$3,7,21),'Leave log'!$F$7:$F$306,"Approved")&gt;0,"A",""))="A","A",IF(OR(DATE($B$3,7,21)&gt;EOMONTH(DATE($B$3,7,1),0),NETWORKDAYS.INTL(DATE($B$3,7,21),DATE($B$3,7,21),1,'Non-working days'!$A$6:$A$45)=0),"",IF(COUNTIFS('Leave log'!$A$7:$A$306,Employees!$A$28,'Leave log'!$B$7:$B$306,"&lt;="&amp;DATE($B$3,7,21),'Leave log'!$C$7:$C$306,"&gt;="&amp;DATE($B$3,7,21),'Leave log'!$F$7:$F$306,"Pending")&gt;0,"P",""))))</f>
        <v/>
      </c>
      <c r="W233" s="23" t="str">
        <f>IF(A233="","",IF(IF(OR(DATE($B$3,7,22)&gt;EOMONTH(DATE($B$3,7,1),0),NETWORKDAYS.INTL(DATE($B$3,7,22),DATE($B$3,7,22),1,'Non-working days'!$A$6:$A$45)=0),"",IF(COUNTIFS('Leave log'!$A$7:$A$306,Employees!$A$28,'Leave log'!$B$7:$B$306,"&lt;="&amp;DATE($B$3,7,22),'Leave log'!$C$7:$C$306,"&gt;="&amp;DATE($B$3,7,22),'Leave log'!$F$7:$F$306,"Approved")&gt;0,"A",""))="A","A",IF(OR(DATE($B$3,7,22)&gt;EOMONTH(DATE($B$3,7,1),0),NETWORKDAYS.INTL(DATE($B$3,7,22),DATE($B$3,7,22),1,'Non-working days'!$A$6:$A$45)=0),"",IF(COUNTIFS('Leave log'!$A$7:$A$306,Employees!$A$28,'Leave log'!$B$7:$B$306,"&lt;="&amp;DATE($B$3,7,22),'Leave log'!$C$7:$C$306,"&gt;="&amp;DATE($B$3,7,22),'Leave log'!$F$7:$F$306,"Pending")&gt;0,"P",""))))</f>
        <v/>
      </c>
      <c r="X233" s="23" t="str">
        <f>IF(A233="","",IF(IF(OR(DATE($B$3,7,23)&gt;EOMONTH(DATE($B$3,7,1),0),NETWORKDAYS.INTL(DATE($B$3,7,23),DATE($B$3,7,23),1,'Non-working days'!$A$6:$A$45)=0),"",IF(COUNTIFS('Leave log'!$A$7:$A$306,Employees!$A$28,'Leave log'!$B$7:$B$306,"&lt;="&amp;DATE($B$3,7,23),'Leave log'!$C$7:$C$306,"&gt;="&amp;DATE($B$3,7,23),'Leave log'!$F$7:$F$306,"Approved")&gt;0,"A",""))="A","A",IF(OR(DATE($B$3,7,23)&gt;EOMONTH(DATE($B$3,7,1),0),NETWORKDAYS.INTL(DATE($B$3,7,23),DATE($B$3,7,23),1,'Non-working days'!$A$6:$A$45)=0),"",IF(COUNTIFS('Leave log'!$A$7:$A$306,Employees!$A$28,'Leave log'!$B$7:$B$306,"&lt;="&amp;DATE($B$3,7,23),'Leave log'!$C$7:$C$306,"&gt;="&amp;DATE($B$3,7,23),'Leave log'!$F$7:$F$306,"Pending")&gt;0,"P",""))))</f>
        <v/>
      </c>
      <c r="Y233" s="23" t="str">
        <f>IF(A233="","",IF(IF(OR(DATE($B$3,7,24)&gt;EOMONTH(DATE($B$3,7,1),0),NETWORKDAYS.INTL(DATE($B$3,7,24),DATE($B$3,7,24),1,'Non-working days'!$A$6:$A$45)=0),"",IF(COUNTIFS('Leave log'!$A$7:$A$306,Employees!$A$28,'Leave log'!$B$7:$B$306,"&lt;="&amp;DATE($B$3,7,24),'Leave log'!$C$7:$C$306,"&gt;="&amp;DATE($B$3,7,24),'Leave log'!$F$7:$F$306,"Approved")&gt;0,"A",""))="A","A",IF(OR(DATE($B$3,7,24)&gt;EOMONTH(DATE($B$3,7,1),0),NETWORKDAYS.INTL(DATE($B$3,7,24),DATE($B$3,7,24),1,'Non-working days'!$A$6:$A$45)=0),"",IF(COUNTIFS('Leave log'!$A$7:$A$306,Employees!$A$28,'Leave log'!$B$7:$B$306,"&lt;="&amp;DATE($B$3,7,24),'Leave log'!$C$7:$C$306,"&gt;="&amp;DATE($B$3,7,24),'Leave log'!$F$7:$F$306,"Pending")&gt;0,"P",""))))</f>
        <v/>
      </c>
      <c r="Z233" s="23" t="str">
        <f>IF(A233="","",IF(IF(OR(DATE($B$3,7,25)&gt;EOMONTH(DATE($B$3,7,1),0),NETWORKDAYS.INTL(DATE($B$3,7,25),DATE($B$3,7,25),1,'Non-working days'!$A$6:$A$45)=0),"",IF(COUNTIFS('Leave log'!$A$7:$A$306,Employees!$A$28,'Leave log'!$B$7:$B$306,"&lt;="&amp;DATE($B$3,7,25),'Leave log'!$C$7:$C$306,"&gt;="&amp;DATE($B$3,7,25),'Leave log'!$F$7:$F$306,"Approved")&gt;0,"A",""))="A","A",IF(OR(DATE($B$3,7,25)&gt;EOMONTH(DATE($B$3,7,1),0),NETWORKDAYS.INTL(DATE($B$3,7,25),DATE($B$3,7,25),1,'Non-working days'!$A$6:$A$45)=0),"",IF(COUNTIFS('Leave log'!$A$7:$A$306,Employees!$A$28,'Leave log'!$B$7:$B$306,"&lt;="&amp;DATE($B$3,7,25),'Leave log'!$C$7:$C$306,"&gt;="&amp;DATE($B$3,7,25),'Leave log'!$F$7:$F$306,"Pending")&gt;0,"P",""))))</f>
        <v/>
      </c>
      <c r="AA233" s="23" t="str">
        <f>IF(A233="","",IF(IF(OR(DATE($B$3,7,26)&gt;EOMONTH(DATE($B$3,7,1),0),NETWORKDAYS.INTL(DATE($B$3,7,26),DATE($B$3,7,26),1,'Non-working days'!$A$6:$A$45)=0),"",IF(COUNTIFS('Leave log'!$A$7:$A$306,Employees!$A$28,'Leave log'!$B$7:$B$306,"&lt;="&amp;DATE($B$3,7,26),'Leave log'!$C$7:$C$306,"&gt;="&amp;DATE($B$3,7,26),'Leave log'!$F$7:$F$306,"Approved")&gt;0,"A",""))="A","A",IF(OR(DATE($B$3,7,26)&gt;EOMONTH(DATE($B$3,7,1),0),NETWORKDAYS.INTL(DATE($B$3,7,26),DATE($B$3,7,26),1,'Non-working days'!$A$6:$A$45)=0),"",IF(COUNTIFS('Leave log'!$A$7:$A$306,Employees!$A$28,'Leave log'!$B$7:$B$306,"&lt;="&amp;DATE($B$3,7,26),'Leave log'!$C$7:$C$306,"&gt;="&amp;DATE($B$3,7,26),'Leave log'!$F$7:$F$306,"Pending")&gt;0,"P",""))))</f>
        <v/>
      </c>
      <c r="AB233" s="23" t="str">
        <f>IF(A233="","",IF(IF(OR(DATE($B$3,7,27)&gt;EOMONTH(DATE($B$3,7,1),0),NETWORKDAYS.INTL(DATE($B$3,7,27),DATE($B$3,7,27),1,'Non-working days'!$A$6:$A$45)=0),"",IF(COUNTIFS('Leave log'!$A$7:$A$306,Employees!$A$28,'Leave log'!$B$7:$B$306,"&lt;="&amp;DATE($B$3,7,27),'Leave log'!$C$7:$C$306,"&gt;="&amp;DATE($B$3,7,27),'Leave log'!$F$7:$F$306,"Approved")&gt;0,"A",""))="A","A",IF(OR(DATE($B$3,7,27)&gt;EOMONTH(DATE($B$3,7,1),0),NETWORKDAYS.INTL(DATE($B$3,7,27),DATE($B$3,7,27),1,'Non-working days'!$A$6:$A$45)=0),"",IF(COUNTIFS('Leave log'!$A$7:$A$306,Employees!$A$28,'Leave log'!$B$7:$B$306,"&lt;="&amp;DATE($B$3,7,27),'Leave log'!$C$7:$C$306,"&gt;="&amp;DATE($B$3,7,27),'Leave log'!$F$7:$F$306,"Pending")&gt;0,"P",""))))</f>
        <v/>
      </c>
      <c r="AC233" s="23" t="str">
        <f>IF(A233="","",IF(IF(OR(DATE($B$3,7,28)&gt;EOMONTH(DATE($B$3,7,1),0),NETWORKDAYS.INTL(DATE($B$3,7,28),DATE($B$3,7,28),1,'Non-working days'!$A$6:$A$45)=0),"",IF(COUNTIFS('Leave log'!$A$7:$A$306,Employees!$A$28,'Leave log'!$B$7:$B$306,"&lt;="&amp;DATE($B$3,7,28),'Leave log'!$C$7:$C$306,"&gt;="&amp;DATE($B$3,7,28),'Leave log'!$F$7:$F$306,"Approved")&gt;0,"A",""))="A","A",IF(OR(DATE($B$3,7,28)&gt;EOMONTH(DATE($B$3,7,1),0),NETWORKDAYS.INTL(DATE($B$3,7,28),DATE($B$3,7,28),1,'Non-working days'!$A$6:$A$45)=0),"",IF(COUNTIFS('Leave log'!$A$7:$A$306,Employees!$A$28,'Leave log'!$B$7:$B$306,"&lt;="&amp;DATE($B$3,7,28),'Leave log'!$C$7:$C$306,"&gt;="&amp;DATE($B$3,7,28),'Leave log'!$F$7:$F$306,"Pending")&gt;0,"P",""))))</f>
        <v/>
      </c>
      <c r="AD233" s="23" t="str">
        <f>IF(A233="","",IF(IF(OR(DATE($B$3,7,29)&gt;EOMONTH(DATE($B$3,7,1),0),NETWORKDAYS.INTL(DATE($B$3,7,29),DATE($B$3,7,29),1,'Non-working days'!$A$6:$A$45)=0),"",IF(COUNTIFS('Leave log'!$A$7:$A$306,Employees!$A$28,'Leave log'!$B$7:$B$306,"&lt;="&amp;DATE($B$3,7,29),'Leave log'!$C$7:$C$306,"&gt;="&amp;DATE($B$3,7,29),'Leave log'!$F$7:$F$306,"Approved")&gt;0,"A",""))="A","A",IF(OR(DATE($B$3,7,29)&gt;EOMONTH(DATE($B$3,7,1),0),NETWORKDAYS.INTL(DATE($B$3,7,29),DATE($B$3,7,29),1,'Non-working days'!$A$6:$A$45)=0),"",IF(COUNTIFS('Leave log'!$A$7:$A$306,Employees!$A$28,'Leave log'!$B$7:$B$306,"&lt;="&amp;DATE($B$3,7,29),'Leave log'!$C$7:$C$306,"&gt;="&amp;DATE($B$3,7,29),'Leave log'!$F$7:$F$306,"Pending")&gt;0,"P",""))))</f>
        <v/>
      </c>
      <c r="AE233" s="23" t="str">
        <f>IF(A233="","",IF(IF(OR(DATE($B$3,7,30)&gt;EOMONTH(DATE($B$3,7,1),0),NETWORKDAYS.INTL(DATE($B$3,7,30),DATE($B$3,7,30),1,'Non-working days'!$A$6:$A$45)=0),"",IF(COUNTIFS('Leave log'!$A$7:$A$306,Employees!$A$28,'Leave log'!$B$7:$B$306,"&lt;="&amp;DATE($B$3,7,30),'Leave log'!$C$7:$C$306,"&gt;="&amp;DATE($B$3,7,30),'Leave log'!$F$7:$F$306,"Approved")&gt;0,"A",""))="A","A",IF(OR(DATE($B$3,7,30)&gt;EOMONTH(DATE($B$3,7,1),0),NETWORKDAYS.INTL(DATE($B$3,7,30),DATE($B$3,7,30),1,'Non-working days'!$A$6:$A$45)=0),"",IF(COUNTIFS('Leave log'!$A$7:$A$306,Employees!$A$28,'Leave log'!$B$7:$B$306,"&lt;="&amp;DATE($B$3,7,30),'Leave log'!$C$7:$C$306,"&gt;="&amp;DATE($B$3,7,30),'Leave log'!$F$7:$F$306,"Pending")&gt;0,"P",""))))</f>
        <v/>
      </c>
      <c r="AF233" s="23" t="str">
        <f>IF(A233="","",IF(IF(OR(DATE($B$3,7,31)&gt;EOMONTH(DATE($B$3,7,1),0),NETWORKDAYS.INTL(DATE($B$3,7,31),DATE($B$3,7,31),1,'Non-working days'!$A$6:$A$45)=0),"",IF(COUNTIFS('Leave log'!$A$7:$A$306,Employees!$A$28,'Leave log'!$B$7:$B$306,"&lt;="&amp;DATE($B$3,7,31),'Leave log'!$C$7:$C$306,"&gt;="&amp;DATE($B$3,7,31),'Leave log'!$F$7:$F$306,"Approved")&gt;0,"A",""))="A","A",IF(OR(DATE($B$3,7,31)&gt;EOMONTH(DATE($B$3,7,1),0),NETWORKDAYS.INTL(DATE($B$3,7,31),DATE($B$3,7,31),1,'Non-working days'!$A$6:$A$45)=0),"",IF(COUNTIFS('Leave log'!$A$7:$A$306,Employees!$A$28,'Leave log'!$B$7:$B$306,"&lt;="&amp;DATE($B$3,7,31),'Leave log'!$C$7:$C$306,"&gt;="&amp;DATE($B$3,7,31),'Leave log'!$F$7:$F$306,"Pending")&gt;0,"P",""))))</f>
        <v/>
      </c>
    </row>
    <row r="234" spans="1:32" ht="18" customHeight="1" x14ac:dyDescent="0.3">
      <c r="A234" s="22" t="str">
        <f>IF(Employees!F29="Yes",Employees!B29,"")</f>
        <v/>
      </c>
      <c r="B234" s="23" t="str">
        <f>IF(A234="","",IF(IF(OR(DATE($B$3,7,1)&gt;EOMONTH(DATE($B$3,7,1),0),NETWORKDAYS.INTL(DATE($B$3,7,1),DATE($B$3,7,1),1,'Non-working days'!$A$6:$A$45)=0),"",IF(COUNTIFS('Leave log'!$A$7:$A$306,Employees!$A$29,'Leave log'!$B$7:$B$306,"&lt;="&amp;DATE($B$3,7,1),'Leave log'!$C$7:$C$306,"&gt;="&amp;DATE($B$3,7,1),'Leave log'!$F$7:$F$306,"Approved")&gt;0,"A",""))="A","A",IF(OR(DATE($B$3,7,1)&gt;EOMONTH(DATE($B$3,7,1),0),NETWORKDAYS.INTL(DATE($B$3,7,1),DATE($B$3,7,1),1,'Non-working days'!$A$6:$A$45)=0),"",IF(COUNTIFS('Leave log'!$A$7:$A$306,Employees!$A$29,'Leave log'!$B$7:$B$306,"&lt;="&amp;DATE($B$3,7,1),'Leave log'!$C$7:$C$306,"&gt;="&amp;DATE($B$3,7,1),'Leave log'!$F$7:$F$306,"Pending")&gt;0,"P",""))))</f>
        <v/>
      </c>
      <c r="C234" s="23" t="str">
        <f>IF(A234="","",IF(IF(OR(DATE($B$3,7,2)&gt;EOMONTH(DATE($B$3,7,1),0),NETWORKDAYS.INTL(DATE($B$3,7,2),DATE($B$3,7,2),1,'Non-working days'!$A$6:$A$45)=0),"",IF(COUNTIFS('Leave log'!$A$7:$A$306,Employees!$A$29,'Leave log'!$B$7:$B$306,"&lt;="&amp;DATE($B$3,7,2),'Leave log'!$C$7:$C$306,"&gt;="&amp;DATE($B$3,7,2),'Leave log'!$F$7:$F$306,"Approved")&gt;0,"A",""))="A","A",IF(OR(DATE($B$3,7,2)&gt;EOMONTH(DATE($B$3,7,1),0),NETWORKDAYS.INTL(DATE($B$3,7,2),DATE($B$3,7,2),1,'Non-working days'!$A$6:$A$45)=0),"",IF(COUNTIFS('Leave log'!$A$7:$A$306,Employees!$A$29,'Leave log'!$B$7:$B$306,"&lt;="&amp;DATE($B$3,7,2),'Leave log'!$C$7:$C$306,"&gt;="&amp;DATE($B$3,7,2),'Leave log'!$F$7:$F$306,"Pending")&gt;0,"P",""))))</f>
        <v/>
      </c>
      <c r="D234" s="23" t="str">
        <f>IF(A234="","",IF(IF(OR(DATE($B$3,7,3)&gt;EOMONTH(DATE($B$3,7,1),0),NETWORKDAYS.INTL(DATE($B$3,7,3),DATE($B$3,7,3),1,'Non-working days'!$A$6:$A$45)=0),"",IF(COUNTIFS('Leave log'!$A$7:$A$306,Employees!$A$29,'Leave log'!$B$7:$B$306,"&lt;="&amp;DATE($B$3,7,3),'Leave log'!$C$7:$C$306,"&gt;="&amp;DATE($B$3,7,3),'Leave log'!$F$7:$F$306,"Approved")&gt;0,"A",""))="A","A",IF(OR(DATE($B$3,7,3)&gt;EOMONTH(DATE($B$3,7,1),0),NETWORKDAYS.INTL(DATE($B$3,7,3),DATE($B$3,7,3),1,'Non-working days'!$A$6:$A$45)=0),"",IF(COUNTIFS('Leave log'!$A$7:$A$306,Employees!$A$29,'Leave log'!$B$7:$B$306,"&lt;="&amp;DATE($B$3,7,3),'Leave log'!$C$7:$C$306,"&gt;="&amp;DATE($B$3,7,3),'Leave log'!$F$7:$F$306,"Pending")&gt;0,"P",""))))</f>
        <v/>
      </c>
      <c r="E234" s="23" t="str">
        <f>IF(A234="","",IF(IF(OR(DATE($B$3,7,4)&gt;EOMONTH(DATE($B$3,7,1),0),NETWORKDAYS.INTL(DATE($B$3,7,4),DATE($B$3,7,4),1,'Non-working days'!$A$6:$A$45)=0),"",IF(COUNTIFS('Leave log'!$A$7:$A$306,Employees!$A$29,'Leave log'!$B$7:$B$306,"&lt;="&amp;DATE($B$3,7,4),'Leave log'!$C$7:$C$306,"&gt;="&amp;DATE($B$3,7,4),'Leave log'!$F$7:$F$306,"Approved")&gt;0,"A",""))="A","A",IF(OR(DATE($B$3,7,4)&gt;EOMONTH(DATE($B$3,7,1),0),NETWORKDAYS.INTL(DATE($B$3,7,4),DATE($B$3,7,4),1,'Non-working days'!$A$6:$A$45)=0),"",IF(COUNTIFS('Leave log'!$A$7:$A$306,Employees!$A$29,'Leave log'!$B$7:$B$306,"&lt;="&amp;DATE($B$3,7,4),'Leave log'!$C$7:$C$306,"&gt;="&amp;DATE($B$3,7,4),'Leave log'!$F$7:$F$306,"Pending")&gt;0,"P",""))))</f>
        <v/>
      </c>
      <c r="F234" s="23" t="str">
        <f>IF(A234="","",IF(IF(OR(DATE($B$3,7,5)&gt;EOMONTH(DATE($B$3,7,1),0),NETWORKDAYS.INTL(DATE($B$3,7,5),DATE($B$3,7,5),1,'Non-working days'!$A$6:$A$45)=0),"",IF(COUNTIFS('Leave log'!$A$7:$A$306,Employees!$A$29,'Leave log'!$B$7:$B$306,"&lt;="&amp;DATE($B$3,7,5),'Leave log'!$C$7:$C$306,"&gt;="&amp;DATE($B$3,7,5),'Leave log'!$F$7:$F$306,"Approved")&gt;0,"A",""))="A","A",IF(OR(DATE($B$3,7,5)&gt;EOMONTH(DATE($B$3,7,1),0),NETWORKDAYS.INTL(DATE($B$3,7,5),DATE($B$3,7,5),1,'Non-working days'!$A$6:$A$45)=0),"",IF(COUNTIFS('Leave log'!$A$7:$A$306,Employees!$A$29,'Leave log'!$B$7:$B$306,"&lt;="&amp;DATE($B$3,7,5),'Leave log'!$C$7:$C$306,"&gt;="&amp;DATE($B$3,7,5),'Leave log'!$F$7:$F$306,"Pending")&gt;0,"P",""))))</f>
        <v/>
      </c>
      <c r="G234" s="23" t="str">
        <f>IF(A234="","",IF(IF(OR(DATE($B$3,7,6)&gt;EOMONTH(DATE($B$3,7,1),0),NETWORKDAYS.INTL(DATE($B$3,7,6),DATE($B$3,7,6),1,'Non-working days'!$A$6:$A$45)=0),"",IF(COUNTIFS('Leave log'!$A$7:$A$306,Employees!$A$29,'Leave log'!$B$7:$B$306,"&lt;="&amp;DATE($B$3,7,6),'Leave log'!$C$7:$C$306,"&gt;="&amp;DATE($B$3,7,6),'Leave log'!$F$7:$F$306,"Approved")&gt;0,"A",""))="A","A",IF(OR(DATE($B$3,7,6)&gt;EOMONTH(DATE($B$3,7,1),0),NETWORKDAYS.INTL(DATE($B$3,7,6),DATE($B$3,7,6),1,'Non-working days'!$A$6:$A$45)=0),"",IF(COUNTIFS('Leave log'!$A$7:$A$306,Employees!$A$29,'Leave log'!$B$7:$B$306,"&lt;="&amp;DATE($B$3,7,6),'Leave log'!$C$7:$C$306,"&gt;="&amp;DATE($B$3,7,6),'Leave log'!$F$7:$F$306,"Pending")&gt;0,"P",""))))</f>
        <v/>
      </c>
      <c r="H234" s="23" t="str">
        <f>IF(A234="","",IF(IF(OR(DATE($B$3,7,7)&gt;EOMONTH(DATE($B$3,7,1),0),NETWORKDAYS.INTL(DATE($B$3,7,7),DATE($B$3,7,7),1,'Non-working days'!$A$6:$A$45)=0),"",IF(COUNTIFS('Leave log'!$A$7:$A$306,Employees!$A$29,'Leave log'!$B$7:$B$306,"&lt;="&amp;DATE($B$3,7,7),'Leave log'!$C$7:$C$306,"&gt;="&amp;DATE($B$3,7,7),'Leave log'!$F$7:$F$306,"Approved")&gt;0,"A",""))="A","A",IF(OR(DATE($B$3,7,7)&gt;EOMONTH(DATE($B$3,7,1),0),NETWORKDAYS.INTL(DATE($B$3,7,7),DATE($B$3,7,7),1,'Non-working days'!$A$6:$A$45)=0),"",IF(COUNTIFS('Leave log'!$A$7:$A$306,Employees!$A$29,'Leave log'!$B$7:$B$306,"&lt;="&amp;DATE($B$3,7,7),'Leave log'!$C$7:$C$306,"&gt;="&amp;DATE($B$3,7,7),'Leave log'!$F$7:$F$306,"Pending")&gt;0,"P",""))))</f>
        <v/>
      </c>
      <c r="I234" s="23" t="str">
        <f>IF(A234="","",IF(IF(OR(DATE($B$3,7,8)&gt;EOMONTH(DATE($B$3,7,1),0),NETWORKDAYS.INTL(DATE($B$3,7,8),DATE($B$3,7,8),1,'Non-working days'!$A$6:$A$45)=0),"",IF(COUNTIFS('Leave log'!$A$7:$A$306,Employees!$A$29,'Leave log'!$B$7:$B$306,"&lt;="&amp;DATE($B$3,7,8),'Leave log'!$C$7:$C$306,"&gt;="&amp;DATE($B$3,7,8),'Leave log'!$F$7:$F$306,"Approved")&gt;0,"A",""))="A","A",IF(OR(DATE($B$3,7,8)&gt;EOMONTH(DATE($B$3,7,1),0),NETWORKDAYS.INTL(DATE($B$3,7,8),DATE($B$3,7,8),1,'Non-working days'!$A$6:$A$45)=0),"",IF(COUNTIFS('Leave log'!$A$7:$A$306,Employees!$A$29,'Leave log'!$B$7:$B$306,"&lt;="&amp;DATE($B$3,7,8),'Leave log'!$C$7:$C$306,"&gt;="&amp;DATE($B$3,7,8),'Leave log'!$F$7:$F$306,"Pending")&gt;0,"P",""))))</f>
        <v/>
      </c>
      <c r="J234" s="23" t="str">
        <f>IF(A234="","",IF(IF(OR(DATE($B$3,7,9)&gt;EOMONTH(DATE($B$3,7,1),0),NETWORKDAYS.INTL(DATE($B$3,7,9),DATE($B$3,7,9),1,'Non-working days'!$A$6:$A$45)=0),"",IF(COUNTIFS('Leave log'!$A$7:$A$306,Employees!$A$29,'Leave log'!$B$7:$B$306,"&lt;="&amp;DATE($B$3,7,9),'Leave log'!$C$7:$C$306,"&gt;="&amp;DATE($B$3,7,9),'Leave log'!$F$7:$F$306,"Approved")&gt;0,"A",""))="A","A",IF(OR(DATE($B$3,7,9)&gt;EOMONTH(DATE($B$3,7,1),0),NETWORKDAYS.INTL(DATE($B$3,7,9),DATE($B$3,7,9),1,'Non-working days'!$A$6:$A$45)=0),"",IF(COUNTIFS('Leave log'!$A$7:$A$306,Employees!$A$29,'Leave log'!$B$7:$B$306,"&lt;="&amp;DATE($B$3,7,9),'Leave log'!$C$7:$C$306,"&gt;="&amp;DATE($B$3,7,9),'Leave log'!$F$7:$F$306,"Pending")&gt;0,"P",""))))</f>
        <v/>
      </c>
      <c r="K234" s="23" t="str">
        <f>IF(A234="","",IF(IF(OR(DATE($B$3,7,10)&gt;EOMONTH(DATE($B$3,7,1),0),NETWORKDAYS.INTL(DATE($B$3,7,10),DATE($B$3,7,10),1,'Non-working days'!$A$6:$A$45)=0),"",IF(COUNTIFS('Leave log'!$A$7:$A$306,Employees!$A$29,'Leave log'!$B$7:$B$306,"&lt;="&amp;DATE($B$3,7,10),'Leave log'!$C$7:$C$306,"&gt;="&amp;DATE($B$3,7,10),'Leave log'!$F$7:$F$306,"Approved")&gt;0,"A",""))="A","A",IF(OR(DATE($B$3,7,10)&gt;EOMONTH(DATE($B$3,7,1),0),NETWORKDAYS.INTL(DATE($B$3,7,10),DATE($B$3,7,10),1,'Non-working days'!$A$6:$A$45)=0),"",IF(COUNTIFS('Leave log'!$A$7:$A$306,Employees!$A$29,'Leave log'!$B$7:$B$306,"&lt;="&amp;DATE($B$3,7,10),'Leave log'!$C$7:$C$306,"&gt;="&amp;DATE($B$3,7,10),'Leave log'!$F$7:$F$306,"Pending")&gt;0,"P",""))))</f>
        <v/>
      </c>
      <c r="L234" s="23" t="str">
        <f>IF(A234="","",IF(IF(OR(DATE($B$3,7,11)&gt;EOMONTH(DATE($B$3,7,1),0),NETWORKDAYS.INTL(DATE($B$3,7,11),DATE($B$3,7,11),1,'Non-working days'!$A$6:$A$45)=0),"",IF(COUNTIFS('Leave log'!$A$7:$A$306,Employees!$A$29,'Leave log'!$B$7:$B$306,"&lt;="&amp;DATE($B$3,7,11),'Leave log'!$C$7:$C$306,"&gt;="&amp;DATE($B$3,7,11),'Leave log'!$F$7:$F$306,"Approved")&gt;0,"A",""))="A","A",IF(OR(DATE($B$3,7,11)&gt;EOMONTH(DATE($B$3,7,1),0),NETWORKDAYS.INTL(DATE($B$3,7,11),DATE($B$3,7,11),1,'Non-working days'!$A$6:$A$45)=0),"",IF(COUNTIFS('Leave log'!$A$7:$A$306,Employees!$A$29,'Leave log'!$B$7:$B$306,"&lt;="&amp;DATE($B$3,7,11),'Leave log'!$C$7:$C$306,"&gt;="&amp;DATE($B$3,7,11),'Leave log'!$F$7:$F$306,"Pending")&gt;0,"P",""))))</f>
        <v/>
      </c>
      <c r="M234" s="23" t="str">
        <f>IF(A234="","",IF(IF(OR(DATE($B$3,7,12)&gt;EOMONTH(DATE($B$3,7,1),0),NETWORKDAYS.INTL(DATE($B$3,7,12),DATE($B$3,7,12),1,'Non-working days'!$A$6:$A$45)=0),"",IF(COUNTIFS('Leave log'!$A$7:$A$306,Employees!$A$29,'Leave log'!$B$7:$B$306,"&lt;="&amp;DATE($B$3,7,12),'Leave log'!$C$7:$C$306,"&gt;="&amp;DATE($B$3,7,12),'Leave log'!$F$7:$F$306,"Approved")&gt;0,"A",""))="A","A",IF(OR(DATE($B$3,7,12)&gt;EOMONTH(DATE($B$3,7,1),0),NETWORKDAYS.INTL(DATE($B$3,7,12),DATE($B$3,7,12),1,'Non-working days'!$A$6:$A$45)=0),"",IF(COUNTIFS('Leave log'!$A$7:$A$306,Employees!$A$29,'Leave log'!$B$7:$B$306,"&lt;="&amp;DATE($B$3,7,12),'Leave log'!$C$7:$C$306,"&gt;="&amp;DATE($B$3,7,12),'Leave log'!$F$7:$F$306,"Pending")&gt;0,"P",""))))</f>
        <v/>
      </c>
      <c r="N234" s="23" t="str">
        <f>IF(A234="","",IF(IF(OR(DATE($B$3,7,13)&gt;EOMONTH(DATE($B$3,7,1),0),NETWORKDAYS.INTL(DATE($B$3,7,13),DATE($B$3,7,13),1,'Non-working days'!$A$6:$A$45)=0),"",IF(COUNTIFS('Leave log'!$A$7:$A$306,Employees!$A$29,'Leave log'!$B$7:$B$306,"&lt;="&amp;DATE($B$3,7,13),'Leave log'!$C$7:$C$306,"&gt;="&amp;DATE($B$3,7,13),'Leave log'!$F$7:$F$306,"Approved")&gt;0,"A",""))="A","A",IF(OR(DATE($B$3,7,13)&gt;EOMONTH(DATE($B$3,7,1),0),NETWORKDAYS.INTL(DATE($B$3,7,13),DATE($B$3,7,13),1,'Non-working days'!$A$6:$A$45)=0),"",IF(COUNTIFS('Leave log'!$A$7:$A$306,Employees!$A$29,'Leave log'!$B$7:$B$306,"&lt;="&amp;DATE($B$3,7,13),'Leave log'!$C$7:$C$306,"&gt;="&amp;DATE($B$3,7,13),'Leave log'!$F$7:$F$306,"Pending")&gt;0,"P",""))))</f>
        <v/>
      </c>
      <c r="O234" s="23" t="str">
        <f>IF(A234="","",IF(IF(OR(DATE($B$3,7,14)&gt;EOMONTH(DATE($B$3,7,1),0),NETWORKDAYS.INTL(DATE($B$3,7,14),DATE($B$3,7,14),1,'Non-working days'!$A$6:$A$45)=0),"",IF(COUNTIFS('Leave log'!$A$7:$A$306,Employees!$A$29,'Leave log'!$B$7:$B$306,"&lt;="&amp;DATE($B$3,7,14),'Leave log'!$C$7:$C$306,"&gt;="&amp;DATE($B$3,7,14),'Leave log'!$F$7:$F$306,"Approved")&gt;0,"A",""))="A","A",IF(OR(DATE($B$3,7,14)&gt;EOMONTH(DATE($B$3,7,1),0),NETWORKDAYS.INTL(DATE($B$3,7,14),DATE($B$3,7,14),1,'Non-working days'!$A$6:$A$45)=0),"",IF(COUNTIFS('Leave log'!$A$7:$A$306,Employees!$A$29,'Leave log'!$B$7:$B$306,"&lt;="&amp;DATE($B$3,7,14),'Leave log'!$C$7:$C$306,"&gt;="&amp;DATE($B$3,7,14),'Leave log'!$F$7:$F$306,"Pending")&gt;0,"P",""))))</f>
        <v/>
      </c>
      <c r="P234" s="23" t="str">
        <f>IF(A234="","",IF(IF(OR(DATE($B$3,7,15)&gt;EOMONTH(DATE($B$3,7,1),0),NETWORKDAYS.INTL(DATE($B$3,7,15),DATE($B$3,7,15),1,'Non-working days'!$A$6:$A$45)=0),"",IF(COUNTIFS('Leave log'!$A$7:$A$306,Employees!$A$29,'Leave log'!$B$7:$B$306,"&lt;="&amp;DATE($B$3,7,15),'Leave log'!$C$7:$C$306,"&gt;="&amp;DATE($B$3,7,15),'Leave log'!$F$7:$F$306,"Approved")&gt;0,"A",""))="A","A",IF(OR(DATE($B$3,7,15)&gt;EOMONTH(DATE($B$3,7,1),0),NETWORKDAYS.INTL(DATE($B$3,7,15),DATE($B$3,7,15),1,'Non-working days'!$A$6:$A$45)=0),"",IF(COUNTIFS('Leave log'!$A$7:$A$306,Employees!$A$29,'Leave log'!$B$7:$B$306,"&lt;="&amp;DATE($B$3,7,15),'Leave log'!$C$7:$C$306,"&gt;="&amp;DATE($B$3,7,15),'Leave log'!$F$7:$F$306,"Pending")&gt;0,"P",""))))</f>
        <v/>
      </c>
      <c r="Q234" s="23" t="str">
        <f>IF(A234="","",IF(IF(OR(DATE($B$3,7,16)&gt;EOMONTH(DATE($B$3,7,1),0),NETWORKDAYS.INTL(DATE($B$3,7,16),DATE($B$3,7,16),1,'Non-working days'!$A$6:$A$45)=0),"",IF(COUNTIFS('Leave log'!$A$7:$A$306,Employees!$A$29,'Leave log'!$B$7:$B$306,"&lt;="&amp;DATE($B$3,7,16),'Leave log'!$C$7:$C$306,"&gt;="&amp;DATE($B$3,7,16),'Leave log'!$F$7:$F$306,"Approved")&gt;0,"A",""))="A","A",IF(OR(DATE($B$3,7,16)&gt;EOMONTH(DATE($B$3,7,1),0),NETWORKDAYS.INTL(DATE($B$3,7,16),DATE($B$3,7,16),1,'Non-working days'!$A$6:$A$45)=0),"",IF(COUNTIFS('Leave log'!$A$7:$A$306,Employees!$A$29,'Leave log'!$B$7:$B$306,"&lt;="&amp;DATE($B$3,7,16),'Leave log'!$C$7:$C$306,"&gt;="&amp;DATE($B$3,7,16),'Leave log'!$F$7:$F$306,"Pending")&gt;0,"P",""))))</f>
        <v/>
      </c>
      <c r="R234" s="23" t="str">
        <f>IF(A234="","",IF(IF(OR(DATE($B$3,7,17)&gt;EOMONTH(DATE($B$3,7,1),0),NETWORKDAYS.INTL(DATE($B$3,7,17),DATE($B$3,7,17),1,'Non-working days'!$A$6:$A$45)=0),"",IF(COUNTIFS('Leave log'!$A$7:$A$306,Employees!$A$29,'Leave log'!$B$7:$B$306,"&lt;="&amp;DATE($B$3,7,17),'Leave log'!$C$7:$C$306,"&gt;="&amp;DATE($B$3,7,17),'Leave log'!$F$7:$F$306,"Approved")&gt;0,"A",""))="A","A",IF(OR(DATE($B$3,7,17)&gt;EOMONTH(DATE($B$3,7,1),0),NETWORKDAYS.INTL(DATE($B$3,7,17),DATE($B$3,7,17),1,'Non-working days'!$A$6:$A$45)=0),"",IF(COUNTIFS('Leave log'!$A$7:$A$306,Employees!$A$29,'Leave log'!$B$7:$B$306,"&lt;="&amp;DATE($B$3,7,17),'Leave log'!$C$7:$C$306,"&gt;="&amp;DATE($B$3,7,17),'Leave log'!$F$7:$F$306,"Pending")&gt;0,"P",""))))</f>
        <v/>
      </c>
      <c r="S234" s="23" t="str">
        <f>IF(A234="","",IF(IF(OR(DATE($B$3,7,18)&gt;EOMONTH(DATE($B$3,7,1),0),NETWORKDAYS.INTL(DATE($B$3,7,18),DATE($B$3,7,18),1,'Non-working days'!$A$6:$A$45)=0),"",IF(COUNTIFS('Leave log'!$A$7:$A$306,Employees!$A$29,'Leave log'!$B$7:$B$306,"&lt;="&amp;DATE($B$3,7,18),'Leave log'!$C$7:$C$306,"&gt;="&amp;DATE($B$3,7,18),'Leave log'!$F$7:$F$306,"Approved")&gt;0,"A",""))="A","A",IF(OR(DATE($B$3,7,18)&gt;EOMONTH(DATE($B$3,7,1),0),NETWORKDAYS.INTL(DATE($B$3,7,18),DATE($B$3,7,18),1,'Non-working days'!$A$6:$A$45)=0),"",IF(COUNTIFS('Leave log'!$A$7:$A$306,Employees!$A$29,'Leave log'!$B$7:$B$306,"&lt;="&amp;DATE($B$3,7,18),'Leave log'!$C$7:$C$306,"&gt;="&amp;DATE($B$3,7,18),'Leave log'!$F$7:$F$306,"Pending")&gt;0,"P",""))))</f>
        <v/>
      </c>
      <c r="T234" s="23" t="str">
        <f>IF(A234="","",IF(IF(OR(DATE($B$3,7,19)&gt;EOMONTH(DATE($B$3,7,1),0),NETWORKDAYS.INTL(DATE($B$3,7,19),DATE($B$3,7,19),1,'Non-working days'!$A$6:$A$45)=0),"",IF(COUNTIFS('Leave log'!$A$7:$A$306,Employees!$A$29,'Leave log'!$B$7:$B$306,"&lt;="&amp;DATE($B$3,7,19),'Leave log'!$C$7:$C$306,"&gt;="&amp;DATE($B$3,7,19),'Leave log'!$F$7:$F$306,"Approved")&gt;0,"A",""))="A","A",IF(OR(DATE($B$3,7,19)&gt;EOMONTH(DATE($B$3,7,1),0),NETWORKDAYS.INTL(DATE($B$3,7,19),DATE($B$3,7,19),1,'Non-working days'!$A$6:$A$45)=0),"",IF(COUNTIFS('Leave log'!$A$7:$A$306,Employees!$A$29,'Leave log'!$B$7:$B$306,"&lt;="&amp;DATE($B$3,7,19),'Leave log'!$C$7:$C$306,"&gt;="&amp;DATE($B$3,7,19),'Leave log'!$F$7:$F$306,"Pending")&gt;0,"P",""))))</f>
        <v/>
      </c>
      <c r="U234" s="23" t="str">
        <f>IF(A234="","",IF(IF(OR(DATE($B$3,7,20)&gt;EOMONTH(DATE($B$3,7,1),0),NETWORKDAYS.INTL(DATE($B$3,7,20),DATE($B$3,7,20),1,'Non-working days'!$A$6:$A$45)=0),"",IF(COUNTIFS('Leave log'!$A$7:$A$306,Employees!$A$29,'Leave log'!$B$7:$B$306,"&lt;="&amp;DATE($B$3,7,20),'Leave log'!$C$7:$C$306,"&gt;="&amp;DATE($B$3,7,20),'Leave log'!$F$7:$F$306,"Approved")&gt;0,"A",""))="A","A",IF(OR(DATE($B$3,7,20)&gt;EOMONTH(DATE($B$3,7,1),0),NETWORKDAYS.INTL(DATE($B$3,7,20),DATE($B$3,7,20),1,'Non-working days'!$A$6:$A$45)=0),"",IF(COUNTIFS('Leave log'!$A$7:$A$306,Employees!$A$29,'Leave log'!$B$7:$B$306,"&lt;="&amp;DATE($B$3,7,20),'Leave log'!$C$7:$C$306,"&gt;="&amp;DATE($B$3,7,20),'Leave log'!$F$7:$F$306,"Pending")&gt;0,"P",""))))</f>
        <v/>
      </c>
      <c r="V234" s="23" t="str">
        <f>IF(A234="","",IF(IF(OR(DATE($B$3,7,21)&gt;EOMONTH(DATE($B$3,7,1),0),NETWORKDAYS.INTL(DATE($B$3,7,21),DATE($B$3,7,21),1,'Non-working days'!$A$6:$A$45)=0),"",IF(COUNTIFS('Leave log'!$A$7:$A$306,Employees!$A$29,'Leave log'!$B$7:$B$306,"&lt;="&amp;DATE($B$3,7,21),'Leave log'!$C$7:$C$306,"&gt;="&amp;DATE($B$3,7,21),'Leave log'!$F$7:$F$306,"Approved")&gt;0,"A",""))="A","A",IF(OR(DATE($B$3,7,21)&gt;EOMONTH(DATE($B$3,7,1),0),NETWORKDAYS.INTL(DATE($B$3,7,21),DATE($B$3,7,21),1,'Non-working days'!$A$6:$A$45)=0),"",IF(COUNTIFS('Leave log'!$A$7:$A$306,Employees!$A$29,'Leave log'!$B$7:$B$306,"&lt;="&amp;DATE($B$3,7,21),'Leave log'!$C$7:$C$306,"&gt;="&amp;DATE($B$3,7,21),'Leave log'!$F$7:$F$306,"Pending")&gt;0,"P",""))))</f>
        <v/>
      </c>
      <c r="W234" s="23" t="str">
        <f>IF(A234="","",IF(IF(OR(DATE($B$3,7,22)&gt;EOMONTH(DATE($B$3,7,1),0),NETWORKDAYS.INTL(DATE($B$3,7,22),DATE($B$3,7,22),1,'Non-working days'!$A$6:$A$45)=0),"",IF(COUNTIFS('Leave log'!$A$7:$A$306,Employees!$A$29,'Leave log'!$B$7:$B$306,"&lt;="&amp;DATE($B$3,7,22),'Leave log'!$C$7:$C$306,"&gt;="&amp;DATE($B$3,7,22),'Leave log'!$F$7:$F$306,"Approved")&gt;0,"A",""))="A","A",IF(OR(DATE($B$3,7,22)&gt;EOMONTH(DATE($B$3,7,1),0),NETWORKDAYS.INTL(DATE($B$3,7,22),DATE($B$3,7,22),1,'Non-working days'!$A$6:$A$45)=0),"",IF(COUNTIFS('Leave log'!$A$7:$A$306,Employees!$A$29,'Leave log'!$B$7:$B$306,"&lt;="&amp;DATE($B$3,7,22),'Leave log'!$C$7:$C$306,"&gt;="&amp;DATE($B$3,7,22),'Leave log'!$F$7:$F$306,"Pending")&gt;0,"P",""))))</f>
        <v/>
      </c>
      <c r="X234" s="23" t="str">
        <f>IF(A234="","",IF(IF(OR(DATE($B$3,7,23)&gt;EOMONTH(DATE($B$3,7,1),0),NETWORKDAYS.INTL(DATE($B$3,7,23),DATE($B$3,7,23),1,'Non-working days'!$A$6:$A$45)=0),"",IF(COUNTIFS('Leave log'!$A$7:$A$306,Employees!$A$29,'Leave log'!$B$7:$B$306,"&lt;="&amp;DATE($B$3,7,23),'Leave log'!$C$7:$C$306,"&gt;="&amp;DATE($B$3,7,23),'Leave log'!$F$7:$F$306,"Approved")&gt;0,"A",""))="A","A",IF(OR(DATE($B$3,7,23)&gt;EOMONTH(DATE($B$3,7,1),0),NETWORKDAYS.INTL(DATE($B$3,7,23),DATE($B$3,7,23),1,'Non-working days'!$A$6:$A$45)=0),"",IF(COUNTIFS('Leave log'!$A$7:$A$306,Employees!$A$29,'Leave log'!$B$7:$B$306,"&lt;="&amp;DATE($B$3,7,23),'Leave log'!$C$7:$C$306,"&gt;="&amp;DATE($B$3,7,23),'Leave log'!$F$7:$F$306,"Pending")&gt;0,"P",""))))</f>
        <v/>
      </c>
      <c r="Y234" s="23" t="str">
        <f>IF(A234="","",IF(IF(OR(DATE($B$3,7,24)&gt;EOMONTH(DATE($B$3,7,1),0),NETWORKDAYS.INTL(DATE($B$3,7,24),DATE($B$3,7,24),1,'Non-working days'!$A$6:$A$45)=0),"",IF(COUNTIFS('Leave log'!$A$7:$A$306,Employees!$A$29,'Leave log'!$B$7:$B$306,"&lt;="&amp;DATE($B$3,7,24),'Leave log'!$C$7:$C$306,"&gt;="&amp;DATE($B$3,7,24),'Leave log'!$F$7:$F$306,"Approved")&gt;0,"A",""))="A","A",IF(OR(DATE($B$3,7,24)&gt;EOMONTH(DATE($B$3,7,1),0),NETWORKDAYS.INTL(DATE($B$3,7,24),DATE($B$3,7,24),1,'Non-working days'!$A$6:$A$45)=0),"",IF(COUNTIFS('Leave log'!$A$7:$A$306,Employees!$A$29,'Leave log'!$B$7:$B$306,"&lt;="&amp;DATE($B$3,7,24),'Leave log'!$C$7:$C$306,"&gt;="&amp;DATE($B$3,7,24),'Leave log'!$F$7:$F$306,"Pending")&gt;0,"P",""))))</f>
        <v/>
      </c>
      <c r="Z234" s="23" t="str">
        <f>IF(A234="","",IF(IF(OR(DATE($B$3,7,25)&gt;EOMONTH(DATE($B$3,7,1),0),NETWORKDAYS.INTL(DATE($B$3,7,25),DATE($B$3,7,25),1,'Non-working days'!$A$6:$A$45)=0),"",IF(COUNTIFS('Leave log'!$A$7:$A$306,Employees!$A$29,'Leave log'!$B$7:$B$306,"&lt;="&amp;DATE($B$3,7,25),'Leave log'!$C$7:$C$306,"&gt;="&amp;DATE($B$3,7,25),'Leave log'!$F$7:$F$306,"Approved")&gt;0,"A",""))="A","A",IF(OR(DATE($B$3,7,25)&gt;EOMONTH(DATE($B$3,7,1),0),NETWORKDAYS.INTL(DATE($B$3,7,25),DATE($B$3,7,25),1,'Non-working days'!$A$6:$A$45)=0),"",IF(COUNTIFS('Leave log'!$A$7:$A$306,Employees!$A$29,'Leave log'!$B$7:$B$306,"&lt;="&amp;DATE($B$3,7,25),'Leave log'!$C$7:$C$306,"&gt;="&amp;DATE($B$3,7,25),'Leave log'!$F$7:$F$306,"Pending")&gt;0,"P",""))))</f>
        <v/>
      </c>
      <c r="AA234" s="23" t="str">
        <f>IF(A234="","",IF(IF(OR(DATE($B$3,7,26)&gt;EOMONTH(DATE($B$3,7,1),0),NETWORKDAYS.INTL(DATE($B$3,7,26),DATE($B$3,7,26),1,'Non-working days'!$A$6:$A$45)=0),"",IF(COUNTIFS('Leave log'!$A$7:$A$306,Employees!$A$29,'Leave log'!$B$7:$B$306,"&lt;="&amp;DATE($B$3,7,26),'Leave log'!$C$7:$C$306,"&gt;="&amp;DATE($B$3,7,26),'Leave log'!$F$7:$F$306,"Approved")&gt;0,"A",""))="A","A",IF(OR(DATE($B$3,7,26)&gt;EOMONTH(DATE($B$3,7,1),0),NETWORKDAYS.INTL(DATE($B$3,7,26),DATE($B$3,7,26),1,'Non-working days'!$A$6:$A$45)=0),"",IF(COUNTIFS('Leave log'!$A$7:$A$306,Employees!$A$29,'Leave log'!$B$7:$B$306,"&lt;="&amp;DATE($B$3,7,26),'Leave log'!$C$7:$C$306,"&gt;="&amp;DATE($B$3,7,26),'Leave log'!$F$7:$F$306,"Pending")&gt;0,"P",""))))</f>
        <v/>
      </c>
      <c r="AB234" s="23" t="str">
        <f>IF(A234="","",IF(IF(OR(DATE($B$3,7,27)&gt;EOMONTH(DATE($B$3,7,1),0),NETWORKDAYS.INTL(DATE($B$3,7,27),DATE($B$3,7,27),1,'Non-working days'!$A$6:$A$45)=0),"",IF(COUNTIFS('Leave log'!$A$7:$A$306,Employees!$A$29,'Leave log'!$B$7:$B$306,"&lt;="&amp;DATE($B$3,7,27),'Leave log'!$C$7:$C$306,"&gt;="&amp;DATE($B$3,7,27),'Leave log'!$F$7:$F$306,"Approved")&gt;0,"A",""))="A","A",IF(OR(DATE($B$3,7,27)&gt;EOMONTH(DATE($B$3,7,1),0),NETWORKDAYS.INTL(DATE($B$3,7,27),DATE($B$3,7,27),1,'Non-working days'!$A$6:$A$45)=0),"",IF(COUNTIFS('Leave log'!$A$7:$A$306,Employees!$A$29,'Leave log'!$B$7:$B$306,"&lt;="&amp;DATE($B$3,7,27),'Leave log'!$C$7:$C$306,"&gt;="&amp;DATE($B$3,7,27),'Leave log'!$F$7:$F$306,"Pending")&gt;0,"P",""))))</f>
        <v/>
      </c>
      <c r="AC234" s="23" t="str">
        <f>IF(A234="","",IF(IF(OR(DATE($B$3,7,28)&gt;EOMONTH(DATE($B$3,7,1),0),NETWORKDAYS.INTL(DATE($B$3,7,28),DATE($B$3,7,28),1,'Non-working days'!$A$6:$A$45)=0),"",IF(COUNTIFS('Leave log'!$A$7:$A$306,Employees!$A$29,'Leave log'!$B$7:$B$306,"&lt;="&amp;DATE($B$3,7,28),'Leave log'!$C$7:$C$306,"&gt;="&amp;DATE($B$3,7,28),'Leave log'!$F$7:$F$306,"Approved")&gt;0,"A",""))="A","A",IF(OR(DATE($B$3,7,28)&gt;EOMONTH(DATE($B$3,7,1),0),NETWORKDAYS.INTL(DATE($B$3,7,28),DATE($B$3,7,28),1,'Non-working days'!$A$6:$A$45)=0),"",IF(COUNTIFS('Leave log'!$A$7:$A$306,Employees!$A$29,'Leave log'!$B$7:$B$306,"&lt;="&amp;DATE($B$3,7,28),'Leave log'!$C$7:$C$306,"&gt;="&amp;DATE($B$3,7,28),'Leave log'!$F$7:$F$306,"Pending")&gt;0,"P",""))))</f>
        <v/>
      </c>
      <c r="AD234" s="23" t="str">
        <f>IF(A234="","",IF(IF(OR(DATE($B$3,7,29)&gt;EOMONTH(DATE($B$3,7,1),0),NETWORKDAYS.INTL(DATE($B$3,7,29),DATE($B$3,7,29),1,'Non-working days'!$A$6:$A$45)=0),"",IF(COUNTIFS('Leave log'!$A$7:$A$306,Employees!$A$29,'Leave log'!$B$7:$B$306,"&lt;="&amp;DATE($B$3,7,29),'Leave log'!$C$7:$C$306,"&gt;="&amp;DATE($B$3,7,29),'Leave log'!$F$7:$F$306,"Approved")&gt;0,"A",""))="A","A",IF(OR(DATE($B$3,7,29)&gt;EOMONTH(DATE($B$3,7,1),0),NETWORKDAYS.INTL(DATE($B$3,7,29),DATE($B$3,7,29),1,'Non-working days'!$A$6:$A$45)=0),"",IF(COUNTIFS('Leave log'!$A$7:$A$306,Employees!$A$29,'Leave log'!$B$7:$B$306,"&lt;="&amp;DATE($B$3,7,29),'Leave log'!$C$7:$C$306,"&gt;="&amp;DATE($B$3,7,29),'Leave log'!$F$7:$F$306,"Pending")&gt;0,"P",""))))</f>
        <v/>
      </c>
      <c r="AE234" s="23" t="str">
        <f>IF(A234="","",IF(IF(OR(DATE($B$3,7,30)&gt;EOMONTH(DATE($B$3,7,1),0),NETWORKDAYS.INTL(DATE($B$3,7,30),DATE($B$3,7,30),1,'Non-working days'!$A$6:$A$45)=0),"",IF(COUNTIFS('Leave log'!$A$7:$A$306,Employees!$A$29,'Leave log'!$B$7:$B$306,"&lt;="&amp;DATE($B$3,7,30),'Leave log'!$C$7:$C$306,"&gt;="&amp;DATE($B$3,7,30),'Leave log'!$F$7:$F$306,"Approved")&gt;0,"A",""))="A","A",IF(OR(DATE($B$3,7,30)&gt;EOMONTH(DATE($B$3,7,1),0),NETWORKDAYS.INTL(DATE($B$3,7,30),DATE($B$3,7,30),1,'Non-working days'!$A$6:$A$45)=0),"",IF(COUNTIFS('Leave log'!$A$7:$A$306,Employees!$A$29,'Leave log'!$B$7:$B$306,"&lt;="&amp;DATE($B$3,7,30),'Leave log'!$C$7:$C$306,"&gt;="&amp;DATE($B$3,7,30),'Leave log'!$F$7:$F$306,"Pending")&gt;0,"P",""))))</f>
        <v/>
      </c>
      <c r="AF234" s="23" t="str">
        <f>IF(A234="","",IF(IF(OR(DATE($B$3,7,31)&gt;EOMONTH(DATE($B$3,7,1),0),NETWORKDAYS.INTL(DATE($B$3,7,31),DATE($B$3,7,31),1,'Non-working days'!$A$6:$A$45)=0),"",IF(COUNTIFS('Leave log'!$A$7:$A$306,Employees!$A$29,'Leave log'!$B$7:$B$306,"&lt;="&amp;DATE($B$3,7,31),'Leave log'!$C$7:$C$306,"&gt;="&amp;DATE($B$3,7,31),'Leave log'!$F$7:$F$306,"Approved")&gt;0,"A",""))="A","A",IF(OR(DATE($B$3,7,31)&gt;EOMONTH(DATE($B$3,7,1),0),NETWORKDAYS.INTL(DATE($B$3,7,31),DATE($B$3,7,31),1,'Non-working days'!$A$6:$A$45)=0),"",IF(COUNTIFS('Leave log'!$A$7:$A$306,Employees!$A$29,'Leave log'!$B$7:$B$306,"&lt;="&amp;DATE($B$3,7,31),'Leave log'!$C$7:$C$306,"&gt;="&amp;DATE($B$3,7,31),'Leave log'!$F$7:$F$306,"Pending")&gt;0,"P",""))))</f>
        <v/>
      </c>
    </row>
    <row r="235" spans="1:32" ht="18" customHeight="1" x14ac:dyDescent="0.3">
      <c r="A235" s="22" t="str">
        <f>IF(Employees!F30="Yes",Employees!B30,"")</f>
        <v/>
      </c>
      <c r="B235" s="23" t="str">
        <f>IF(A235="","",IF(IF(OR(DATE($B$3,7,1)&gt;EOMONTH(DATE($B$3,7,1),0),NETWORKDAYS.INTL(DATE($B$3,7,1),DATE($B$3,7,1),1,'Non-working days'!$A$6:$A$45)=0),"",IF(COUNTIFS('Leave log'!$A$7:$A$306,Employees!$A$30,'Leave log'!$B$7:$B$306,"&lt;="&amp;DATE($B$3,7,1),'Leave log'!$C$7:$C$306,"&gt;="&amp;DATE($B$3,7,1),'Leave log'!$F$7:$F$306,"Approved")&gt;0,"A",""))="A","A",IF(OR(DATE($B$3,7,1)&gt;EOMONTH(DATE($B$3,7,1),0),NETWORKDAYS.INTL(DATE($B$3,7,1),DATE($B$3,7,1),1,'Non-working days'!$A$6:$A$45)=0),"",IF(COUNTIFS('Leave log'!$A$7:$A$306,Employees!$A$30,'Leave log'!$B$7:$B$306,"&lt;="&amp;DATE($B$3,7,1),'Leave log'!$C$7:$C$306,"&gt;="&amp;DATE($B$3,7,1),'Leave log'!$F$7:$F$306,"Pending")&gt;0,"P",""))))</f>
        <v/>
      </c>
      <c r="C235" s="23" t="str">
        <f>IF(A235="","",IF(IF(OR(DATE($B$3,7,2)&gt;EOMONTH(DATE($B$3,7,1),0),NETWORKDAYS.INTL(DATE($B$3,7,2),DATE($B$3,7,2),1,'Non-working days'!$A$6:$A$45)=0),"",IF(COUNTIFS('Leave log'!$A$7:$A$306,Employees!$A$30,'Leave log'!$B$7:$B$306,"&lt;="&amp;DATE($B$3,7,2),'Leave log'!$C$7:$C$306,"&gt;="&amp;DATE($B$3,7,2),'Leave log'!$F$7:$F$306,"Approved")&gt;0,"A",""))="A","A",IF(OR(DATE($B$3,7,2)&gt;EOMONTH(DATE($B$3,7,1),0),NETWORKDAYS.INTL(DATE($B$3,7,2),DATE($B$3,7,2),1,'Non-working days'!$A$6:$A$45)=0),"",IF(COUNTIFS('Leave log'!$A$7:$A$306,Employees!$A$30,'Leave log'!$B$7:$B$306,"&lt;="&amp;DATE($B$3,7,2),'Leave log'!$C$7:$C$306,"&gt;="&amp;DATE($B$3,7,2),'Leave log'!$F$7:$F$306,"Pending")&gt;0,"P",""))))</f>
        <v/>
      </c>
      <c r="D235" s="23" t="str">
        <f>IF(A235="","",IF(IF(OR(DATE($B$3,7,3)&gt;EOMONTH(DATE($B$3,7,1),0),NETWORKDAYS.INTL(DATE($B$3,7,3),DATE($B$3,7,3),1,'Non-working days'!$A$6:$A$45)=0),"",IF(COUNTIFS('Leave log'!$A$7:$A$306,Employees!$A$30,'Leave log'!$B$7:$B$306,"&lt;="&amp;DATE($B$3,7,3),'Leave log'!$C$7:$C$306,"&gt;="&amp;DATE($B$3,7,3),'Leave log'!$F$7:$F$306,"Approved")&gt;0,"A",""))="A","A",IF(OR(DATE($B$3,7,3)&gt;EOMONTH(DATE($B$3,7,1),0),NETWORKDAYS.INTL(DATE($B$3,7,3),DATE($B$3,7,3),1,'Non-working days'!$A$6:$A$45)=0),"",IF(COUNTIFS('Leave log'!$A$7:$A$306,Employees!$A$30,'Leave log'!$B$7:$B$306,"&lt;="&amp;DATE($B$3,7,3),'Leave log'!$C$7:$C$306,"&gt;="&amp;DATE($B$3,7,3),'Leave log'!$F$7:$F$306,"Pending")&gt;0,"P",""))))</f>
        <v/>
      </c>
      <c r="E235" s="23" t="str">
        <f>IF(A235="","",IF(IF(OR(DATE($B$3,7,4)&gt;EOMONTH(DATE($B$3,7,1),0),NETWORKDAYS.INTL(DATE($B$3,7,4),DATE($B$3,7,4),1,'Non-working days'!$A$6:$A$45)=0),"",IF(COUNTIFS('Leave log'!$A$7:$A$306,Employees!$A$30,'Leave log'!$B$7:$B$306,"&lt;="&amp;DATE($B$3,7,4),'Leave log'!$C$7:$C$306,"&gt;="&amp;DATE($B$3,7,4),'Leave log'!$F$7:$F$306,"Approved")&gt;0,"A",""))="A","A",IF(OR(DATE($B$3,7,4)&gt;EOMONTH(DATE($B$3,7,1),0),NETWORKDAYS.INTL(DATE($B$3,7,4),DATE($B$3,7,4),1,'Non-working days'!$A$6:$A$45)=0),"",IF(COUNTIFS('Leave log'!$A$7:$A$306,Employees!$A$30,'Leave log'!$B$7:$B$306,"&lt;="&amp;DATE($B$3,7,4),'Leave log'!$C$7:$C$306,"&gt;="&amp;DATE($B$3,7,4),'Leave log'!$F$7:$F$306,"Pending")&gt;0,"P",""))))</f>
        <v/>
      </c>
      <c r="F235" s="23" t="str">
        <f>IF(A235="","",IF(IF(OR(DATE($B$3,7,5)&gt;EOMONTH(DATE($B$3,7,1),0),NETWORKDAYS.INTL(DATE($B$3,7,5),DATE($B$3,7,5),1,'Non-working days'!$A$6:$A$45)=0),"",IF(COUNTIFS('Leave log'!$A$7:$A$306,Employees!$A$30,'Leave log'!$B$7:$B$306,"&lt;="&amp;DATE($B$3,7,5),'Leave log'!$C$7:$C$306,"&gt;="&amp;DATE($B$3,7,5),'Leave log'!$F$7:$F$306,"Approved")&gt;0,"A",""))="A","A",IF(OR(DATE($B$3,7,5)&gt;EOMONTH(DATE($B$3,7,1),0),NETWORKDAYS.INTL(DATE($B$3,7,5),DATE($B$3,7,5),1,'Non-working days'!$A$6:$A$45)=0),"",IF(COUNTIFS('Leave log'!$A$7:$A$306,Employees!$A$30,'Leave log'!$B$7:$B$306,"&lt;="&amp;DATE($B$3,7,5),'Leave log'!$C$7:$C$306,"&gt;="&amp;DATE($B$3,7,5),'Leave log'!$F$7:$F$306,"Pending")&gt;0,"P",""))))</f>
        <v/>
      </c>
      <c r="G235" s="23" t="str">
        <f>IF(A235="","",IF(IF(OR(DATE($B$3,7,6)&gt;EOMONTH(DATE($B$3,7,1),0),NETWORKDAYS.INTL(DATE($B$3,7,6),DATE($B$3,7,6),1,'Non-working days'!$A$6:$A$45)=0),"",IF(COUNTIFS('Leave log'!$A$7:$A$306,Employees!$A$30,'Leave log'!$B$7:$B$306,"&lt;="&amp;DATE($B$3,7,6),'Leave log'!$C$7:$C$306,"&gt;="&amp;DATE($B$3,7,6),'Leave log'!$F$7:$F$306,"Approved")&gt;0,"A",""))="A","A",IF(OR(DATE($B$3,7,6)&gt;EOMONTH(DATE($B$3,7,1),0),NETWORKDAYS.INTL(DATE($B$3,7,6),DATE($B$3,7,6),1,'Non-working days'!$A$6:$A$45)=0),"",IF(COUNTIFS('Leave log'!$A$7:$A$306,Employees!$A$30,'Leave log'!$B$7:$B$306,"&lt;="&amp;DATE($B$3,7,6),'Leave log'!$C$7:$C$306,"&gt;="&amp;DATE($B$3,7,6),'Leave log'!$F$7:$F$306,"Pending")&gt;0,"P",""))))</f>
        <v/>
      </c>
      <c r="H235" s="23" t="str">
        <f>IF(A235="","",IF(IF(OR(DATE($B$3,7,7)&gt;EOMONTH(DATE($B$3,7,1),0),NETWORKDAYS.INTL(DATE($B$3,7,7),DATE($B$3,7,7),1,'Non-working days'!$A$6:$A$45)=0),"",IF(COUNTIFS('Leave log'!$A$7:$A$306,Employees!$A$30,'Leave log'!$B$7:$B$306,"&lt;="&amp;DATE($B$3,7,7),'Leave log'!$C$7:$C$306,"&gt;="&amp;DATE($B$3,7,7),'Leave log'!$F$7:$F$306,"Approved")&gt;0,"A",""))="A","A",IF(OR(DATE($B$3,7,7)&gt;EOMONTH(DATE($B$3,7,1),0),NETWORKDAYS.INTL(DATE($B$3,7,7),DATE($B$3,7,7),1,'Non-working days'!$A$6:$A$45)=0),"",IF(COUNTIFS('Leave log'!$A$7:$A$306,Employees!$A$30,'Leave log'!$B$7:$B$306,"&lt;="&amp;DATE($B$3,7,7),'Leave log'!$C$7:$C$306,"&gt;="&amp;DATE($B$3,7,7),'Leave log'!$F$7:$F$306,"Pending")&gt;0,"P",""))))</f>
        <v/>
      </c>
      <c r="I235" s="23" t="str">
        <f>IF(A235="","",IF(IF(OR(DATE($B$3,7,8)&gt;EOMONTH(DATE($B$3,7,1),0),NETWORKDAYS.INTL(DATE($B$3,7,8),DATE($B$3,7,8),1,'Non-working days'!$A$6:$A$45)=0),"",IF(COUNTIFS('Leave log'!$A$7:$A$306,Employees!$A$30,'Leave log'!$B$7:$B$306,"&lt;="&amp;DATE($B$3,7,8),'Leave log'!$C$7:$C$306,"&gt;="&amp;DATE($B$3,7,8),'Leave log'!$F$7:$F$306,"Approved")&gt;0,"A",""))="A","A",IF(OR(DATE($B$3,7,8)&gt;EOMONTH(DATE($B$3,7,1),0),NETWORKDAYS.INTL(DATE($B$3,7,8),DATE($B$3,7,8),1,'Non-working days'!$A$6:$A$45)=0),"",IF(COUNTIFS('Leave log'!$A$7:$A$306,Employees!$A$30,'Leave log'!$B$7:$B$306,"&lt;="&amp;DATE($B$3,7,8),'Leave log'!$C$7:$C$306,"&gt;="&amp;DATE($B$3,7,8),'Leave log'!$F$7:$F$306,"Pending")&gt;0,"P",""))))</f>
        <v/>
      </c>
      <c r="J235" s="23" t="str">
        <f>IF(A235="","",IF(IF(OR(DATE($B$3,7,9)&gt;EOMONTH(DATE($B$3,7,1),0),NETWORKDAYS.INTL(DATE($B$3,7,9),DATE($B$3,7,9),1,'Non-working days'!$A$6:$A$45)=0),"",IF(COUNTIFS('Leave log'!$A$7:$A$306,Employees!$A$30,'Leave log'!$B$7:$B$306,"&lt;="&amp;DATE($B$3,7,9),'Leave log'!$C$7:$C$306,"&gt;="&amp;DATE($B$3,7,9),'Leave log'!$F$7:$F$306,"Approved")&gt;0,"A",""))="A","A",IF(OR(DATE($B$3,7,9)&gt;EOMONTH(DATE($B$3,7,1),0),NETWORKDAYS.INTL(DATE($B$3,7,9),DATE($B$3,7,9),1,'Non-working days'!$A$6:$A$45)=0),"",IF(COUNTIFS('Leave log'!$A$7:$A$306,Employees!$A$30,'Leave log'!$B$7:$B$306,"&lt;="&amp;DATE($B$3,7,9),'Leave log'!$C$7:$C$306,"&gt;="&amp;DATE($B$3,7,9),'Leave log'!$F$7:$F$306,"Pending")&gt;0,"P",""))))</f>
        <v/>
      </c>
      <c r="K235" s="23" t="str">
        <f>IF(A235="","",IF(IF(OR(DATE($B$3,7,10)&gt;EOMONTH(DATE($B$3,7,1),0),NETWORKDAYS.INTL(DATE($B$3,7,10),DATE($B$3,7,10),1,'Non-working days'!$A$6:$A$45)=0),"",IF(COUNTIFS('Leave log'!$A$7:$A$306,Employees!$A$30,'Leave log'!$B$7:$B$306,"&lt;="&amp;DATE($B$3,7,10),'Leave log'!$C$7:$C$306,"&gt;="&amp;DATE($B$3,7,10),'Leave log'!$F$7:$F$306,"Approved")&gt;0,"A",""))="A","A",IF(OR(DATE($B$3,7,10)&gt;EOMONTH(DATE($B$3,7,1),0),NETWORKDAYS.INTL(DATE($B$3,7,10),DATE($B$3,7,10),1,'Non-working days'!$A$6:$A$45)=0),"",IF(COUNTIFS('Leave log'!$A$7:$A$306,Employees!$A$30,'Leave log'!$B$7:$B$306,"&lt;="&amp;DATE($B$3,7,10),'Leave log'!$C$7:$C$306,"&gt;="&amp;DATE($B$3,7,10),'Leave log'!$F$7:$F$306,"Pending")&gt;0,"P",""))))</f>
        <v/>
      </c>
      <c r="L235" s="23" t="str">
        <f>IF(A235="","",IF(IF(OR(DATE($B$3,7,11)&gt;EOMONTH(DATE($B$3,7,1),0),NETWORKDAYS.INTL(DATE($B$3,7,11),DATE($B$3,7,11),1,'Non-working days'!$A$6:$A$45)=0),"",IF(COUNTIFS('Leave log'!$A$7:$A$306,Employees!$A$30,'Leave log'!$B$7:$B$306,"&lt;="&amp;DATE($B$3,7,11),'Leave log'!$C$7:$C$306,"&gt;="&amp;DATE($B$3,7,11),'Leave log'!$F$7:$F$306,"Approved")&gt;0,"A",""))="A","A",IF(OR(DATE($B$3,7,11)&gt;EOMONTH(DATE($B$3,7,1),0),NETWORKDAYS.INTL(DATE($B$3,7,11),DATE($B$3,7,11),1,'Non-working days'!$A$6:$A$45)=0),"",IF(COUNTIFS('Leave log'!$A$7:$A$306,Employees!$A$30,'Leave log'!$B$7:$B$306,"&lt;="&amp;DATE($B$3,7,11),'Leave log'!$C$7:$C$306,"&gt;="&amp;DATE($B$3,7,11),'Leave log'!$F$7:$F$306,"Pending")&gt;0,"P",""))))</f>
        <v/>
      </c>
      <c r="M235" s="23" t="str">
        <f>IF(A235="","",IF(IF(OR(DATE($B$3,7,12)&gt;EOMONTH(DATE($B$3,7,1),0),NETWORKDAYS.INTL(DATE($B$3,7,12),DATE($B$3,7,12),1,'Non-working days'!$A$6:$A$45)=0),"",IF(COUNTIFS('Leave log'!$A$7:$A$306,Employees!$A$30,'Leave log'!$B$7:$B$306,"&lt;="&amp;DATE($B$3,7,12),'Leave log'!$C$7:$C$306,"&gt;="&amp;DATE($B$3,7,12),'Leave log'!$F$7:$F$306,"Approved")&gt;0,"A",""))="A","A",IF(OR(DATE($B$3,7,12)&gt;EOMONTH(DATE($B$3,7,1),0),NETWORKDAYS.INTL(DATE($B$3,7,12),DATE($B$3,7,12),1,'Non-working days'!$A$6:$A$45)=0),"",IF(COUNTIFS('Leave log'!$A$7:$A$306,Employees!$A$30,'Leave log'!$B$7:$B$306,"&lt;="&amp;DATE($B$3,7,12),'Leave log'!$C$7:$C$306,"&gt;="&amp;DATE($B$3,7,12),'Leave log'!$F$7:$F$306,"Pending")&gt;0,"P",""))))</f>
        <v/>
      </c>
      <c r="N235" s="23" t="str">
        <f>IF(A235="","",IF(IF(OR(DATE($B$3,7,13)&gt;EOMONTH(DATE($B$3,7,1),0),NETWORKDAYS.INTL(DATE($B$3,7,13),DATE($B$3,7,13),1,'Non-working days'!$A$6:$A$45)=0),"",IF(COUNTIFS('Leave log'!$A$7:$A$306,Employees!$A$30,'Leave log'!$B$7:$B$306,"&lt;="&amp;DATE($B$3,7,13),'Leave log'!$C$7:$C$306,"&gt;="&amp;DATE($B$3,7,13),'Leave log'!$F$7:$F$306,"Approved")&gt;0,"A",""))="A","A",IF(OR(DATE($B$3,7,13)&gt;EOMONTH(DATE($B$3,7,1),0),NETWORKDAYS.INTL(DATE($B$3,7,13),DATE($B$3,7,13),1,'Non-working days'!$A$6:$A$45)=0),"",IF(COUNTIFS('Leave log'!$A$7:$A$306,Employees!$A$30,'Leave log'!$B$7:$B$306,"&lt;="&amp;DATE($B$3,7,13),'Leave log'!$C$7:$C$306,"&gt;="&amp;DATE($B$3,7,13),'Leave log'!$F$7:$F$306,"Pending")&gt;0,"P",""))))</f>
        <v/>
      </c>
      <c r="O235" s="23" t="str">
        <f>IF(A235="","",IF(IF(OR(DATE($B$3,7,14)&gt;EOMONTH(DATE($B$3,7,1),0),NETWORKDAYS.INTL(DATE($B$3,7,14),DATE($B$3,7,14),1,'Non-working days'!$A$6:$A$45)=0),"",IF(COUNTIFS('Leave log'!$A$7:$A$306,Employees!$A$30,'Leave log'!$B$7:$B$306,"&lt;="&amp;DATE($B$3,7,14),'Leave log'!$C$7:$C$306,"&gt;="&amp;DATE($B$3,7,14),'Leave log'!$F$7:$F$306,"Approved")&gt;0,"A",""))="A","A",IF(OR(DATE($B$3,7,14)&gt;EOMONTH(DATE($B$3,7,1),0),NETWORKDAYS.INTL(DATE($B$3,7,14),DATE($B$3,7,14),1,'Non-working days'!$A$6:$A$45)=0),"",IF(COUNTIFS('Leave log'!$A$7:$A$306,Employees!$A$30,'Leave log'!$B$7:$B$306,"&lt;="&amp;DATE($B$3,7,14),'Leave log'!$C$7:$C$306,"&gt;="&amp;DATE($B$3,7,14),'Leave log'!$F$7:$F$306,"Pending")&gt;0,"P",""))))</f>
        <v/>
      </c>
      <c r="P235" s="23" t="str">
        <f>IF(A235="","",IF(IF(OR(DATE($B$3,7,15)&gt;EOMONTH(DATE($B$3,7,1),0),NETWORKDAYS.INTL(DATE($B$3,7,15),DATE($B$3,7,15),1,'Non-working days'!$A$6:$A$45)=0),"",IF(COUNTIFS('Leave log'!$A$7:$A$306,Employees!$A$30,'Leave log'!$B$7:$B$306,"&lt;="&amp;DATE($B$3,7,15),'Leave log'!$C$7:$C$306,"&gt;="&amp;DATE($B$3,7,15),'Leave log'!$F$7:$F$306,"Approved")&gt;0,"A",""))="A","A",IF(OR(DATE($B$3,7,15)&gt;EOMONTH(DATE($B$3,7,1),0),NETWORKDAYS.INTL(DATE($B$3,7,15),DATE($B$3,7,15),1,'Non-working days'!$A$6:$A$45)=0),"",IF(COUNTIFS('Leave log'!$A$7:$A$306,Employees!$A$30,'Leave log'!$B$7:$B$306,"&lt;="&amp;DATE($B$3,7,15),'Leave log'!$C$7:$C$306,"&gt;="&amp;DATE($B$3,7,15),'Leave log'!$F$7:$F$306,"Pending")&gt;0,"P",""))))</f>
        <v/>
      </c>
      <c r="Q235" s="23" t="str">
        <f>IF(A235="","",IF(IF(OR(DATE($B$3,7,16)&gt;EOMONTH(DATE($B$3,7,1),0),NETWORKDAYS.INTL(DATE($B$3,7,16),DATE($B$3,7,16),1,'Non-working days'!$A$6:$A$45)=0),"",IF(COUNTIFS('Leave log'!$A$7:$A$306,Employees!$A$30,'Leave log'!$B$7:$B$306,"&lt;="&amp;DATE($B$3,7,16),'Leave log'!$C$7:$C$306,"&gt;="&amp;DATE($B$3,7,16),'Leave log'!$F$7:$F$306,"Approved")&gt;0,"A",""))="A","A",IF(OR(DATE($B$3,7,16)&gt;EOMONTH(DATE($B$3,7,1),0),NETWORKDAYS.INTL(DATE($B$3,7,16),DATE($B$3,7,16),1,'Non-working days'!$A$6:$A$45)=0),"",IF(COUNTIFS('Leave log'!$A$7:$A$306,Employees!$A$30,'Leave log'!$B$7:$B$306,"&lt;="&amp;DATE($B$3,7,16),'Leave log'!$C$7:$C$306,"&gt;="&amp;DATE($B$3,7,16),'Leave log'!$F$7:$F$306,"Pending")&gt;0,"P",""))))</f>
        <v/>
      </c>
      <c r="R235" s="23" t="str">
        <f>IF(A235="","",IF(IF(OR(DATE($B$3,7,17)&gt;EOMONTH(DATE($B$3,7,1),0),NETWORKDAYS.INTL(DATE($B$3,7,17),DATE($B$3,7,17),1,'Non-working days'!$A$6:$A$45)=0),"",IF(COUNTIFS('Leave log'!$A$7:$A$306,Employees!$A$30,'Leave log'!$B$7:$B$306,"&lt;="&amp;DATE($B$3,7,17),'Leave log'!$C$7:$C$306,"&gt;="&amp;DATE($B$3,7,17),'Leave log'!$F$7:$F$306,"Approved")&gt;0,"A",""))="A","A",IF(OR(DATE($B$3,7,17)&gt;EOMONTH(DATE($B$3,7,1),0),NETWORKDAYS.INTL(DATE($B$3,7,17),DATE($B$3,7,17),1,'Non-working days'!$A$6:$A$45)=0),"",IF(COUNTIFS('Leave log'!$A$7:$A$306,Employees!$A$30,'Leave log'!$B$7:$B$306,"&lt;="&amp;DATE($B$3,7,17),'Leave log'!$C$7:$C$306,"&gt;="&amp;DATE($B$3,7,17),'Leave log'!$F$7:$F$306,"Pending")&gt;0,"P",""))))</f>
        <v/>
      </c>
      <c r="S235" s="23" t="str">
        <f>IF(A235="","",IF(IF(OR(DATE($B$3,7,18)&gt;EOMONTH(DATE($B$3,7,1),0),NETWORKDAYS.INTL(DATE($B$3,7,18),DATE($B$3,7,18),1,'Non-working days'!$A$6:$A$45)=0),"",IF(COUNTIFS('Leave log'!$A$7:$A$306,Employees!$A$30,'Leave log'!$B$7:$B$306,"&lt;="&amp;DATE($B$3,7,18),'Leave log'!$C$7:$C$306,"&gt;="&amp;DATE($B$3,7,18),'Leave log'!$F$7:$F$306,"Approved")&gt;0,"A",""))="A","A",IF(OR(DATE($B$3,7,18)&gt;EOMONTH(DATE($B$3,7,1),0),NETWORKDAYS.INTL(DATE($B$3,7,18),DATE($B$3,7,18),1,'Non-working days'!$A$6:$A$45)=0),"",IF(COUNTIFS('Leave log'!$A$7:$A$306,Employees!$A$30,'Leave log'!$B$7:$B$306,"&lt;="&amp;DATE($B$3,7,18),'Leave log'!$C$7:$C$306,"&gt;="&amp;DATE($B$3,7,18),'Leave log'!$F$7:$F$306,"Pending")&gt;0,"P",""))))</f>
        <v/>
      </c>
      <c r="T235" s="23" t="str">
        <f>IF(A235="","",IF(IF(OR(DATE($B$3,7,19)&gt;EOMONTH(DATE($B$3,7,1),0),NETWORKDAYS.INTL(DATE($B$3,7,19),DATE($B$3,7,19),1,'Non-working days'!$A$6:$A$45)=0),"",IF(COUNTIFS('Leave log'!$A$7:$A$306,Employees!$A$30,'Leave log'!$B$7:$B$306,"&lt;="&amp;DATE($B$3,7,19),'Leave log'!$C$7:$C$306,"&gt;="&amp;DATE($B$3,7,19),'Leave log'!$F$7:$F$306,"Approved")&gt;0,"A",""))="A","A",IF(OR(DATE($B$3,7,19)&gt;EOMONTH(DATE($B$3,7,1),0),NETWORKDAYS.INTL(DATE($B$3,7,19),DATE($B$3,7,19),1,'Non-working days'!$A$6:$A$45)=0),"",IF(COUNTIFS('Leave log'!$A$7:$A$306,Employees!$A$30,'Leave log'!$B$7:$B$306,"&lt;="&amp;DATE($B$3,7,19),'Leave log'!$C$7:$C$306,"&gt;="&amp;DATE($B$3,7,19),'Leave log'!$F$7:$F$306,"Pending")&gt;0,"P",""))))</f>
        <v/>
      </c>
      <c r="U235" s="23" t="str">
        <f>IF(A235="","",IF(IF(OR(DATE($B$3,7,20)&gt;EOMONTH(DATE($B$3,7,1),0),NETWORKDAYS.INTL(DATE($B$3,7,20),DATE($B$3,7,20),1,'Non-working days'!$A$6:$A$45)=0),"",IF(COUNTIFS('Leave log'!$A$7:$A$306,Employees!$A$30,'Leave log'!$B$7:$B$306,"&lt;="&amp;DATE($B$3,7,20),'Leave log'!$C$7:$C$306,"&gt;="&amp;DATE($B$3,7,20),'Leave log'!$F$7:$F$306,"Approved")&gt;0,"A",""))="A","A",IF(OR(DATE($B$3,7,20)&gt;EOMONTH(DATE($B$3,7,1),0),NETWORKDAYS.INTL(DATE($B$3,7,20),DATE($B$3,7,20),1,'Non-working days'!$A$6:$A$45)=0),"",IF(COUNTIFS('Leave log'!$A$7:$A$306,Employees!$A$30,'Leave log'!$B$7:$B$306,"&lt;="&amp;DATE($B$3,7,20),'Leave log'!$C$7:$C$306,"&gt;="&amp;DATE($B$3,7,20),'Leave log'!$F$7:$F$306,"Pending")&gt;0,"P",""))))</f>
        <v/>
      </c>
      <c r="V235" s="23" t="str">
        <f>IF(A235="","",IF(IF(OR(DATE($B$3,7,21)&gt;EOMONTH(DATE($B$3,7,1),0),NETWORKDAYS.INTL(DATE($B$3,7,21),DATE($B$3,7,21),1,'Non-working days'!$A$6:$A$45)=0),"",IF(COUNTIFS('Leave log'!$A$7:$A$306,Employees!$A$30,'Leave log'!$B$7:$B$306,"&lt;="&amp;DATE($B$3,7,21),'Leave log'!$C$7:$C$306,"&gt;="&amp;DATE($B$3,7,21),'Leave log'!$F$7:$F$306,"Approved")&gt;0,"A",""))="A","A",IF(OR(DATE($B$3,7,21)&gt;EOMONTH(DATE($B$3,7,1),0),NETWORKDAYS.INTL(DATE($B$3,7,21),DATE($B$3,7,21),1,'Non-working days'!$A$6:$A$45)=0),"",IF(COUNTIFS('Leave log'!$A$7:$A$306,Employees!$A$30,'Leave log'!$B$7:$B$306,"&lt;="&amp;DATE($B$3,7,21),'Leave log'!$C$7:$C$306,"&gt;="&amp;DATE($B$3,7,21),'Leave log'!$F$7:$F$306,"Pending")&gt;0,"P",""))))</f>
        <v/>
      </c>
      <c r="W235" s="23" t="str">
        <f>IF(A235="","",IF(IF(OR(DATE($B$3,7,22)&gt;EOMONTH(DATE($B$3,7,1),0),NETWORKDAYS.INTL(DATE($B$3,7,22),DATE($B$3,7,22),1,'Non-working days'!$A$6:$A$45)=0),"",IF(COUNTIFS('Leave log'!$A$7:$A$306,Employees!$A$30,'Leave log'!$B$7:$B$306,"&lt;="&amp;DATE($B$3,7,22),'Leave log'!$C$7:$C$306,"&gt;="&amp;DATE($B$3,7,22),'Leave log'!$F$7:$F$306,"Approved")&gt;0,"A",""))="A","A",IF(OR(DATE($B$3,7,22)&gt;EOMONTH(DATE($B$3,7,1),0),NETWORKDAYS.INTL(DATE($B$3,7,22),DATE($B$3,7,22),1,'Non-working days'!$A$6:$A$45)=0),"",IF(COUNTIFS('Leave log'!$A$7:$A$306,Employees!$A$30,'Leave log'!$B$7:$B$306,"&lt;="&amp;DATE($B$3,7,22),'Leave log'!$C$7:$C$306,"&gt;="&amp;DATE($B$3,7,22),'Leave log'!$F$7:$F$306,"Pending")&gt;0,"P",""))))</f>
        <v/>
      </c>
      <c r="X235" s="23" t="str">
        <f>IF(A235="","",IF(IF(OR(DATE($B$3,7,23)&gt;EOMONTH(DATE($B$3,7,1),0),NETWORKDAYS.INTL(DATE($B$3,7,23),DATE($B$3,7,23),1,'Non-working days'!$A$6:$A$45)=0),"",IF(COUNTIFS('Leave log'!$A$7:$A$306,Employees!$A$30,'Leave log'!$B$7:$B$306,"&lt;="&amp;DATE($B$3,7,23),'Leave log'!$C$7:$C$306,"&gt;="&amp;DATE($B$3,7,23),'Leave log'!$F$7:$F$306,"Approved")&gt;0,"A",""))="A","A",IF(OR(DATE($B$3,7,23)&gt;EOMONTH(DATE($B$3,7,1),0),NETWORKDAYS.INTL(DATE($B$3,7,23),DATE($B$3,7,23),1,'Non-working days'!$A$6:$A$45)=0),"",IF(COUNTIFS('Leave log'!$A$7:$A$306,Employees!$A$30,'Leave log'!$B$7:$B$306,"&lt;="&amp;DATE($B$3,7,23),'Leave log'!$C$7:$C$306,"&gt;="&amp;DATE($B$3,7,23),'Leave log'!$F$7:$F$306,"Pending")&gt;0,"P",""))))</f>
        <v/>
      </c>
      <c r="Y235" s="23" t="str">
        <f>IF(A235="","",IF(IF(OR(DATE($B$3,7,24)&gt;EOMONTH(DATE($B$3,7,1),0),NETWORKDAYS.INTL(DATE($B$3,7,24),DATE($B$3,7,24),1,'Non-working days'!$A$6:$A$45)=0),"",IF(COUNTIFS('Leave log'!$A$7:$A$306,Employees!$A$30,'Leave log'!$B$7:$B$306,"&lt;="&amp;DATE($B$3,7,24),'Leave log'!$C$7:$C$306,"&gt;="&amp;DATE($B$3,7,24),'Leave log'!$F$7:$F$306,"Approved")&gt;0,"A",""))="A","A",IF(OR(DATE($B$3,7,24)&gt;EOMONTH(DATE($B$3,7,1),0),NETWORKDAYS.INTL(DATE($B$3,7,24),DATE($B$3,7,24),1,'Non-working days'!$A$6:$A$45)=0),"",IF(COUNTIFS('Leave log'!$A$7:$A$306,Employees!$A$30,'Leave log'!$B$7:$B$306,"&lt;="&amp;DATE($B$3,7,24),'Leave log'!$C$7:$C$306,"&gt;="&amp;DATE($B$3,7,24),'Leave log'!$F$7:$F$306,"Pending")&gt;0,"P",""))))</f>
        <v/>
      </c>
      <c r="Z235" s="23" t="str">
        <f>IF(A235="","",IF(IF(OR(DATE($B$3,7,25)&gt;EOMONTH(DATE($B$3,7,1),0),NETWORKDAYS.INTL(DATE($B$3,7,25),DATE($B$3,7,25),1,'Non-working days'!$A$6:$A$45)=0),"",IF(COUNTIFS('Leave log'!$A$7:$A$306,Employees!$A$30,'Leave log'!$B$7:$B$306,"&lt;="&amp;DATE($B$3,7,25),'Leave log'!$C$7:$C$306,"&gt;="&amp;DATE($B$3,7,25),'Leave log'!$F$7:$F$306,"Approved")&gt;0,"A",""))="A","A",IF(OR(DATE($B$3,7,25)&gt;EOMONTH(DATE($B$3,7,1),0),NETWORKDAYS.INTL(DATE($B$3,7,25),DATE($B$3,7,25),1,'Non-working days'!$A$6:$A$45)=0),"",IF(COUNTIFS('Leave log'!$A$7:$A$306,Employees!$A$30,'Leave log'!$B$7:$B$306,"&lt;="&amp;DATE($B$3,7,25),'Leave log'!$C$7:$C$306,"&gt;="&amp;DATE($B$3,7,25),'Leave log'!$F$7:$F$306,"Pending")&gt;0,"P",""))))</f>
        <v/>
      </c>
      <c r="AA235" s="23" t="str">
        <f>IF(A235="","",IF(IF(OR(DATE($B$3,7,26)&gt;EOMONTH(DATE($B$3,7,1),0),NETWORKDAYS.INTL(DATE($B$3,7,26),DATE($B$3,7,26),1,'Non-working days'!$A$6:$A$45)=0),"",IF(COUNTIFS('Leave log'!$A$7:$A$306,Employees!$A$30,'Leave log'!$B$7:$B$306,"&lt;="&amp;DATE($B$3,7,26),'Leave log'!$C$7:$C$306,"&gt;="&amp;DATE($B$3,7,26),'Leave log'!$F$7:$F$306,"Approved")&gt;0,"A",""))="A","A",IF(OR(DATE($B$3,7,26)&gt;EOMONTH(DATE($B$3,7,1),0),NETWORKDAYS.INTL(DATE($B$3,7,26),DATE($B$3,7,26),1,'Non-working days'!$A$6:$A$45)=0),"",IF(COUNTIFS('Leave log'!$A$7:$A$306,Employees!$A$30,'Leave log'!$B$7:$B$306,"&lt;="&amp;DATE($B$3,7,26),'Leave log'!$C$7:$C$306,"&gt;="&amp;DATE($B$3,7,26),'Leave log'!$F$7:$F$306,"Pending")&gt;0,"P",""))))</f>
        <v/>
      </c>
      <c r="AB235" s="23" t="str">
        <f>IF(A235="","",IF(IF(OR(DATE($B$3,7,27)&gt;EOMONTH(DATE($B$3,7,1),0),NETWORKDAYS.INTL(DATE($B$3,7,27),DATE($B$3,7,27),1,'Non-working days'!$A$6:$A$45)=0),"",IF(COUNTIFS('Leave log'!$A$7:$A$306,Employees!$A$30,'Leave log'!$B$7:$B$306,"&lt;="&amp;DATE($B$3,7,27),'Leave log'!$C$7:$C$306,"&gt;="&amp;DATE($B$3,7,27),'Leave log'!$F$7:$F$306,"Approved")&gt;0,"A",""))="A","A",IF(OR(DATE($B$3,7,27)&gt;EOMONTH(DATE($B$3,7,1),0),NETWORKDAYS.INTL(DATE($B$3,7,27),DATE($B$3,7,27),1,'Non-working days'!$A$6:$A$45)=0),"",IF(COUNTIFS('Leave log'!$A$7:$A$306,Employees!$A$30,'Leave log'!$B$7:$B$306,"&lt;="&amp;DATE($B$3,7,27),'Leave log'!$C$7:$C$306,"&gt;="&amp;DATE($B$3,7,27),'Leave log'!$F$7:$F$306,"Pending")&gt;0,"P",""))))</f>
        <v/>
      </c>
      <c r="AC235" s="23" t="str">
        <f>IF(A235="","",IF(IF(OR(DATE($B$3,7,28)&gt;EOMONTH(DATE($B$3,7,1),0),NETWORKDAYS.INTL(DATE($B$3,7,28),DATE($B$3,7,28),1,'Non-working days'!$A$6:$A$45)=0),"",IF(COUNTIFS('Leave log'!$A$7:$A$306,Employees!$A$30,'Leave log'!$B$7:$B$306,"&lt;="&amp;DATE($B$3,7,28),'Leave log'!$C$7:$C$306,"&gt;="&amp;DATE($B$3,7,28),'Leave log'!$F$7:$F$306,"Approved")&gt;0,"A",""))="A","A",IF(OR(DATE($B$3,7,28)&gt;EOMONTH(DATE($B$3,7,1),0),NETWORKDAYS.INTL(DATE($B$3,7,28),DATE($B$3,7,28),1,'Non-working days'!$A$6:$A$45)=0),"",IF(COUNTIFS('Leave log'!$A$7:$A$306,Employees!$A$30,'Leave log'!$B$7:$B$306,"&lt;="&amp;DATE($B$3,7,28),'Leave log'!$C$7:$C$306,"&gt;="&amp;DATE($B$3,7,28),'Leave log'!$F$7:$F$306,"Pending")&gt;0,"P",""))))</f>
        <v/>
      </c>
      <c r="AD235" s="23" t="str">
        <f>IF(A235="","",IF(IF(OR(DATE($B$3,7,29)&gt;EOMONTH(DATE($B$3,7,1),0),NETWORKDAYS.INTL(DATE($B$3,7,29),DATE($B$3,7,29),1,'Non-working days'!$A$6:$A$45)=0),"",IF(COUNTIFS('Leave log'!$A$7:$A$306,Employees!$A$30,'Leave log'!$B$7:$B$306,"&lt;="&amp;DATE($B$3,7,29),'Leave log'!$C$7:$C$306,"&gt;="&amp;DATE($B$3,7,29),'Leave log'!$F$7:$F$306,"Approved")&gt;0,"A",""))="A","A",IF(OR(DATE($B$3,7,29)&gt;EOMONTH(DATE($B$3,7,1),0),NETWORKDAYS.INTL(DATE($B$3,7,29),DATE($B$3,7,29),1,'Non-working days'!$A$6:$A$45)=0),"",IF(COUNTIFS('Leave log'!$A$7:$A$306,Employees!$A$30,'Leave log'!$B$7:$B$306,"&lt;="&amp;DATE($B$3,7,29),'Leave log'!$C$7:$C$306,"&gt;="&amp;DATE($B$3,7,29),'Leave log'!$F$7:$F$306,"Pending")&gt;0,"P",""))))</f>
        <v/>
      </c>
      <c r="AE235" s="23" t="str">
        <f>IF(A235="","",IF(IF(OR(DATE($B$3,7,30)&gt;EOMONTH(DATE($B$3,7,1),0),NETWORKDAYS.INTL(DATE($B$3,7,30),DATE($B$3,7,30),1,'Non-working days'!$A$6:$A$45)=0),"",IF(COUNTIFS('Leave log'!$A$7:$A$306,Employees!$A$30,'Leave log'!$B$7:$B$306,"&lt;="&amp;DATE($B$3,7,30),'Leave log'!$C$7:$C$306,"&gt;="&amp;DATE($B$3,7,30),'Leave log'!$F$7:$F$306,"Approved")&gt;0,"A",""))="A","A",IF(OR(DATE($B$3,7,30)&gt;EOMONTH(DATE($B$3,7,1),0),NETWORKDAYS.INTL(DATE($B$3,7,30),DATE($B$3,7,30),1,'Non-working days'!$A$6:$A$45)=0),"",IF(COUNTIFS('Leave log'!$A$7:$A$306,Employees!$A$30,'Leave log'!$B$7:$B$306,"&lt;="&amp;DATE($B$3,7,30),'Leave log'!$C$7:$C$306,"&gt;="&amp;DATE($B$3,7,30),'Leave log'!$F$7:$F$306,"Pending")&gt;0,"P",""))))</f>
        <v/>
      </c>
      <c r="AF235" s="23" t="str">
        <f>IF(A235="","",IF(IF(OR(DATE($B$3,7,31)&gt;EOMONTH(DATE($B$3,7,1),0),NETWORKDAYS.INTL(DATE($B$3,7,31),DATE($B$3,7,31),1,'Non-working days'!$A$6:$A$45)=0),"",IF(COUNTIFS('Leave log'!$A$7:$A$306,Employees!$A$30,'Leave log'!$B$7:$B$306,"&lt;="&amp;DATE($B$3,7,31),'Leave log'!$C$7:$C$306,"&gt;="&amp;DATE($B$3,7,31),'Leave log'!$F$7:$F$306,"Approved")&gt;0,"A",""))="A","A",IF(OR(DATE($B$3,7,31)&gt;EOMONTH(DATE($B$3,7,1),0),NETWORKDAYS.INTL(DATE($B$3,7,31),DATE($B$3,7,31),1,'Non-working days'!$A$6:$A$45)=0),"",IF(COUNTIFS('Leave log'!$A$7:$A$306,Employees!$A$30,'Leave log'!$B$7:$B$306,"&lt;="&amp;DATE($B$3,7,31),'Leave log'!$C$7:$C$306,"&gt;="&amp;DATE($B$3,7,31),'Leave log'!$F$7:$F$306,"Pending")&gt;0,"P",""))))</f>
        <v/>
      </c>
    </row>
    <row r="236" spans="1:32" ht="18" customHeight="1" x14ac:dyDescent="0.3">
      <c r="A236" s="22" t="str">
        <f>IF(Employees!F31="Yes",Employees!B31,"")</f>
        <v/>
      </c>
      <c r="B236" s="23" t="str">
        <f>IF(A236="","",IF(IF(OR(DATE($B$3,7,1)&gt;EOMONTH(DATE($B$3,7,1),0),NETWORKDAYS.INTL(DATE($B$3,7,1),DATE($B$3,7,1),1,'Non-working days'!$A$6:$A$45)=0),"",IF(COUNTIFS('Leave log'!$A$7:$A$306,Employees!$A$31,'Leave log'!$B$7:$B$306,"&lt;="&amp;DATE($B$3,7,1),'Leave log'!$C$7:$C$306,"&gt;="&amp;DATE($B$3,7,1),'Leave log'!$F$7:$F$306,"Approved")&gt;0,"A",""))="A","A",IF(OR(DATE($B$3,7,1)&gt;EOMONTH(DATE($B$3,7,1),0),NETWORKDAYS.INTL(DATE($B$3,7,1),DATE($B$3,7,1),1,'Non-working days'!$A$6:$A$45)=0),"",IF(COUNTIFS('Leave log'!$A$7:$A$306,Employees!$A$31,'Leave log'!$B$7:$B$306,"&lt;="&amp;DATE($B$3,7,1),'Leave log'!$C$7:$C$306,"&gt;="&amp;DATE($B$3,7,1),'Leave log'!$F$7:$F$306,"Pending")&gt;0,"P",""))))</f>
        <v/>
      </c>
      <c r="C236" s="23" t="str">
        <f>IF(A236="","",IF(IF(OR(DATE($B$3,7,2)&gt;EOMONTH(DATE($B$3,7,1),0),NETWORKDAYS.INTL(DATE($B$3,7,2),DATE($B$3,7,2),1,'Non-working days'!$A$6:$A$45)=0),"",IF(COUNTIFS('Leave log'!$A$7:$A$306,Employees!$A$31,'Leave log'!$B$7:$B$306,"&lt;="&amp;DATE($B$3,7,2),'Leave log'!$C$7:$C$306,"&gt;="&amp;DATE($B$3,7,2),'Leave log'!$F$7:$F$306,"Approved")&gt;0,"A",""))="A","A",IF(OR(DATE($B$3,7,2)&gt;EOMONTH(DATE($B$3,7,1),0),NETWORKDAYS.INTL(DATE($B$3,7,2),DATE($B$3,7,2),1,'Non-working days'!$A$6:$A$45)=0),"",IF(COUNTIFS('Leave log'!$A$7:$A$306,Employees!$A$31,'Leave log'!$B$7:$B$306,"&lt;="&amp;DATE($B$3,7,2),'Leave log'!$C$7:$C$306,"&gt;="&amp;DATE($B$3,7,2),'Leave log'!$F$7:$F$306,"Pending")&gt;0,"P",""))))</f>
        <v/>
      </c>
      <c r="D236" s="23" t="str">
        <f>IF(A236="","",IF(IF(OR(DATE($B$3,7,3)&gt;EOMONTH(DATE($B$3,7,1),0),NETWORKDAYS.INTL(DATE($B$3,7,3),DATE($B$3,7,3),1,'Non-working days'!$A$6:$A$45)=0),"",IF(COUNTIFS('Leave log'!$A$7:$A$306,Employees!$A$31,'Leave log'!$B$7:$B$306,"&lt;="&amp;DATE($B$3,7,3),'Leave log'!$C$7:$C$306,"&gt;="&amp;DATE($B$3,7,3),'Leave log'!$F$7:$F$306,"Approved")&gt;0,"A",""))="A","A",IF(OR(DATE($B$3,7,3)&gt;EOMONTH(DATE($B$3,7,1),0),NETWORKDAYS.INTL(DATE($B$3,7,3),DATE($B$3,7,3),1,'Non-working days'!$A$6:$A$45)=0),"",IF(COUNTIFS('Leave log'!$A$7:$A$306,Employees!$A$31,'Leave log'!$B$7:$B$306,"&lt;="&amp;DATE($B$3,7,3),'Leave log'!$C$7:$C$306,"&gt;="&amp;DATE($B$3,7,3),'Leave log'!$F$7:$F$306,"Pending")&gt;0,"P",""))))</f>
        <v/>
      </c>
      <c r="E236" s="23" t="str">
        <f>IF(A236="","",IF(IF(OR(DATE($B$3,7,4)&gt;EOMONTH(DATE($B$3,7,1),0),NETWORKDAYS.INTL(DATE($B$3,7,4),DATE($B$3,7,4),1,'Non-working days'!$A$6:$A$45)=0),"",IF(COUNTIFS('Leave log'!$A$7:$A$306,Employees!$A$31,'Leave log'!$B$7:$B$306,"&lt;="&amp;DATE($B$3,7,4),'Leave log'!$C$7:$C$306,"&gt;="&amp;DATE($B$3,7,4),'Leave log'!$F$7:$F$306,"Approved")&gt;0,"A",""))="A","A",IF(OR(DATE($B$3,7,4)&gt;EOMONTH(DATE($B$3,7,1),0),NETWORKDAYS.INTL(DATE($B$3,7,4),DATE($B$3,7,4),1,'Non-working days'!$A$6:$A$45)=0),"",IF(COUNTIFS('Leave log'!$A$7:$A$306,Employees!$A$31,'Leave log'!$B$7:$B$306,"&lt;="&amp;DATE($B$3,7,4),'Leave log'!$C$7:$C$306,"&gt;="&amp;DATE($B$3,7,4),'Leave log'!$F$7:$F$306,"Pending")&gt;0,"P",""))))</f>
        <v/>
      </c>
      <c r="F236" s="23" t="str">
        <f>IF(A236="","",IF(IF(OR(DATE($B$3,7,5)&gt;EOMONTH(DATE($B$3,7,1),0),NETWORKDAYS.INTL(DATE($B$3,7,5),DATE($B$3,7,5),1,'Non-working days'!$A$6:$A$45)=0),"",IF(COUNTIFS('Leave log'!$A$7:$A$306,Employees!$A$31,'Leave log'!$B$7:$B$306,"&lt;="&amp;DATE($B$3,7,5),'Leave log'!$C$7:$C$306,"&gt;="&amp;DATE($B$3,7,5),'Leave log'!$F$7:$F$306,"Approved")&gt;0,"A",""))="A","A",IF(OR(DATE($B$3,7,5)&gt;EOMONTH(DATE($B$3,7,1),0),NETWORKDAYS.INTL(DATE($B$3,7,5),DATE($B$3,7,5),1,'Non-working days'!$A$6:$A$45)=0),"",IF(COUNTIFS('Leave log'!$A$7:$A$306,Employees!$A$31,'Leave log'!$B$7:$B$306,"&lt;="&amp;DATE($B$3,7,5),'Leave log'!$C$7:$C$306,"&gt;="&amp;DATE($B$3,7,5),'Leave log'!$F$7:$F$306,"Pending")&gt;0,"P",""))))</f>
        <v/>
      </c>
      <c r="G236" s="23" t="str">
        <f>IF(A236="","",IF(IF(OR(DATE($B$3,7,6)&gt;EOMONTH(DATE($B$3,7,1),0),NETWORKDAYS.INTL(DATE($B$3,7,6),DATE($B$3,7,6),1,'Non-working days'!$A$6:$A$45)=0),"",IF(COUNTIFS('Leave log'!$A$7:$A$306,Employees!$A$31,'Leave log'!$B$7:$B$306,"&lt;="&amp;DATE($B$3,7,6),'Leave log'!$C$7:$C$306,"&gt;="&amp;DATE($B$3,7,6),'Leave log'!$F$7:$F$306,"Approved")&gt;0,"A",""))="A","A",IF(OR(DATE($B$3,7,6)&gt;EOMONTH(DATE($B$3,7,1),0),NETWORKDAYS.INTL(DATE($B$3,7,6),DATE($B$3,7,6),1,'Non-working days'!$A$6:$A$45)=0),"",IF(COUNTIFS('Leave log'!$A$7:$A$306,Employees!$A$31,'Leave log'!$B$7:$B$306,"&lt;="&amp;DATE($B$3,7,6),'Leave log'!$C$7:$C$306,"&gt;="&amp;DATE($B$3,7,6),'Leave log'!$F$7:$F$306,"Pending")&gt;0,"P",""))))</f>
        <v/>
      </c>
      <c r="H236" s="23" t="str">
        <f>IF(A236="","",IF(IF(OR(DATE($B$3,7,7)&gt;EOMONTH(DATE($B$3,7,1),0),NETWORKDAYS.INTL(DATE($B$3,7,7),DATE($B$3,7,7),1,'Non-working days'!$A$6:$A$45)=0),"",IF(COUNTIFS('Leave log'!$A$7:$A$306,Employees!$A$31,'Leave log'!$B$7:$B$306,"&lt;="&amp;DATE($B$3,7,7),'Leave log'!$C$7:$C$306,"&gt;="&amp;DATE($B$3,7,7),'Leave log'!$F$7:$F$306,"Approved")&gt;0,"A",""))="A","A",IF(OR(DATE($B$3,7,7)&gt;EOMONTH(DATE($B$3,7,1),0),NETWORKDAYS.INTL(DATE($B$3,7,7),DATE($B$3,7,7),1,'Non-working days'!$A$6:$A$45)=0),"",IF(COUNTIFS('Leave log'!$A$7:$A$306,Employees!$A$31,'Leave log'!$B$7:$B$306,"&lt;="&amp;DATE($B$3,7,7),'Leave log'!$C$7:$C$306,"&gt;="&amp;DATE($B$3,7,7),'Leave log'!$F$7:$F$306,"Pending")&gt;0,"P",""))))</f>
        <v/>
      </c>
      <c r="I236" s="23" t="str">
        <f>IF(A236="","",IF(IF(OR(DATE($B$3,7,8)&gt;EOMONTH(DATE($B$3,7,1),0),NETWORKDAYS.INTL(DATE($B$3,7,8),DATE($B$3,7,8),1,'Non-working days'!$A$6:$A$45)=0),"",IF(COUNTIFS('Leave log'!$A$7:$A$306,Employees!$A$31,'Leave log'!$B$7:$B$306,"&lt;="&amp;DATE($B$3,7,8),'Leave log'!$C$7:$C$306,"&gt;="&amp;DATE($B$3,7,8),'Leave log'!$F$7:$F$306,"Approved")&gt;0,"A",""))="A","A",IF(OR(DATE($B$3,7,8)&gt;EOMONTH(DATE($B$3,7,1),0),NETWORKDAYS.INTL(DATE($B$3,7,8),DATE($B$3,7,8),1,'Non-working days'!$A$6:$A$45)=0),"",IF(COUNTIFS('Leave log'!$A$7:$A$306,Employees!$A$31,'Leave log'!$B$7:$B$306,"&lt;="&amp;DATE($B$3,7,8),'Leave log'!$C$7:$C$306,"&gt;="&amp;DATE($B$3,7,8),'Leave log'!$F$7:$F$306,"Pending")&gt;0,"P",""))))</f>
        <v/>
      </c>
      <c r="J236" s="23" t="str">
        <f>IF(A236="","",IF(IF(OR(DATE($B$3,7,9)&gt;EOMONTH(DATE($B$3,7,1),0),NETWORKDAYS.INTL(DATE($B$3,7,9),DATE($B$3,7,9),1,'Non-working days'!$A$6:$A$45)=0),"",IF(COUNTIFS('Leave log'!$A$7:$A$306,Employees!$A$31,'Leave log'!$B$7:$B$306,"&lt;="&amp;DATE($B$3,7,9),'Leave log'!$C$7:$C$306,"&gt;="&amp;DATE($B$3,7,9),'Leave log'!$F$7:$F$306,"Approved")&gt;0,"A",""))="A","A",IF(OR(DATE($B$3,7,9)&gt;EOMONTH(DATE($B$3,7,1),0),NETWORKDAYS.INTL(DATE($B$3,7,9),DATE($B$3,7,9),1,'Non-working days'!$A$6:$A$45)=0),"",IF(COUNTIFS('Leave log'!$A$7:$A$306,Employees!$A$31,'Leave log'!$B$7:$B$306,"&lt;="&amp;DATE($B$3,7,9),'Leave log'!$C$7:$C$306,"&gt;="&amp;DATE($B$3,7,9),'Leave log'!$F$7:$F$306,"Pending")&gt;0,"P",""))))</f>
        <v/>
      </c>
      <c r="K236" s="23" t="str">
        <f>IF(A236="","",IF(IF(OR(DATE($B$3,7,10)&gt;EOMONTH(DATE($B$3,7,1),0),NETWORKDAYS.INTL(DATE($B$3,7,10),DATE($B$3,7,10),1,'Non-working days'!$A$6:$A$45)=0),"",IF(COUNTIFS('Leave log'!$A$7:$A$306,Employees!$A$31,'Leave log'!$B$7:$B$306,"&lt;="&amp;DATE($B$3,7,10),'Leave log'!$C$7:$C$306,"&gt;="&amp;DATE($B$3,7,10),'Leave log'!$F$7:$F$306,"Approved")&gt;0,"A",""))="A","A",IF(OR(DATE($B$3,7,10)&gt;EOMONTH(DATE($B$3,7,1),0),NETWORKDAYS.INTL(DATE($B$3,7,10),DATE($B$3,7,10),1,'Non-working days'!$A$6:$A$45)=0),"",IF(COUNTIFS('Leave log'!$A$7:$A$306,Employees!$A$31,'Leave log'!$B$7:$B$306,"&lt;="&amp;DATE($B$3,7,10),'Leave log'!$C$7:$C$306,"&gt;="&amp;DATE($B$3,7,10),'Leave log'!$F$7:$F$306,"Pending")&gt;0,"P",""))))</f>
        <v/>
      </c>
      <c r="L236" s="23" t="str">
        <f>IF(A236="","",IF(IF(OR(DATE($B$3,7,11)&gt;EOMONTH(DATE($B$3,7,1),0),NETWORKDAYS.INTL(DATE($B$3,7,11),DATE($B$3,7,11),1,'Non-working days'!$A$6:$A$45)=0),"",IF(COUNTIFS('Leave log'!$A$7:$A$306,Employees!$A$31,'Leave log'!$B$7:$B$306,"&lt;="&amp;DATE($B$3,7,11),'Leave log'!$C$7:$C$306,"&gt;="&amp;DATE($B$3,7,11),'Leave log'!$F$7:$F$306,"Approved")&gt;0,"A",""))="A","A",IF(OR(DATE($B$3,7,11)&gt;EOMONTH(DATE($B$3,7,1),0),NETWORKDAYS.INTL(DATE($B$3,7,11),DATE($B$3,7,11),1,'Non-working days'!$A$6:$A$45)=0),"",IF(COUNTIFS('Leave log'!$A$7:$A$306,Employees!$A$31,'Leave log'!$B$7:$B$306,"&lt;="&amp;DATE($B$3,7,11),'Leave log'!$C$7:$C$306,"&gt;="&amp;DATE($B$3,7,11),'Leave log'!$F$7:$F$306,"Pending")&gt;0,"P",""))))</f>
        <v/>
      </c>
      <c r="M236" s="23" t="str">
        <f>IF(A236="","",IF(IF(OR(DATE($B$3,7,12)&gt;EOMONTH(DATE($B$3,7,1),0),NETWORKDAYS.INTL(DATE($B$3,7,12),DATE($B$3,7,12),1,'Non-working days'!$A$6:$A$45)=0),"",IF(COUNTIFS('Leave log'!$A$7:$A$306,Employees!$A$31,'Leave log'!$B$7:$B$306,"&lt;="&amp;DATE($B$3,7,12),'Leave log'!$C$7:$C$306,"&gt;="&amp;DATE($B$3,7,12),'Leave log'!$F$7:$F$306,"Approved")&gt;0,"A",""))="A","A",IF(OR(DATE($B$3,7,12)&gt;EOMONTH(DATE($B$3,7,1),0),NETWORKDAYS.INTL(DATE($B$3,7,12),DATE($B$3,7,12),1,'Non-working days'!$A$6:$A$45)=0),"",IF(COUNTIFS('Leave log'!$A$7:$A$306,Employees!$A$31,'Leave log'!$B$7:$B$306,"&lt;="&amp;DATE($B$3,7,12),'Leave log'!$C$7:$C$306,"&gt;="&amp;DATE($B$3,7,12),'Leave log'!$F$7:$F$306,"Pending")&gt;0,"P",""))))</f>
        <v/>
      </c>
      <c r="N236" s="23" t="str">
        <f>IF(A236="","",IF(IF(OR(DATE($B$3,7,13)&gt;EOMONTH(DATE($B$3,7,1),0),NETWORKDAYS.INTL(DATE($B$3,7,13),DATE($B$3,7,13),1,'Non-working days'!$A$6:$A$45)=0),"",IF(COUNTIFS('Leave log'!$A$7:$A$306,Employees!$A$31,'Leave log'!$B$7:$B$306,"&lt;="&amp;DATE($B$3,7,13),'Leave log'!$C$7:$C$306,"&gt;="&amp;DATE($B$3,7,13),'Leave log'!$F$7:$F$306,"Approved")&gt;0,"A",""))="A","A",IF(OR(DATE($B$3,7,13)&gt;EOMONTH(DATE($B$3,7,1),0),NETWORKDAYS.INTL(DATE($B$3,7,13),DATE($B$3,7,13),1,'Non-working days'!$A$6:$A$45)=0),"",IF(COUNTIFS('Leave log'!$A$7:$A$306,Employees!$A$31,'Leave log'!$B$7:$B$306,"&lt;="&amp;DATE($B$3,7,13),'Leave log'!$C$7:$C$306,"&gt;="&amp;DATE($B$3,7,13),'Leave log'!$F$7:$F$306,"Pending")&gt;0,"P",""))))</f>
        <v/>
      </c>
      <c r="O236" s="23" t="str">
        <f>IF(A236="","",IF(IF(OR(DATE($B$3,7,14)&gt;EOMONTH(DATE($B$3,7,1),0),NETWORKDAYS.INTL(DATE($B$3,7,14),DATE($B$3,7,14),1,'Non-working days'!$A$6:$A$45)=0),"",IF(COUNTIFS('Leave log'!$A$7:$A$306,Employees!$A$31,'Leave log'!$B$7:$B$306,"&lt;="&amp;DATE($B$3,7,14),'Leave log'!$C$7:$C$306,"&gt;="&amp;DATE($B$3,7,14),'Leave log'!$F$7:$F$306,"Approved")&gt;0,"A",""))="A","A",IF(OR(DATE($B$3,7,14)&gt;EOMONTH(DATE($B$3,7,1),0),NETWORKDAYS.INTL(DATE($B$3,7,14),DATE($B$3,7,14),1,'Non-working days'!$A$6:$A$45)=0),"",IF(COUNTIFS('Leave log'!$A$7:$A$306,Employees!$A$31,'Leave log'!$B$7:$B$306,"&lt;="&amp;DATE($B$3,7,14),'Leave log'!$C$7:$C$306,"&gt;="&amp;DATE($B$3,7,14),'Leave log'!$F$7:$F$306,"Pending")&gt;0,"P",""))))</f>
        <v/>
      </c>
      <c r="P236" s="23" t="str">
        <f>IF(A236="","",IF(IF(OR(DATE($B$3,7,15)&gt;EOMONTH(DATE($B$3,7,1),0),NETWORKDAYS.INTL(DATE($B$3,7,15),DATE($B$3,7,15),1,'Non-working days'!$A$6:$A$45)=0),"",IF(COUNTIFS('Leave log'!$A$7:$A$306,Employees!$A$31,'Leave log'!$B$7:$B$306,"&lt;="&amp;DATE($B$3,7,15),'Leave log'!$C$7:$C$306,"&gt;="&amp;DATE($B$3,7,15),'Leave log'!$F$7:$F$306,"Approved")&gt;0,"A",""))="A","A",IF(OR(DATE($B$3,7,15)&gt;EOMONTH(DATE($B$3,7,1),0),NETWORKDAYS.INTL(DATE($B$3,7,15),DATE($B$3,7,15),1,'Non-working days'!$A$6:$A$45)=0),"",IF(COUNTIFS('Leave log'!$A$7:$A$306,Employees!$A$31,'Leave log'!$B$7:$B$306,"&lt;="&amp;DATE($B$3,7,15),'Leave log'!$C$7:$C$306,"&gt;="&amp;DATE($B$3,7,15),'Leave log'!$F$7:$F$306,"Pending")&gt;0,"P",""))))</f>
        <v/>
      </c>
      <c r="Q236" s="23" t="str">
        <f>IF(A236="","",IF(IF(OR(DATE($B$3,7,16)&gt;EOMONTH(DATE($B$3,7,1),0),NETWORKDAYS.INTL(DATE($B$3,7,16),DATE($B$3,7,16),1,'Non-working days'!$A$6:$A$45)=0),"",IF(COUNTIFS('Leave log'!$A$7:$A$306,Employees!$A$31,'Leave log'!$B$7:$B$306,"&lt;="&amp;DATE($B$3,7,16),'Leave log'!$C$7:$C$306,"&gt;="&amp;DATE($B$3,7,16),'Leave log'!$F$7:$F$306,"Approved")&gt;0,"A",""))="A","A",IF(OR(DATE($B$3,7,16)&gt;EOMONTH(DATE($B$3,7,1),0),NETWORKDAYS.INTL(DATE($B$3,7,16),DATE($B$3,7,16),1,'Non-working days'!$A$6:$A$45)=0),"",IF(COUNTIFS('Leave log'!$A$7:$A$306,Employees!$A$31,'Leave log'!$B$7:$B$306,"&lt;="&amp;DATE($B$3,7,16),'Leave log'!$C$7:$C$306,"&gt;="&amp;DATE($B$3,7,16),'Leave log'!$F$7:$F$306,"Pending")&gt;0,"P",""))))</f>
        <v/>
      </c>
      <c r="R236" s="23" t="str">
        <f>IF(A236="","",IF(IF(OR(DATE($B$3,7,17)&gt;EOMONTH(DATE($B$3,7,1),0),NETWORKDAYS.INTL(DATE($B$3,7,17),DATE($B$3,7,17),1,'Non-working days'!$A$6:$A$45)=0),"",IF(COUNTIFS('Leave log'!$A$7:$A$306,Employees!$A$31,'Leave log'!$B$7:$B$306,"&lt;="&amp;DATE($B$3,7,17),'Leave log'!$C$7:$C$306,"&gt;="&amp;DATE($B$3,7,17),'Leave log'!$F$7:$F$306,"Approved")&gt;0,"A",""))="A","A",IF(OR(DATE($B$3,7,17)&gt;EOMONTH(DATE($B$3,7,1),0),NETWORKDAYS.INTL(DATE($B$3,7,17),DATE($B$3,7,17),1,'Non-working days'!$A$6:$A$45)=0),"",IF(COUNTIFS('Leave log'!$A$7:$A$306,Employees!$A$31,'Leave log'!$B$7:$B$306,"&lt;="&amp;DATE($B$3,7,17),'Leave log'!$C$7:$C$306,"&gt;="&amp;DATE($B$3,7,17),'Leave log'!$F$7:$F$306,"Pending")&gt;0,"P",""))))</f>
        <v/>
      </c>
      <c r="S236" s="23" t="str">
        <f>IF(A236="","",IF(IF(OR(DATE($B$3,7,18)&gt;EOMONTH(DATE($B$3,7,1),0),NETWORKDAYS.INTL(DATE($B$3,7,18),DATE($B$3,7,18),1,'Non-working days'!$A$6:$A$45)=0),"",IF(COUNTIFS('Leave log'!$A$7:$A$306,Employees!$A$31,'Leave log'!$B$7:$B$306,"&lt;="&amp;DATE($B$3,7,18),'Leave log'!$C$7:$C$306,"&gt;="&amp;DATE($B$3,7,18),'Leave log'!$F$7:$F$306,"Approved")&gt;0,"A",""))="A","A",IF(OR(DATE($B$3,7,18)&gt;EOMONTH(DATE($B$3,7,1),0),NETWORKDAYS.INTL(DATE($B$3,7,18),DATE($B$3,7,18),1,'Non-working days'!$A$6:$A$45)=0),"",IF(COUNTIFS('Leave log'!$A$7:$A$306,Employees!$A$31,'Leave log'!$B$7:$B$306,"&lt;="&amp;DATE($B$3,7,18),'Leave log'!$C$7:$C$306,"&gt;="&amp;DATE($B$3,7,18),'Leave log'!$F$7:$F$306,"Pending")&gt;0,"P",""))))</f>
        <v/>
      </c>
      <c r="T236" s="23" t="str">
        <f>IF(A236="","",IF(IF(OR(DATE($B$3,7,19)&gt;EOMONTH(DATE($B$3,7,1),0),NETWORKDAYS.INTL(DATE($B$3,7,19),DATE($B$3,7,19),1,'Non-working days'!$A$6:$A$45)=0),"",IF(COUNTIFS('Leave log'!$A$7:$A$306,Employees!$A$31,'Leave log'!$B$7:$B$306,"&lt;="&amp;DATE($B$3,7,19),'Leave log'!$C$7:$C$306,"&gt;="&amp;DATE($B$3,7,19),'Leave log'!$F$7:$F$306,"Approved")&gt;0,"A",""))="A","A",IF(OR(DATE($B$3,7,19)&gt;EOMONTH(DATE($B$3,7,1),0),NETWORKDAYS.INTL(DATE($B$3,7,19),DATE($B$3,7,19),1,'Non-working days'!$A$6:$A$45)=0),"",IF(COUNTIFS('Leave log'!$A$7:$A$306,Employees!$A$31,'Leave log'!$B$7:$B$306,"&lt;="&amp;DATE($B$3,7,19),'Leave log'!$C$7:$C$306,"&gt;="&amp;DATE($B$3,7,19),'Leave log'!$F$7:$F$306,"Pending")&gt;0,"P",""))))</f>
        <v/>
      </c>
      <c r="U236" s="23" t="str">
        <f>IF(A236="","",IF(IF(OR(DATE($B$3,7,20)&gt;EOMONTH(DATE($B$3,7,1),0),NETWORKDAYS.INTL(DATE($B$3,7,20),DATE($B$3,7,20),1,'Non-working days'!$A$6:$A$45)=0),"",IF(COUNTIFS('Leave log'!$A$7:$A$306,Employees!$A$31,'Leave log'!$B$7:$B$306,"&lt;="&amp;DATE($B$3,7,20),'Leave log'!$C$7:$C$306,"&gt;="&amp;DATE($B$3,7,20),'Leave log'!$F$7:$F$306,"Approved")&gt;0,"A",""))="A","A",IF(OR(DATE($B$3,7,20)&gt;EOMONTH(DATE($B$3,7,1),0),NETWORKDAYS.INTL(DATE($B$3,7,20),DATE($B$3,7,20),1,'Non-working days'!$A$6:$A$45)=0),"",IF(COUNTIFS('Leave log'!$A$7:$A$306,Employees!$A$31,'Leave log'!$B$7:$B$306,"&lt;="&amp;DATE($B$3,7,20),'Leave log'!$C$7:$C$306,"&gt;="&amp;DATE($B$3,7,20),'Leave log'!$F$7:$F$306,"Pending")&gt;0,"P",""))))</f>
        <v/>
      </c>
      <c r="V236" s="23" t="str">
        <f>IF(A236="","",IF(IF(OR(DATE($B$3,7,21)&gt;EOMONTH(DATE($B$3,7,1),0),NETWORKDAYS.INTL(DATE($B$3,7,21),DATE($B$3,7,21),1,'Non-working days'!$A$6:$A$45)=0),"",IF(COUNTIFS('Leave log'!$A$7:$A$306,Employees!$A$31,'Leave log'!$B$7:$B$306,"&lt;="&amp;DATE($B$3,7,21),'Leave log'!$C$7:$C$306,"&gt;="&amp;DATE($B$3,7,21),'Leave log'!$F$7:$F$306,"Approved")&gt;0,"A",""))="A","A",IF(OR(DATE($B$3,7,21)&gt;EOMONTH(DATE($B$3,7,1),0),NETWORKDAYS.INTL(DATE($B$3,7,21),DATE($B$3,7,21),1,'Non-working days'!$A$6:$A$45)=0),"",IF(COUNTIFS('Leave log'!$A$7:$A$306,Employees!$A$31,'Leave log'!$B$7:$B$306,"&lt;="&amp;DATE($B$3,7,21),'Leave log'!$C$7:$C$306,"&gt;="&amp;DATE($B$3,7,21),'Leave log'!$F$7:$F$306,"Pending")&gt;0,"P",""))))</f>
        <v/>
      </c>
      <c r="W236" s="23" t="str">
        <f>IF(A236="","",IF(IF(OR(DATE($B$3,7,22)&gt;EOMONTH(DATE($B$3,7,1),0),NETWORKDAYS.INTL(DATE($B$3,7,22),DATE($B$3,7,22),1,'Non-working days'!$A$6:$A$45)=0),"",IF(COUNTIFS('Leave log'!$A$7:$A$306,Employees!$A$31,'Leave log'!$B$7:$B$306,"&lt;="&amp;DATE($B$3,7,22),'Leave log'!$C$7:$C$306,"&gt;="&amp;DATE($B$3,7,22),'Leave log'!$F$7:$F$306,"Approved")&gt;0,"A",""))="A","A",IF(OR(DATE($B$3,7,22)&gt;EOMONTH(DATE($B$3,7,1),0),NETWORKDAYS.INTL(DATE($B$3,7,22),DATE($B$3,7,22),1,'Non-working days'!$A$6:$A$45)=0),"",IF(COUNTIFS('Leave log'!$A$7:$A$306,Employees!$A$31,'Leave log'!$B$7:$B$306,"&lt;="&amp;DATE($B$3,7,22),'Leave log'!$C$7:$C$306,"&gt;="&amp;DATE($B$3,7,22),'Leave log'!$F$7:$F$306,"Pending")&gt;0,"P",""))))</f>
        <v/>
      </c>
      <c r="X236" s="23" t="str">
        <f>IF(A236="","",IF(IF(OR(DATE($B$3,7,23)&gt;EOMONTH(DATE($B$3,7,1),0),NETWORKDAYS.INTL(DATE($B$3,7,23),DATE($B$3,7,23),1,'Non-working days'!$A$6:$A$45)=0),"",IF(COUNTIFS('Leave log'!$A$7:$A$306,Employees!$A$31,'Leave log'!$B$7:$B$306,"&lt;="&amp;DATE($B$3,7,23),'Leave log'!$C$7:$C$306,"&gt;="&amp;DATE($B$3,7,23),'Leave log'!$F$7:$F$306,"Approved")&gt;0,"A",""))="A","A",IF(OR(DATE($B$3,7,23)&gt;EOMONTH(DATE($B$3,7,1),0),NETWORKDAYS.INTL(DATE($B$3,7,23),DATE($B$3,7,23),1,'Non-working days'!$A$6:$A$45)=0),"",IF(COUNTIFS('Leave log'!$A$7:$A$306,Employees!$A$31,'Leave log'!$B$7:$B$306,"&lt;="&amp;DATE($B$3,7,23),'Leave log'!$C$7:$C$306,"&gt;="&amp;DATE($B$3,7,23),'Leave log'!$F$7:$F$306,"Pending")&gt;0,"P",""))))</f>
        <v/>
      </c>
      <c r="Y236" s="23" t="str">
        <f>IF(A236="","",IF(IF(OR(DATE($B$3,7,24)&gt;EOMONTH(DATE($B$3,7,1),0),NETWORKDAYS.INTL(DATE($B$3,7,24),DATE($B$3,7,24),1,'Non-working days'!$A$6:$A$45)=0),"",IF(COUNTIFS('Leave log'!$A$7:$A$306,Employees!$A$31,'Leave log'!$B$7:$B$306,"&lt;="&amp;DATE($B$3,7,24),'Leave log'!$C$7:$C$306,"&gt;="&amp;DATE($B$3,7,24),'Leave log'!$F$7:$F$306,"Approved")&gt;0,"A",""))="A","A",IF(OR(DATE($B$3,7,24)&gt;EOMONTH(DATE($B$3,7,1),0),NETWORKDAYS.INTL(DATE($B$3,7,24),DATE($B$3,7,24),1,'Non-working days'!$A$6:$A$45)=0),"",IF(COUNTIFS('Leave log'!$A$7:$A$306,Employees!$A$31,'Leave log'!$B$7:$B$306,"&lt;="&amp;DATE($B$3,7,24),'Leave log'!$C$7:$C$306,"&gt;="&amp;DATE($B$3,7,24),'Leave log'!$F$7:$F$306,"Pending")&gt;0,"P",""))))</f>
        <v/>
      </c>
      <c r="Z236" s="23" t="str">
        <f>IF(A236="","",IF(IF(OR(DATE($B$3,7,25)&gt;EOMONTH(DATE($B$3,7,1),0),NETWORKDAYS.INTL(DATE($B$3,7,25),DATE($B$3,7,25),1,'Non-working days'!$A$6:$A$45)=0),"",IF(COUNTIFS('Leave log'!$A$7:$A$306,Employees!$A$31,'Leave log'!$B$7:$B$306,"&lt;="&amp;DATE($B$3,7,25),'Leave log'!$C$7:$C$306,"&gt;="&amp;DATE($B$3,7,25),'Leave log'!$F$7:$F$306,"Approved")&gt;0,"A",""))="A","A",IF(OR(DATE($B$3,7,25)&gt;EOMONTH(DATE($B$3,7,1),0),NETWORKDAYS.INTL(DATE($B$3,7,25),DATE($B$3,7,25),1,'Non-working days'!$A$6:$A$45)=0),"",IF(COUNTIFS('Leave log'!$A$7:$A$306,Employees!$A$31,'Leave log'!$B$7:$B$306,"&lt;="&amp;DATE($B$3,7,25),'Leave log'!$C$7:$C$306,"&gt;="&amp;DATE($B$3,7,25),'Leave log'!$F$7:$F$306,"Pending")&gt;0,"P",""))))</f>
        <v/>
      </c>
      <c r="AA236" s="23" t="str">
        <f>IF(A236="","",IF(IF(OR(DATE($B$3,7,26)&gt;EOMONTH(DATE($B$3,7,1),0),NETWORKDAYS.INTL(DATE($B$3,7,26),DATE($B$3,7,26),1,'Non-working days'!$A$6:$A$45)=0),"",IF(COUNTIFS('Leave log'!$A$7:$A$306,Employees!$A$31,'Leave log'!$B$7:$B$306,"&lt;="&amp;DATE($B$3,7,26),'Leave log'!$C$7:$C$306,"&gt;="&amp;DATE($B$3,7,26),'Leave log'!$F$7:$F$306,"Approved")&gt;0,"A",""))="A","A",IF(OR(DATE($B$3,7,26)&gt;EOMONTH(DATE($B$3,7,1),0),NETWORKDAYS.INTL(DATE($B$3,7,26),DATE($B$3,7,26),1,'Non-working days'!$A$6:$A$45)=0),"",IF(COUNTIFS('Leave log'!$A$7:$A$306,Employees!$A$31,'Leave log'!$B$7:$B$306,"&lt;="&amp;DATE($B$3,7,26),'Leave log'!$C$7:$C$306,"&gt;="&amp;DATE($B$3,7,26),'Leave log'!$F$7:$F$306,"Pending")&gt;0,"P",""))))</f>
        <v/>
      </c>
      <c r="AB236" s="23" t="str">
        <f>IF(A236="","",IF(IF(OR(DATE($B$3,7,27)&gt;EOMONTH(DATE($B$3,7,1),0),NETWORKDAYS.INTL(DATE($B$3,7,27),DATE($B$3,7,27),1,'Non-working days'!$A$6:$A$45)=0),"",IF(COUNTIFS('Leave log'!$A$7:$A$306,Employees!$A$31,'Leave log'!$B$7:$B$306,"&lt;="&amp;DATE($B$3,7,27),'Leave log'!$C$7:$C$306,"&gt;="&amp;DATE($B$3,7,27),'Leave log'!$F$7:$F$306,"Approved")&gt;0,"A",""))="A","A",IF(OR(DATE($B$3,7,27)&gt;EOMONTH(DATE($B$3,7,1),0),NETWORKDAYS.INTL(DATE($B$3,7,27),DATE($B$3,7,27),1,'Non-working days'!$A$6:$A$45)=0),"",IF(COUNTIFS('Leave log'!$A$7:$A$306,Employees!$A$31,'Leave log'!$B$7:$B$306,"&lt;="&amp;DATE($B$3,7,27),'Leave log'!$C$7:$C$306,"&gt;="&amp;DATE($B$3,7,27),'Leave log'!$F$7:$F$306,"Pending")&gt;0,"P",""))))</f>
        <v/>
      </c>
      <c r="AC236" s="23" t="str">
        <f>IF(A236="","",IF(IF(OR(DATE($B$3,7,28)&gt;EOMONTH(DATE($B$3,7,1),0),NETWORKDAYS.INTL(DATE($B$3,7,28),DATE($B$3,7,28),1,'Non-working days'!$A$6:$A$45)=0),"",IF(COUNTIFS('Leave log'!$A$7:$A$306,Employees!$A$31,'Leave log'!$B$7:$B$306,"&lt;="&amp;DATE($B$3,7,28),'Leave log'!$C$7:$C$306,"&gt;="&amp;DATE($B$3,7,28),'Leave log'!$F$7:$F$306,"Approved")&gt;0,"A",""))="A","A",IF(OR(DATE($B$3,7,28)&gt;EOMONTH(DATE($B$3,7,1),0),NETWORKDAYS.INTL(DATE($B$3,7,28),DATE($B$3,7,28),1,'Non-working days'!$A$6:$A$45)=0),"",IF(COUNTIFS('Leave log'!$A$7:$A$306,Employees!$A$31,'Leave log'!$B$7:$B$306,"&lt;="&amp;DATE($B$3,7,28),'Leave log'!$C$7:$C$306,"&gt;="&amp;DATE($B$3,7,28),'Leave log'!$F$7:$F$306,"Pending")&gt;0,"P",""))))</f>
        <v/>
      </c>
      <c r="AD236" s="23" t="str">
        <f>IF(A236="","",IF(IF(OR(DATE($B$3,7,29)&gt;EOMONTH(DATE($B$3,7,1),0),NETWORKDAYS.INTL(DATE($B$3,7,29),DATE($B$3,7,29),1,'Non-working days'!$A$6:$A$45)=0),"",IF(COUNTIFS('Leave log'!$A$7:$A$306,Employees!$A$31,'Leave log'!$B$7:$B$306,"&lt;="&amp;DATE($B$3,7,29),'Leave log'!$C$7:$C$306,"&gt;="&amp;DATE($B$3,7,29),'Leave log'!$F$7:$F$306,"Approved")&gt;0,"A",""))="A","A",IF(OR(DATE($B$3,7,29)&gt;EOMONTH(DATE($B$3,7,1),0),NETWORKDAYS.INTL(DATE($B$3,7,29),DATE($B$3,7,29),1,'Non-working days'!$A$6:$A$45)=0),"",IF(COUNTIFS('Leave log'!$A$7:$A$306,Employees!$A$31,'Leave log'!$B$7:$B$306,"&lt;="&amp;DATE($B$3,7,29),'Leave log'!$C$7:$C$306,"&gt;="&amp;DATE($B$3,7,29),'Leave log'!$F$7:$F$306,"Pending")&gt;0,"P",""))))</f>
        <v/>
      </c>
      <c r="AE236" s="23" t="str">
        <f>IF(A236="","",IF(IF(OR(DATE($B$3,7,30)&gt;EOMONTH(DATE($B$3,7,1),0),NETWORKDAYS.INTL(DATE($B$3,7,30),DATE($B$3,7,30),1,'Non-working days'!$A$6:$A$45)=0),"",IF(COUNTIFS('Leave log'!$A$7:$A$306,Employees!$A$31,'Leave log'!$B$7:$B$306,"&lt;="&amp;DATE($B$3,7,30),'Leave log'!$C$7:$C$306,"&gt;="&amp;DATE($B$3,7,30),'Leave log'!$F$7:$F$306,"Approved")&gt;0,"A",""))="A","A",IF(OR(DATE($B$3,7,30)&gt;EOMONTH(DATE($B$3,7,1),0),NETWORKDAYS.INTL(DATE($B$3,7,30),DATE($B$3,7,30),1,'Non-working days'!$A$6:$A$45)=0),"",IF(COUNTIFS('Leave log'!$A$7:$A$306,Employees!$A$31,'Leave log'!$B$7:$B$306,"&lt;="&amp;DATE($B$3,7,30),'Leave log'!$C$7:$C$306,"&gt;="&amp;DATE($B$3,7,30),'Leave log'!$F$7:$F$306,"Pending")&gt;0,"P",""))))</f>
        <v/>
      </c>
      <c r="AF236" s="23" t="str">
        <f>IF(A236="","",IF(IF(OR(DATE($B$3,7,31)&gt;EOMONTH(DATE($B$3,7,1),0),NETWORKDAYS.INTL(DATE($B$3,7,31),DATE($B$3,7,31),1,'Non-working days'!$A$6:$A$45)=0),"",IF(COUNTIFS('Leave log'!$A$7:$A$306,Employees!$A$31,'Leave log'!$B$7:$B$306,"&lt;="&amp;DATE($B$3,7,31),'Leave log'!$C$7:$C$306,"&gt;="&amp;DATE($B$3,7,31),'Leave log'!$F$7:$F$306,"Approved")&gt;0,"A",""))="A","A",IF(OR(DATE($B$3,7,31)&gt;EOMONTH(DATE($B$3,7,1),0),NETWORKDAYS.INTL(DATE($B$3,7,31),DATE($B$3,7,31),1,'Non-working days'!$A$6:$A$45)=0),"",IF(COUNTIFS('Leave log'!$A$7:$A$306,Employees!$A$31,'Leave log'!$B$7:$B$306,"&lt;="&amp;DATE($B$3,7,31),'Leave log'!$C$7:$C$306,"&gt;="&amp;DATE($B$3,7,31),'Leave log'!$F$7:$F$306,"Pending")&gt;0,"P",""))))</f>
        <v/>
      </c>
    </row>
    <row r="237" spans="1:32" ht="18" customHeight="1" x14ac:dyDescent="0.3">
      <c r="A237" s="22" t="str">
        <f>IF(Employees!F32="Yes",Employees!B32,"")</f>
        <v/>
      </c>
      <c r="B237" s="23" t="str">
        <f>IF(A237="","",IF(IF(OR(DATE($B$3,7,1)&gt;EOMONTH(DATE($B$3,7,1),0),NETWORKDAYS.INTL(DATE($B$3,7,1),DATE($B$3,7,1),1,'Non-working days'!$A$6:$A$45)=0),"",IF(COUNTIFS('Leave log'!$A$7:$A$306,Employees!$A$32,'Leave log'!$B$7:$B$306,"&lt;="&amp;DATE($B$3,7,1),'Leave log'!$C$7:$C$306,"&gt;="&amp;DATE($B$3,7,1),'Leave log'!$F$7:$F$306,"Approved")&gt;0,"A",""))="A","A",IF(OR(DATE($B$3,7,1)&gt;EOMONTH(DATE($B$3,7,1),0),NETWORKDAYS.INTL(DATE($B$3,7,1),DATE($B$3,7,1),1,'Non-working days'!$A$6:$A$45)=0),"",IF(COUNTIFS('Leave log'!$A$7:$A$306,Employees!$A$32,'Leave log'!$B$7:$B$306,"&lt;="&amp;DATE($B$3,7,1),'Leave log'!$C$7:$C$306,"&gt;="&amp;DATE($B$3,7,1),'Leave log'!$F$7:$F$306,"Pending")&gt;0,"P",""))))</f>
        <v/>
      </c>
      <c r="C237" s="23" t="str">
        <f>IF(A237="","",IF(IF(OR(DATE($B$3,7,2)&gt;EOMONTH(DATE($B$3,7,1),0),NETWORKDAYS.INTL(DATE($B$3,7,2),DATE($B$3,7,2),1,'Non-working days'!$A$6:$A$45)=0),"",IF(COUNTIFS('Leave log'!$A$7:$A$306,Employees!$A$32,'Leave log'!$B$7:$B$306,"&lt;="&amp;DATE($B$3,7,2),'Leave log'!$C$7:$C$306,"&gt;="&amp;DATE($B$3,7,2),'Leave log'!$F$7:$F$306,"Approved")&gt;0,"A",""))="A","A",IF(OR(DATE($B$3,7,2)&gt;EOMONTH(DATE($B$3,7,1),0),NETWORKDAYS.INTL(DATE($B$3,7,2),DATE($B$3,7,2),1,'Non-working days'!$A$6:$A$45)=0),"",IF(COUNTIFS('Leave log'!$A$7:$A$306,Employees!$A$32,'Leave log'!$B$7:$B$306,"&lt;="&amp;DATE($B$3,7,2),'Leave log'!$C$7:$C$306,"&gt;="&amp;DATE($B$3,7,2),'Leave log'!$F$7:$F$306,"Pending")&gt;0,"P",""))))</f>
        <v/>
      </c>
      <c r="D237" s="23" t="str">
        <f>IF(A237="","",IF(IF(OR(DATE($B$3,7,3)&gt;EOMONTH(DATE($B$3,7,1),0),NETWORKDAYS.INTL(DATE($B$3,7,3),DATE($B$3,7,3),1,'Non-working days'!$A$6:$A$45)=0),"",IF(COUNTIFS('Leave log'!$A$7:$A$306,Employees!$A$32,'Leave log'!$B$7:$B$306,"&lt;="&amp;DATE($B$3,7,3),'Leave log'!$C$7:$C$306,"&gt;="&amp;DATE($B$3,7,3),'Leave log'!$F$7:$F$306,"Approved")&gt;0,"A",""))="A","A",IF(OR(DATE($B$3,7,3)&gt;EOMONTH(DATE($B$3,7,1),0),NETWORKDAYS.INTL(DATE($B$3,7,3),DATE($B$3,7,3),1,'Non-working days'!$A$6:$A$45)=0),"",IF(COUNTIFS('Leave log'!$A$7:$A$306,Employees!$A$32,'Leave log'!$B$7:$B$306,"&lt;="&amp;DATE($B$3,7,3),'Leave log'!$C$7:$C$306,"&gt;="&amp;DATE($B$3,7,3),'Leave log'!$F$7:$F$306,"Pending")&gt;0,"P",""))))</f>
        <v/>
      </c>
      <c r="E237" s="23" t="str">
        <f>IF(A237="","",IF(IF(OR(DATE($B$3,7,4)&gt;EOMONTH(DATE($B$3,7,1),0),NETWORKDAYS.INTL(DATE($B$3,7,4),DATE($B$3,7,4),1,'Non-working days'!$A$6:$A$45)=0),"",IF(COUNTIFS('Leave log'!$A$7:$A$306,Employees!$A$32,'Leave log'!$B$7:$B$306,"&lt;="&amp;DATE($B$3,7,4),'Leave log'!$C$7:$C$306,"&gt;="&amp;DATE($B$3,7,4),'Leave log'!$F$7:$F$306,"Approved")&gt;0,"A",""))="A","A",IF(OR(DATE($B$3,7,4)&gt;EOMONTH(DATE($B$3,7,1),0),NETWORKDAYS.INTL(DATE($B$3,7,4),DATE($B$3,7,4),1,'Non-working days'!$A$6:$A$45)=0),"",IF(COUNTIFS('Leave log'!$A$7:$A$306,Employees!$A$32,'Leave log'!$B$7:$B$306,"&lt;="&amp;DATE($B$3,7,4),'Leave log'!$C$7:$C$306,"&gt;="&amp;DATE($B$3,7,4),'Leave log'!$F$7:$F$306,"Pending")&gt;0,"P",""))))</f>
        <v/>
      </c>
      <c r="F237" s="23" t="str">
        <f>IF(A237="","",IF(IF(OR(DATE($B$3,7,5)&gt;EOMONTH(DATE($B$3,7,1),0),NETWORKDAYS.INTL(DATE($B$3,7,5),DATE($B$3,7,5),1,'Non-working days'!$A$6:$A$45)=0),"",IF(COUNTIFS('Leave log'!$A$7:$A$306,Employees!$A$32,'Leave log'!$B$7:$B$306,"&lt;="&amp;DATE($B$3,7,5),'Leave log'!$C$7:$C$306,"&gt;="&amp;DATE($B$3,7,5),'Leave log'!$F$7:$F$306,"Approved")&gt;0,"A",""))="A","A",IF(OR(DATE($B$3,7,5)&gt;EOMONTH(DATE($B$3,7,1),0),NETWORKDAYS.INTL(DATE($B$3,7,5),DATE($B$3,7,5),1,'Non-working days'!$A$6:$A$45)=0),"",IF(COUNTIFS('Leave log'!$A$7:$A$306,Employees!$A$32,'Leave log'!$B$7:$B$306,"&lt;="&amp;DATE($B$3,7,5),'Leave log'!$C$7:$C$306,"&gt;="&amp;DATE($B$3,7,5),'Leave log'!$F$7:$F$306,"Pending")&gt;0,"P",""))))</f>
        <v/>
      </c>
      <c r="G237" s="23" t="str">
        <f>IF(A237="","",IF(IF(OR(DATE($B$3,7,6)&gt;EOMONTH(DATE($B$3,7,1),0),NETWORKDAYS.INTL(DATE($B$3,7,6),DATE($B$3,7,6),1,'Non-working days'!$A$6:$A$45)=0),"",IF(COUNTIFS('Leave log'!$A$7:$A$306,Employees!$A$32,'Leave log'!$B$7:$B$306,"&lt;="&amp;DATE($B$3,7,6),'Leave log'!$C$7:$C$306,"&gt;="&amp;DATE($B$3,7,6),'Leave log'!$F$7:$F$306,"Approved")&gt;0,"A",""))="A","A",IF(OR(DATE($B$3,7,6)&gt;EOMONTH(DATE($B$3,7,1),0),NETWORKDAYS.INTL(DATE($B$3,7,6),DATE($B$3,7,6),1,'Non-working days'!$A$6:$A$45)=0),"",IF(COUNTIFS('Leave log'!$A$7:$A$306,Employees!$A$32,'Leave log'!$B$7:$B$306,"&lt;="&amp;DATE($B$3,7,6),'Leave log'!$C$7:$C$306,"&gt;="&amp;DATE($B$3,7,6),'Leave log'!$F$7:$F$306,"Pending")&gt;0,"P",""))))</f>
        <v/>
      </c>
      <c r="H237" s="23" t="str">
        <f>IF(A237="","",IF(IF(OR(DATE($B$3,7,7)&gt;EOMONTH(DATE($B$3,7,1),0),NETWORKDAYS.INTL(DATE($B$3,7,7),DATE($B$3,7,7),1,'Non-working days'!$A$6:$A$45)=0),"",IF(COUNTIFS('Leave log'!$A$7:$A$306,Employees!$A$32,'Leave log'!$B$7:$B$306,"&lt;="&amp;DATE($B$3,7,7),'Leave log'!$C$7:$C$306,"&gt;="&amp;DATE($B$3,7,7),'Leave log'!$F$7:$F$306,"Approved")&gt;0,"A",""))="A","A",IF(OR(DATE($B$3,7,7)&gt;EOMONTH(DATE($B$3,7,1),0),NETWORKDAYS.INTL(DATE($B$3,7,7),DATE($B$3,7,7),1,'Non-working days'!$A$6:$A$45)=0),"",IF(COUNTIFS('Leave log'!$A$7:$A$306,Employees!$A$32,'Leave log'!$B$7:$B$306,"&lt;="&amp;DATE($B$3,7,7),'Leave log'!$C$7:$C$306,"&gt;="&amp;DATE($B$3,7,7),'Leave log'!$F$7:$F$306,"Pending")&gt;0,"P",""))))</f>
        <v/>
      </c>
      <c r="I237" s="23" t="str">
        <f>IF(A237="","",IF(IF(OR(DATE($B$3,7,8)&gt;EOMONTH(DATE($B$3,7,1),0),NETWORKDAYS.INTL(DATE($B$3,7,8),DATE($B$3,7,8),1,'Non-working days'!$A$6:$A$45)=0),"",IF(COUNTIFS('Leave log'!$A$7:$A$306,Employees!$A$32,'Leave log'!$B$7:$B$306,"&lt;="&amp;DATE($B$3,7,8),'Leave log'!$C$7:$C$306,"&gt;="&amp;DATE($B$3,7,8),'Leave log'!$F$7:$F$306,"Approved")&gt;0,"A",""))="A","A",IF(OR(DATE($B$3,7,8)&gt;EOMONTH(DATE($B$3,7,1),0),NETWORKDAYS.INTL(DATE($B$3,7,8),DATE($B$3,7,8),1,'Non-working days'!$A$6:$A$45)=0),"",IF(COUNTIFS('Leave log'!$A$7:$A$306,Employees!$A$32,'Leave log'!$B$7:$B$306,"&lt;="&amp;DATE($B$3,7,8),'Leave log'!$C$7:$C$306,"&gt;="&amp;DATE($B$3,7,8),'Leave log'!$F$7:$F$306,"Pending")&gt;0,"P",""))))</f>
        <v/>
      </c>
      <c r="J237" s="23" t="str">
        <f>IF(A237="","",IF(IF(OR(DATE($B$3,7,9)&gt;EOMONTH(DATE($B$3,7,1),0),NETWORKDAYS.INTL(DATE($B$3,7,9),DATE($B$3,7,9),1,'Non-working days'!$A$6:$A$45)=0),"",IF(COUNTIFS('Leave log'!$A$7:$A$306,Employees!$A$32,'Leave log'!$B$7:$B$306,"&lt;="&amp;DATE($B$3,7,9),'Leave log'!$C$7:$C$306,"&gt;="&amp;DATE($B$3,7,9),'Leave log'!$F$7:$F$306,"Approved")&gt;0,"A",""))="A","A",IF(OR(DATE($B$3,7,9)&gt;EOMONTH(DATE($B$3,7,1),0),NETWORKDAYS.INTL(DATE($B$3,7,9),DATE($B$3,7,9),1,'Non-working days'!$A$6:$A$45)=0),"",IF(COUNTIFS('Leave log'!$A$7:$A$306,Employees!$A$32,'Leave log'!$B$7:$B$306,"&lt;="&amp;DATE($B$3,7,9),'Leave log'!$C$7:$C$306,"&gt;="&amp;DATE($B$3,7,9),'Leave log'!$F$7:$F$306,"Pending")&gt;0,"P",""))))</f>
        <v/>
      </c>
      <c r="K237" s="23" t="str">
        <f>IF(A237="","",IF(IF(OR(DATE($B$3,7,10)&gt;EOMONTH(DATE($B$3,7,1),0),NETWORKDAYS.INTL(DATE($B$3,7,10),DATE($B$3,7,10),1,'Non-working days'!$A$6:$A$45)=0),"",IF(COUNTIFS('Leave log'!$A$7:$A$306,Employees!$A$32,'Leave log'!$B$7:$B$306,"&lt;="&amp;DATE($B$3,7,10),'Leave log'!$C$7:$C$306,"&gt;="&amp;DATE($B$3,7,10),'Leave log'!$F$7:$F$306,"Approved")&gt;0,"A",""))="A","A",IF(OR(DATE($B$3,7,10)&gt;EOMONTH(DATE($B$3,7,1),0),NETWORKDAYS.INTL(DATE($B$3,7,10),DATE($B$3,7,10),1,'Non-working days'!$A$6:$A$45)=0),"",IF(COUNTIFS('Leave log'!$A$7:$A$306,Employees!$A$32,'Leave log'!$B$7:$B$306,"&lt;="&amp;DATE($B$3,7,10),'Leave log'!$C$7:$C$306,"&gt;="&amp;DATE($B$3,7,10),'Leave log'!$F$7:$F$306,"Pending")&gt;0,"P",""))))</f>
        <v/>
      </c>
      <c r="L237" s="23" t="str">
        <f>IF(A237="","",IF(IF(OR(DATE($B$3,7,11)&gt;EOMONTH(DATE($B$3,7,1),0),NETWORKDAYS.INTL(DATE($B$3,7,11),DATE($B$3,7,11),1,'Non-working days'!$A$6:$A$45)=0),"",IF(COUNTIFS('Leave log'!$A$7:$A$306,Employees!$A$32,'Leave log'!$B$7:$B$306,"&lt;="&amp;DATE($B$3,7,11),'Leave log'!$C$7:$C$306,"&gt;="&amp;DATE($B$3,7,11),'Leave log'!$F$7:$F$306,"Approved")&gt;0,"A",""))="A","A",IF(OR(DATE($B$3,7,11)&gt;EOMONTH(DATE($B$3,7,1),0),NETWORKDAYS.INTL(DATE($B$3,7,11),DATE($B$3,7,11),1,'Non-working days'!$A$6:$A$45)=0),"",IF(COUNTIFS('Leave log'!$A$7:$A$306,Employees!$A$32,'Leave log'!$B$7:$B$306,"&lt;="&amp;DATE($B$3,7,11),'Leave log'!$C$7:$C$306,"&gt;="&amp;DATE($B$3,7,11),'Leave log'!$F$7:$F$306,"Pending")&gt;0,"P",""))))</f>
        <v/>
      </c>
      <c r="M237" s="23" t="str">
        <f>IF(A237="","",IF(IF(OR(DATE($B$3,7,12)&gt;EOMONTH(DATE($B$3,7,1),0),NETWORKDAYS.INTL(DATE($B$3,7,12),DATE($B$3,7,12),1,'Non-working days'!$A$6:$A$45)=0),"",IF(COUNTIFS('Leave log'!$A$7:$A$306,Employees!$A$32,'Leave log'!$B$7:$B$306,"&lt;="&amp;DATE($B$3,7,12),'Leave log'!$C$7:$C$306,"&gt;="&amp;DATE($B$3,7,12),'Leave log'!$F$7:$F$306,"Approved")&gt;0,"A",""))="A","A",IF(OR(DATE($B$3,7,12)&gt;EOMONTH(DATE($B$3,7,1),0),NETWORKDAYS.INTL(DATE($B$3,7,12),DATE($B$3,7,12),1,'Non-working days'!$A$6:$A$45)=0),"",IF(COUNTIFS('Leave log'!$A$7:$A$306,Employees!$A$32,'Leave log'!$B$7:$B$306,"&lt;="&amp;DATE($B$3,7,12),'Leave log'!$C$7:$C$306,"&gt;="&amp;DATE($B$3,7,12),'Leave log'!$F$7:$F$306,"Pending")&gt;0,"P",""))))</f>
        <v/>
      </c>
      <c r="N237" s="23" t="str">
        <f>IF(A237="","",IF(IF(OR(DATE($B$3,7,13)&gt;EOMONTH(DATE($B$3,7,1),0),NETWORKDAYS.INTL(DATE($B$3,7,13),DATE($B$3,7,13),1,'Non-working days'!$A$6:$A$45)=0),"",IF(COUNTIFS('Leave log'!$A$7:$A$306,Employees!$A$32,'Leave log'!$B$7:$B$306,"&lt;="&amp;DATE($B$3,7,13),'Leave log'!$C$7:$C$306,"&gt;="&amp;DATE($B$3,7,13),'Leave log'!$F$7:$F$306,"Approved")&gt;0,"A",""))="A","A",IF(OR(DATE($B$3,7,13)&gt;EOMONTH(DATE($B$3,7,1),0),NETWORKDAYS.INTL(DATE($B$3,7,13),DATE($B$3,7,13),1,'Non-working days'!$A$6:$A$45)=0),"",IF(COUNTIFS('Leave log'!$A$7:$A$306,Employees!$A$32,'Leave log'!$B$7:$B$306,"&lt;="&amp;DATE($B$3,7,13),'Leave log'!$C$7:$C$306,"&gt;="&amp;DATE($B$3,7,13),'Leave log'!$F$7:$F$306,"Pending")&gt;0,"P",""))))</f>
        <v/>
      </c>
      <c r="O237" s="23" t="str">
        <f>IF(A237="","",IF(IF(OR(DATE($B$3,7,14)&gt;EOMONTH(DATE($B$3,7,1),0),NETWORKDAYS.INTL(DATE($B$3,7,14),DATE($B$3,7,14),1,'Non-working days'!$A$6:$A$45)=0),"",IF(COUNTIFS('Leave log'!$A$7:$A$306,Employees!$A$32,'Leave log'!$B$7:$B$306,"&lt;="&amp;DATE($B$3,7,14),'Leave log'!$C$7:$C$306,"&gt;="&amp;DATE($B$3,7,14),'Leave log'!$F$7:$F$306,"Approved")&gt;0,"A",""))="A","A",IF(OR(DATE($B$3,7,14)&gt;EOMONTH(DATE($B$3,7,1),0),NETWORKDAYS.INTL(DATE($B$3,7,14),DATE($B$3,7,14),1,'Non-working days'!$A$6:$A$45)=0),"",IF(COUNTIFS('Leave log'!$A$7:$A$306,Employees!$A$32,'Leave log'!$B$7:$B$306,"&lt;="&amp;DATE($B$3,7,14),'Leave log'!$C$7:$C$306,"&gt;="&amp;DATE($B$3,7,14),'Leave log'!$F$7:$F$306,"Pending")&gt;0,"P",""))))</f>
        <v/>
      </c>
      <c r="P237" s="23" t="str">
        <f>IF(A237="","",IF(IF(OR(DATE($B$3,7,15)&gt;EOMONTH(DATE($B$3,7,1),0),NETWORKDAYS.INTL(DATE($B$3,7,15),DATE($B$3,7,15),1,'Non-working days'!$A$6:$A$45)=0),"",IF(COUNTIFS('Leave log'!$A$7:$A$306,Employees!$A$32,'Leave log'!$B$7:$B$306,"&lt;="&amp;DATE($B$3,7,15),'Leave log'!$C$7:$C$306,"&gt;="&amp;DATE($B$3,7,15),'Leave log'!$F$7:$F$306,"Approved")&gt;0,"A",""))="A","A",IF(OR(DATE($B$3,7,15)&gt;EOMONTH(DATE($B$3,7,1),0),NETWORKDAYS.INTL(DATE($B$3,7,15),DATE($B$3,7,15),1,'Non-working days'!$A$6:$A$45)=0),"",IF(COUNTIFS('Leave log'!$A$7:$A$306,Employees!$A$32,'Leave log'!$B$7:$B$306,"&lt;="&amp;DATE($B$3,7,15),'Leave log'!$C$7:$C$306,"&gt;="&amp;DATE($B$3,7,15),'Leave log'!$F$7:$F$306,"Pending")&gt;0,"P",""))))</f>
        <v/>
      </c>
      <c r="Q237" s="23" t="str">
        <f>IF(A237="","",IF(IF(OR(DATE($B$3,7,16)&gt;EOMONTH(DATE($B$3,7,1),0),NETWORKDAYS.INTL(DATE($B$3,7,16),DATE($B$3,7,16),1,'Non-working days'!$A$6:$A$45)=0),"",IF(COUNTIFS('Leave log'!$A$7:$A$306,Employees!$A$32,'Leave log'!$B$7:$B$306,"&lt;="&amp;DATE($B$3,7,16),'Leave log'!$C$7:$C$306,"&gt;="&amp;DATE($B$3,7,16),'Leave log'!$F$7:$F$306,"Approved")&gt;0,"A",""))="A","A",IF(OR(DATE($B$3,7,16)&gt;EOMONTH(DATE($B$3,7,1),0),NETWORKDAYS.INTL(DATE($B$3,7,16),DATE($B$3,7,16),1,'Non-working days'!$A$6:$A$45)=0),"",IF(COUNTIFS('Leave log'!$A$7:$A$306,Employees!$A$32,'Leave log'!$B$7:$B$306,"&lt;="&amp;DATE($B$3,7,16),'Leave log'!$C$7:$C$306,"&gt;="&amp;DATE($B$3,7,16),'Leave log'!$F$7:$F$306,"Pending")&gt;0,"P",""))))</f>
        <v/>
      </c>
      <c r="R237" s="23" t="str">
        <f>IF(A237="","",IF(IF(OR(DATE($B$3,7,17)&gt;EOMONTH(DATE($B$3,7,1),0),NETWORKDAYS.INTL(DATE($B$3,7,17),DATE($B$3,7,17),1,'Non-working days'!$A$6:$A$45)=0),"",IF(COUNTIFS('Leave log'!$A$7:$A$306,Employees!$A$32,'Leave log'!$B$7:$B$306,"&lt;="&amp;DATE($B$3,7,17),'Leave log'!$C$7:$C$306,"&gt;="&amp;DATE($B$3,7,17),'Leave log'!$F$7:$F$306,"Approved")&gt;0,"A",""))="A","A",IF(OR(DATE($B$3,7,17)&gt;EOMONTH(DATE($B$3,7,1),0),NETWORKDAYS.INTL(DATE($B$3,7,17),DATE($B$3,7,17),1,'Non-working days'!$A$6:$A$45)=0),"",IF(COUNTIFS('Leave log'!$A$7:$A$306,Employees!$A$32,'Leave log'!$B$7:$B$306,"&lt;="&amp;DATE($B$3,7,17),'Leave log'!$C$7:$C$306,"&gt;="&amp;DATE($B$3,7,17),'Leave log'!$F$7:$F$306,"Pending")&gt;0,"P",""))))</f>
        <v/>
      </c>
      <c r="S237" s="23" t="str">
        <f>IF(A237="","",IF(IF(OR(DATE($B$3,7,18)&gt;EOMONTH(DATE($B$3,7,1),0),NETWORKDAYS.INTL(DATE($B$3,7,18),DATE($B$3,7,18),1,'Non-working days'!$A$6:$A$45)=0),"",IF(COUNTIFS('Leave log'!$A$7:$A$306,Employees!$A$32,'Leave log'!$B$7:$B$306,"&lt;="&amp;DATE($B$3,7,18),'Leave log'!$C$7:$C$306,"&gt;="&amp;DATE($B$3,7,18),'Leave log'!$F$7:$F$306,"Approved")&gt;0,"A",""))="A","A",IF(OR(DATE($B$3,7,18)&gt;EOMONTH(DATE($B$3,7,1),0),NETWORKDAYS.INTL(DATE($B$3,7,18),DATE($B$3,7,18),1,'Non-working days'!$A$6:$A$45)=0),"",IF(COUNTIFS('Leave log'!$A$7:$A$306,Employees!$A$32,'Leave log'!$B$7:$B$306,"&lt;="&amp;DATE($B$3,7,18),'Leave log'!$C$7:$C$306,"&gt;="&amp;DATE($B$3,7,18),'Leave log'!$F$7:$F$306,"Pending")&gt;0,"P",""))))</f>
        <v/>
      </c>
      <c r="T237" s="23" t="str">
        <f>IF(A237="","",IF(IF(OR(DATE($B$3,7,19)&gt;EOMONTH(DATE($B$3,7,1),0),NETWORKDAYS.INTL(DATE($B$3,7,19),DATE($B$3,7,19),1,'Non-working days'!$A$6:$A$45)=0),"",IF(COUNTIFS('Leave log'!$A$7:$A$306,Employees!$A$32,'Leave log'!$B$7:$B$306,"&lt;="&amp;DATE($B$3,7,19),'Leave log'!$C$7:$C$306,"&gt;="&amp;DATE($B$3,7,19),'Leave log'!$F$7:$F$306,"Approved")&gt;0,"A",""))="A","A",IF(OR(DATE($B$3,7,19)&gt;EOMONTH(DATE($B$3,7,1),0),NETWORKDAYS.INTL(DATE($B$3,7,19),DATE($B$3,7,19),1,'Non-working days'!$A$6:$A$45)=0),"",IF(COUNTIFS('Leave log'!$A$7:$A$306,Employees!$A$32,'Leave log'!$B$7:$B$306,"&lt;="&amp;DATE($B$3,7,19),'Leave log'!$C$7:$C$306,"&gt;="&amp;DATE($B$3,7,19),'Leave log'!$F$7:$F$306,"Pending")&gt;0,"P",""))))</f>
        <v/>
      </c>
      <c r="U237" s="23" t="str">
        <f>IF(A237="","",IF(IF(OR(DATE($B$3,7,20)&gt;EOMONTH(DATE($B$3,7,1),0),NETWORKDAYS.INTL(DATE($B$3,7,20),DATE($B$3,7,20),1,'Non-working days'!$A$6:$A$45)=0),"",IF(COUNTIFS('Leave log'!$A$7:$A$306,Employees!$A$32,'Leave log'!$B$7:$B$306,"&lt;="&amp;DATE($B$3,7,20),'Leave log'!$C$7:$C$306,"&gt;="&amp;DATE($B$3,7,20),'Leave log'!$F$7:$F$306,"Approved")&gt;0,"A",""))="A","A",IF(OR(DATE($B$3,7,20)&gt;EOMONTH(DATE($B$3,7,1),0),NETWORKDAYS.INTL(DATE($B$3,7,20),DATE($B$3,7,20),1,'Non-working days'!$A$6:$A$45)=0),"",IF(COUNTIFS('Leave log'!$A$7:$A$306,Employees!$A$32,'Leave log'!$B$7:$B$306,"&lt;="&amp;DATE($B$3,7,20),'Leave log'!$C$7:$C$306,"&gt;="&amp;DATE($B$3,7,20),'Leave log'!$F$7:$F$306,"Pending")&gt;0,"P",""))))</f>
        <v/>
      </c>
      <c r="V237" s="23" t="str">
        <f>IF(A237="","",IF(IF(OR(DATE($B$3,7,21)&gt;EOMONTH(DATE($B$3,7,1),0),NETWORKDAYS.INTL(DATE($B$3,7,21),DATE($B$3,7,21),1,'Non-working days'!$A$6:$A$45)=0),"",IF(COUNTIFS('Leave log'!$A$7:$A$306,Employees!$A$32,'Leave log'!$B$7:$B$306,"&lt;="&amp;DATE($B$3,7,21),'Leave log'!$C$7:$C$306,"&gt;="&amp;DATE($B$3,7,21),'Leave log'!$F$7:$F$306,"Approved")&gt;0,"A",""))="A","A",IF(OR(DATE($B$3,7,21)&gt;EOMONTH(DATE($B$3,7,1),0),NETWORKDAYS.INTL(DATE($B$3,7,21),DATE($B$3,7,21),1,'Non-working days'!$A$6:$A$45)=0),"",IF(COUNTIFS('Leave log'!$A$7:$A$306,Employees!$A$32,'Leave log'!$B$7:$B$306,"&lt;="&amp;DATE($B$3,7,21),'Leave log'!$C$7:$C$306,"&gt;="&amp;DATE($B$3,7,21),'Leave log'!$F$7:$F$306,"Pending")&gt;0,"P",""))))</f>
        <v/>
      </c>
      <c r="W237" s="23" t="str">
        <f>IF(A237="","",IF(IF(OR(DATE($B$3,7,22)&gt;EOMONTH(DATE($B$3,7,1),0),NETWORKDAYS.INTL(DATE($B$3,7,22),DATE($B$3,7,22),1,'Non-working days'!$A$6:$A$45)=0),"",IF(COUNTIFS('Leave log'!$A$7:$A$306,Employees!$A$32,'Leave log'!$B$7:$B$306,"&lt;="&amp;DATE($B$3,7,22),'Leave log'!$C$7:$C$306,"&gt;="&amp;DATE($B$3,7,22),'Leave log'!$F$7:$F$306,"Approved")&gt;0,"A",""))="A","A",IF(OR(DATE($B$3,7,22)&gt;EOMONTH(DATE($B$3,7,1),0),NETWORKDAYS.INTL(DATE($B$3,7,22),DATE($B$3,7,22),1,'Non-working days'!$A$6:$A$45)=0),"",IF(COUNTIFS('Leave log'!$A$7:$A$306,Employees!$A$32,'Leave log'!$B$7:$B$306,"&lt;="&amp;DATE($B$3,7,22),'Leave log'!$C$7:$C$306,"&gt;="&amp;DATE($B$3,7,22),'Leave log'!$F$7:$F$306,"Pending")&gt;0,"P",""))))</f>
        <v/>
      </c>
      <c r="X237" s="23" t="str">
        <f>IF(A237="","",IF(IF(OR(DATE($B$3,7,23)&gt;EOMONTH(DATE($B$3,7,1),0),NETWORKDAYS.INTL(DATE($B$3,7,23),DATE($B$3,7,23),1,'Non-working days'!$A$6:$A$45)=0),"",IF(COUNTIFS('Leave log'!$A$7:$A$306,Employees!$A$32,'Leave log'!$B$7:$B$306,"&lt;="&amp;DATE($B$3,7,23),'Leave log'!$C$7:$C$306,"&gt;="&amp;DATE($B$3,7,23),'Leave log'!$F$7:$F$306,"Approved")&gt;0,"A",""))="A","A",IF(OR(DATE($B$3,7,23)&gt;EOMONTH(DATE($B$3,7,1),0),NETWORKDAYS.INTL(DATE($B$3,7,23),DATE($B$3,7,23),1,'Non-working days'!$A$6:$A$45)=0),"",IF(COUNTIFS('Leave log'!$A$7:$A$306,Employees!$A$32,'Leave log'!$B$7:$B$306,"&lt;="&amp;DATE($B$3,7,23),'Leave log'!$C$7:$C$306,"&gt;="&amp;DATE($B$3,7,23),'Leave log'!$F$7:$F$306,"Pending")&gt;0,"P",""))))</f>
        <v/>
      </c>
      <c r="Y237" s="23" t="str">
        <f>IF(A237="","",IF(IF(OR(DATE($B$3,7,24)&gt;EOMONTH(DATE($B$3,7,1),0),NETWORKDAYS.INTL(DATE($B$3,7,24),DATE($B$3,7,24),1,'Non-working days'!$A$6:$A$45)=0),"",IF(COUNTIFS('Leave log'!$A$7:$A$306,Employees!$A$32,'Leave log'!$B$7:$B$306,"&lt;="&amp;DATE($B$3,7,24),'Leave log'!$C$7:$C$306,"&gt;="&amp;DATE($B$3,7,24),'Leave log'!$F$7:$F$306,"Approved")&gt;0,"A",""))="A","A",IF(OR(DATE($B$3,7,24)&gt;EOMONTH(DATE($B$3,7,1),0),NETWORKDAYS.INTL(DATE($B$3,7,24),DATE($B$3,7,24),1,'Non-working days'!$A$6:$A$45)=0),"",IF(COUNTIFS('Leave log'!$A$7:$A$306,Employees!$A$32,'Leave log'!$B$7:$B$306,"&lt;="&amp;DATE($B$3,7,24),'Leave log'!$C$7:$C$306,"&gt;="&amp;DATE($B$3,7,24),'Leave log'!$F$7:$F$306,"Pending")&gt;0,"P",""))))</f>
        <v/>
      </c>
      <c r="Z237" s="23" t="str">
        <f>IF(A237="","",IF(IF(OR(DATE($B$3,7,25)&gt;EOMONTH(DATE($B$3,7,1),0),NETWORKDAYS.INTL(DATE($B$3,7,25),DATE($B$3,7,25),1,'Non-working days'!$A$6:$A$45)=0),"",IF(COUNTIFS('Leave log'!$A$7:$A$306,Employees!$A$32,'Leave log'!$B$7:$B$306,"&lt;="&amp;DATE($B$3,7,25),'Leave log'!$C$7:$C$306,"&gt;="&amp;DATE($B$3,7,25),'Leave log'!$F$7:$F$306,"Approved")&gt;0,"A",""))="A","A",IF(OR(DATE($B$3,7,25)&gt;EOMONTH(DATE($B$3,7,1),0),NETWORKDAYS.INTL(DATE($B$3,7,25),DATE($B$3,7,25),1,'Non-working days'!$A$6:$A$45)=0),"",IF(COUNTIFS('Leave log'!$A$7:$A$306,Employees!$A$32,'Leave log'!$B$7:$B$306,"&lt;="&amp;DATE($B$3,7,25),'Leave log'!$C$7:$C$306,"&gt;="&amp;DATE($B$3,7,25),'Leave log'!$F$7:$F$306,"Pending")&gt;0,"P",""))))</f>
        <v/>
      </c>
      <c r="AA237" s="23" t="str">
        <f>IF(A237="","",IF(IF(OR(DATE($B$3,7,26)&gt;EOMONTH(DATE($B$3,7,1),0),NETWORKDAYS.INTL(DATE($B$3,7,26),DATE($B$3,7,26),1,'Non-working days'!$A$6:$A$45)=0),"",IF(COUNTIFS('Leave log'!$A$7:$A$306,Employees!$A$32,'Leave log'!$B$7:$B$306,"&lt;="&amp;DATE($B$3,7,26),'Leave log'!$C$7:$C$306,"&gt;="&amp;DATE($B$3,7,26),'Leave log'!$F$7:$F$306,"Approved")&gt;0,"A",""))="A","A",IF(OR(DATE($B$3,7,26)&gt;EOMONTH(DATE($B$3,7,1),0),NETWORKDAYS.INTL(DATE($B$3,7,26),DATE($B$3,7,26),1,'Non-working days'!$A$6:$A$45)=0),"",IF(COUNTIFS('Leave log'!$A$7:$A$306,Employees!$A$32,'Leave log'!$B$7:$B$306,"&lt;="&amp;DATE($B$3,7,26),'Leave log'!$C$7:$C$306,"&gt;="&amp;DATE($B$3,7,26),'Leave log'!$F$7:$F$306,"Pending")&gt;0,"P",""))))</f>
        <v/>
      </c>
      <c r="AB237" s="23" t="str">
        <f>IF(A237="","",IF(IF(OR(DATE($B$3,7,27)&gt;EOMONTH(DATE($B$3,7,1),0),NETWORKDAYS.INTL(DATE($B$3,7,27),DATE($B$3,7,27),1,'Non-working days'!$A$6:$A$45)=0),"",IF(COUNTIFS('Leave log'!$A$7:$A$306,Employees!$A$32,'Leave log'!$B$7:$B$306,"&lt;="&amp;DATE($B$3,7,27),'Leave log'!$C$7:$C$306,"&gt;="&amp;DATE($B$3,7,27),'Leave log'!$F$7:$F$306,"Approved")&gt;0,"A",""))="A","A",IF(OR(DATE($B$3,7,27)&gt;EOMONTH(DATE($B$3,7,1),0),NETWORKDAYS.INTL(DATE($B$3,7,27),DATE($B$3,7,27),1,'Non-working days'!$A$6:$A$45)=0),"",IF(COUNTIFS('Leave log'!$A$7:$A$306,Employees!$A$32,'Leave log'!$B$7:$B$306,"&lt;="&amp;DATE($B$3,7,27),'Leave log'!$C$7:$C$306,"&gt;="&amp;DATE($B$3,7,27),'Leave log'!$F$7:$F$306,"Pending")&gt;0,"P",""))))</f>
        <v/>
      </c>
      <c r="AC237" s="23" t="str">
        <f>IF(A237="","",IF(IF(OR(DATE($B$3,7,28)&gt;EOMONTH(DATE($B$3,7,1),0),NETWORKDAYS.INTL(DATE($B$3,7,28),DATE($B$3,7,28),1,'Non-working days'!$A$6:$A$45)=0),"",IF(COUNTIFS('Leave log'!$A$7:$A$306,Employees!$A$32,'Leave log'!$B$7:$B$306,"&lt;="&amp;DATE($B$3,7,28),'Leave log'!$C$7:$C$306,"&gt;="&amp;DATE($B$3,7,28),'Leave log'!$F$7:$F$306,"Approved")&gt;0,"A",""))="A","A",IF(OR(DATE($B$3,7,28)&gt;EOMONTH(DATE($B$3,7,1),0),NETWORKDAYS.INTL(DATE($B$3,7,28),DATE($B$3,7,28),1,'Non-working days'!$A$6:$A$45)=0),"",IF(COUNTIFS('Leave log'!$A$7:$A$306,Employees!$A$32,'Leave log'!$B$7:$B$306,"&lt;="&amp;DATE($B$3,7,28),'Leave log'!$C$7:$C$306,"&gt;="&amp;DATE($B$3,7,28),'Leave log'!$F$7:$F$306,"Pending")&gt;0,"P",""))))</f>
        <v/>
      </c>
      <c r="AD237" s="23" t="str">
        <f>IF(A237="","",IF(IF(OR(DATE($B$3,7,29)&gt;EOMONTH(DATE($B$3,7,1),0),NETWORKDAYS.INTL(DATE($B$3,7,29),DATE($B$3,7,29),1,'Non-working days'!$A$6:$A$45)=0),"",IF(COUNTIFS('Leave log'!$A$7:$A$306,Employees!$A$32,'Leave log'!$B$7:$B$306,"&lt;="&amp;DATE($B$3,7,29),'Leave log'!$C$7:$C$306,"&gt;="&amp;DATE($B$3,7,29),'Leave log'!$F$7:$F$306,"Approved")&gt;0,"A",""))="A","A",IF(OR(DATE($B$3,7,29)&gt;EOMONTH(DATE($B$3,7,1),0),NETWORKDAYS.INTL(DATE($B$3,7,29),DATE($B$3,7,29),1,'Non-working days'!$A$6:$A$45)=0),"",IF(COUNTIFS('Leave log'!$A$7:$A$306,Employees!$A$32,'Leave log'!$B$7:$B$306,"&lt;="&amp;DATE($B$3,7,29),'Leave log'!$C$7:$C$306,"&gt;="&amp;DATE($B$3,7,29),'Leave log'!$F$7:$F$306,"Pending")&gt;0,"P",""))))</f>
        <v/>
      </c>
      <c r="AE237" s="23" t="str">
        <f>IF(A237="","",IF(IF(OR(DATE($B$3,7,30)&gt;EOMONTH(DATE($B$3,7,1),0),NETWORKDAYS.INTL(DATE($B$3,7,30),DATE($B$3,7,30),1,'Non-working days'!$A$6:$A$45)=0),"",IF(COUNTIFS('Leave log'!$A$7:$A$306,Employees!$A$32,'Leave log'!$B$7:$B$306,"&lt;="&amp;DATE($B$3,7,30),'Leave log'!$C$7:$C$306,"&gt;="&amp;DATE($B$3,7,30),'Leave log'!$F$7:$F$306,"Approved")&gt;0,"A",""))="A","A",IF(OR(DATE($B$3,7,30)&gt;EOMONTH(DATE($B$3,7,1),0),NETWORKDAYS.INTL(DATE($B$3,7,30),DATE($B$3,7,30),1,'Non-working days'!$A$6:$A$45)=0),"",IF(COUNTIFS('Leave log'!$A$7:$A$306,Employees!$A$32,'Leave log'!$B$7:$B$306,"&lt;="&amp;DATE($B$3,7,30),'Leave log'!$C$7:$C$306,"&gt;="&amp;DATE($B$3,7,30),'Leave log'!$F$7:$F$306,"Pending")&gt;0,"P",""))))</f>
        <v/>
      </c>
      <c r="AF237" s="23" t="str">
        <f>IF(A237="","",IF(IF(OR(DATE($B$3,7,31)&gt;EOMONTH(DATE($B$3,7,1),0),NETWORKDAYS.INTL(DATE($B$3,7,31),DATE($B$3,7,31),1,'Non-working days'!$A$6:$A$45)=0),"",IF(COUNTIFS('Leave log'!$A$7:$A$306,Employees!$A$32,'Leave log'!$B$7:$B$306,"&lt;="&amp;DATE($B$3,7,31),'Leave log'!$C$7:$C$306,"&gt;="&amp;DATE($B$3,7,31),'Leave log'!$F$7:$F$306,"Approved")&gt;0,"A",""))="A","A",IF(OR(DATE($B$3,7,31)&gt;EOMONTH(DATE($B$3,7,1),0),NETWORKDAYS.INTL(DATE($B$3,7,31),DATE($B$3,7,31),1,'Non-working days'!$A$6:$A$45)=0),"",IF(COUNTIFS('Leave log'!$A$7:$A$306,Employees!$A$32,'Leave log'!$B$7:$B$306,"&lt;="&amp;DATE($B$3,7,31),'Leave log'!$C$7:$C$306,"&gt;="&amp;DATE($B$3,7,31),'Leave log'!$F$7:$F$306,"Pending")&gt;0,"P",""))))</f>
        <v/>
      </c>
    </row>
    <row r="238" spans="1:32" ht="18" customHeight="1" x14ac:dyDescent="0.3">
      <c r="A238" s="22" t="str">
        <f>IF(Employees!F33="Yes",Employees!B33,"")</f>
        <v/>
      </c>
      <c r="B238" s="23" t="str">
        <f>IF(A238="","",IF(IF(OR(DATE($B$3,7,1)&gt;EOMONTH(DATE($B$3,7,1),0),NETWORKDAYS.INTL(DATE($B$3,7,1),DATE($B$3,7,1),1,'Non-working days'!$A$6:$A$45)=0),"",IF(COUNTIFS('Leave log'!$A$7:$A$306,Employees!$A$33,'Leave log'!$B$7:$B$306,"&lt;="&amp;DATE($B$3,7,1),'Leave log'!$C$7:$C$306,"&gt;="&amp;DATE($B$3,7,1),'Leave log'!$F$7:$F$306,"Approved")&gt;0,"A",""))="A","A",IF(OR(DATE($B$3,7,1)&gt;EOMONTH(DATE($B$3,7,1),0),NETWORKDAYS.INTL(DATE($B$3,7,1),DATE($B$3,7,1),1,'Non-working days'!$A$6:$A$45)=0),"",IF(COUNTIFS('Leave log'!$A$7:$A$306,Employees!$A$33,'Leave log'!$B$7:$B$306,"&lt;="&amp;DATE($B$3,7,1),'Leave log'!$C$7:$C$306,"&gt;="&amp;DATE($B$3,7,1),'Leave log'!$F$7:$F$306,"Pending")&gt;0,"P",""))))</f>
        <v/>
      </c>
      <c r="C238" s="23" t="str">
        <f>IF(A238="","",IF(IF(OR(DATE($B$3,7,2)&gt;EOMONTH(DATE($B$3,7,1),0),NETWORKDAYS.INTL(DATE($B$3,7,2),DATE($B$3,7,2),1,'Non-working days'!$A$6:$A$45)=0),"",IF(COUNTIFS('Leave log'!$A$7:$A$306,Employees!$A$33,'Leave log'!$B$7:$B$306,"&lt;="&amp;DATE($B$3,7,2),'Leave log'!$C$7:$C$306,"&gt;="&amp;DATE($B$3,7,2),'Leave log'!$F$7:$F$306,"Approved")&gt;0,"A",""))="A","A",IF(OR(DATE($B$3,7,2)&gt;EOMONTH(DATE($B$3,7,1),0),NETWORKDAYS.INTL(DATE($B$3,7,2),DATE($B$3,7,2),1,'Non-working days'!$A$6:$A$45)=0),"",IF(COUNTIFS('Leave log'!$A$7:$A$306,Employees!$A$33,'Leave log'!$B$7:$B$306,"&lt;="&amp;DATE($B$3,7,2),'Leave log'!$C$7:$C$306,"&gt;="&amp;DATE($B$3,7,2),'Leave log'!$F$7:$F$306,"Pending")&gt;0,"P",""))))</f>
        <v/>
      </c>
      <c r="D238" s="23" t="str">
        <f>IF(A238="","",IF(IF(OR(DATE($B$3,7,3)&gt;EOMONTH(DATE($B$3,7,1),0),NETWORKDAYS.INTL(DATE($B$3,7,3),DATE($B$3,7,3),1,'Non-working days'!$A$6:$A$45)=0),"",IF(COUNTIFS('Leave log'!$A$7:$A$306,Employees!$A$33,'Leave log'!$B$7:$B$306,"&lt;="&amp;DATE($B$3,7,3),'Leave log'!$C$7:$C$306,"&gt;="&amp;DATE($B$3,7,3),'Leave log'!$F$7:$F$306,"Approved")&gt;0,"A",""))="A","A",IF(OR(DATE($B$3,7,3)&gt;EOMONTH(DATE($B$3,7,1),0),NETWORKDAYS.INTL(DATE($B$3,7,3),DATE($B$3,7,3),1,'Non-working days'!$A$6:$A$45)=0),"",IF(COUNTIFS('Leave log'!$A$7:$A$306,Employees!$A$33,'Leave log'!$B$7:$B$306,"&lt;="&amp;DATE($B$3,7,3),'Leave log'!$C$7:$C$306,"&gt;="&amp;DATE($B$3,7,3),'Leave log'!$F$7:$F$306,"Pending")&gt;0,"P",""))))</f>
        <v/>
      </c>
      <c r="E238" s="23" t="str">
        <f>IF(A238="","",IF(IF(OR(DATE($B$3,7,4)&gt;EOMONTH(DATE($B$3,7,1),0),NETWORKDAYS.INTL(DATE($B$3,7,4),DATE($B$3,7,4),1,'Non-working days'!$A$6:$A$45)=0),"",IF(COUNTIFS('Leave log'!$A$7:$A$306,Employees!$A$33,'Leave log'!$B$7:$B$306,"&lt;="&amp;DATE($B$3,7,4),'Leave log'!$C$7:$C$306,"&gt;="&amp;DATE($B$3,7,4),'Leave log'!$F$7:$F$306,"Approved")&gt;0,"A",""))="A","A",IF(OR(DATE($B$3,7,4)&gt;EOMONTH(DATE($B$3,7,1),0),NETWORKDAYS.INTL(DATE($B$3,7,4),DATE($B$3,7,4),1,'Non-working days'!$A$6:$A$45)=0),"",IF(COUNTIFS('Leave log'!$A$7:$A$306,Employees!$A$33,'Leave log'!$B$7:$B$306,"&lt;="&amp;DATE($B$3,7,4),'Leave log'!$C$7:$C$306,"&gt;="&amp;DATE($B$3,7,4),'Leave log'!$F$7:$F$306,"Pending")&gt;0,"P",""))))</f>
        <v/>
      </c>
      <c r="F238" s="23" t="str">
        <f>IF(A238="","",IF(IF(OR(DATE($B$3,7,5)&gt;EOMONTH(DATE($B$3,7,1),0),NETWORKDAYS.INTL(DATE($B$3,7,5),DATE($B$3,7,5),1,'Non-working days'!$A$6:$A$45)=0),"",IF(COUNTIFS('Leave log'!$A$7:$A$306,Employees!$A$33,'Leave log'!$B$7:$B$306,"&lt;="&amp;DATE($B$3,7,5),'Leave log'!$C$7:$C$306,"&gt;="&amp;DATE($B$3,7,5),'Leave log'!$F$7:$F$306,"Approved")&gt;0,"A",""))="A","A",IF(OR(DATE($B$3,7,5)&gt;EOMONTH(DATE($B$3,7,1),0),NETWORKDAYS.INTL(DATE($B$3,7,5),DATE($B$3,7,5),1,'Non-working days'!$A$6:$A$45)=0),"",IF(COUNTIFS('Leave log'!$A$7:$A$306,Employees!$A$33,'Leave log'!$B$7:$B$306,"&lt;="&amp;DATE($B$3,7,5),'Leave log'!$C$7:$C$306,"&gt;="&amp;DATE($B$3,7,5),'Leave log'!$F$7:$F$306,"Pending")&gt;0,"P",""))))</f>
        <v/>
      </c>
      <c r="G238" s="23" t="str">
        <f>IF(A238="","",IF(IF(OR(DATE($B$3,7,6)&gt;EOMONTH(DATE($B$3,7,1),0),NETWORKDAYS.INTL(DATE($B$3,7,6),DATE($B$3,7,6),1,'Non-working days'!$A$6:$A$45)=0),"",IF(COUNTIFS('Leave log'!$A$7:$A$306,Employees!$A$33,'Leave log'!$B$7:$B$306,"&lt;="&amp;DATE($B$3,7,6),'Leave log'!$C$7:$C$306,"&gt;="&amp;DATE($B$3,7,6),'Leave log'!$F$7:$F$306,"Approved")&gt;0,"A",""))="A","A",IF(OR(DATE($B$3,7,6)&gt;EOMONTH(DATE($B$3,7,1),0),NETWORKDAYS.INTL(DATE($B$3,7,6),DATE($B$3,7,6),1,'Non-working days'!$A$6:$A$45)=0),"",IF(COUNTIFS('Leave log'!$A$7:$A$306,Employees!$A$33,'Leave log'!$B$7:$B$306,"&lt;="&amp;DATE($B$3,7,6),'Leave log'!$C$7:$C$306,"&gt;="&amp;DATE($B$3,7,6),'Leave log'!$F$7:$F$306,"Pending")&gt;0,"P",""))))</f>
        <v/>
      </c>
      <c r="H238" s="23" t="str">
        <f>IF(A238="","",IF(IF(OR(DATE($B$3,7,7)&gt;EOMONTH(DATE($B$3,7,1),0),NETWORKDAYS.INTL(DATE($B$3,7,7),DATE($B$3,7,7),1,'Non-working days'!$A$6:$A$45)=0),"",IF(COUNTIFS('Leave log'!$A$7:$A$306,Employees!$A$33,'Leave log'!$B$7:$B$306,"&lt;="&amp;DATE($B$3,7,7),'Leave log'!$C$7:$C$306,"&gt;="&amp;DATE($B$3,7,7),'Leave log'!$F$7:$F$306,"Approved")&gt;0,"A",""))="A","A",IF(OR(DATE($B$3,7,7)&gt;EOMONTH(DATE($B$3,7,1),0),NETWORKDAYS.INTL(DATE($B$3,7,7),DATE($B$3,7,7),1,'Non-working days'!$A$6:$A$45)=0),"",IF(COUNTIFS('Leave log'!$A$7:$A$306,Employees!$A$33,'Leave log'!$B$7:$B$306,"&lt;="&amp;DATE($B$3,7,7),'Leave log'!$C$7:$C$306,"&gt;="&amp;DATE($B$3,7,7),'Leave log'!$F$7:$F$306,"Pending")&gt;0,"P",""))))</f>
        <v/>
      </c>
      <c r="I238" s="23" t="str">
        <f>IF(A238="","",IF(IF(OR(DATE($B$3,7,8)&gt;EOMONTH(DATE($B$3,7,1),0),NETWORKDAYS.INTL(DATE($B$3,7,8),DATE($B$3,7,8),1,'Non-working days'!$A$6:$A$45)=0),"",IF(COUNTIFS('Leave log'!$A$7:$A$306,Employees!$A$33,'Leave log'!$B$7:$B$306,"&lt;="&amp;DATE($B$3,7,8),'Leave log'!$C$7:$C$306,"&gt;="&amp;DATE($B$3,7,8),'Leave log'!$F$7:$F$306,"Approved")&gt;0,"A",""))="A","A",IF(OR(DATE($B$3,7,8)&gt;EOMONTH(DATE($B$3,7,1),0),NETWORKDAYS.INTL(DATE($B$3,7,8),DATE($B$3,7,8),1,'Non-working days'!$A$6:$A$45)=0),"",IF(COUNTIFS('Leave log'!$A$7:$A$306,Employees!$A$33,'Leave log'!$B$7:$B$306,"&lt;="&amp;DATE($B$3,7,8),'Leave log'!$C$7:$C$306,"&gt;="&amp;DATE($B$3,7,8),'Leave log'!$F$7:$F$306,"Pending")&gt;0,"P",""))))</f>
        <v/>
      </c>
      <c r="J238" s="23" t="str">
        <f>IF(A238="","",IF(IF(OR(DATE($B$3,7,9)&gt;EOMONTH(DATE($B$3,7,1),0),NETWORKDAYS.INTL(DATE($B$3,7,9),DATE($B$3,7,9),1,'Non-working days'!$A$6:$A$45)=0),"",IF(COUNTIFS('Leave log'!$A$7:$A$306,Employees!$A$33,'Leave log'!$B$7:$B$306,"&lt;="&amp;DATE($B$3,7,9),'Leave log'!$C$7:$C$306,"&gt;="&amp;DATE($B$3,7,9),'Leave log'!$F$7:$F$306,"Approved")&gt;0,"A",""))="A","A",IF(OR(DATE($B$3,7,9)&gt;EOMONTH(DATE($B$3,7,1),0),NETWORKDAYS.INTL(DATE($B$3,7,9),DATE($B$3,7,9),1,'Non-working days'!$A$6:$A$45)=0),"",IF(COUNTIFS('Leave log'!$A$7:$A$306,Employees!$A$33,'Leave log'!$B$7:$B$306,"&lt;="&amp;DATE($B$3,7,9),'Leave log'!$C$7:$C$306,"&gt;="&amp;DATE($B$3,7,9),'Leave log'!$F$7:$F$306,"Pending")&gt;0,"P",""))))</f>
        <v/>
      </c>
      <c r="K238" s="23" t="str">
        <f>IF(A238="","",IF(IF(OR(DATE($B$3,7,10)&gt;EOMONTH(DATE($B$3,7,1),0),NETWORKDAYS.INTL(DATE($B$3,7,10),DATE($B$3,7,10),1,'Non-working days'!$A$6:$A$45)=0),"",IF(COUNTIFS('Leave log'!$A$7:$A$306,Employees!$A$33,'Leave log'!$B$7:$B$306,"&lt;="&amp;DATE($B$3,7,10),'Leave log'!$C$7:$C$306,"&gt;="&amp;DATE($B$3,7,10),'Leave log'!$F$7:$F$306,"Approved")&gt;0,"A",""))="A","A",IF(OR(DATE($B$3,7,10)&gt;EOMONTH(DATE($B$3,7,1),0),NETWORKDAYS.INTL(DATE($B$3,7,10),DATE($B$3,7,10),1,'Non-working days'!$A$6:$A$45)=0),"",IF(COUNTIFS('Leave log'!$A$7:$A$306,Employees!$A$33,'Leave log'!$B$7:$B$306,"&lt;="&amp;DATE($B$3,7,10),'Leave log'!$C$7:$C$306,"&gt;="&amp;DATE($B$3,7,10),'Leave log'!$F$7:$F$306,"Pending")&gt;0,"P",""))))</f>
        <v/>
      </c>
      <c r="L238" s="23" t="str">
        <f>IF(A238="","",IF(IF(OR(DATE($B$3,7,11)&gt;EOMONTH(DATE($B$3,7,1),0),NETWORKDAYS.INTL(DATE($B$3,7,11),DATE($B$3,7,11),1,'Non-working days'!$A$6:$A$45)=0),"",IF(COUNTIFS('Leave log'!$A$7:$A$306,Employees!$A$33,'Leave log'!$B$7:$B$306,"&lt;="&amp;DATE($B$3,7,11),'Leave log'!$C$7:$C$306,"&gt;="&amp;DATE($B$3,7,11),'Leave log'!$F$7:$F$306,"Approved")&gt;0,"A",""))="A","A",IF(OR(DATE($B$3,7,11)&gt;EOMONTH(DATE($B$3,7,1),0),NETWORKDAYS.INTL(DATE($B$3,7,11),DATE($B$3,7,11),1,'Non-working days'!$A$6:$A$45)=0),"",IF(COUNTIFS('Leave log'!$A$7:$A$306,Employees!$A$33,'Leave log'!$B$7:$B$306,"&lt;="&amp;DATE($B$3,7,11),'Leave log'!$C$7:$C$306,"&gt;="&amp;DATE($B$3,7,11),'Leave log'!$F$7:$F$306,"Pending")&gt;0,"P",""))))</f>
        <v/>
      </c>
      <c r="M238" s="23" t="str">
        <f>IF(A238="","",IF(IF(OR(DATE($B$3,7,12)&gt;EOMONTH(DATE($B$3,7,1),0),NETWORKDAYS.INTL(DATE($B$3,7,12),DATE($B$3,7,12),1,'Non-working days'!$A$6:$A$45)=0),"",IF(COUNTIFS('Leave log'!$A$7:$A$306,Employees!$A$33,'Leave log'!$B$7:$B$306,"&lt;="&amp;DATE($B$3,7,12),'Leave log'!$C$7:$C$306,"&gt;="&amp;DATE($B$3,7,12),'Leave log'!$F$7:$F$306,"Approved")&gt;0,"A",""))="A","A",IF(OR(DATE($B$3,7,12)&gt;EOMONTH(DATE($B$3,7,1),0),NETWORKDAYS.INTL(DATE($B$3,7,12),DATE($B$3,7,12),1,'Non-working days'!$A$6:$A$45)=0),"",IF(COUNTIFS('Leave log'!$A$7:$A$306,Employees!$A$33,'Leave log'!$B$7:$B$306,"&lt;="&amp;DATE($B$3,7,12),'Leave log'!$C$7:$C$306,"&gt;="&amp;DATE($B$3,7,12),'Leave log'!$F$7:$F$306,"Pending")&gt;0,"P",""))))</f>
        <v/>
      </c>
      <c r="N238" s="23" t="str">
        <f>IF(A238="","",IF(IF(OR(DATE($B$3,7,13)&gt;EOMONTH(DATE($B$3,7,1),0),NETWORKDAYS.INTL(DATE($B$3,7,13),DATE($B$3,7,13),1,'Non-working days'!$A$6:$A$45)=0),"",IF(COUNTIFS('Leave log'!$A$7:$A$306,Employees!$A$33,'Leave log'!$B$7:$B$306,"&lt;="&amp;DATE($B$3,7,13),'Leave log'!$C$7:$C$306,"&gt;="&amp;DATE($B$3,7,13),'Leave log'!$F$7:$F$306,"Approved")&gt;0,"A",""))="A","A",IF(OR(DATE($B$3,7,13)&gt;EOMONTH(DATE($B$3,7,1),0),NETWORKDAYS.INTL(DATE($B$3,7,13),DATE($B$3,7,13),1,'Non-working days'!$A$6:$A$45)=0),"",IF(COUNTIFS('Leave log'!$A$7:$A$306,Employees!$A$33,'Leave log'!$B$7:$B$306,"&lt;="&amp;DATE($B$3,7,13),'Leave log'!$C$7:$C$306,"&gt;="&amp;DATE($B$3,7,13),'Leave log'!$F$7:$F$306,"Pending")&gt;0,"P",""))))</f>
        <v/>
      </c>
      <c r="O238" s="23" t="str">
        <f>IF(A238="","",IF(IF(OR(DATE($B$3,7,14)&gt;EOMONTH(DATE($B$3,7,1),0),NETWORKDAYS.INTL(DATE($B$3,7,14),DATE($B$3,7,14),1,'Non-working days'!$A$6:$A$45)=0),"",IF(COUNTIFS('Leave log'!$A$7:$A$306,Employees!$A$33,'Leave log'!$B$7:$B$306,"&lt;="&amp;DATE($B$3,7,14),'Leave log'!$C$7:$C$306,"&gt;="&amp;DATE($B$3,7,14),'Leave log'!$F$7:$F$306,"Approved")&gt;0,"A",""))="A","A",IF(OR(DATE($B$3,7,14)&gt;EOMONTH(DATE($B$3,7,1),0),NETWORKDAYS.INTL(DATE($B$3,7,14),DATE($B$3,7,14),1,'Non-working days'!$A$6:$A$45)=0),"",IF(COUNTIFS('Leave log'!$A$7:$A$306,Employees!$A$33,'Leave log'!$B$7:$B$306,"&lt;="&amp;DATE($B$3,7,14),'Leave log'!$C$7:$C$306,"&gt;="&amp;DATE($B$3,7,14),'Leave log'!$F$7:$F$306,"Pending")&gt;0,"P",""))))</f>
        <v/>
      </c>
      <c r="P238" s="23" t="str">
        <f>IF(A238="","",IF(IF(OR(DATE($B$3,7,15)&gt;EOMONTH(DATE($B$3,7,1),0),NETWORKDAYS.INTL(DATE($B$3,7,15),DATE($B$3,7,15),1,'Non-working days'!$A$6:$A$45)=0),"",IF(COUNTIFS('Leave log'!$A$7:$A$306,Employees!$A$33,'Leave log'!$B$7:$B$306,"&lt;="&amp;DATE($B$3,7,15),'Leave log'!$C$7:$C$306,"&gt;="&amp;DATE($B$3,7,15),'Leave log'!$F$7:$F$306,"Approved")&gt;0,"A",""))="A","A",IF(OR(DATE($B$3,7,15)&gt;EOMONTH(DATE($B$3,7,1),0),NETWORKDAYS.INTL(DATE($B$3,7,15),DATE($B$3,7,15),1,'Non-working days'!$A$6:$A$45)=0),"",IF(COUNTIFS('Leave log'!$A$7:$A$306,Employees!$A$33,'Leave log'!$B$7:$B$306,"&lt;="&amp;DATE($B$3,7,15),'Leave log'!$C$7:$C$306,"&gt;="&amp;DATE($B$3,7,15),'Leave log'!$F$7:$F$306,"Pending")&gt;0,"P",""))))</f>
        <v/>
      </c>
      <c r="Q238" s="23" t="str">
        <f>IF(A238="","",IF(IF(OR(DATE($B$3,7,16)&gt;EOMONTH(DATE($B$3,7,1),0),NETWORKDAYS.INTL(DATE($B$3,7,16),DATE($B$3,7,16),1,'Non-working days'!$A$6:$A$45)=0),"",IF(COUNTIFS('Leave log'!$A$7:$A$306,Employees!$A$33,'Leave log'!$B$7:$B$306,"&lt;="&amp;DATE($B$3,7,16),'Leave log'!$C$7:$C$306,"&gt;="&amp;DATE($B$3,7,16),'Leave log'!$F$7:$F$306,"Approved")&gt;0,"A",""))="A","A",IF(OR(DATE($B$3,7,16)&gt;EOMONTH(DATE($B$3,7,1),0),NETWORKDAYS.INTL(DATE($B$3,7,16),DATE($B$3,7,16),1,'Non-working days'!$A$6:$A$45)=0),"",IF(COUNTIFS('Leave log'!$A$7:$A$306,Employees!$A$33,'Leave log'!$B$7:$B$306,"&lt;="&amp;DATE($B$3,7,16),'Leave log'!$C$7:$C$306,"&gt;="&amp;DATE($B$3,7,16),'Leave log'!$F$7:$F$306,"Pending")&gt;0,"P",""))))</f>
        <v/>
      </c>
      <c r="R238" s="23" t="str">
        <f>IF(A238="","",IF(IF(OR(DATE($B$3,7,17)&gt;EOMONTH(DATE($B$3,7,1),0),NETWORKDAYS.INTL(DATE($B$3,7,17),DATE($B$3,7,17),1,'Non-working days'!$A$6:$A$45)=0),"",IF(COUNTIFS('Leave log'!$A$7:$A$306,Employees!$A$33,'Leave log'!$B$7:$B$306,"&lt;="&amp;DATE($B$3,7,17),'Leave log'!$C$7:$C$306,"&gt;="&amp;DATE($B$3,7,17),'Leave log'!$F$7:$F$306,"Approved")&gt;0,"A",""))="A","A",IF(OR(DATE($B$3,7,17)&gt;EOMONTH(DATE($B$3,7,1),0),NETWORKDAYS.INTL(DATE($B$3,7,17),DATE($B$3,7,17),1,'Non-working days'!$A$6:$A$45)=0),"",IF(COUNTIFS('Leave log'!$A$7:$A$306,Employees!$A$33,'Leave log'!$B$7:$B$306,"&lt;="&amp;DATE($B$3,7,17),'Leave log'!$C$7:$C$306,"&gt;="&amp;DATE($B$3,7,17),'Leave log'!$F$7:$F$306,"Pending")&gt;0,"P",""))))</f>
        <v/>
      </c>
      <c r="S238" s="23" t="str">
        <f>IF(A238="","",IF(IF(OR(DATE($B$3,7,18)&gt;EOMONTH(DATE($B$3,7,1),0),NETWORKDAYS.INTL(DATE($B$3,7,18),DATE($B$3,7,18),1,'Non-working days'!$A$6:$A$45)=0),"",IF(COUNTIFS('Leave log'!$A$7:$A$306,Employees!$A$33,'Leave log'!$B$7:$B$306,"&lt;="&amp;DATE($B$3,7,18),'Leave log'!$C$7:$C$306,"&gt;="&amp;DATE($B$3,7,18),'Leave log'!$F$7:$F$306,"Approved")&gt;0,"A",""))="A","A",IF(OR(DATE($B$3,7,18)&gt;EOMONTH(DATE($B$3,7,1),0),NETWORKDAYS.INTL(DATE($B$3,7,18),DATE($B$3,7,18),1,'Non-working days'!$A$6:$A$45)=0),"",IF(COUNTIFS('Leave log'!$A$7:$A$306,Employees!$A$33,'Leave log'!$B$7:$B$306,"&lt;="&amp;DATE($B$3,7,18),'Leave log'!$C$7:$C$306,"&gt;="&amp;DATE($B$3,7,18),'Leave log'!$F$7:$F$306,"Pending")&gt;0,"P",""))))</f>
        <v/>
      </c>
      <c r="T238" s="23" t="str">
        <f>IF(A238="","",IF(IF(OR(DATE($B$3,7,19)&gt;EOMONTH(DATE($B$3,7,1),0),NETWORKDAYS.INTL(DATE($B$3,7,19),DATE($B$3,7,19),1,'Non-working days'!$A$6:$A$45)=0),"",IF(COUNTIFS('Leave log'!$A$7:$A$306,Employees!$A$33,'Leave log'!$B$7:$B$306,"&lt;="&amp;DATE($B$3,7,19),'Leave log'!$C$7:$C$306,"&gt;="&amp;DATE($B$3,7,19),'Leave log'!$F$7:$F$306,"Approved")&gt;0,"A",""))="A","A",IF(OR(DATE($B$3,7,19)&gt;EOMONTH(DATE($B$3,7,1),0),NETWORKDAYS.INTL(DATE($B$3,7,19),DATE($B$3,7,19),1,'Non-working days'!$A$6:$A$45)=0),"",IF(COUNTIFS('Leave log'!$A$7:$A$306,Employees!$A$33,'Leave log'!$B$7:$B$306,"&lt;="&amp;DATE($B$3,7,19),'Leave log'!$C$7:$C$306,"&gt;="&amp;DATE($B$3,7,19),'Leave log'!$F$7:$F$306,"Pending")&gt;0,"P",""))))</f>
        <v/>
      </c>
      <c r="U238" s="23" t="str">
        <f>IF(A238="","",IF(IF(OR(DATE($B$3,7,20)&gt;EOMONTH(DATE($B$3,7,1),0),NETWORKDAYS.INTL(DATE($B$3,7,20),DATE($B$3,7,20),1,'Non-working days'!$A$6:$A$45)=0),"",IF(COUNTIFS('Leave log'!$A$7:$A$306,Employees!$A$33,'Leave log'!$B$7:$B$306,"&lt;="&amp;DATE($B$3,7,20),'Leave log'!$C$7:$C$306,"&gt;="&amp;DATE($B$3,7,20),'Leave log'!$F$7:$F$306,"Approved")&gt;0,"A",""))="A","A",IF(OR(DATE($B$3,7,20)&gt;EOMONTH(DATE($B$3,7,1),0),NETWORKDAYS.INTL(DATE($B$3,7,20),DATE($B$3,7,20),1,'Non-working days'!$A$6:$A$45)=0),"",IF(COUNTIFS('Leave log'!$A$7:$A$306,Employees!$A$33,'Leave log'!$B$7:$B$306,"&lt;="&amp;DATE($B$3,7,20),'Leave log'!$C$7:$C$306,"&gt;="&amp;DATE($B$3,7,20),'Leave log'!$F$7:$F$306,"Pending")&gt;0,"P",""))))</f>
        <v/>
      </c>
      <c r="V238" s="23" t="str">
        <f>IF(A238="","",IF(IF(OR(DATE($B$3,7,21)&gt;EOMONTH(DATE($B$3,7,1),0),NETWORKDAYS.INTL(DATE($B$3,7,21),DATE($B$3,7,21),1,'Non-working days'!$A$6:$A$45)=0),"",IF(COUNTIFS('Leave log'!$A$7:$A$306,Employees!$A$33,'Leave log'!$B$7:$B$306,"&lt;="&amp;DATE($B$3,7,21),'Leave log'!$C$7:$C$306,"&gt;="&amp;DATE($B$3,7,21),'Leave log'!$F$7:$F$306,"Approved")&gt;0,"A",""))="A","A",IF(OR(DATE($B$3,7,21)&gt;EOMONTH(DATE($B$3,7,1),0),NETWORKDAYS.INTL(DATE($B$3,7,21),DATE($B$3,7,21),1,'Non-working days'!$A$6:$A$45)=0),"",IF(COUNTIFS('Leave log'!$A$7:$A$306,Employees!$A$33,'Leave log'!$B$7:$B$306,"&lt;="&amp;DATE($B$3,7,21),'Leave log'!$C$7:$C$306,"&gt;="&amp;DATE($B$3,7,21),'Leave log'!$F$7:$F$306,"Pending")&gt;0,"P",""))))</f>
        <v/>
      </c>
      <c r="W238" s="23" t="str">
        <f>IF(A238="","",IF(IF(OR(DATE($B$3,7,22)&gt;EOMONTH(DATE($B$3,7,1),0),NETWORKDAYS.INTL(DATE($B$3,7,22),DATE($B$3,7,22),1,'Non-working days'!$A$6:$A$45)=0),"",IF(COUNTIFS('Leave log'!$A$7:$A$306,Employees!$A$33,'Leave log'!$B$7:$B$306,"&lt;="&amp;DATE($B$3,7,22),'Leave log'!$C$7:$C$306,"&gt;="&amp;DATE($B$3,7,22),'Leave log'!$F$7:$F$306,"Approved")&gt;0,"A",""))="A","A",IF(OR(DATE($B$3,7,22)&gt;EOMONTH(DATE($B$3,7,1),0),NETWORKDAYS.INTL(DATE($B$3,7,22),DATE($B$3,7,22),1,'Non-working days'!$A$6:$A$45)=0),"",IF(COUNTIFS('Leave log'!$A$7:$A$306,Employees!$A$33,'Leave log'!$B$7:$B$306,"&lt;="&amp;DATE($B$3,7,22),'Leave log'!$C$7:$C$306,"&gt;="&amp;DATE($B$3,7,22),'Leave log'!$F$7:$F$306,"Pending")&gt;0,"P",""))))</f>
        <v/>
      </c>
      <c r="X238" s="23" t="str">
        <f>IF(A238="","",IF(IF(OR(DATE($B$3,7,23)&gt;EOMONTH(DATE($B$3,7,1),0),NETWORKDAYS.INTL(DATE($B$3,7,23),DATE($B$3,7,23),1,'Non-working days'!$A$6:$A$45)=0),"",IF(COUNTIFS('Leave log'!$A$7:$A$306,Employees!$A$33,'Leave log'!$B$7:$B$306,"&lt;="&amp;DATE($B$3,7,23),'Leave log'!$C$7:$C$306,"&gt;="&amp;DATE($B$3,7,23),'Leave log'!$F$7:$F$306,"Approved")&gt;0,"A",""))="A","A",IF(OR(DATE($B$3,7,23)&gt;EOMONTH(DATE($B$3,7,1),0),NETWORKDAYS.INTL(DATE($B$3,7,23),DATE($B$3,7,23),1,'Non-working days'!$A$6:$A$45)=0),"",IF(COUNTIFS('Leave log'!$A$7:$A$306,Employees!$A$33,'Leave log'!$B$7:$B$306,"&lt;="&amp;DATE($B$3,7,23),'Leave log'!$C$7:$C$306,"&gt;="&amp;DATE($B$3,7,23),'Leave log'!$F$7:$F$306,"Pending")&gt;0,"P",""))))</f>
        <v/>
      </c>
      <c r="Y238" s="23" t="str">
        <f>IF(A238="","",IF(IF(OR(DATE($B$3,7,24)&gt;EOMONTH(DATE($B$3,7,1),0),NETWORKDAYS.INTL(DATE($B$3,7,24),DATE($B$3,7,24),1,'Non-working days'!$A$6:$A$45)=0),"",IF(COUNTIFS('Leave log'!$A$7:$A$306,Employees!$A$33,'Leave log'!$B$7:$B$306,"&lt;="&amp;DATE($B$3,7,24),'Leave log'!$C$7:$C$306,"&gt;="&amp;DATE($B$3,7,24),'Leave log'!$F$7:$F$306,"Approved")&gt;0,"A",""))="A","A",IF(OR(DATE($B$3,7,24)&gt;EOMONTH(DATE($B$3,7,1),0),NETWORKDAYS.INTL(DATE($B$3,7,24),DATE($B$3,7,24),1,'Non-working days'!$A$6:$A$45)=0),"",IF(COUNTIFS('Leave log'!$A$7:$A$306,Employees!$A$33,'Leave log'!$B$7:$B$306,"&lt;="&amp;DATE($B$3,7,24),'Leave log'!$C$7:$C$306,"&gt;="&amp;DATE($B$3,7,24),'Leave log'!$F$7:$F$306,"Pending")&gt;0,"P",""))))</f>
        <v/>
      </c>
      <c r="Z238" s="23" t="str">
        <f>IF(A238="","",IF(IF(OR(DATE($B$3,7,25)&gt;EOMONTH(DATE($B$3,7,1),0),NETWORKDAYS.INTL(DATE($B$3,7,25),DATE($B$3,7,25),1,'Non-working days'!$A$6:$A$45)=0),"",IF(COUNTIFS('Leave log'!$A$7:$A$306,Employees!$A$33,'Leave log'!$B$7:$B$306,"&lt;="&amp;DATE($B$3,7,25),'Leave log'!$C$7:$C$306,"&gt;="&amp;DATE($B$3,7,25),'Leave log'!$F$7:$F$306,"Approved")&gt;0,"A",""))="A","A",IF(OR(DATE($B$3,7,25)&gt;EOMONTH(DATE($B$3,7,1),0),NETWORKDAYS.INTL(DATE($B$3,7,25),DATE($B$3,7,25),1,'Non-working days'!$A$6:$A$45)=0),"",IF(COUNTIFS('Leave log'!$A$7:$A$306,Employees!$A$33,'Leave log'!$B$7:$B$306,"&lt;="&amp;DATE($B$3,7,25),'Leave log'!$C$7:$C$306,"&gt;="&amp;DATE($B$3,7,25),'Leave log'!$F$7:$F$306,"Pending")&gt;0,"P",""))))</f>
        <v/>
      </c>
      <c r="AA238" s="23" t="str">
        <f>IF(A238="","",IF(IF(OR(DATE($B$3,7,26)&gt;EOMONTH(DATE($B$3,7,1),0),NETWORKDAYS.INTL(DATE($B$3,7,26),DATE($B$3,7,26),1,'Non-working days'!$A$6:$A$45)=0),"",IF(COUNTIFS('Leave log'!$A$7:$A$306,Employees!$A$33,'Leave log'!$B$7:$B$306,"&lt;="&amp;DATE($B$3,7,26),'Leave log'!$C$7:$C$306,"&gt;="&amp;DATE($B$3,7,26),'Leave log'!$F$7:$F$306,"Approved")&gt;0,"A",""))="A","A",IF(OR(DATE($B$3,7,26)&gt;EOMONTH(DATE($B$3,7,1),0),NETWORKDAYS.INTL(DATE($B$3,7,26),DATE($B$3,7,26),1,'Non-working days'!$A$6:$A$45)=0),"",IF(COUNTIFS('Leave log'!$A$7:$A$306,Employees!$A$33,'Leave log'!$B$7:$B$306,"&lt;="&amp;DATE($B$3,7,26),'Leave log'!$C$7:$C$306,"&gt;="&amp;DATE($B$3,7,26),'Leave log'!$F$7:$F$306,"Pending")&gt;0,"P",""))))</f>
        <v/>
      </c>
      <c r="AB238" s="23" t="str">
        <f>IF(A238="","",IF(IF(OR(DATE($B$3,7,27)&gt;EOMONTH(DATE($B$3,7,1),0),NETWORKDAYS.INTL(DATE($B$3,7,27),DATE($B$3,7,27),1,'Non-working days'!$A$6:$A$45)=0),"",IF(COUNTIFS('Leave log'!$A$7:$A$306,Employees!$A$33,'Leave log'!$B$7:$B$306,"&lt;="&amp;DATE($B$3,7,27),'Leave log'!$C$7:$C$306,"&gt;="&amp;DATE($B$3,7,27),'Leave log'!$F$7:$F$306,"Approved")&gt;0,"A",""))="A","A",IF(OR(DATE($B$3,7,27)&gt;EOMONTH(DATE($B$3,7,1),0),NETWORKDAYS.INTL(DATE($B$3,7,27),DATE($B$3,7,27),1,'Non-working days'!$A$6:$A$45)=0),"",IF(COUNTIFS('Leave log'!$A$7:$A$306,Employees!$A$33,'Leave log'!$B$7:$B$306,"&lt;="&amp;DATE($B$3,7,27),'Leave log'!$C$7:$C$306,"&gt;="&amp;DATE($B$3,7,27),'Leave log'!$F$7:$F$306,"Pending")&gt;0,"P",""))))</f>
        <v/>
      </c>
      <c r="AC238" s="23" t="str">
        <f>IF(A238="","",IF(IF(OR(DATE($B$3,7,28)&gt;EOMONTH(DATE($B$3,7,1),0),NETWORKDAYS.INTL(DATE($B$3,7,28),DATE($B$3,7,28),1,'Non-working days'!$A$6:$A$45)=0),"",IF(COUNTIFS('Leave log'!$A$7:$A$306,Employees!$A$33,'Leave log'!$B$7:$B$306,"&lt;="&amp;DATE($B$3,7,28),'Leave log'!$C$7:$C$306,"&gt;="&amp;DATE($B$3,7,28),'Leave log'!$F$7:$F$306,"Approved")&gt;0,"A",""))="A","A",IF(OR(DATE($B$3,7,28)&gt;EOMONTH(DATE($B$3,7,1),0),NETWORKDAYS.INTL(DATE($B$3,7,28),DATE($B$3,7,28),1,'Non-working days'!$A$6:$A$45)=0),"",IF(COUNTIFS('Leave log'!$A$7:$A$306,Employees!$A$33,'Leave log'!$B$7:$B$306,"&lt;="&amp;DATE($B$3,7,28),'Leave log'!$C$7:$C$306,"&gt;="&amp;DATE($B$3,7,28),'Leave log'!$F$7:$F$306,"Pending")&gt;0,"P",""))))</f>
        <v/>
      </c>
      <c r="AD238" s="23" t="str">
        <f>IF(A238="","",IF(IF(OR(DATE($B$3,7,29)&gt;EOMONTH(DATE($B$3,7,1),0),NETWORKDAYS.INTL(DATE($B$3,7,29),DATE($B$3,7,29),1,'Non-working days'!$A$6:$A$45)=0),"",IF(COUNTIFS('Leave log'!$A$7:$A$306,Employees!$A$33,'Leave log'!$B$7:$B$306,"&lt;="&amp;DATE($B$3,7,29),'Leave log'!$C$7:$C$306,"&gt;="&amp;DATE($B$3,7,29),'Leave log'!$F$7:$F$306,"Approved")&gt;0,"A",""))="A","A",IF(OR(DATE($B$3,7,29)&gt;EOMONTH(DATE($B$3,7,1),0),NETWORKDAYS.INTL(DATE($B$3,7,29),DATE($B$3,7,29),1,'Non-working days'!$A$6:$A$45)=0),"",IF(COUNTIFS('Leave log'!$A$7:$A$306,Employees!$A$33,'Leave log'!$B$7:$B$306,"&lt;="&amp;DATE($B$3,7,29),'Leave log'!$C$7:$C$306,"&gt;="&amp;DATE($B$3,7,29),'Leave log'!$F$7:$F$306,"Pending")&gt;0,"P",""))))</f>
        <v/>
      </c>
      <c r="AE238" s="23" t="str">
        <f>IF(A238="","",IF(IF(OR(DATE($B$3,7,30)&gt;EOMONTH(DATE($B$3,7,1),0),NETWORKDAYS.INTL(DATE($B$3,7,30),DATE($B$3,7,30),1,'Non-working days'!$A$6:$A$45)=0),"",IF(COUNTIFS('Leave log'!$A$7:$A$306,Employees!$A$33,'Leave log'!$B$7:$B$306,"&lt;="&amp;DATE($B$3,7,30),'Leave log'!$C$7:$C$306,"&gt;="&amp;DATE($B$3,7,30),'Leave log'!$F$7:$F$306,"Approved")&gt;0,"A",""))="A","A",IF(OR(DATE($B$3,7,30)&gt;EOMONTH(DATE($B$3,7,1),0),NETWORKDAYS.INTL(DATE($B$3,7,30),DATE($B$3,7,30),1,'Non-working days'!$A$6:$A$45)=0),"",IF(COUNTIFS('Leave log'!$A$7:$A$306,Employees!$A$33,'Leave log'!$B$7:$B$306,"&lt;="&amp;DATE($B$3,7,30),'Leave log'!$C$7:$C$306,"&gt;="&amp;DATE($B$3,7,30),'Leave log'!$F$7:$F$306,"Pending")&gt;0,"P",""))))</f>
        <v/>
      </c>
      <c r="AF238" s="23" t="str">
        <f>IF(A238="","",IF(IF(OR(DATE($B$3,7,31)&gt;EOMONTH(DATE($B$3,7,1),0),NETWORKDAYS.INTL(DATE($B$3,7,31),DATE($B$3,7,31),1,'Non-working days'!$A$6:$A$45)=0),"",IF(COUNTIFS('Leave log'!$A$7:$A$306,Employees!$A$33,'Leave log'!$B$7:$B$306,"&lt;="&amp;DATE($B$3,7,31),'Leave log'!$C$7:$C$306,"&gt;="&amp;DATE($B$3,7,31),'Leave log'!$F$7:$F$306,"Approved")&gt;0,"A",""))="A","A",IF(OR(DATE($B$3,7,31)&gt;EOMONTH(DATE($B$3,7,1),0),NETWORKDAYS.INTL(DATE($B$3,7,31),DATE($B$3,7,31),1,'Non-working days'!$A$6:$A$45)=0),"",IF(COUNTIFS('Leave log'!$A$7:$A$306,Employees!$A$33,'Leave log'!$B$7:$B$306,"&lt;="&amp;DATE($B$3,7,31),'Leave log'!$C$7:$C$306,"&gt;="&amp;DATE($B$3,7,31),'Leave log'!$F$7:$F$306,"Pending")&gt;0,"P",""))))</f>
        <v/>
      </c>
    </row>
    <row r="239" spans="1:32" ht="18" customHeight="1" x14ac:dyDescent="0.3">
      <c r="A239" s="22" t="str">
        <f>IF(Employees!F34="Yes",Employees!B34,"")</f>
        <v/>
      </c>
      <c r="B239" s="23" t="str">
        <f>IF(A239="","",IF(IF(OR(DATE($B$3,7,1)&gt;EOMONTH(DATE($B$3,7,1),0),NETWORKDAYS.INTL(DATE($B$3,7,1),DATE($B$3,7,1),1,'Non-working days'!$A$6:$A$45)=0),"",IF(COUNTIFS('Leave log'!$A$7:$A$306,Employees!$A$34,'Leave log'!$B$7:$B$306,"&lt;="&amp;DATE($B$3,7,1),'Leave log'!$C$7:$C$306,"&gt;="&amp;DATE($B$3,7,1),'Leave log'!$F$7:$F$306,"Approved")&gt;0,"A",""))="A","A",IF(OR(DATE($B$3,7,1)&gt;EOMONTH(DATE($B$3,7,1),0),NETWORKDAYS.INTL(DATE($B$3,7,1),DATE($B$3,7,1),1,'Non-working days'!$A$6:$A$45)=0),"",IF(COUNTIFS('Leave log'!$A$7:$A$306,Employees!$A$34,'Leave log'!$B$7:$B$306,"&lt;="&amp;DATE($B$3,7,1),'Leave log'!$C$7:$C$306,"&gt;="&amp;DATE($B$3,7,1),'Leave log'!$F$7:$F$306,"Pending")&gt;0,"P",""))))</f>
        <v/>
      </c>
      <c r="C239" s="23" t="str">
        <f>IF(A239="","",IF(IF(OR(DATE($B$3,7,2)&gt;EOMONTH(DATE($B$3,7,1),0),NETWORKDAYS.INTL(DATE($B$3,7,2),DATE($B$3,7,2),1,'Non-working days'!$A$6:$A$45)=0),"",IF(COUNTIFS('Leave log'!$A$7:$A$306,Employees!$A$34,'Leave log'!$B$7:$B$306,"&lt;="&amp;DATE($B$3,7,2),'Leave log'!$C$7:$C$306,"&gt;="&amp;DATE($B$3,7,2),'Leave log'!$F$7:$F$306,"Approved")&gt;0,"A",""))="A","A",IF(OR(DATE($B$3,7,2)&gt;EOMONTH(DATE($B$3,7,1),0),NETWORKDAYS.INTL(DATE($B$3,7,2),DATE($B$3,7,2),1,'Non-working days'!$A$6:$A$45)=0),"",IF(COUNTIFS('Leave log'!$A$7:$A$306,Employees!$A$34,'Leave log'!$B$7:$B$306,"&lt;="&amp;DATE($B$3,7,2),'Leave log'!$C$7:$C$306,"&gt;="&amp;DATE($B$3,7,2),'Leave log'!$F$7:$F$306,"Pending")&gt;0,"P",""))))</f>
        <v/>
      </c>
      <c r="D239" s="23" t="str">
        <f>IF(A239="","",IF(IF(OR(DATE($B$3,7,3)&gt;EOMONTH(DATE($B$3,7,1),0),NETWORKDAYS.INTL(DATE($B$3,7,3),DATE($B$3,7,3),1,'Non-working days'!$A$6:$A$45)=0),"",IF(COUNTIFS('Leave log'!$A$7:$A$306,Employees!$A$34,'Leave log'!$B$7:$B$306,"&lt;="&amp;DATE($B$3,7,3),'Leave log'!$C$7:$C$306,"&gt;="&amp;DATE($B$3,7,3),'Leave log'!$F$7:$F$306,"Approved")&gt;0,"A",""))="A","A",IF(OR(DATE($B$3,7,3)&gt;EOMONTH(DATE($B$3,7,1),0),NETWORKDAYS.INTL(DATE($B$3,7,3),DATE($B$3,7,3),1,'Non-working days'!$A$6:$A$45)=0),"",IF(COUNTIFS('Leave log'!$A$7:$A$306,Employees!$A$34,'Leave log'!$B$7:$B$306,"&lt;="&amp;DATE($B$3,7,3),'Leave log'!$C$7:$C$306,"&gt;="&amp;DATE($B$3,7,3),'Leave log'!$F$7:$F$306,"Pending")&gt;0,"P",""))))</f>
        <v/>
      </c>
      <c r="E239" s="23" t="str">
        <f>IF(A239="","",IF(IF(OR(DATE($B$3,7,4)&gt;EOMONTH(DATE($B$3,7,1),0),NETWORKDAYS.INTL(DATE($B$3,7,4),DATE($B$3,7,4),1,'Non-working days'!$A$6:$A$45)=0),"",IF(COUNTIFS('Leave log'!$A$7:$A$306,Employees!$A$34,'Leave log'!$B$7:$B$306,"&lt;="&amp;DATE($B$3,7,4),'Leave log'!$C$7:$C$306,"&gt;="&amp;DATE($B$3,7,4),'Leave log'!$F$7:$F$306,"Approved")&gt;0,"A",""))="A","A",IF(OR(DATE($B$3,7,4)&gt;EOMONTH(DATE($B$3,7,1),0),NETWORKDAYS.INTL(DATE($B$3,7,4),DATE($B$3,7,4),1,'Non-working days'!$A$6:$A$45)=0),"",IF(COUNTIFS('Leave log'!$A$7:$A$306,Employees!$A$34,'Leave log'!$B$7:$B$306,"&lt;="&amp;DATE($B$3,7,4),'Leave log'!$C$7:$C$306,"&gt;="&amp;DATE($B$3,7,4),'Leave log'!$F$7:$F$306,"Pending")&gt;0,"P",""))))</f>
        <v/>
      </c>
      <c r="F239" s="23" t="str">
        <f>IF(A239="","",IF(IF(OR(DATE($B$3,7,5)&gt;EOMONTH(DATE($B$3,7,1),0),NETWORKDAYS.INTL(DATE($B$3,7,5),DATE($B$3,7,5),1,'Non-working days'!$A$6:$A$45)=0),"",IF(COUNTIFS('Leave log'!$A$7:$A$306,Employees!$A$34,'Leave log'!$B$7:$B$306,"&lt;="&amp;DATE($B$3,7,5),'Leave log'!$C$7:$C$306,"&gt;="&amp;DATE($B$3,7,5),'Leave log'!$F$7:$F$306,"Approved")&gt;0,"A",""))="A","A",IF(OR(DATE($B$3,7,5)&gt;EOMONTH(DATE($B$3,7,1),0),NETWORKDAYS.INTL(DATE($B$3,7,5),DATE($B$3,7,5),1,'Non-working days'!$A$6:$A$45)=0),"",IF(COUNTIFS('Leave log'!$A$7:$A$306,Employees!$A$34,'Leave log'!$B$7:$B$306,"&lt;="&amp;DATE($B$3,7,5),'Leave log'!$C$7:$C$306,"&gt;="&amp;DATE($B$3,7,5),'Leave log'!$F$7:$F$306,"Pending")&gt;0,"P",""))))</f>
        <v/>
      </c>
      <c r="G239" s="23" t="str">
        <f>IF(A239="","",IF(IF(OR(DATE($B$3,7,6)&gt;EOMONTH(DATE($B$3,7,1),0),NETWORKDAYS.INTL(DATE($B$3,7,6),DATE($B$3,7,6),1,'Non-working days'!$A$6:$A$45)=0),"",IF(COUNTIFS('Leave log'!$A$7:$A$306,Employees!$A$34,'Leave log'!$B$7:$B$306,"&lt;="&amp;DATE($B$3,7,6),'Leave log'!$C$7:$C$306,"&gt;="&amp;DATE($B$3,7,6),'Leave log'!$F$7:$F$306,"Approved")&gt;0,"A",""))="A","A",IF(OR(DATE($B$3,7,6)&gt;EOMONTH(DATE($B$3,7,1),0),NETWORKDAYS.INTL(DATE($B$3,7,6),DATE($B$3,7,6),1,'Non-working days'!$A$6:$A$45)=0),"",IF(COUNTIFS('Leave log'!$A$7:$A$306,Employees!$A$34,'Leave log'!$B$7:$B$306,"&lt;="&amp;DATE($B$3,7,6),'Leave log'!$C$7:$C$306,"&gt;="&amp;DATE($B$3,7,6),'Leave log'!$F$7:$F$306,"Pending")&gt;0,"P",""))))</f>
        <v/>
      </c>
      <c r="H239" s="23" t="str">
        <f>IF(A239="","",IF(IF(OR(DATE($B$3,7,7)&gt;EOMONTH(DATE($B$3,7,1),0),NETWORKDAYS.INTL(DATE($B$3,7,7),DATE($B$3,7,7),1,'Non-working days'!$A$6:$A$45)=0),"",IF(COUNTIFS('Leave log'!$A$7:$A$306,Employees!$A$34,'Leave log'!$B$7:$B$306,"&lt;="&amp;DATE($B$3,7,7),'Leave log'!$C$7:$C$306,"&gt;="&amp;DATE($B$3,7,7),'Leave log'!$F$7:$F$306,"Approved")&gt;0,"A",""))="A","A",IF(OR(DATE($B$3,7,7)&gt;EOMONTH(DATE($B$3,7,1),0),NETWORKDAYS.INTL(DATE($B$3,7,7),DATE($B$3,7,7),1,'Non-working days'!$A$6:$A$45)=0),"",IF(COUNTIFS('Leave log'!$A$7:$A$306,Employees!$A$34,'Leave log'!$B$7:$B$306,"&lt;="&amp;DATE($B$3,7,7),'Leave log'!$C$7:$C$306,"&gt;="&amp;DATE($B$3,7,7),'Leave log'!$F$7:$F$306,"Pending")&gt;0,"P",""))))</f>
        <v/>
      </c>
      <c r="I239" s="23" t="str">
        <f>IF(A239="","",IF(IF(OR(DATE($B$3,7,8)&gt;EOMONTH(DATE($B$3,7,1),0),NETWORKDAYS.INTL(DATE($B$3,7,8),DATE($B$3,7,8),1,'Non-working days'!$A$6:$A$45)=0),"",IF(COUNTIFS('Leave log'!$A$7:$A$306,Employees!$A$34,'Leave log'!$B$7:$B$306,"&lt;="&amp;DATE($B$3,7,8),'Leave log'!$C$7:$C$306,"&gt;="&amp;DATE($B$3,7,8),'Leave log'!$F$7:$F$306,"Approved")&gt;0,"A",""))="A","A",IF(OR(DATE($B$3,7,8)&gt;EOMONTH(DATE($B$3,7,1),0),NETWORKDAYS.INTL(DATE($B$3,7,8),DATE($B$3,7,8),1,'Non-working days'!$A$6:$A$45)=0),"",IF(COUNTIFS('Leave log'!$A$7:$A$306,Employees!$A$34,'Leave log'!$B$7:$B$306,"&lt;="&amp;DATE($B$3,7,8),'Leave log'!$C$7:$C$306,"&gt;="&amp;DATE($B$3,7,8),'Leave log'!$F$7:$F$306,"Pending")&gt;0,"P",""))))</f>
        <v/>
      </c>
      <c r="J239" s="23" t="str">
        <f>IF(A239="","",IF(IF(OR(DATE($B$3,7,9)&gt;EOMONTH(DATE($B$3,7,1),0),NETWORKDAYS.INTL(DATE($B$3,7,9),DATE($B$3,7,9),1,'Non-working days'!$A$6:$A$45)=0),"",IF(COUNTIFS('Leave log'!$A$7:$A$306,Employees!$A$34,'Leave log'!$B$7:$B$306,"&lt;="&amp;DATE($B$3,7,9),'Leave log'!$C$7:$C$306,"&gt;="&amp;DATE($B$3,7,9),'Leave log'!$F$7:$F$306,"Approved")&gt;0,"A",""))="A","A",IF(OR(DATE($B$3,7,9)&gt;EOMONTH(DATE($B$3,7,1),0),NETWORKDAYS.INTL(DATE($B$3,7,9),DATE($B$3,7,9),1,'Non-working days'!$A$6:$A$45)=0),"",IF(COUNTIFS('Leave log'!$A$7:$A$306,Employees!$A$34,'Leave log'!$B$7:$B$306,"&lt;="&amp;DATE($B$3,7,9),'Leave log'!$C$7:$C$306,"&gt;="&amp;DATE($B$3,7,9),'Leave log'!$F$7:$F$306,"Pending")&gt;0,"P",""))))</f>
        <v/>
      </c>
      <c r="K239" s="23" t="str">
        <f>IF(A239="","",IF(IF(OR(DATE($B$3,7,10)&gt;EOMONTH(DATE($B$3,7,1),0),NETWORKDAYS.INTL(DATE($B$3,7,10),DATE($B$3,7,10),1,'Non-working days'!$A$6:$A$45)=0),"",IF(COUNTIFS('Leave log'!$A$7:$A$306,Employees!$A$34,'Leave log'!$B$7:$B$306,"&lt;="&amp;DATE($B$3,7,10),'Leave log'!$C$7:$C$306,"&gt;="&amp;DATE($B$3,7,10),'Leave log'!$F$7:$F$306,"Approved")&gt;0,"A",""))="A","A",IF(OR(DATE($B$3,7,10)&gt;EOMONTH(DATE($B$3,7,1),0),NETWORKDAYS.INTL(DATE($B$3,7,10),DATE($B$3,7,10),1,'Non-working days'!$A$6:$A$45)=0),"",IF(COUNTIFS('Leave log'!$A$7:$A$306,Employees!$A$34,'Leave log'!$B$7:$B$306,"&lt;="&amp;DATE($B$3,7,10),'Leave log'!$C$7:$C$306,"&gt;="&amp;DATE($B$3,7,10),'Leave log'!$F$7:$F$306,"Pending")&gt;0,"P",""))))</f>
        <v/>
      </c>
      <c r="L239" s="23" t="str">
        <f>IF(A239="","",IF(IF(OR(DATE($B$3,7,11)&gt;EOMONTH(DATE($B$3,7,1),0),NETWORKDAYS.INTL(DATE($B$3,7,11),DATE($B$3,7,11),1,'Non-working days'!$A$6:$A$45)=0),"",IF(COUNTIFS('Leave log'!$A$7:$A$306,Employees!$A$34,'Leave log'!$B$7:$B$306,"&lt;="&amp;DATE($B$3,7,11),'Leave log'!$C$7:$C$306,"&gt;="&amp;DATE($B$3,7,11),'Leave log'!$F$7:$F$306,"Approved")&gt;0,"A",""))="A","A",IF(OR(DATE($B$3,7,11)&gt;EOMONTH(DATE($B$3,7,1),0),NETWORKDAYS.INTL(DATE($B$3,7,11),DATE($B$3,7,11),1,'Non-working days'!$A$6:$A$45)=0),"",IF(COUNTIFS('Leave log'!$A$7:$A$306,Employees!$A$34,'Leave log'!$B$7:$B$306,"&lt;="&amp;DATE($B$3,7,11),'Leave log'!$C$7:$C$306,"&gt;="&amp;DATE($B$3,7,11),'Leave log'!$F$7:$F$306,"Pending")&gt;0,"P",""))))</f>
        <v/>
      </c>
      <c r="M239" s="23" t="str">
        <f>IF(A239="","",IF(IF(OR(DATE($B$3,7,12)&gt;EOMONTH(DATE($B$3,7,1),0),NETWORKDAYS.INTL(DATE($B$3,7,12),DATE($B$3,7,12),1,'Non-working days'!$A$6:$A$45)=0),"",IF(COUNTIFS('Leave log'!$A$7:$A$306,Employees!$A$34,'Leave log'!$B$7:$B$306,"&lt;="&amp;DATE($B$3,7,12),'Leave log'!$C$7:$C$306,"&gt;="&amp;DATE($B$3,7,12),'Leave log'!$F$7:$F$306,"Approved")&gt;0,"A",""))="A","A",IF(OR(DATE($B$3,7,12)&gt;EOMONTH(DATE($B$3,7,1),0),NETWORKDAYS.INTL(DATE($B$3,7,12),DATE($B$3,7,12),1,'Non-working days'!$A$6:$A$45)=0),"",IF(COUNTIFS('Leave log'!$A$7:$A$306,Employees!$A$34,'Leave log'!$B$7:$B$306,"&lt;="&amp;DATE($B$3,7,12),'Leave log'!$C$7:$C$306,"&gt;="&amp;DATE($B$3,7,12),'Leave log'!$F$7:$F$306,"Pending")&gt;0,"P",""))))</f>
        <v/>
      </c>
      <c r="N239" s="23" t="str">
        <f>IF(A239="","",IF(IF(OR(DATE($B$3,7,13)&gt;EOMONTH(DATE($B$3,7,1),0),NETWORKDAYS.INTL(DATE($B$3,7,13),DATE($B$3,7,13),1,'Non-working days'!$A$6:$A$45)=0),"",IF(COUNTIFS('Leave log'!$A$7:$A$306,Employees!$A$34,'Leave log'!$B$7:$B$306,"&lt;="&amp;DATE($B$3,7,13),'Leave log'!$C$7:$C$306,"&gt;="&amp;DATE($B$3,7,13),'Leave log'!$F$7:$F$306,"Approved")&gt;0,"A",""))="A","A",IF(OR(DATE($B$3,7,13)&gt;EOMONTH(DATE($B$3,7,1),0),NETWORKDAYS.INTL(DATE($B$3,7,13),DATE($B$3,7,13),1,'Non-working days'!$A$6:$A$45)=0),"",IF(COUNTIFS('Leave log'!$A$7:$A$306,Employees!$A$34,'Leave log'!$B$7:$B$306,"&lt;="&amp;DATE($B$3,7,13),'Leave log'!$C$7:$C$306,"&gt;="&amp;DATE($B$3,7,13),'Leave log'!$F$7:$F$306,"Pending")&gt;0,"P",""))))</f>
        <v/>
      </c>
      <c r="O239" s="23" t="str">
        <f>IF(A239="","",IF(IF(OR(DATE($B$3,7,14)&gt;EOMONTH(DATE($B$3,7,1),0),NETWORKDAYS.INTL(DATE($B$3,7,14),DATE($B$3,7,14),1,'Non-working days'!$A$6:$A$45)=0),"",IF(COUNTIFS('Leave log'!$A$7:$A$306,Employees!$A$34,'Leave log'!$B$7:$B$306,"&lt;="&amp;DATE($B$3,7,14),'Leave log'!$C$7:$C$306,"&gt;="&amp;DATE($B$3,7,14),'Leave log'!$F$7:$F$306,"Approved")&gt;0,"A",""))="A","A",IF(OR(DATE($B$3,7,14)&gt;EOMONTH(DATE($B$3,7,1),0),NETWORKDAYS.INTL(DATE($B$3,7,14),DATE($B$3,7,14),1,'Non-working days'!$A$6:$A$45)=0),"",IF(COUNTIFS('Leave log'!$A$7:$A$306,Employees!$A$34,'Leave log'!$B$7:$B$306,"&lt;="&amp;DATE($B$3,7,14),'Leave log'!$C$7:$C$306,"&gt;="&amp;DATE($B$3,7,14),'Leave log'!$F$7:$F$306,"Pending")&gt;0,"P",""))))</f>
        <v/>
      </c>
      <c r="P239" s="23" t="str">
        <f>IF(A239="","",IF(IF(OR(DATE($B$3,7,15)&gt;EOMONTH(DATE($B$3,7,1),0),NETWORKDAYS.INTL(DATE($B$3,7,15),DATE($B$3,7,15),1,'Non-working days'!$A$6:$A$45)=0),"",IF(COUNTIFS('Leave log'!$A$7:$A$306,Employees!$A$34,'Leave log'!$B$7:$B$306,"&lt;="&amp;DATE($B$3,7,15),'Leave log'!$C$7:$C$306,"&gt;="&amp;DATE($B$3,7,15),'Leave log'!$F$7:$F$306,"Approved")&gt;0,"A",""))="A","A",IF(OR(DATE($B$3,7,15)&gt;EOMONTH(DATE($B$3,7,1),0),NETWORKDAYS.INTL(DATE($B$3,7,15),DATE($B$3,7,15),1,'Non-working days'!$A$6:$A$45)=0),"",IF(COUNTIFS('Leave log'!$A$7:$A$306,Employees!$A$34,'Leave log'!$B$7:$B$306,"&lt;="&amp;DATE($B$3,7,15),'Leave log'!$C$7:$C$306,"&gt;="&amp;DATE($B$3,7,15),'Leave log'!$F$7:$F$306,"Pending")&gt;0,"P",""))))</f>
        <v/>
      </c>
      <c r="Q239" s="23" t="str">
        <f>IF(A239="","",IF(IF(OR(DATE($B$3,7,16)&gt;EOMONTH(DATE($B$3,7,1),0),NETWORKDAYS.INTL(DATE($B$3,7,16),DATE($B$3,7,16),1,'Non-working days'!$A$6:$A$45)=0),"",IF(COUNTIFS('Leave log'!$A$7:$A$306,Employees!$A$34,'Leave log'!$B$7:$B$306,"&lt;="&amp;DATE($B$3,7,16),'Leave log'!$C$7:$C$306,"&gt;="&amp;DATE($B$3,7,16),'Leave log'!$F$7:$F$306,"Approved")&gt;0,"A",""))="A","A",IF(OR(DATE($B$3,7,16)&gt;EOMONTH(DATE($B$3,7,1),0),NETWORKDAYS.INTL(DATE($B$3,7,16),DATE($B$3,7,16),1,'Non-working days'!$A$6:$A$45)=0),"",IF(COUNTIFS('Leave log'!$A$7:$A$306,Employees!$A$34,'Leave log'!$B$7:$B$306,"&lt;="&amp;DATE($B$3,7,16),'Leave log'!$C$7:$C$306,"&gt;="&amp;DATE($B$3,7,16),'Leave log'!$F$7:$F$306,"Pending")&gt;0,"P",""))))</f>
        <v/>
      </c>
      <c r="R239" s="23" t="str">
        <f>IF(A239="","",IF(IF(OR(DATE($B$3,7,17)&gt;EOMONTH(DATE($B$3,7,1),0),NETWORKDAYS.INTL(DATE($B$3,7,17),DATE($B$3,7,17),1,'Non-working days'!$A$6:$A$45)=0),"",IF(COUNTIFS('Leave log'!$A$7:$A$306,Employees!$A$34,'Leave log'!$B$7:$B$306,"&lt;="&amp;DATE($B$3,7,17),'Leave log'!$C$7:$C$306,"&gt;="&amp;DATE($B$3,7,17),'Leave log'!$F$7:$F$306,"Approved")&gt;0,"A",""))="A","A",IF(OR(DATE($B$3,7,17)&gt;EOMONTH(DATE($B$3,7,1),0),NETWORKDAYS.INTL(DATE($B$3,7,17),DATE($B$3,7,17),1,'Non-working days'!$A$6:$A$45)=0),"",IF(COUNTIFS('Leave log'!$A$7:$A$306,Employees!$A$34,'Leave log'!$B$7:$B$306,"&lt;="&amp;DATE($B$3,7,17),'Leave log'!$C$7:$C$306,"&gt;="&amp;DATE($B$3,7,17),'Leave log'!$F$7:$F$306,"Pending")&gt;0,"P",""))))</f>
        <v/>
      </c>
      <c r="S239" s="23" t="str">
        <f>IF(A239="","",IF(IF(OR(DATE($B$3,7,18)&gt;EOMONTH(DATE($B$3,7,1),0),NETWORKDAYS.INTL(DATE($B$3,7,18),DATE($B$3,7,18),1,'Non-working days'!$A$6:$A$45)=0),"",IF(COUNTIFS('Leave log'!$A$7:$A$306,Employees!$A$34,'Leave log'!$B$7:$B$306,"&lt;="&amp;DATE($B$3,7,18),'Leave log'!$C$7:$C$306,"&gt;="&amp;DATE($B$3,7,18),'Leave log'!$F$7:$F$306,"Approved")&gt;0,"A",""))="A","A",IF(OR(DATE($B$3,7,18)&gt;EOMONTH(DATE($B$3,7,1),0),NETWORKDAYS.INTL(DATE($B$3,7,18),DATE($B$3,7,18),1,'Non-working days'!$A$6:$A$45)=0),"",IF(COUNTIFS('Leave log'!$A$7:$A$306,Employees!$A$34,'Leave log'!$B$7:$B$306,"&lt;="&amp;DATE($B$3,7,18),'Leave log'!$C$7:$C$306,"&gt;="&amp;DATE($B$3,7,18),'Leave log'!$F$7:$F$306,"Pending")&gt;0,"P",""))))</f>
        <v/>
      </c>
      <c r="T239" s="23" t="str">
        <f>IF(A239="","",IF(IF(OR(DATE($B$3,7,19)&gt;EOMONTH(DATE($B$3,7,1),0),NETWORKDAYS.INTL(DATE($B$3,7,19),DATE($B$3,7,19),1,'Non-working days'!$A$6:$A$45)=0),"",IF(COUNTIFS('Leave log'!$A$7:$A$306,Employees!$A$34,'Leave log'!$B$7:$B$306,"&lt;="&amp;DATE($B$3,7,19),'Leave log'!$C$7:$C$306,"&gt;="&amp;DATE($B$3,7,19),'Leave log'!$F$7:$F$306,"Approved")&gt;0,"A",""))="A","A",IF(OR(DATE($B$3,7,19)&gt;EOMONTH(DATE($B$3,7,1),0),NETWORKDAYS.INTL(DATE($B$3,7,19),DATE($B$3,7,19),1,'Non-working days'!$A$6:$A$45)=0),"",IF(COUNTIFS('Leave log'!$A$7:$A$306,Employees!$A$34,'Leave log'!$B$7:$B$306,"&lt;="&amp;DATE($B$3,7,19),'Leave log'!$C$7:$C$306,"&gt;="&amp;DATE($B$3,7,19),'Leave log'!$F$7:$F$306,"Pending")&gt;0,"P",""))))</f>
        <v/>
      </c>
      <c r="U239" s="23" t="str">
        <f>IF(A239="","",IF(IF(OR(DATE($B$3,7,20)&gt;EOMONTH(DATE($B$3,7,1),0),NETWORKDAYS.INTL(DATE($B$3,7,20),DATE($B$3,7,20),1,'Non-working days'!$A$6:$A$45)=0),"",IF(COUNTIFS('Leave log'!$A$7:$A$306,Employees!$A$34,'Leave log'!$B$7:$B$306,"&lt;="&amp;DATE($B$3,7,20),'Leave log'!$C$7:$C$306,"&gt;="&amp;DATE($B$3,7,20),'Leave log'!$F$7:$F$306,"Approved")&gt;0,"A",""))="A","A",IF(OR(DATE($B$3,7,20)&gt;EOMONTH(DATE($B$3,7,1),0),NETWORKDAYS.INTL(DATE($B$3,7,20),DATE($B$3,7,20),1,'Non-working days'!$A$6:$A$45)=0),"",IF(COUNTIFS('Leave log'!$A$7:$A$306,Employees!$A$34,'Leave log'!$B$7:$B$306,"&lt;="&amp;DATE($B$3,7,20),'Leave log'!$C$7:$C$306,"&gt;="&amp;DATE($B$3,7,20),'Leave log'!$F$7:$F$306,"Pending")&gt;0,"P",""))))</f>
        <v/>
      </c>
      <c r="V239" s="23" t="str">
        <f>IF(A239="","",IF(IF(OR(DATE($B$3,7,21)&gt;EOMONTH(DATE($B$3,7,1),0),NETWORKDAYS.INTL(DATE($B$3,7,21),DATE($B$3,7,21),1,'Non-working days'!$A$6:$A$45)=0),"",IF(COUNTIFS('Leave log'!$A$7:$A$306,Employees!$A$34,'Leave log'!$B$7:$B$306,"&lt;="&amp;DATE($B$3,7,21),'Leave log'!$C$7:$C$306,"&gt;="&amp;DATE($B$3,7,21),'Leave log'!$F$7:$F$306,"Approved")&gt;0,"A",""))="A","A",IF(OR(DATE($B$3,7,21)&gt;EOMONTH(DATE($B$3,7,1),0),NETWORKDAYS.INTL(DATE($B$3,7,21),DATE($B$3,7,21),1,'Non-working days'!$A$6:$A$45)=0),"",IF(COUNTIFS('Leave log'!$A$7:$A$306,Employees!$A$34,'Leave log'!$B$7:$B$306,"&lt;="&amp;DATE($B$3,7,21),'Leave log'!$C$7:$C$306,"&gt;="&amp;DATE($B$3,7,21),'Leave log'!$F$7:$F$306,"Pending")&gt;0,"P",""))))</f>
        <v/>
      </c>
      <c r="W239" s="23" t="str">
        <f>IF(A239="","",IF(IF(OR(DATE($B$3,7,22)&gt;EOMONTH(DATE($B$3,7,1),0),NETWORKDAYS.INTL(DATE($B$3,7,22),DATE($B$3,7,22),1,'Non-working days'!$A$6:$A$45)=0),"",IF(COUNTIFS('Leave log'!$A$7:$A$306,Employees!$A$34,'Leave log'!$B$7:$B$306,"&lt;="&amp;DATE($B$3,7,22),'Leave log'!$C$7:$C$306,"&gt;="&amp;DATE($B$3,7,22),'Leave log'!$F$7:$F$306,"Approved")&gt;0,"A",""))="A","A",IF(OR(DATE($B$3,7,22)&gt;EOMONTH(DATE($B$3,7,1),0),NETWORKDAYS.INTL(DATE($B$3,7,22),DATE($B$3,7,22),1,'Non-working days'!$A$6:$A$45)=0),"",IF(COUNTIFS('Leave log'!$A$7:$A$306,Employees!$A$34,'Leave log'!$B$7:$B$306,"&lt;="&amp;DATE($B$3,7,22),'Leave log'!$C$7:$C$306,"&gt;="&amp;DATE($B$3,7,22),'Leave log'!$F$7:$F$306,"Pending")&gt;0,"P",""))))</f>
        <v/>
      </c>
      <c r="X239" s="23" t="str">
        <f>IF(A239="","",IF(IF(OR(DATE($B$3,7,23)&gt;EOMONTH(DATE($B$3,7,1),0),NETWORKDAYS.INTL(DATE($B$3,7,23),DATE($B$3,7,23),1,'Non-working days'!$A$6:$A$45)=0),"",IF(COUNTIFS('Leave log'!$A$7:$A$306,Employees!$A$34,'Leave log'!$B$7:$B$306,"&lt;="&amp;DATE($B$3,7,23),'Leave log'!$C$7:$C$306,"&gt;="&amp;DATE($B$3,7,23),'Leave log'!$F$7:$F$306,"Approved")&gt;0,"A",""))="A","A",IF(OR(DATE($B$3,7,23)&gt;EOMONTH(DATE($B$3,7,1),0),NETWORKDAYS.INTL(DATE($B$3,7,23),DATE($B$3,7,23),1,'Non-working days'!$A$6:$A$45)=0),"",IF(COUNTIFS('Leave log'!$A$7:$A$306,Employees!$A$34,'Leave log'!$B$7:$B$306,"&lt;="&amp;DATE($B$3,7,23),'Leave log'!$C$7:$C$306,"&gt;="&amp;DATE($B$3,7,23),'Leave log'!$F$7:$F$306,"Pending")&gt;0,"P",""))))</f>
        <v/>
      </c>
      <c r="Y239" s="23" t="str">
        <f>IF(A239="","",IF(IF(OR(DATE($B$3,7,24)&gt;EOMONTH(DATE($B$3,7,1),0),NETWORKDAYS.INTL(DATE($B$3,7,24),DATE($B$3,7,24),1,'Non-working days'!$A$6:$A$45)=0),"",IF(COUNTIFS('Leave log'!$A$7:$A$306,Employees!$A$34,'Leave log'!$B$7:$B$306,"&lt;="&amp;DATE($B$3,7,24),'Leave log'!$C$7:$C$306,"&gt;="&amp;DATE($B$3,7,24),'Leave log'!$F$7:$F$306,"Approved")&gt;0,"A",""))="A","A",IF(OR(DATE($B$3,7,24)&gt;EOMONTH(DATE($B$3,7,1),0),NETWORKDAYS.INTL(DATE($B$3,7,24),DATE($B$3,7,24),1,'Non-working days'!$A$6:$A$45)=0),"",IF(COUNTIFS('Leave log'!$A$7:$A$306,Employees!$A$34,'Leave log'!$B$7:$B$306,"&lt;="&amp;DATE($B$3,7,24),'Leave log'!$C$7:$C$306,"&gt;="&amp;DATE($B$3,7,24),'Leave log'!$F$7:$F$306,"Pending")&gt;0,"P",""))))</f>
        <v/>
      </c>
      <c r="Z239" s="23" t="str">
        <f>IF(A239="","",IF(IF(OR(DATE($B$3,7,25)&gt;EOMONTH(DATE($B$3,7,1),0),NETWORKDAYS.INTL(DATE($B$3,7,25),DATE($B$3,7,25),1,'Non-working days'!$A$6:$A$45)=0),"",IF(COUNTIFS('Leave log'!$A$7:$A$306,Employees!$A$34,'Leave log'!$B$7:$B$306,"&lt;="&amp;DATE($B$3,7,25),'Leave log'!$C$7:$C$306,"&gt;="&amp;DATE($B$3,7,25),'Leave log'!$F$7:$F$306,"Approved")&gt;0,"A",""))="A","A",IF(OR(DATE($B$3,7,25)&gt;EOMONTH(DATE($B$3,7,1),0),NETWORKDAYS.INTL(DATE($B$3,7,25),DATE($B$3,7,25),1,'Non-working days'!$A$6:$A$45)=0),"",IF(COUNTIFS('Leave log'!$A$7:$A$306,Employees!$A$34,'Leave log'!$B$7:$B$306,"&lt;="&amp;DATE($B$3,7,25),'Leave log'!$C$7:$C$306,"&gt;="&amp;DATE($B$3,7,25),'Leave log'!$F$7:$F$306,"Pending")&gt;0,"P",""))))</f>
        <v/>
      </c>
      <c r="AA239" s="23" t="str">
        <f>IF(A239="","",IF(IF(OR(DATE($B$3,7,26)&gt;EOMONTH(DATE($B$3,7,1),0),NETWORKDAYS.INTL(DATE($B$3,7,26),DATE($B$3,7,26),1,'Non-working days'!$A$6:$A$45)=0),"",IF(COUNTIFS('Leave log'!$A$7:$A$306,Employees!$A$34,'Leave log'!$B$7:$B$306,"&lt;="&amp;DATE($B$3,7,26),'Leave log'!$C$7:$C$306,"&gt;="&amp;DATE($B$3,7,26),'Leave log'!$F$7:$F$306,"Approved")&gt;0,"A",""))="A","A",IF(OR(DATE($B$3,7,26)&gt;EOMONTH(DATE($B$3,7,1),0),NETWORKDAYS.INTL(DATE($B$3,7,26),DATE($B$3,7,26),1,'Non-working days'!$A$6:$A$45)=0),"",IF(COUNTIFS('Leave log'!$A$7:$A$306,Employees!$A$34,'Leave log'!$B$7:$B$306,"&lt;="&amp;DATE($B$3,7,26),'Leave log'!$C$7:$C$306,"&gt;="&amp;DATE($B$3,7,26),'Leave log'!$F$7:$F$306,"Pending")&gt;0,"P",""))))</f>
        <v/>
      </c>
      <c r="AB239" s="23" t="str">
        <f>IF(A239="","",IF(IF(OR(DATE($B$3,7,27)&gt;EOMONTH(DATE($B$3,7,1),0),NETWORKDAYS.INTL(DATE($B$3,7,27),DATE($B$3,7,27),1,'Non-working days'!$A$6:$A$45)=0),"",IF(COUNTIFS('Leave log'!$A$7:$A$306,Employees!$A$34,'Leave log'!$B$7:$B$306,"&lt;="&amp;DATE($B$3,7,27),'Leave log'!$C$7:$C$306,"&gt;="&amp;DATE($B$3,7,27),'Leave log'!$F$7:$F$306,"Approved")&gt;0,"A",""))="A","A",IF(OR(DATE($B$3,7,27)&gt;EOMONTH(DATE($B$3,7,1),0),NETWORKDAYS.INTL(DATE($B$3,7,27),DATE($B$3,7,27),1,'Non-working days'!$A$6:$A$45)=0),"",IF(COUNTIFS('Leave log'!$A$7:$A$306,Employees!$A$34,'Leave log'!$B$7:$B$306,"&lt;="&amp;DATE($B$3,7,27),'Leave log'!$C$7:$C$306,"&gt;="&amp;DATE($B$3,7,27),'Leave log'!$F$7:$F$306,"Pending")&gt;0,"P",""))))</f>
        <v/>
      </c>
      <c r="AC239" s="23" t="str">
        <f>IF(A239="","",IF(IF(OR(DATE($B$3,7,28)&gt;EOMONTH(DATE($B$3,7,1),0),NETWORKDAYS.INTL(DATE($B$3,7,28),DATE($B$3,7,28),1,'Non-working days'!$A$6:$A$45)=0),"",IF(COUNTIFS('Leave log'!$A$7:$A$306,Employees!$A$34,'Leave log'!$B$7:$B$306,"&lt;="&amp;DATE($B$3,7,28),'Leave log'!$C$7:$C$306,"&gt;="&amp;DATE($B$3,7,28),'Leave log'!$F$7:$F$306,"Approved")&gt;0,"A",""))="A","A",IF(OR(DATE($B$3,7,28)&gt;EOMONTH(DATE($B$3,7,1),0),NETWORKDAYS.INTL(DATE($B$3,7,28),DATE($B$3,7,28),1,'Non-working days'!$A$6:$A$45)=0),"",IF(COUNTIFS('Leave log'!$A$7:$A$306,Employees!$A$34,'Leave log'!$B$7:$B$306,"&lt;="&amp;DATE($B$3,7,28),'Leave log'!$C$7:$C$306,"&gt;="&amp;DATE($B$3,7,28),'Leave log'!$F$7:$F$306,"Pending")&gt;0,"P",""))))</f>
        <v/>
      </c>
      <c r="AD239" s="23" t="str">
        <f>IF(A239="","",IF(IF(OR(DATE($B$3,7,29)&gt;EOMONTH(DATE($B$3,7,1),0),NETWORKDAYS.INTL(DATE($B$3,7,29),DATE($B$3,7,29),1,'Non-working days'!$A$6:$A$45)=0),"",IF(COUNTIFS('Leave log'!$A$7:$A$306,Employees!$A$34,'Leave log'!$B$7:$B$306,"&lt;="&amp;DATE($B$3,7,29),'Leave log'!$C$7:$C$306,"&gt;="&amp;DATE($B$3,7,29),'Leave log'!$F$7:$F$306,"Approved")&gt;0,"A",""))="A","A",IF(OR(DATE($B$3,7,29)&gt;EOMONTH(DATE($B$3,7,1),0),NETWORKDAYS.INTL(DATE($B$3,7,29),DATE($B$3,7,29),1,'Non-working days'!$A$6:$A$45)=0),"",IF(COUNTIFS('Leave log'!$A$7:$A$306,Employees!$A$34,'Leave log'!$B$7:$B$306,"&lt;="&amp;DATE($B$3,7,29),'Leave log'!$C$7:$C$306,"&gt;="&amp;DATE($B$3,7,29),'Leave log'!$F$7:$F$306,"Pending")&gt;0,"P",""))))</f>
        <v/>
      </c>
      <c r="AE239" s="23" t="str">
        <f>IF(A239="","",IF(IF(OR(DATE($B$3,7,30)&gt;EOMONTH(DATE($B$3,7,1),0),NETWORKDAYS.INTL(DATE($B$3,7,30),DATE($B$3,7,30),1,'Non-working days'!$A$6:$A$45)=0),"",IF(COUNTIFS('Leave log'!$A$7:$A$306,Employees!$A$34,'Leave log'!$B$7:$B$306,"&lt;="&amp;DATE($B$3,7,30),'Leave log'!$C$7:$C$306,"&gt;="&amp;DATE($B$3,7,30),'Leave log'!$F$7:$F$306,"Approved")&gt;0,"A",""))="A","A",IF(OR(DATE($B$3,7,30)&gt;EOMONTH(DATE($B$3,7,1),0),NETWORKDAYS.INTL(DATE($B$3,7,30),DATE($B$3,7,30),1,'Non-working days'!$A$6:$A$45)=0),"",IF(COUNTIFS('Leave log'!$A$7:$A$306,Employees!$A$34,'Leave log'!$B$7:$B$306,"&lt;="&amp;DATE($B$3,7,30),'Leave log'!$C$7:$C$306,"&gt;="&amp;DATE($B$3,7,30),'Leave log'!$F$7:$F$306,"Pending")&gt;0,"P",""))))</f>
        <v/>
      </c>
      <c r="AF239" s="23" t="str">
        <f>IF(A239="","",IF(IF(OR(DATE($B$3,7,31)&gt;EOMONTH(DATE($B$3,7,1),0),NETWORKDAYS.INTL(DATE($B$3,7,31),DATE($B$3,7,31),1,'Non-working days'!$A$6:$A$45)=0),"",IF(COUNTIFS('Leave log'!$A$7:$A$306,Employees!$A$34,'Leave log'!$B$7:$B$306,"&lt;="&amp;DATE($B$3,7,31),'Leave log'!$C$7:$C$306,"&gt;="&amp;DATE($B$3,7,31),'Leave log'!$F$7:$F$306,"Approved")&gt;0,"A",""))="A","A",IF(OR(DATE($B$3,7,31)&gt;EOMONTH(DATE($B$3,7,1),0),NETWORKDAYS.INTL(DATE($B$3,7,31),DATE($B$3,7,31),1,'Non-working days'!$A$6:$A$45)=0),"",IF(COUNTIFS('Leave log'!$A$7:$A$306,Employees!$A$34,'Leave log'!$B$7:$B$306,"&lt;="&amp;DATE($B$3,7,31),'Leave log'!$C$7:$C$306,"&gt;="&amp;DATE($B$3,7,31),'Leave log'!$F$7:$F$306,"Pending")&gt;0,"P",""))))</f>
        <v/>
      </c>
    </row>
    <row r="240" spans="1:32" ht="18" customHeight="1" x14ac:dyDescent="0.3">
      <c r="A240" s="22" t="str">
        <f>IF(Employees!F35="Yes",Employees!B35,"")</f>
        <v/>
      </c>
      <c r="B240" s="23" t="str">
        <f>IF(A240="","",IF(IF(OR(DATE($B$3,7,1)&gt;EOMONTH(DATE($B$3,7,1),0),NETWORKDAYS.INTL(DATE($B$3,7,1),DATE($B$3,7,1),1,'Non-working days'!$A$6:$A$45)=0),"",IF(COUNTIFS('Leave log'!$A$7:$A$306,Employees!$A$35,'Leave log'!$B$7:$B$306,"&lt;="&amp;DATE($B$3,7,1),'Leave log'!$C$7:$C$306,"&gt;="&amp;DATE($B$3,7,1),'Leave log'!$F$7:$F$306,"Approved")&gt;0,"A",""))="A","A",IF(OR(DATE($B$3,7,1)&gt;EOMONTH(DATE($B$3,7,1),0),NETWORKDAYS.INTL(DATE($B$3,7,1),DATE($B$3,7,1),1,'Non-working days'!$A$6:$A$45)=0),"",IF(COUNTIFS('Leave log'!$A$7:$A$306,Employees!$A$35,'Leave log'!$B$7:$B$306,"&lt;="&amp;DATE($B$3,7,1),'Leave log'!$C$7:$C$306,"&gt;="&amp;DATE($B$3,7,1),'Leave log'!$F$7:$F$306,"Pending")&gt;0,"P",""))))</f>
        <v/>
      </c>
      <c r="C240" s="23" t="str">
        <f>IF(A240="","",IF(IF(OR(DATE($B$3,7,2)&gt;EOMONTH(DATE($B$3,7,1),0),NETWORKDAYS.INTL(DATE($B$3,7,2),DATE($B$3,7,2),1,'Non-working days'!$A$6:$A$45)=0),"",IF(COUNTIFS('Leave log'!$A$7:$A$306,Employees!$A$35,'Leave log'!$B$7:$B$306,"&lt;="&amp;DATE($B$3,7,2),'Leave log'!$C$7:$C$306,"&gt;="&amp;DATE($B$3,7,2),'Leave log'!$F$7:$F$306,"Approved")&gt;0,"A",""))="A","A",IF(OR(DATE($B$3,7,2)&gt;EOMONTH(DATE($B$3,7,1),0),NETWORKDAYS.INTL(DATE($B$3,7,2),DATE($B$3,7,2),1,'Non-working days'!$A$6:$A$45)=0),"",IF(COUNTIFS('Leave log'!$A$7:$A$306,Employees!$A$35,'Leave log'!$B$7:$B$306,"&lt;="&amp;DATE($B$3,7,2),'Leave log'!$C$7:$C$306,"&gt;="&amp;DATE($B$3,7,2),'Leave log'!$F$7:$F$306,"Pending")&gt;0,"P",""))))</f>
        <v/>
      </c>
      <c r="D240" s="23" t="str">
        <f>IF(A240="","",IF(IF(OR(DATE($B$3,7,3)&gt;EOMONTH(DATE($B$3,7,1),0),NETWORKDAYS.INTL(DATE($B$3,7,3),DATE($B$3,7,3),1,'Non-working days'!$A$6:$A$45)=0),"",IF(COUNTIFS('Leave log'!$A$7:$A$306,Employees!$A$35,'Leave log'!$B$7:$B$306,"&lt;="&amp;DATE($B$3,7,3),'Leave log'!$C$7:$C$306,"&gt;="&amp;DATE($B$3,7,3),'Leave log'!$F$7:$F$306,"Approved")&gt;0,"A",""))="A","A",IF(OR(DATE($B$3,7,3)&gt;EOMONTH(DATE($B$3,7,1),0),NETWORKDAYS.INTL(DATE($B$3,7,3),DATE($B$3,7,3),1,'Non-working days'!$A$6:$A$45)=0),"",IF(COUNTIFS('Leave log'!$A$7:$A$306,Employees!$A$35,'Leave log'!$B$7:$B$306,"&lt;="&amp;DATE($B$3,7,3),'Leave log'!$C$7:$C$306,"&gt;="&amp;DATE($B$3,7,3),'Leave log'!$F$7:$F$306,"Pending")&gt;0,"P",""))))</f>
        <v/>
      </c>
      <c r="E240" s="23" t="str">
        <f>IF(A240="","",IF(IF(OR(DATE($B$3,7,4)&gt;EOMONTH(DATE($B$3,7,1),0),NETWORKDAYS.INTL(DATE($B$3,7,4),DATE($B$3,7,4),1,'Non-working days'!$A$6:$A$45)=0),"",IF(COUNTIFS('Leave log'!$A$7:$A$306,Employees!$A$35,'Leave log'!$B$7:$B$306,"&lt;="&amp;DATE($B$3,7,4),'Leave log'!$C$7:$C$306,"&gt;="&amp;DATE($B$3,7,4),'Leave log'!$F$7:$F$306,"Approved")&gt;0,"A",""))="A","A",IF(OR(DATE($B$3,7,4)&gt;EOMONTH(DATE($B$3,7,1),0),NETWORKDAYS.INTL(DATE($B$3,7,4),DATE($B$3,7,4),1,'Non-working days'!$A$6:$A$45)=0),"",IF(COUNTIFS('Leave log'!$A$7:$A$306,Employees!$A$35,'Leave log'!$B$7:$B$306,"&lt;="&amp;DATE($B$3,7,4),'Leave log'!$C$7:$C$306,"&gt;="&amp;DATE($B$3,7,4),'Leave log'!$F$7:$F$306,"Pending")&gt;0,"P",""))))</f>
        <v/>
      </c>
      <c r="F240" s="23" t="str">
        <f>IF(A240="","",IF(IF(OR(DATE($B$3,7,5)&gt;EOMONTH(DATE($B$3,7,1),0),NETWORKDAYS.INTL(DATE($B$3,7,5),DATE($B$3,7,5),1,'Non-working days'!$A$6:$A$45)=0),"",IF(COUNTIFS('Leave log'!$A$7:$A$306,Employees!$A$35,'Leave log'!$B$7:$B$306,"&lt;="&amp;DATE($B$3,7,5),'Leave log'!$C$7:$C$306,"&gt;="&amp;DATE($B$3,7,5),'Leave log'!$F$7:$F$306,"Approved")&gt;0,"A",""))="A","A",IF(OR(DATE($B$3,7,5)&gt;EOMONTH(DATE($B$3,7,1),0),NETWORKDAYS.INTL(DATE($B$3,7,5),DATE($B$3,7,5),1,'Non-working days'!$A$6:$A$45)=0),"",IF(COUNTIFS('Leave log'!$A$7:$A$306,Employees!$A$35,'Leave log'!$B$7:$B$306,"&lt;="&amp;DATE($B$3,7,5),'Leave log'!$C$7:$C$306,"&gt;="&amp;DATE($B$3,7,5),'Leave log'!$F$7:$F$306,"Pending")&gt;0,"P",""))))</f>
        <v/>
      </c>
      <c r="G240" s="23" t="str">
        <f>IF(A240="","",IF(IF(OR(DATE($B$3,7,6)&gt;EOMONTH(DATE($B$3,7,1),0),NETWORKDAYS.INTL(DATE($B$3,7,6),DATE($B$3,7,6),1,'Non-working days'!$A$6:$A$45)=0),"",IF(COUNTIFS('Leave log'!$A$7:$A$306,Employees!$A$35,'Leave log'!$B$7:$B$306,"&lt;="&amp;DATE($B$3,7,6),'Leave log'!$C$7:$C$306,"&gt;="&amp;DATE($B$3,7,6),'Leave log'!$F$7:$F$306,"Approved")&gt;0,"A",""))="A","A",IF(OR(DATE($B$3,7,6)&gt;EOMONTH(DATE($B$3,7,1),0),NETWORKDAYS.INTL(DATE($B$3,7,6),DATE($B$3,7,6),1,'Non-working days'!$A$6:$A$45)=0),"",IF(COUNTIFS('Leave log'!$A$7:$A$306,Employees!$A$35,'Leave log'!$B$7:$B$306,"&lt;="&amp;DATE($B$3,7,6),'Leave log'!$C$7:$C$306,"&gt;="&amp;DATE($B$3,7,6),'Leave log'!$F$7:$F$306,"Pending")&gt;0,"P",""))))</f>
        <v/>
      </c>
      <c r="H240" s="23" t="str">
        <f>IF(A240="","",IF(IF(OR(DATE($B$3,7,7)&gt;EOMONTH(DATE($B$3,7,1),0),NETWORKDAYS.INTL(DATE($B$3,7,7),DATE($B$3,7,7),1,'Non-working days'!$A$6:$A$45)=0),"",IF(COUNTIFS('Leave log'!$A$7:$A$306,Employees!$A$35,'Leave log'!$B$7:$B$306,"&lt;="&amp;DATE($B$3,7,7),'Leave log'!$C$7:$C$306,"&gt;="&amp;DATE($B$3,7,7),'Leave log'!$F$7:$F$306,"Approved")&gt;0,"A",""))="A","A",IF(OR(DATE($B$3,7,7)&gt;EOMONTH(DATE($B$3,7,1),0),NETWORKDAYS.INTL(DATE($B$3,7,7),DATE($B$3,7,7),1,'Non-working days'!$A$6:$A$45)=0),"",IF(COUNTIFS('Leave log'!$A$7:$A$306,Employees!$A$35,'Leave log'!$B$7:$B$306,"&lt;="&amp;DATE($B$3,7,7),'Leave log'!$C$7:$C$306,"&gt;="&amp;DATE($B$3,7,7),'Leave log'!$F$7:$F$306,"Pending")&gt;0,"P",""))))</f>
        <v/>
      </c>
      <c r="I240" s="23" t="str">
        <f>IF(A240="","",IF(IF(OR(DATE($B$3,7,8)&gt;EOMONTH(DATE($B$3,7,1),0),NETWORKDAYS.INTL(DATE($B$3,7,8),DATE($B$3,7,8),1,'Non-working days'!$A$6:$A$45)=0),"",IF(COUNTIFS('Leave log'!$A$7:$A$306,Employees!$A$35,'Leave log'!$B$7:$B$306,"&lt;="&amp;DATE($B$3,7,8),'Leave log'!$C$7:$C$306,"&gt;="&amp;DATE($B$3,7,8),'Leave log'!$F$7:$F$306,"Approved")&gt;0,"A",""))="A","A",IF(OR(DATE($B$3,7,8)&gt;EOMONTH(DATE($B$3,7,1),0),NETWORKDAYS.INTL(DATE($B$3,7,8),DATE($B$3,7,8),1,'Non-working days'!$A$6:$A$45)=0),"",IF(COUNTIFS('Leave log'!$A$7:$A$306,Employees!$A$35,'Leave log'!$B$7:$B$306,"&lt;="&amp;DATE($B$3,7,8),'Leave log'!$C$7:$C$306,"&gt;="&amp;DATE($B$3,7,8),'Leave log'!$F$7:$F$306,"Pending")&gt;0,"P",""))))</f>
        <v/>
      </c>
      <c r="J240" s="23" t="str">
        <f>IF(A240="","",IF(IF(OR(DATE($B$3,7,9)&gt;EOMONTH(DATE($B$3,7,1),0),NETWORKDAYS.INTL(DATE($B$3,7,9),DATE($B$3,7,9),1,'Non-working days'!$A$6:$A$45)=0),"",IF(COUNTIFS('Leave log'!$A$7:$A$306,Employees!$A$35,'Leave log'!$B$7:$B$306,"&lt;="&amp;DATE($B$3,7,9),'Leave log'!$C$7:$C$306,"&gt;="&amp;DATE($B$3,7,9),'Leave log'!$F$7:$F$306,"Approved")&gt;0,"A",""))="A","A",IF(OR(DATE($B$3,7,9)&gt;EOMONTH(DATE($B$3,7,1),0),NETWORKDAYS.INTL(DATE($B$3,7,9),DATE($B$3,7,9),1,'Non-working days'!$A$6:$A$45)=0),"",IF(COUNTIFS('Leave log'!$A$7:$A$306,Employees!$A$35,'Leave log'!$B$7:$B$306,"&lt;="&amp;DATE($B$3,7,9),'Leave log'!$C$7:$C$306,"&gt;="&amp;DATE($B$3,7,9),'Leave log'!$F$7:$F$306,"Pending")&gt;0,"P",""))))</f>
        <v/>
      </c>
      <c r="K240" s="23" t="str">
        <f>IF(A240="","",IF(IF(OR(DATE($B$3,7,10)&gt;EOMONTH(DATE($B$3,7,1),0),NETWORKDAYS.INTL(DATE($B$3,7,10),DATE($B$3,7,10),1,'Non-working days'!$A$6:$A$45)=0),"",IF(COUNTIFS('Leave log'!$A$7:$A$306,Employees!$A$35,'Leave log'!$B$7:$B$306,"&lt;="&amp;DATE($B$3,7,10),'Leave log'!$C$7:$C$306,"&gt;="&amp;DATE($B$3,7,10),'Leave log'!$F$7:$F$306,"Approved")&gt;0,"A",""))="A","A",IF(OR(DATE($B$3,7,10)&gt;EOMONTH(DATE($B$3,7,1),0),NETWORKDAYS.INTL(DATE($B$3,7,10),DATE($B$3,7,10),1,'Non-working days'!$A$6:$A$45)=0),"",IF(COUNTIFS('Leave log'!$A$7:$A$306,Employees!$A$35,'Leave log'!$B$7:$B$306,"&lt;="&amp;DATE($B$3,7,10),'Leave log'!$C$7:$C$306,"&gt;="&amp;DATE($B$3,7,10),'Leave log'!$F$7:$F$306,"Pending")&gt;0,"P",""))))</f>
        <v/>
      </c>
      <c r="L240" s="23" t="str">
        <f>IF(A240="","",IF(IF(OR(DATE($B$3,7,11)&gt;EOMONTH(DATE($B$3,7,1),0),NETWORKDAYS.INTL(DATE($B$3,7,11),DATE($B$3,7,11),1,'Non-working days'!$A$6:$A$45)=0),"",IF(COUNTIFS('Leave log'!$A$7:$A$306,Employees!$A$35,'Leave log'!$B$7:$B$306,"&lt;="&amp;DATE($B$3,7,11),'Leave log'!$C$7:$C$306,"&gt;="&amp;DATE($B$3,7,11),'Leave log'!$F$7:$F$306,"Approved")&gt;0,"A",""))="A","A",IF(OR(DATE($B$3,7,11)&gt;EOMONTH(DATE($B$3,7,1),0),NETWORKDAYS.INTL(DATE($B$3,7,11),DATE($B$3,7,11),1,'Non-working days'!$A$6:$A$45)=0),"",IF(COUNTIFS('Leave log'!$A$7:$A$306,Employees!$A$35,'Leave log'!$B$7:$B$306,"&lt;="&amp;DATE($B$3,7,11),'Leave log'!$C$7:$C$306,"&gt;="&amp;DATE($B$3,7,11),'Leave log'!$F$7:$F$306,"Pending")&gt;0,"P",""))))</f>
        <v/>
      </c>
      <c r="M240" s="23" t="str">
        <f>IF(A240="","",IF(IF(OR(DATE($B$3,7,12)&gt;EOMONTH(DATE($B$3,7,1),0),NETWORKDAYS.INTL(DATE($B$3,7,12),DATE($B$3,7,12),1,'Non-working days'!$A$6:$A$45)=0),"",IF(COUNTIFS('Leave log'!$A$7:$A$306,Employees!$A$35,'Leave log'!$B$7:$B$306,"&lt;="&amp;DATE($B$3,7,12),'Leave log'!$C$7:$C$306,"&gt;="&amp;DATE($B$3,7,12),'Leave log'!$F$7:$F$306,"Approved")&gt;0,"A",""))="A","A",IF(OR(DATE($B$3,7,12)&gt;EOMONTH(DATE($B$3,7,1),0),NETWORKDAYS.INTL(DATE($B$3,7,12),DATE($B$3,7,12),1,'Non-working days'!$A$6:$A$45)=0),"",IF(COUNTIFS('Leave log'!$A$7:$A$306,Employees!$A$35,'Leave log'!$B$7:$B$306,"&lt;="&amp;DATE($B$3,7,12),'Leave log'!$C$7:$C$306,"&gt;="&amp;DATE($B$3,7,12),'Leave log'!$F$7:$F$306,"Pending")&gt;0,"P",""))))</f>
        <v/>
      </c>
      <c r="N240" s="23" t="str">
        <f>IF(A240="","",IF(IF(OR(DATE($B$3,7,13)&gt;EOMONTH(DATE($B$3,7,1),0),NETWORKDAYS.INTL(DATE($B$3,7,13),DATE($B$3,7,13),1,'Non-working days'!$A$6:$A$45)=0),"",IF(COUNTIFS('Leave log'!$A$7:$A$306,Employees!$A$35,'Leave log'!$B$7:$B$306,"&lt;="&amp;DATE($B$3,7,13),'Leave log'!$C$7:$C$306,"&gt;="&amp;DATE($B$3,7,13),'Leave log'!$F$7:$F$306,"Approved")&gt;0,"A",""))="A","A",IF(OR(DATE($B$3,7,13)&gt;EOMONTH(DATE($B$3,7,1),0),NETWORKDAYS.INTL(DATE($B$3,7,13),DATE($B$3,7,13),1,'Non-working days'!$A$6:$A$45)=0),"",IF(COUNTIFS('Leave log'!$A$7:$A$306,Employees!$A$35,'Leave log'!$B$7:$B$306,"&lt;="&amp;DATE($B$3,7,13),'Leave log'!$C$7:$C$306,"&gt;="&amp;DATE($B$3,7,13),'Leave log'!$F$7:$F$306,"Pending")&gt;0,"P",""))))</f>
        <v/>
      </c>
      <c r="O240" s="23" t="str">
        <f>IF(A240="","",IF(IF(OR(DATE($B$3,7,14)&gt;EOMONTH(DATE($B$3,7,1),0),NETWORKDAYS.INTL(DATE($B$3,7,14),DATE($B$3,7,14),1,'Non-working days'!$A$6:$A$45)=0),"",IF(COUNTIFS('Leave log'!$A$7:$A$306,Employees!$A$35,'Leave log'!$B$7:$B$306,"&lt;="&amp;DATE($B$3,7,14),'Leave log'!$C$7:$C$306,"&gt;="&amp;DATE($B$3,7,14),'Leave log'!$F$7:$F$306,"Approved")&gt;0,"A",""))="A","A",IF(OR(DATE($B$3,7,14)&gt;EOMONTH(DATE($B$3,7,1),0),NETWORKDAYS.INTL(DATE($B$3,7,14),DATE($B$3,7,14),1,'Non-working days'!$A$6:$A$45)=0),"",IF(COUNTIFS('Leave log'!$A$7:$A$306,Employees!$A$35,'Leave log'!$B$7:$B$306,"&lt;="&amp;DATE($B$3,7,14),'Leave log'!$C$7:$C$306,"&gt;="&amp;DATE($B$3,7,14),'Leave log'!$F$7:$F$306,"Pending")&gt;0,"P",""))))</f>
        <v/>
      </c>
      <c r="P240" s="23" t="str">
        <f>IF(A240="","",IF(IF(OR(DATE($B$3,7,15)&gt;EOMONTH(DATE($B$3,7,1),0),NETWORKDAYS.INTL(DATE($B$3,7,15),DATE($B$3,7,15),1,'Non-working days'!$A$6:$A$45)=0),"",IF(COUNTIFS('Leave log'!$A$7:$A$306,Employees!$A$35,'Leave log'!$B$7:$B$306,"&lt;="&amp;DATE($B$3,7,15),'Leave log'!$C$7:$C$306,"&gt;="&amp;DATE($B$3,7,15),'Leave log'!$F$7:$F$306,"Approved")&gt;0,"A",""))="A","A",IF(OR(DATE($B$3,7,15)&gt;EOMONTH(DATE($B$3,7,1),0),NETWORKDAYS.INTL(DATE($B$3,7,15),DATE($B$3,7,15),1,'Non-working days'!$A$6:$A$45)=0),"",IF(COUNTIFS('Leave log'!$A$7:$A$306,Employees!$A$35,'Leave log'!$B$7:$B$306,"&lt;="&amp;DATE($B$3,7,15),'Leave log'!$C$7:$C$306,"&gt;="&amp;DATE($B$3,7,15),'Leave log'!$F$7:$F$306,"Pending")&gt;0,"P",""))))</f>
        <v/>
      </c>
      <c r="Q240" s="23" t="str">
        <f>IF(A240="","",IF(IF(OR(DATE($B$3,7,16)&gt;EOMONTH(DATE($B$3,7,1),0),NETWORKDAYS.INTL(DATE($B$3,7,16),DATE($B$3,7,16),1,'Non-working days'!$A$6:$A$45)=0),"",IF(COUNTIFS('Leave log'!$A$7:$A$306,Employees!$A$35,'Leave log'!$B$7:$B$306,"&lt;="&amp;DATE($B$3,7,16),'Leave log'!$C$7:$C$306,"&gt;="&amp;DATE($B$3,7,16),'Leave log'!$F$7:$F$306,"Approved")&gt;0,"A",""))="A","A",IF(OR(DATE($B$3,7,16)&gt;EOMONTH(DATE($B$3,7,1),0),NETWORKDAYS.INTL(DATE($B$3,7,16),DATE($B$3,7,16),1,'Non-working days'!$A$6:$A$45)=0),"",IF(COUNTIFS('Leave log'!$A$7:$A$306,Employees!$A$35,'Leave log'!$B$7:$B$306,"&lt;="&amp;DATE($B$3,7,16),'Leave log'!$C$7:$C$306,"&gt;="&amp;DATE($B$3,7,16),'Leave log'!$F$7:$F$306,"Pending")&gt;0,"P",""))))</f>
        <v/>
      </c>
      <c r="R240" s="23" t="str">
        <f>IF(A240="","",IF(IF(OR(DATE($B$3,7,17)&gt;EOMONTH(DATE($B$3,7,1),0),NETWORKDAYS.INTL(DATE($B$3,7,17),DATE($B$3,7,17),1,'Non-working days'!$A$6:$A$45)=0),"",IF(COUNTIFS('Leave log'!$A$7:$A$306,Employees!$A$35,'Leave log'!$B$7:$B$306,"&lt;="&amp;DATE($B$3,7,17),'Leave log'!$C$7:$C$306,"&gt;="&amp;DATE($B$3,7,17),'Leave log'!$F$7:$F$306,"Approved")&gt;0,"A",""))="A","A",IF(OR(DATE($B$3,7,17)&gt;EOMONTH(DATE($B$3,7,1),0),NETWORKDAYS.INTL(DATE($B$3,7,17),DATE($B$3,7,17),1,'Non-working days'!$A$6:$A$45)=0),"",IF(COUNTIFS('Leave log'!$A$7:$A$306,Employees!$A$35,'Leave log'!$B$7:$B$306,"&lt;="&amp;DATE($B$3,7,17),'Leave log'!$C$7:$C$306,"&gt;="&amp;DATE($B$3,7,17),'Leave log'!$F$7:$F$306,"Pending")&gt;0,"P",""))))</f>
        <v/>
      </c>
      <c r="S240" s="23" t="str">
        <f>IF(A240="","",IF(IF(OR(DATE($B$3,7,18)&gt;EOMONTH(DATE($B$3,7,1),0),NETWORKDAYS.INTL(DATE($B$3,7,18),DATE($B$3,7,18),1,'Non-working days'!$A$6:$A$45)=0),"",IF(COUNTIFS('Leave log'!$A$7:$A$306,Employees!$A$35,'Leave log'!$B$7:$B$306,"&lt;="&amp;DATE($B$3,7,18),'Leave log'!$C$7:$C$306,"&gt;="&amp;DATE($B$3,7,18),'Leave log'!$F$7:$F$306,"Approved")&gt;0,"A",""))="A","A",IF(OR(DATE($B$3,7,18)&gt;EOMONTH(DATE($B$3,7,1),0),NETWORKDAYS.INTL(DATE($B$3,7,18),DATE($B$3,7,18),1,'Non-working days'!$A$6:$A$45)=0),"",IF(COUNTIFS('Leave log'!$A$7:$A$306,Employees!$A$35,'Leave log'!$B$7:$B$306,"&lt;="&amp;DATE($B$3,7,18),'Leave log'!$C$7:$C$306,"&gt;="&amp;DATE($B$3,7,18),'Leave log'!$F$7:$F$306,"Pending")&gt;0,"P",""))))</f>
        <v/>
      </c>
      <c r="T240" s="23" t="str">
        <f>IF(A240="","",IF(IF(OR(DATE($B$3,7,19)&gt;EOMONTH(DATE($B$3,7,1),0),NETWORKDAYS.INTL(DATE($B$3,7,19),DATE($B$3,7,19),1,'Non-working days'!$A$6:$A$45)=0),"",IF(COUNTIFS('Leave log'!$A$7:$A$306,Employees!$A$35,'Leave log'!$B$7:$B$306,"&lt;="&amp;DATE($B$3,7,19),'Leave log'!$C$7:$C$306,"&gt;="&amp;DATE($B$3,7,19),'Leave log'!$F$7:$F$306,"Approved")&gt;0,"A",""))="A","A",IF(OR(DATE($B$3,7,19)&gt;EOMONTH(DATE($B$3,7,1),0),NETWORKDAYS.INTL(DATE($B$3,7,19),DATE($B$3,7,19),1,'Non-working days'!$A$6:$A$45)=0),"",IF(COUNTIFS('Leave log'!$A$7:$A$306,Employees!$A$35,'Leave log'!$B$7:$B$306,"&lt;="&amp;DATE($B$3,7,19),'Leave log'!$C$7:$C$306,"&gt;="&amp;DATE($B$3,7,19),'Leave log'!$F$7:$F$306,"Pending")&gt;0,"P",""))))</f>
        <v/>
      </c>
      <c r="U240" s="23" t="str">
        <f>IF(A240="","",IF(IF(OR(DATE($B$3,7,20)&gt;EOMONTH(DATE($B$3,7,1),0),NETWORKDAYS.INTL(DATE($B$3,7,20),DATE($B$3,7,20),1,'Non-working days'!$A$6:$A$45)=0),"",IF(COUNTIFS('Leave log'!$A$7:$A$306,Employees!$A$35,'Leave log'!$B$7:$B$306,"&lt;="&amp;DATE($B$3,7,20),'Leave log'!$C$7:$C$306,"&gt;="&amp;DATE($B$3,7,20),'Leave log'!$F$7:$F$306,"Approved")&gt;0,"A",""))="A","A",IF(OR(DATE($B$3,7,20)&gt;EOMONTH(DATE($B$3,7,1),0),NETWORKDAYS.INTL(DATE($B$3,7,20),DATE($B$3,7,20),1,'Non-working days'!$A$6:$A$45)=0),"",IF(COUNTIFS('Leave log'!$A$7:$A$306,Employees!$A$35,'Leave log'!$B$7:$B$306,"&lt;="&amp;DATE($B$3,7,20),'Leave log'!$C$7:$C$306,"&gt;="&amp;DATE($B$3,7,20),'Leave log'!$F$7:$F$306,"Pending")&gt;0,"P",""))))</f>
        <v/>
      </c>
      <c r="V240" s="23" t="str">
        <f>IF(A240="","",IF(IF(OR(DATE($B$3,7,21)&gt;EOMONTH(DATE($B$3,7,1),0),NETWORKDAYS.INTL(DATE($B$3,7,21),DATE($B$3,7,21),1,'Non-working days'!$A$6:$A$45)=0),"",IF(COUNTIFS('Leave log'!$A$7:$A$306,Employees!$A$35,'Leave log'!$B$7:$B$306,"&lt;="&amp;DATE($B$3,7,21),'Leave log'!$C$7:$C$306,"&gt;="&amp;DATE($B$3,7,21),'Leave log'!$F$7:$F$306,"Approved")&gt;0,"A",""))="A","A",IF(OR(DATE($B$3,7,21)&gt;EOMONTH(DATE($B$3,7,1),0),NETWORKDAYS.INTL(DATE($B$3,7,21),DATE($B$3,7,21),1,'Non-working days'!$A$6:$A$45)=0),"",IF(COUNTIFS('Leave log'!$A$7:$A$306,Employees!$A$35,'Leave log'!$B$7:$B$306,"&lt;="&amp;DATE($B$3,7,21),'Leave log'!$C$7:$C$306,"&gt;="&amp;DATE($B$3,7,21),'Leave log'!$F$7:$F$306,"Pending")&gt;0,"P",""))))</f>
        <v/>
      </c>
      <c r="W240" s="23" t="str">
        <f>IF(A240="","",IF(IF(OR(DATE($B$3,7,22)&gt;EOMONTH(DATE($B$3,7,1),0),NETWORKDAYS.INTL(DATE($B$3,7,22),DATE($B$3,7,22),1,'Non-working days'!$A$6:$A$45)=0),"",IF(COUNTIFS('Leave log'!$A$7:$A$306,Employees!$A$35,'Leave log'!$B$7:$B$306,"&lt;="&amp;DATE($B$3,7,22),'Leave log'!$C$7:$C$306,"&gt;="&amp;DATE($B$3,7,22),'Leave log'!$F$7:$F$306,"Approved")&gt;0,"A",""))="A","A",IF(OR(DATE($B$3,7,22)&gt;EOMONTH(DATE($B$3,7,1),0),NETWORKDAYS.INTL(DATE($B$3,7,22),DATE($B$3,7,22),1,'Non-working days'!$A$6:$A$45)=0),"",IF(COUNTIFS('Leave log'!$A$7:$A$306,Employees!$A$35,'Leave log'!$B$7:$B$306,"&lt;="&amp;DATE($B$3,7,22),'Leave log'!$C$7:$C$306,"&gt;="&amp;DATE($B$3,7,22),'Leave log'!$F$7:$F$306,"Pending")&gt;0,"P",""))))</f>
        <v/>
      </c>
      <c r="X240" s="23" t="str">
        <f>IF(A240="","",IF(IF(OR(DATE($B$3,7,23)&gt;EOMONTH(DATE($B$3,7,1),0),NETWORKDAYS.INTL(DATE($B$3,7,23),DATE($B$3,7,23),1,'Non-working days'!$A$6:$A$45)=0),"",IF(COUNTIFS('Leave log'!$A$7:$A$306,Employees!$A$35,'Leave log'!$B$7:$B$306,"&lt;="&amp;DATE($B$3,7,23),'Leave log'!$C$7:$C$306,"&gt;="&amp;DATE($B$3,7,23),'Leave log'!$F$7:$F$306,"Approved")&gt;0,"A",""))="A","A",IF(OR(DATE($B$3,7,23)&gt;EOMONTH(DATE($B$3,7,1),0),NETWORKDAYS.INTL(DATE($B$3,7,23),DATE($B$3,7,23),1,'Non-working days'!$A$6:$A$45)=0),"",IF(COUNTIFS('Leave log'!$A$7:$A$306,Employees!$A$35,'Leave log'!$B$7:$B$306,"&lt;="&amp;DATE($B$3,7,23),'Leave log'!$C$7:$C$306,"&gt;="&amp;DATE($B$3,7,23),'Leave log'!$F$7:$F$306,"Pending")&gt;0,"P",""))))</f>
        <v/>
      </c>
      <c r="Y240" s="23" t="str">
        <f>IF(A240="","",IF(IF(OR(DATE($B$3,7,24)&gt;EOMONTH(DATE($B$3,7,1),0),NETWORKDAYS.INTL(DATE($B$3,7,24),DATE($B$3,7,24),1,'Non-working days'!$A$6:$A$45)=0),"",IF(COUNTIFS('Leave log'!$A$7:$A$306,Employees!$A$35,'Leave log'!$B$7:$B$306,"&lt;="&amp;DATE($B$3,7,24),'Leave log'!$C$7:$C$306,"&gt;="&amp;DATE($B$3,7,24),'Leave log'!$F$7:$F$306,"Approved")&gt;0,"A",""))="A","A",IF(OR(DATE($B$3,7,24)&gt;EOMONTH(DATE($B$3,7,1),0),NETWORKDAYS.INTL(DATE($B$3,7,24),DATE($B$3,7,24),1,'Non-working days'!$A$6:$A$45)=0),"",IF(COUNTIFS('Leave log'!$A$7:$A$306,Employees!$A$35,'Leave log'!$B$7:$B$306,"&lt;="&amp;DATE($B$3,7,24),'Leave log'!$C$7:$C$306,"&gt;="&amp;DATE($B$3,7,24),'Leave log'!$F$7:$F$306,"Pending")&gt;0,"P",""))))</f>
        <v/>
      </c>
      <c r="Z240" s="23" t="str">
        <f>IF(A240="","",IF(IF(OR(DATE($B$3,7,25)&gt;EOMONTH(DATE($B$3,7,1),0),NETWORKDAYS.INTL(DATE($B$3,7,25),DATE($B$3,7,25),1,'Non-working days'!$A$6:$A$45)=0),"",IF(COUNTIFS('Leave log'!$A$7:$A$306,Employees!$A$35,'Leave log'!$B$7:$B$306,"&lt;="&amp;DATE($B$3,7,25),'Leave log'!$C$7:$C$306,"&gt;="&amp;DATE($B$3,7,25),'Leave log'!$F$7:$F$306,"Approved")&gt;0,"A",""))="A","A",IF(OR(DATE($B$3,7,25)&gt;EOMONTH(DATE($B$3,7,1),0),NETWORKDAYS.INTL(DATE($B$3,7,25),DATE($B$3,7,25),1,'Non-working days'!$A$6:$A$45)=0),"",IF(COUNTIFS('Leave log'!$A$7:$A$306,Employees!$A$35,'Leave log'!$B$7:$B$306,"&lt;="&amp;DATE($B$3,7,25),'Leave log'!$C$7:$C$306,"&gt;="&amp;DATE($B$3,7,25),'Leave log'!$F$7:$F$306,"Pending")&gt;0,"P",""))))</f>
        <v/>
      </c>
      <c r="AA240" s="23" t="str">
        <f>IF(A240="","",IF(IF(OR(DATE($B$3,7,26)&gt;EOMONTH(DATE($B$3,7,1),0),NETWORKDAYS.INTL(DATE($B$3,7,26),DATE($B$3,7,26),1,'Non-working days'!$A$6:$A$45)=0),"",IF(COUNTIFS('Leave log'!$A$7:$A$306,Employees!$A$35,'Leave log'!$B$7:$B$306,"&lt;="&amp;DATE($B$3,7,26),'Leave log'!$C$7:$C$306,"&gt;="&amp;DATE($B$3,7,26),'Leave log'!$F$7:$F$306,"Approved")&gt;0,"A",""))="A","A",IF(OR(DATE($B$3,7,26)&gt;EOMONTH(DATE($B$3,7,1),0),NETWORKDAYS.INTL(DATE($B$3,7,26),DATE($B$3,7,26),1,'Non-working days'!$A$6:$A$45)=0),"",IF(COUNTIFS('Leave log'!$A$7:$A$306,Employees!$A$35,'Leave log'!$B$7:$B$306,"&lt;="&amp;DATE($B$3,7,26),'Leave log'!$C$7:$C$306,"&gt;="&amp;DATE($B$3,7,26),'Leave log'!$F$7:$F$306,"Pending")&gt;0,"P",""))))</f>
        <v/>
      </c>
      <c r="AB240" s="23" t="str">
        <f>IF(A240="","",IF(IF(OR(DATE($B$3,7,27)&gt;EOMONTH(DATE($B$3,7,1),0),NETWORKDAYS.INTL(DATE($B$3,7,27),DATE($B$3,7,27),1,'Non-working days'!$A$6:$A$45)=0),"",IF(COUNTIFS('Leave log'!$A$7:$A$306,Employees!$A$35,'Leave log'!$B$7:$B$306,"&lt;="&amp;DATE($B$3,7,27),'Leave log'!$C$7:$C$306,"&gt;="&amp;DATE($B$3,7,27),'Leave log'!$F$7:$F$306,"Approved")&gt;0,"A",""))="A","A",IF(OR(DATE($B$3,7,27)&gt;EOMONTH(DATE($B$3,7,1),0),NETWORKDAYS.INTL(DATE($B$3,7,27),DATE($B$3,7,27),1,'Non-working days'!$A$6:$A$45)=0),"",IF(COUNTIFS('Leave log'!$A$7:$A$306,Employees!$A$35,'Leave log'!$B$7:$B$306,"&lt;="&amp;DATE($B$3,7,27),'Leave log'!$C$7:$C$306,"&gt;="&amp;DATE($B$3,7,27),'Leave log'!$F$7:$F$306,"Pending")&gt;0,"P",""))))</f>
        <v/>
      </c>
      <c r="AC240" s="23" t="str">
        <f>IF(A240="","",IF(IF(OR(DATE($B$3,7,28)&gt;EOMONTH(DATE($B$3,7,1),0),NETWORKDAYS.INTL(DATE($B$3,7,28),DATE($B$3,7,28),1,'Non-working days'!$A$6:$A$45)=0),"",IF(COUNTIFS('Leave log'!$A$7:$A$306,Employees!$A$35,'Leave log'!$B$7:$B$306,"&lt;="&amp;DATE($B$3,7,28),'Leave log'!$C$7:$C$306,"&gt;="&amp;DATE($B$3,7,28),'Leave log'!$F$7:$F$306,"Approved")&gt;0,"A",""))="A","A",IF(OR(DATE($B$3,7,28)&gt;EOMONTH(DATE($B$3,7,1),0),NETWORKDAYS.INTL(DATE($B$3,7,28),DATE($B$3,7,28),1,'Non-working days'!$A$6:$A$45)=0),"",IF(COUNTIFS('Leave log'!$A$7:$A$306,Employees!$A$35,'Leave log'!$B$7:$B$306,"&lt;="&amp;DATE($B$3,7,28),'Leave log'!$C$7:$C$306,"&gt;="&amp;DATE($B$3,7,28),'Leave log'!$F$7:$F$306,"Pending")&gt;0,"P",""))))</f>
        <v/>
      </c>
      <c r="AD240" s="23" t="str">
        <f>IF(A240="","",IF(IF(OR(DATE($B$3,7,29)&gt;EOMONTH(DATE($B$3,7,1),0),NETWORKDAYS.INTL(DATE($B$3,7,29),DATE($B$3,7,29),1,'Non-working days'!$A$6:$A$45)=0),"",IF(COUNTIFS('Leave log'!$A$7:$A$306,Employees!$A$35,'Leave log'!$B$7:$B$306,"&lt;="&amp;DATE($B$3,7,29),'Leave log'!$C$7:$C$306,"&gt;="&amp;DATE($B$3,7,29),'Leave log'!$F$7:$F$306,"Approved")&gt;0,"A",""))="A","A",IF(OR(DATE($B$3,7,29)&gt;EOMONTH(DATE($B$3,7,1),0),NETWORKDAYS.INTL(DATE($B$3,7,29),DATE($B$3,7,29),1,'Non-working days'!$A$6:$A$45)=0),"",IF(COUNTIFS('Leave log'!$A$7:$A$306,Employees!$A$35,'Leave log'!$B$7:$B$306,"&lt;="&amp;DATE($B$3,7,29),'Leave log'!$C$7:$C$306,"&gt;="&amp;DATE($B$3,7,29),'Leave log'!$F$7:$F$306,"Pending")&gt;0,"P",""))))</f>
        <v/>
      </c>
      <c r="AE240" s="23" t="str">
        <f>IF(A240="","",IF(IF(OR(DATE($B$3,7,30)&gt;EOMONTH(DATE($B$3,7,1),0),NETWORKDAYS.INTL(DATE($B$3,7,30),DATE($B$3,7,30),1,'Non-working days'!$A$6:$A$45)=0),"",IF(COUNTIFS('Leave log'!$A$7:$A$306,Employees!$A$35,'Leave log'!$B$7:$B$306,"&lt;="&amp;DATE($B$3,7,30),'Leave log'!$C$7:$C$306,"&gt;="&amp;DATE($B$3,7,30),'Leave log'!$F$7:$F$306,"Approved")&gt;0,"A",""))="A","A",IF(OR(DATE($B$3,7,30)&gt;EOMONTH(DATE($B$3,7,1),0),NETWORKDAYS.INTL(DATE($B$3,7,30),DATE($B$3,7,30),1,'Non-working days'!$A$6:$A$45)=0),"",IF(COUNTIFS('Leave log'!$A$7:$A$306,Employees!$A$35,'Leave log'!$B$7:$B$306,"&lt;="&amp;DATE($B$3,7,30),'Leave log'!$C$7:$C$306,"&gt;="&amp;DATE($B$3,7,30),'Leave log'!$F$7:$F$306,"Pending")&gt;0,"P",""))))</f>
        <v/>
      </c>
      <c r="AF240" s="23" t="str">
        <f>IF(A240="","",IF(IF(OR(DATE($B$3,7,31)&gt;EOMONTH(DATE($B$3,7,1),0),NETWORKDAYS.INTL(DATE($B$3,7,31),DATE($B$3,7,31),1,'Non-working days'!$A$6:$A$45)=0),"",IF(COUNTIFS('Leave log'!$A$7:$A$306,Employees!$A$35,'Leave log'!$B$7:$B$306,"&lt;="&amp;DATE($B$3,7,31),'Leave log'!$C$7:$C$306,"&gt;="&amp;DATE($B$3,7,31),'Leave log'!$F$7:$F$306,"Approved")&gt;0,"A",""))="A","A",IF(OR(DATE($B$3,7,31)&gt;EOMONTH(DATE($B$3,7,1),0),NETWORKDAYS.INTL(DATE($B$3,7,31),DATE($B$3,7,31),1,'Non-working days'!$A$6:$A$45)=0),"",IF(COUNTIFS('Leave log'!$A$7:$A$306,Employees!$A$35,'Leave log'!$B$7:$B$306,"&lt;="&amp;DATE($B$3,7,31),'Leave log'!$C$7:$C$306,"&gt;="&amp;DATE($B$3,7,31),'Leave log'!$F$7:$F$306,"Pending")&gt;0,"P",""))))</f>
        <v/>
      </c>
    </row>
    <row r="243" spans="1:32" ht="15.6" x14ac:dyDescent="0.3">
      <c r="A243" s="31" t="s">
        <v>82</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row>
    <row r="244" spans="1:32" x14ac:dyDescent="0.3">
      <c r="A244" s="20" t="s">
        <v>75</v>
      </c>
      <c r="B244" s="21">
        <v>1</v>
      </c>
      <c r="C244" s="21">
        <v>2</v>
      </c>
      <c r="D244" s="21">
        <v>3</v>
      </c>
      <c r="E244" s="21">
        <v>4</v>
      </c>
      <c r="F244" s="21">
        <v>5</v>
      </c>
      <c r="G244" s="21">
        <v>6</v>
      </c>
      <c r="H244" s="21">
        <v>7</v>
      </c>
      <c r="I244" s="21">
        <v>8</v>
      </c>
      <c r="J244" s="21">
        <v>9</v>
      </c>
      <c r="K244" s="21">
        <v>10</v>
      </c>
      <c r="L244" s="21">
        <v>11</v>
      </c>
      <c r="M244" s="21">
        <v>12</v>
      </c>
      <c r="N244" s="21">
        <v>13</v>
      </c>
      <c r="O244" s="21">
        <v>14</v>
      </c>
      <c r="P244" s="21">
        <v>15</v>
      </c>
      <c r="Q244" s="21">
        <v>16</v>
      </c>
      <c r="R244" s="21">
        <v>17</v>
      </c>
      <c r="S244" s="21">
        <v>18</v>
      </c>
      <c r="T244" s="21">
        <v>19</v>
      </c>
      <c r="U244" s="21">
        <v>20</v>
      </c>
      <c r="V244" s="21">
        <v>21</v>
      </c>
      <c r="W244" s="21">
        <v>22</v>
      </c>
      <c r="X244" s="21">
        <v>23</v>
      </c>
      <c r="Y244" s="21">
        <v>24</v>
      </c>
      <c r="Z244" s="21">
        <v>25</v>
      </c>
      <c r="AA244" s="21">
        <v>26</v>
      </c>
      <c r="AB244" s="21">
        <v>27</v>
      </c>
      <c r="AC244" s="21">
        <v>28</v>
      </c>
      <c r="AD244" s="21">
        <v>29</v>
      </c>
      <c r="AE244" s="21">
        <v>30</v>
      </c>
      <c r="AF244" s="21">
        <v>31</v>
      </c>
    </row>
    <row r="245" spans="1:32" ht="18" customHeight="1" x14ac:dyDescent="0.3">
      <c r="A245" s="22" t="str">
        <f>IF(Employees!F6="Yes",Employees!B6,"")</f>
        <v>Alex Morgan</v>
      </c>
      <c r="B245" s="23" t="str">
        <f>IF(A245="","",IF(IF(OR(DATE($B$3,8,1)&gt;EOMONTH(DATE($B$3,8,1),0),NETWORKDAYS.INTL(DATE($B$3,8,1),DATE($B$3,8,1),1,'Non-working days'!$A$6:$A$45)=0),"",IF(COUNTIFS('Leave log'!$A$7:$A$306,Employees!$A$6,'Leave log'!$B$7:$B$306,"&lt;="&amp;DATE($B$3,8,1),'Leave log'!$C$7:$C$306,"&gt;="&amp;DATE($B$3,8,1),'Leave log'!$F$7:$F$306,"Approved")&gt;0,"A",""))="A","A",IF(OR(DATE($B$3,8,1)&gt;EOMONTH(DATE($B$3,8,1),0),NETWORKDAYS.INTL(DATE($B$3,8,1),DATE($B$3,8,1),1,'Non-working days'!$A$6:$A$45)=0),"",IF(COUNTIFS('Leave log'!$A$7:$A$306,Employees!$A$6,'Leave log'!$B$7:$B$306,"&lt;="&amp;DATE($B$3,8,1),'Leave log'!$C$7:$C$306,"&gt;="&amp;DATE($B$3,8,1),'Leave log'!$F$7:$F$306,"Pending")&gt;0,"P",""))))</f>
        <v/>
      </c>
      <c r="C245" s="23" t="str">
        <f>IF(A245="","",IF(IF(OR(DATE($B$3,8,2)&gt;EOMONTH(DATE($B$3,8,1),0),NETWORKDAYS.INTL(DATE($B$3,8,2),DATE($B$3,8,2),1,'Non-working days'!$A$6:$A$45)=0),"",IF(COUNTIFS('Leave log'!$A$7:$A$306,Employees!$A$6,'Leave log'!$B$7:$B$306,"&lt;="&amp;DATE($B$3,8,2),'Leave log'!$C$7:$C$306,"&gt;="&amp;DATE($B$3,8,2),'Leave log'!$F$7:$F$306,"Approved")&gt;0,"A",""))="A","A",IF(OR(DATE($B$3,8,2)&gt;EOMONTH(DATE($B$3,8,1),0),NETWORKDAYS.INTL(DATE($B$3,8,2),DATE($B$3,8,2),1,'Non-working days'!$A$6:$A$45)=0),"",IF(COUNTIFS('Leave log'!$A$7:$A$306,Employees!$A$6,'Leave log'!$B$7:$B$306,"&lt;="&amp;DATE($B$3,8,2),'Leave log'!$C$7:$C$306,"&gt;="&amp;DATE($B$3,8,2),'Leave log'!$F$7:$F$306,"Pending")&gt;0,"P",""))))</f>
        <v/>
      </c>
      <c r="D245" s="23" t="str">
        <f>IF(A245="","",IF(IF(OR(DATE($B$3,8,3)&gt;EOMONTH(DATE($B$3,8,1),0),NETWORKDAYS.INTL(DATE($B$3,8,3),DATE($B$3,8,3),1,'Non-working days'!$A$6:$A$45)=0),"",IF(COUNTIFS('Leave log'!$A$7:$A$306,Employees!$A$6,'Leave log'!$B$7:$B$306,"&lt;="&amp;DATE($B$3,8,3),'Leave log'!$C$7:$C$306,"&gt;="&amp;DATE($B$3,8,3),'Leave log'!$F$7:$F$306,"Approved")&gt;0,"A",""))="A","A",IF(OR(DATE($B$3,8,3)&gt;EOMONTH(DATE($B$3,8,1),0),NETWORKDAYS.INTL(DATE($B$3,8,3),DATE($B$3,8,3),1,'Non-working days'!$A$6:$A$45)=0),"",IF(COUNTIFS('Leave log'!$A$7:$A$306,Employees!$A$6,'Leave log'!$B$7:$B$306,"&lt;="&amp;DATE($B$3,8,3),'Leave log'!$C$7:$C$306,"&gt;="&amp;DATE($B$3,8,3),'Leave log'!$F$7:$F$306,"Pending")&gt;0,"P",""))))</f>
        <v/>
      </c>
      <c r="E245" s="23" t="str">
        <f>IF(A245="","",IF(IF(OR(DATE($B$3,8,4)&gt;EOMONTH(DATE($B$3,8,1),0),NETWORKDAYS.INTL(DATE($B$3,8,4),DATE($B$3,8,4),1,'Non-working days'!$A$6:$A$45)=0),"",IF(COUNTIFS('Leave log'!$A$7:$A$306,Employees!$A$6,'Leave log'!$B$7:$B$306,"&lt;="&amp;DATE($B$3,8,4),'Leave log'!$C$7:$C$306,"&gt;="&amp;DATE($B$3,8,4),'Leave log'!$F$7:$F$306,"Approved")&gt;0,"A",""))="A","A",IF(OR(DATE($B$3,8,4)&gt;EOMONTH(DATE($B$3,8,1),0),NETWORKDAYS.INTL(DATE($B$3,8,4),DATE($B$3,8,4),1,'Non-working days'!$A$6:$A$45)=0),"",IF(COUNTIFS('Leave log'!$A$7:$A$306,Employees!$A$6,'Leave log'!$B$7:$B$306,"&lt;="&amp;DATE($B$3,8,4),'Leave log'!$C$7:$C$306,"&gt;="&amp;DATE($B$3,8,4),'Leave log'!$F$7:$F$306,"Pending")&gt;0,"P",""))))</f>
        <v/>
      </c>
      <c r="F245" s="23" t="str">
        <f>IF(A245="","",IF(IF(OR(DATE($B$3,8,5)&gt;EOMONTH(DATE($B$3,8,1),0),NETWORKDAYS.INTL(DATE($B$3,8,5),DATE($B$3,8,5),1,'Non-working days'!$A$6:$A$45)=0),"",IF(COUNTIFS('Leave log'!$A$7:$A$306,Employees!$A$6,'Leave log'!$B$7:$B$306,"&lt;="&amp;DATE($B$3,8,5),'Leave log'!$C$7:$C$306,"&gt;="&amp;DATE($B$3,8,5),'Leave log'!$F$7:$F$306,"Approved")&gt;0,"A",""))="A","A",IF(OR(DATE($B$3,8,5)&gt;EOMONTH(DATE($B$3,8,1),0),NETWORKDAYS.INTL(DATE($B$3,8,5),DATE($B$3,8,5),1,'Non-working days'!$A$6:$A$45)=0),"",IF(COUNTIFS('Leave log'!$A$7:$A$306,Employees!$A$6,'Leave log'!$B$7:$B$306,"&lt;="&amp;DATE($B$3,8,5),'Leave log'!$C$7:$C$306,"&gt;="&amp;DATE($B$3,8,5),'Leave log'!$F$7:$F$306,"Pending")&gt;0,"P",""))))</f>
        <v/>
      </c>
      <c r="G245" s="23" t="str">
        <f>IF(A245="","",IF(IF(OR(DATE($B$3,8,6)&gt;EOMONTH(DATE($B$3,8,1),0),NETWORKDAYS.INTL(DATE($B$3,8,6),DATE($B$3,8,6),1,'Non-working days'!$A$6:$A$45)=0),"",IF(COUNTIFS('Leave log'!$A$7:$A$306,Employees!$A$6,'Leave log'!$B$7:$B$306,"&lt;="&amp;DATE($B$3,8,6),'Leave log'!$C$7:$C$306,"&gt;="&amp;DATE($B$3,8,6),'Leave log'!$F$7:$F$306,"Approved")&gt;0,"A",""))="A","A",IF(OR(DATE($B$3,8,6)&gt;EOMONTH(DATE($B$3,8,1),0),NETWORKDAYS.INTL(DATE($B$3,8,6),DATE($B$3,8,6),1,'Non-working days'!$A$6:$A$45)=0),"",IF(COUNTIFS('Leave log'!$A$7:$A$306,Employees!$A$6,'Leave log'!$B$7:$B$306,"&lt;="&amp;DATE($B$3,8,6),'Leave log'!$C$7:$C$306,"&gt;="&amp;DATE($B$3,8,6),'Leave log'!$F$7:$F$306,"Pending")&gt;0,"P",""))))</f>
        <v/>
      </c>
      <c r="H245" s="23" t="str">
        <f>IF(A245="","",IF(IF(OR(DATE($B$3,8,7)&gt;EOMONTH(DATE($B$3,8,1),0),NETWORKDAYS.INTL(DATE($B$3,8,7),DATE($B$3,8,7),1,'Non-working days'!$A$6:$A$45)=0),"",IF(COUNTIFS('Leave log'!$A$7:$A$306,Employees!$A$6,'Leave log'!$B$7:$B$306,"&lt;="&amp;DATE($B$3,8,7),'Leave log'!$C$7:$C$306,"&gt;="&amp;DATE($B$3,8,7),'Leave log'!$F$7:$F$306,"Approved")&gt;0,"A",""))="A","A",IF(OR(DATE($B$3,8,7)&gt;EOMONTH(DATE($B$3,8,1),0),NETWORKDAYS.INTL(DATE($B$3,8,7),DATE($B$3,8,7),1,'Non-working days'!$A$6:$A$45)=0),"",IF(COUNTIFS('Leave log'!$A$7:$A$306,Employees!$A$6,'Leave log'!$B$7:$B$306,"&lt;="&amp;DATE($B$3,8,7),'Leave log'!$C$7:$C$306,"&gt;="&amp;DATE($B$3,8,7),'Leave log'!$F$7:$F$306,"Pending")&gt;0,"P",""))))</f>
        <v/>
      </c>
      <c r="I245" s="23" t="str">
        <f>IF(A245="","",IF(IF(OR(DATE($B$3,8,8)&gt;EOMONTH(DATE($B$3,8,1),0),NETWORKDAYS.INTL(DATE($B$3,8,8),DATE($B$3,8,8),1,'Non-working days'!$A$6:$A$45)=0),"",IF(COUNTIFS('Leave log'!$A$7:$A$306,Employees!$A$6,'Leave log'!$B$7:$B$306,"&lt;="&amp;DATE($B$3,8,8),'Leave log'!$C$7:$C$306,"&gt;="&amp;DATE($B$3,8,8),'Leave log'!$F$7:$F$306,"Approved")&gt;0,"A",""))="A","A",IF(OR(DATE($B$3,8,8)&gt;EOMONTH(DATE($B$3,8,1),0),NETWORKDAYS.INTL(DATE($B$3,8,8),DATE($B$3,8,8),1,'Non-working days'!$A$6:$A$45)=0),"",IF(COUNTIFS('Leave log'!$A$7:$A$306,Employees!$A$6,'Leave log'!$B$7:$B$306,"&lt;="&amp;DATE($B$3,8,8),'Leave log'!$C$7:$C$306,"&gt;="&amp;DATE($B$3,8,8),'Leave log'!$F$7:$F$306,"Pending")&gt;0,"P",""))))</f>
        <v/>
      </c>
      <c r="J245" s="23" t="str">
        <f>IF(A245="","",IF(IF(OR(DATE($B$3,8,9)&gt;EOMONTH(DATE($B$3,8,1),0),NETWORKDAYS.INTL(DATE($B$3,8,9),DATE($B$3,8,9),1,'Non-working days'!$A$6:$A$45)=0),"",IF(COUNTIFS('Leave log'!$A$7:$A$306,Employees!$A$6,'Leave log'!$B$7:$B$306,"&lt;="&amp;DATE($B$3,8,9),'Leave log'!$C$7:$C$306,"&gt;="&amp;DATE($B$3,8,9),'Leave log'!$F$7:$F$306,"Approved")&gt;0,"A",""))="A","A",IF(OR(DATE($B$3,8,9)&gt;EOMONTH(DATE($B$3,8,1),0),NETWORKDAYS.INTL(DATE($B$3,8,9),DATE($B$3,8,9),1,'Non-working days'!$A$6:$A$45)=0),"",IF(COUNTIFS('Leave log'!$A$7:$A$306,Employees!$A$6,'Leave log'!$B$7:$B$306,"&lt;="&amp;DATE($B$3,8,9),'Leave log'!$C$7:$C$306,"&gt;="&amp;DATE($B$3,8,9),'Leave log'!$F$7:$F$306,"Pending")&gt;0,"P",""))))</f>
        <v/>
      </c>
      <c r="K245" s="23" t="str">
        <f>IF(A245="","",IF(IF(OR(DATE($B$3,8,10)&gt;EOMONTH(DATE($B$3,8,1),0),NETWORKDAYS.INTL(DATE($B$3,8,10),DATE($B$3,8,10),1,'Non-working days'!$A$6:$A$45)=0),"",IF(COUNTIFS('Leave log'!$A$7:$A$306,Employees!$A$6,'Leave log'!$B$7:$B$306,"&lt;="&amp;DATE($B$3,8,10),'Leave log'!$C$7:$C$306,"&gt;="&amp;DATE($B$3,8,10),'Leave log'!$F$7:$F$306,"Approved")&gt;0,"A",""))="A","A",IF(OR(DATE($B$3,8,10)&gt;EOMONTH(DATE($B$3,8,1),0),NETWORKDAYS.INTL(DATE($B$3,8,10),DATE($B$3,8,10),1,'Non-working days'!$A$6:$A$45)=0),"",IF(COUNTIFS('Leave log'!$A$7:$A$306,Employees!$A$6,'Leave log'!$B$7:$B$306,"&lt;="&amp;DATE($B$3,8,10),'Leave log'!$C$7:$C$306,"&gt;="&amp;DATE($B$3,8,10),'Leave log'!$F$7:$F$306,"Pending")&gt;0,"P",""))))</f>
        <v/>
      </c>
      <c r="L245" s="23" t="str">
        <f>IF(A245="","",IF(IF(OR(DATE($B$3,8,11)&gt;EOMONTH(DATE($B$3,8,1),0),NETWORKDAYS.INTL(DATE($B$3,8,11),DATE($B$3,8,11),1,'Non-working days'!$A$6:$A$45)=0),"",IF(COUNTIFS('Leave log'!$A$7:$A$306,Employees!$A$6,'Leave log'!$B$7:$B$306,"&lt;="&amp;DATE($B$3,8,11),'Leave log'!$C$7:$C$306,"&gt;="&amp;DATE($B$3,8,11),'Leave log'!$F$7:$F$306,"Approved")&gt;0,"A",""))="A","A",IF(OR(DATE($B$3,8,11)&gt;EOMONTH(DATE($B$3,8,1),0),NETWORKDAYS.INTL(DATE($B$3,8,11),DATE($B$3,8,11),1,'Non-working days'!$A$6:$A$45)=0),"",IF(COUNTIFS('Leave log'!$A$7:$A$306,Employees!$A$6,'Leave log'!$B$7:$B$306,"&lt;="&amp;DATE($B$3,8,11),'Leave log'!$C$7:$C$306,"&gt;="&amp;DATE($B$3,8,11),'Leave log'!$F$7:$F$306,"Pending")&gt;0,"P",""))))</f>
        <v/>
      </c>
      <c r="M245" s="23" t="str">
        <f>IF(A245="","",IF(IF(OR(DATE($B$3,8,12)&gt;EOMONTH(DATE($B$3,8,1),0),NETWORKDAYS.INTL(DATE($B$3,8,12),DATE($B$3,8,12),1,'Non-working days'!$A$6:$A$45)=0),"",IF(COUNTIFS('Leave log'!$A$7:$A$306,Employees!$A$6,'Leave log'!$B$7:$B$306,"&lt;="&amp;DATE($B$3,8,12),'Leave log'!$C$7:$C$306,"&gt;="&amp;DATE($B$3,8,12),'Leave log'!$F$7:$F$306,"Approved")&gt;0,"A",""))="A","A",IF(OR(DATE($B$3,8,12)&gt;EOMONTH(DATE($B$3,8,1),0),NETWORKDAYS.INTL(DATE($B$3,8,12),DATE($B$3,8,12),1,'Non-working days'!$A$6:$A$45)=0),"",IF(COUNTIFS('Leave log'!$A$7:$A$306,Employees!$A$6,'Leave log'!$B$7:$B$306,"&lt;="&amp;DATE($B$3,8,12),'Leave log'!$C$7:$C$306,"&gt;="&amp;DATE($B$3,8,12),'Leave log'!$F$7:$F$306,"Pending")&gt;0,"P",""))))</f>
        <v/>
      </c>
      <c r="N245" s="23" t="str">
        <f>IF(A245="","",IF(IF(OR(DATE($B$3,8,13)&gt;EOMONTH(DATE($B$3,8,1),0),NETWORKDAYS.INTL(DATE($B$3,8,13),DATE($B$3,8,13),1,'Non-working days'!$A$6:$A$45)=0),"",IF(COUNTIFS('Leave log'!$A$7:$A$306,Employees!$A$6,'Leave log'!$B$7:$B$306,"&lt;="&amp;DATE($B$3,8,13),'Leave log'!$C$7:$C$306,"&gt;="&amp;DATE($B$3,8,13),'Leave log'!$F$7:$F$306,"Approved")&gt;0,"A",""))="A","A",IF(OR(DATE($B$3,8,13)&gt;EOMONTH(DATE($B$3,8,1),0),NETWORKDAYS.INTL(DATE($B$3,8,13),DATE($B$3,8,13),1,'Non-working days'!$A$6:$A$45)=0),"",IF(COUNTIFS('Leave log'!$A$7:$A$306,Employees!$A$6,'Leave log'!$B$7:$B$306,"&lt;="&amp;DATE($B$3,8,13),'Leave log'!$C$7:$C$306,"&gt;="&amp;DATE($B$3,8,13),'Leave log'!$F$7:$F$306,"Pending")&gt;0,"P",""))))</f>
        <v/>
      </c>
      <c r="O245" s="23" t="str">
        <f>IF(A245="","",IF(IF(OR(DATE($B$3,8,14)&gt;EOMONTH(DATE($B$3,8,1),0),NETWORKDAYS.INTL(DATE($B$3,8,14),DATE($B$3,8,14),1,'Non-working days'!$A$6:$A$45)=0),"",IF(COUNTIFS('Leave log'!$A$7:$A$306,Employees!$A$6,'Leave log'!$B$7:$B$306,"&lt;="&amp;DATE($B$3,8,14),'Leave log'!$C$7:$C$306,"&gt;="&amp;DATE($B$3,8,14),'Leave log'!$F$7:$F$306,"Approved")&gt;0,"A",""))="A","A",IF(OR(DATE($B$3,8,14)&gt;EOMONTH(DATE($B$3,8,1),0),NETWORKDAYS.INTL(DATE($B$3,8,14),DATE($B$3,8,14),1,'Non-working days'!$A$6:$A$45)=0),"",IF(COUNTIFS('Leave log'!$A$7:$A$306,Employees!$A$6,'Leave log'!$B$7:$B$306,"&lt;="&amp;DATE($B$3,8,14),'Leave log'!$C$7:$C$306,"&gt;="&amp;DATE($B$3,8,14),'Leave log'!$F$7:$F$306,"Pending")&gt;0,"P",""))))</f>
        <v/>
      </c>
      <c r="P245" s="23" t="str">
        <f>IF(A245="","",IF(IF(OR(DATE($B$3,8,15)&gt;EOMONTH(DATE($B$3,8,1),0),NETWORKDAYS.INTL(DATE($B$3,8,15),DATE($B$3,8,15),1,'Non-working days'!$A$6:$A$45)=0),"",IF(COUNTIFS('Leave log'!$A$7:$A$306,Employees!$A$6,'Leave log'!$B$7:$B$306,"&lt;="&amp;DATE($B$3,8,15),'Leave log'!$C$7:$C$306,"&gt;="&amp;DATE($B$3,8,15),'Leave log'!$F$7:$F$306,"Approved")&gt;0,"A",""))="A","A",IF(OR(DATE($B$3,8,15)&gt;EOMONTH(DATE($B$3,8,1),0),NETWORKDAYS.INTL(DATE($B$3,8,15),DATE($B$3,8,15),1,'Non-working days'!$A$6:$A$45)=0),"",IF(COUNTIFS('Leave log'!$A$7:$A$306,Employees!$A$6,'Leave log'!$B$7:$B$306,"&lt;="&amp;DATE($B$3,8,15),'Leave log'!$C$7:$C$306,"&gt;="&amp;DATE($B$3,8,15),'Leave log'!$F$7:$F$306,"Pending")&gt;0,"P",""))))</f>
        <v/>
      </c>
      <c r="Q245" s="23" t="str">
        <f>IF(A245="","",IF(IF(OR(DATE($B$3,8,16)&gt;EOMONTH(DATE($B$3,8,1),0),NETWORKDAYS.INTL(DATE($B$3,8,16),DATE($B$3,8,16),1,'Non-working days'!$A$6:$A$45)=0),"",IF(COUNTIFS('Leave log'!$A$7:$A$306,Employees!$A$6,'Leave log'!$B$7:$B$306,"&lt;="&amp;DATE($B$3,8,16),'Leave log'!$C$7:$C$306,"&gt;="&amp;DATE($B$3,8,16),'Leave log'!$F$7:$F$306,"Approved")&gt;0,"A",""))="A","A",IF(OR(DATE($B$3,8,16)&gt;EOMONTH(DATE($B$3,8,1),0),NETWORKDAYS.INTL(DATE($B$3,8,16),DATE($B$3,8,16),1,'Non-working days'!$A$6:$A$45)=0),"",IF(COUNTIFS('Leave log'!$A$7:$A$306,Employees!$A$6,'Leave log'!$B$7:$B$306,"&lt;="&amp;DATE($B$3,8,16),'Leave log'!$C$7:$C$306,"&gt;="&amp;DATE($B$3,8,16),'Leave log'!$F$7:$F$306,"Pending")&gt;0,"P",""))))</f>
        <v/>
      </c>
      <c r="R245" s="23" t="str">
        <f>IF(A245="","",IF(IF(OR(DATE($B$3,8,17)&gt;EOMONTH(DATE($B$3,8,1),0),NETWORKDAYS.INTL(DATE($B$3,8,17),DATE($B$3,8,17),1,'Non-working days'!$A$6:$A$45)=0),"",IF(COUNTIFS('Leave log'!$A$7:$A$306,Employees!$A$6,'Leave log'!$B$7:$B$306,"&lt;="&amp;DATE($B$3,8,17),'Leave log'!$C$7:$C$306,"&gt;="&amp;DATE($B$3,8,17),'Leave log'!$F$7:$F$306,"Approved")&gt;0,"A",""))="A","A",IF(OR(DATE($B$3,8,17)&gt;EOMONTH(DATE($B$3,8,1),0),NETWORKDAYS.INTL(DATE($B$3,8,17),DATE($B$3,8,17),1,'Non-working days'!$A$6:$A$45)=0),"",IF(COUNTIFS('Leave log'!$A$7:$A$306,Employees!$A$6,'Leave log'!$B$7:$B$306,"&lt;="&amp;DATE($B$3,8,17),'Leave log'!$C$7:$C$306,"&gt;="&amp;DATE($B$3,8,17),'Leave log'!$F$7:$F$306,"Pending")&gt;0,"P",""))))</f>
        <v/>
      </c>
      <c r="S245" s="23" t="str">
        <f>IF(A245="","",IF(IF(OR(DATE($B$3,8,18)&gt;EOMONTH(DATE($B$3,8,1),0),NETWORKDAYS.INTL(DATE($B$3,8,18),DATE($B$3,8,18),1,'Non-working days'!$A$6:$A$45)=0),"",IF(COUNTIFS('Leave log'!$A$7:$A$306,Employees!$A$6,'Leave log'!$B$7:$B$306,"&lt;="&amp;DATE($B$3,8,18),'Leave log'!$C$7:$C$306,"&gt;="&amp;DATE($B$3,8,18),'Leave log'!$F$7:$F$306,"Approved")&gt;0,"A",""))="A","A",IF(OR(DATE($B$3,8,18)&gt;EOMONTH(DATE($B$3,8,1),0),NETWORKDAYS.INTL(DATE($B$3,8,18),DATE($B$3,8,18),1,'Non-working days'!$A$6:$A$45)=0),"",IF(COUNTIFS('Leave log'!$A$7:$A$306,Employees!$A$6,'Leave log'!$B$7:$B$306,"&lt;="&amp;DATE($B$3,8,18),'Leave log'!$C$7:$C$306,"&gt;="&amp;DATE($B$3,8,18),'Leave log'!$F$7:$F$306,"Pending")&gt;0,"P",""))))</f>
        <v/>
      </c>
      <c r="T245" s="23" t="str">
        <f>IF(A245="","",IF(IF(OR(DATE($B$3,8,19)&gt;EOMONTH(DATE($B$3,8,1),0),NETWORKDAYS.INTL(DATE($B$3,8,19),DATE($B$3,8,19),1,'Non-working days'!$A$6:$A$45)=0),"",IF(COUNTIFS('Leave log'!$A$7:$A$306,Employees!$A$6,'Leave log'!$B$7:$B$306,"&lt;="&amp;DATE($B$3,8,19),'Leave log'!$C$7:$C$306,"&gt;="&amp;DATE($B$3,8,19),'Leave log'!$F$7:$F$306,"Approved")&gt;0,"A",""))="A","A",IF(OR(DATE($B$3,8,19)&gt;EOMONTH(DATE($B$3,8,1),0),NETWORKDAYS.INTL(DATE($B$3,8,19),DATE($B$3,8,19),1,'Non-working days'!$A$6:$A$45)=0),"",IF(COUNTIFS('Leave log'!$A$7:$A$306,Employees!$A$6,'Leave log'!$B$7:$B$306,"&lt;="&amp;DATE($B$3,8,19),'Leave log'!$C$7:$C$306,"&gt;="&amp;DATE($B$3,8,19),'Leave log'!$F$7:$F$306,"Pending")&gt;0,"P",""))))</f>
        <v/>
      </c>
      <c r="U245" s="23" t="str">
        <f>IF(A245="","",IF(IF(OR(DATE($B$3,8,20)&gt;EOMONTH(DATE($B$3,8,1),0),NETWORKDAYS.INTL(DATE($B$3,8,20),DATE($B$3,8,20),1,'Non-working days'!$A$6:$A$45)=0),"",IF(COUNTIFS('Leave log'!$A$7:$A$306,Employees!$A$6,'Leave log'!$B$7:$B$306,"&lt;="&amp;DATE($B$3,8,20),'Leave log'!$C$7:$C$306,"&gt;="&amp;DATE($B$3,8,20),'Leave log'!$F$7:$F$306,"Approved")&gt;0,"A",""))="A","A",IF(OR(DATE($B$3,8,20)&gt;EOMONTH(DATE($B$3,8,1),0),NETWORKDAYS.INTL(DATE($B$3,8,20),DATE($B$3,8,20),1,'Non-working days'!$A$6:$A$45)=0),"",IF(COUNTIFS('Leave log'!$A$7:$A$306,Employees!$A$6,'Leave log'!$B$7:$B$306,"&lt;="&amp;DATE($B$3,8,20),'Leave log'!$C$7:$C$306,"&gt;="&amp;DATE($B$3,8,20),'Leave log'!$F$7:$F$306,"Pending")&gt;0,"P",""))))</f>
        <v/>
      </c>
      <c r="V245" s="23" t="str">
        <f>IF(A245="","",IF(IF(OR(DATE($B$3,8,21)&gt;EOMONTH(DATE($B$3,8,1),0),NETWORKDAYS.INTL(DATE($B$3,8,21),DATE($B$3,8,21),1,'Non-working days'!$A$6:$A$45)=0),"",IF(COUNTIFS('Leave log'!$A$7:$A$306,Employees!$A$6,'Leave log'!$B$7:$B$306,"&lt;="&amp;DATE($B$3,8,21),'Leave log'!$C$7:$C$306,"&gt;="&amp;DATE($B$3,8,21),'Leave log'!$F$7:$F$306,"Approved")&gt;0,"A",""))="A","A",IF(OR(DATE($B$3,8,21)&gt;EOMONTH(DATE($B$3,8,1),0),NETWORKDAYS.INTL(DATE($B$3,8,21),DATE($B$3,8,21),1,'Non-working days'!$A$6:$A$45)=0),"",IF(COUNTIFS('Leave log'!$A$7:$A$306,Employees!$A$6,'Leave log'!$B$7:$B$306,"&lt;="&amp;DATE($B$3,8,21),'Leave log'!$C$7:$C$306,"&gt;="&amp;DATE($B$3,8,21),'Leave log'!$F$7:$F$306,"Pending")&gt;0,"P",""))))</f>
        <v/>
      </c>
      <c r="W245" s="23" t="str">
        <f>IF(A245="","",IF(IF(OR(DATE($B$3,8,22)&gt;EOMONTH(DATE($B$3,8,1),0),NETWORKDAYS.INTL(DATE($B$3,8,22),DATE($B$3,8,22),1,'Non-working days'!$A$6:$A$45)=0),"",IF(COUNTIFS('Leave log'!$A$7:$A$306,Employees!$A$6,'Leave log'!$B$7:$B$306,"&lt;="&amp;DATE($B$3,8,22),'Leave log'!$C$7:$C$306,"&gt;="&amp;DATE($B$3,8,22),'Leave log'!$F$7:$F$306,"Approved")&gt;0,"A",""))="A","A",IF(OR(DATE($B$3,8,22)&gt;EOMONTH(DATE($B$3,8,1),0),NETWORKDAYS.INTL(DATE($B$3,8,22),DATE($B$3,8,22),1,'Non-working days'!$A$6:$A$45)=0),"",IF(COUNTIFS('Leave log'!$A$7:$A$306,Employees!$A$6,'Leave log'!$B$7:$B$306,"&lt;="&amp;DATE($B$3,8,22),'Leave log'!$C$7:$C$306,"&gt;="&amp;DATE($B$3,8,22),'Leave log'!$F$7:$F$306,"Pending")&gt;0,"P",""))))</f>
        <v/>
      </c>
      <c r="X245" s="23" t="str">
        <f>IF(A245="","",IF(IF(OR(DATE($B$3,8,23)&gt;EOMONTH(DATE($B$3,8,1),0),NETWORKDAYS.INTL(DATE($B$3,8,23),DATE($B$3,8,23),1,'Non-working days'!$A$6:$A$45)=0),"",IF(COUNTIFS('Leave log'!$A$7:$A$306,Employees!$A$6,'Leave log'!$B$7:$B$306,"&lt;="&amp;DATE($B$3,8,23),'Leave log'!$C$7:$C$306,"&gt;="&amp;DATE($B$3,8,23),'Leave log'!$F$7:$F$306,"Approved")&gt;0,"A",""))="A","A",IF(OR(DATE($B$3,8,23)&gt;EOMONTH(DATE($B$3,8,1),0),NETWORKDAYS.INTL(DATE($B$3,8,23),DATE($B$3,8,23),1,'Non-working days'!$A$6:$A$45)=0),"",IF(COUNTIFS('Leave log'!$A$7:$A$306,Employees!$A$6,'Leave log'!$B$7:$B$306,"&lt;="&amp;DATE($B$3,8,23),'Leave log'!$C$7:$C$306,"&gt;="&amp;DATE($B$3,8,23),'Leave log'!$F$7:$F$306,"Pending")&gt;0,"P",""))))</f>
        <v/>
      </c>
      <c r="Y245" s="23" t="str">
        <f>IF(A245="","",IF(IF(OR(DATE($B$3,8,24)&gt;EOMONTH(DATE($B$3,8,1),0),NETWORKDAYS.INTL(DATE($B$3,8,24),DATE($B$3,8,24),1,'Non-working days'!$A$6:$A$45)=0),"",IF(COUNTIFS('Leave log'!$A$7:$A$306,Employees!$A$6,'Leave log'!$B$7:$B$306,"&lt;="&amp;DATE($B$3,8,24),'Leave log'!$C$7:$C$306,"&gt;="&amp;DATE($B$3,8,24),'Leave log'!$F$7:$F$306,"Approved")&gt;0,"A",""))="A","A",IF(OR(DATE($B$3,8,24)&gt;EOMONTH(DATE($B$3,8,1),0),NETWORKDAYS.INTL(DATE($B$3,8,24),DATE($B$3,8,24),1,'Non-working days'!$A$6:$A$45)=0),"",IF(COUNTIFS('Leave log'!$A$7:$A$306,Employees!$A$6,'Leave log'!$B$7:$B$306,"&lt;="&amp;DATE($B$3,8,24),'Leave log'!$C$7:$C$306,"&gt;="&amp;DATE($B$3,8,24),'Leave log'!$F$7:$F$306,"Pending")&gt;0,"P",""))))</f>
        <v/>
      </c>
      <c r="Z245" s="23" t="str">
        <f>IF(A245="","",IF(IF(OR(DATE($B$3,8,25)&gt;EOMONTH(DATE($B$3,8,1),0),NETWORKDAYS.INTL(DATE($B$3,8,25),DATE($B$3,8,25),1,'Non-working days'!$A$6:$A$45)=0),"",IF(COUNTIFS('Leave log'!$A$7:$A$306,Employees!$A$6,'Leave log'!$B$7:$B$306,"&lt;="&amp;DATE($B$3,8,25),'Leave log'!$C$7:$C$306,"&gt;="&amp;DATE($B$3,8,25),'Leave log'!$F$7:$F$306,"Approved")&gt;0,"A",""))="A","A",IF(OR(DATE($B$3,8,25)&gt;EOMONTH(DATE($B$3,8,1),0),NETWORKDAYS.INTL(DATE($B$3,8,25),DATE($B$3,8,25),1,'Non-working days'!$A$6:$A$45)=0),"",IF(COUNTIFS('Leave log'!$A$7:$A$306,Employees!$A$6,'Leave log'!$B$7:$B$306,"&lt;="&amp;DATE($B$3,8,25),'Leave log'!$C$7:$C$306,"&gt;="&amp;DATE($B$3,8,25),'Leave log'!$F$7:$F$306,"Pending")&gt;0,"P",""))))</f>
        <v/>
      </c>
      <c r="AA245" s="23" t="str">
        <f>IF(A245="","",IF(IF(OR(DATE($B$3,8,26)&gt;EOMONTH(DATE($B$3,8,1),0),NETWORKDAYS.INTL(DATE($B$3,8,26),DATE($B$3,8,26),1,'Non-working days'!$A$6:$A$45)=0),"",IF(COUNTIFS('Leave log'!$A$7:$A$306,Employees!$A$6,'Leave log'!$B$7:$B$306,"&lt;="&amp;DATE($B$3,8,26),'Leave log'!$C$7:$C$306,"&gt;="&amp;DATE($B$3,8,26),'Leave log'!$F$7:$F$306,"Approved")&gt;0,"A",""))="A","A",IF(OR(DATE($B$3,8,26)&gt;EOMONTH(DATE($B$3,8,1),0),NETWORKDAYS.INTL(DATE($B$3,8,26),DATE($B$3,8,26),1,'Non-working days'!$A$6:$A$45)=0),"",IF(COUNTIFS('Leave log'!$A$7:$A$306,Employees!$A$6,'Leave log'!$B$7:$B$306,"&lt;="&amp;DATE($B$3,8,26),'Leave log'!$C$7:$C$306,"&gt;="&amp;DATE($B$3,8,26),'Leave log'!$F$7:$F$306,"Pending")&gt;0,"P",""))))</f>
        <v/>
      </c>
      <c r="AB245" s="23" t="str">
        <f>IF(A245="","",IF(IF(OR(DATE($B$3,8,27)&gt;EOMONTH(DATE($B$3,8,1),0),NETWORKDAYS.INTL(DATE($B$3,8,27),DATE($B$3,8,27),1,'Non-working days'!$A$6:$A$45)=0),"",IF(COUNTIFS('Leave log'!$A$7:$A$306,Employees!$A$6,'Leave log'!$B$7:$B$306,"&lt;="&amp;DATE($B$3,8,27),'Leave log'!$C$7:$C$306,"&gt;="&amp;DATE($B$3,8,27),'Leave log'!$F$7:$F$306,"Approved")&gt;0,"A",""))="A","A",IF(OR(DATE($B$3,8,27)&gt;EOMONTH(DATE($B$3,8,1),0),NETWORKDAYS.INTL(DATE($B$3,8,27),DATE($B$3,8,27),1,'Non-working days'!$A$6:$A$45)=0),"",IF(COUNTIFS('Leave log'!$A$7:$A$306,Employees!$A$6,'Leave log'!$B$7:$B$306,"&lt;="&amp;DATE($B$3,8,27),'Leave log'!$C$7:$C$306,"&gt;="&amp;DATE($B$3,8,27),'Leave log'!$F$7:$F$306,"Pending")&gt;0,"P",""))))</f>
        <v/>
      </c>
      <c r="AC245" s="23" t="str">
        <f>IF(A245="","",IF(IF(OR(DATE($B$3,8,28)&gt;EOMONTH(DATE($B$3,8,1),0),NETWORKDAYS.INTL(DATE($B$3,8,28),DATE($B$3,8,28),1,'Non-working days'!$A$6:$A$45)=0),"",IF(COUNTIFS('Leave log'!$A$7:$A$306,Employees!$A$6,'Leave log'!$B$7:$B$306,"&lt;="&amp;DATE($B$3,8,28),'Leave log'!$C$7:$C$306,"&gt;="&amp;DATE($B$3,8,28),'Leave log'!$F$7:$F$306,"Approved")&gt;0,"A",""))="A","A",IF(OR(DATE($B$3,8,28)&gt;EOMONTH(DATE($B$3,8,1),0),NETWORKDAYS.INTL(DATE($B$3,8,28),DATE($B$3,8,28),1,'Non-working days'!$A$6:$A$45)=0),"",IF(COUNTIFS('Leave log'!$A$7:$A$306,Employees!$A$6,'Leave log'!$B$7:$B$306,"&lt;="&amp;DATE($B$3,8,28),'Leave log'!$C$7:$C$306,"&gt;="&amp;DATE($B$3,8,28),'Leave log'!$F$7:$F$306,"Pending")&gt;0,"P",""))))</f>
        <v/>
      </c>
      <c r="AD245" s="23" t="str">
        <f>IF(A245="","",IF(IF(OR(DATE($B$3,8,29)&gt;EOMONTH(DATE($B$3,8,1),0),NETWORKDAYS.INTL(DATE($B$3,8,29),DATE($B$3,8,29),1,'Non-working days'!$A$6:$A$45)=0),"",IF(COUNTIFS('Leave log'!$A$7:$A$306,Employees!$A$6,'Leave log'!$B$7:$B$306,"&lt;="&amp;DATE($B$3,8,29),'Leave log'!$C$7:$C$306,"&gt;="&amp;DATE($B$3,8,29),'Leave log'!$F$7:$F$306,"Approved")&gt;0,"A",""))="A","A",IF(OR(DATE($B$3,8,29)&gt;EOMONTH(DATE($B$3,8,1),0),NETWORKDAYS.INTL(DATE($B$3,8,29),DATE($B$3,8,29),1,'Non-working days'!$A$6:$A$45)=0),"",IF(COUNTIFS('Leave log'!$A$7:$A$306,Employees!$A$6,'Leave log'!$B$7:$B$306,"&lt;="&amp;DATE($B$3,8,29),'Leave log'!$C$7:$C$306,"&gt;="&amp;DATE($B$3,8,29),'Leave log'!$F$7:$F$306,"Pending")&gt;0,"P",""))))</f>
        <v/>
      </c>
      <c r="AE245" s="23" t="str">
        <f>IF(A245="","",IF(IF(OR(DATE($B$3,8,30)&gt;EOMONTH(DATE($B$3,8,1),0),NETWORKDAYS.INTL(DATE($B$3,8,30),DATE($B$3,8,30),1,'Non-working days'!$A$6:$A$45)=0),"",IF(COUNTIFS('Leave log'!$A$7:$A$306,Employees!$A$6,'Leave log'!$B$7:$B$306,"&lt;="&amp;DATE($B$3,8,30),'Leave log'!$C$7:$C$306,"&gt;="&amp;DATE($B$3,8,30),'Leave log'!$F$7:$F$306,"Approved")&gt;0,"A",""))="A","A",IF(OR(DATE($B$3,8,30)&gt;EOMONTH(DATE($B$3,8,1),0),NETWORKDAYS.INTL(DATE($B$3,8,30),DATE($B$3,8,30),1,'Non-working days'!$A$6:$A$45)=0),"",IF(COUNTIFS('Leave log'!$A$7:$A$306,Employees!$A$6,'Leave log'!$B$7:$B$306,"&lt;="&amp;DATE($B$3,8,30),'Leave log'!$C$7:$C$306,"&gt;="&amp;DATE($B$3,8,30),'Leave log'!$F$7:$F$306,"Pending")&gt;0,"P",""))))</f>
        <v/>
      </c>
      <c r="AF245" s="23" t="str">
        <f>IF(A245="","",IF(IF(OR(DATE($B$3,8,31)&gt;EOMONTH(DATE($B$3,8,1),0),NETWORKDAYS.INTL(DATE($B$3,8,31),DATE($B$3,8,31),1,'Non-working days'!$A$6:$A$45)=0),"",IF(COUNTIFS('Leave log'!$A$7:$A$306,Employees!$A$6,'Leave log'!$B$7:$B$306,"&lt;="&amp;DATE($B$3,8,31),'Leave log'!$C$7:$C$306,"&gt;="&amp;DATE($B$3,8,31),'Leave log'!$F$7:$F$306,"Approved")&gt;0,"A",""))="A","A",IF(OR(DATE($B$3,8,31)&gt;EOMONTH(DATE($B$3,8,1),0),NETWORKDAYS.INTL(DATE($B$3,8,31),DATE($B$3,8,31),1,'Non-working days'!$A$6:$A$45)=0),"",IF(COUNTIFS('Leave log'!$A$7:$A$306,Employees!$A$6,'Leave log'!$B$7:$B$306,"&lt;="&amp;DATE($B$3,8,31),'Leave log'!$C$7:$C$306,"&gt;="&amp;DATE($B$3,8,31),'Leave log'!$F$7:$F$306,"Pending")&gt;0,"P",""))))</f>
        <v/>
      </c>
    </row>
    <row r="246" spans="1:32" ht="18" customHeight="1" x14ac:dyDescent="0.3">
      <c r="A246" s="22" t="str">
        <f>IF(Employees!F7="Yes",Employees!B7,"")</f>
        <v/>
      </c>
      <c r="B246" s="23" t="str">
        <f>IF(A246="","",IF(IF(OR(DATE($B$3,8,1)&gt;EOMONTH(DATE($B$3,8,1),0),NETWORKDAYS.INTL(DATE($B$3,8,1),DATE($B$3,8,1),1,'Non-working days'!$A$6:$A$45)=0),"",IF(COUNTIFS('Leave log'!$A$7:$A$306,Employees!$A$7,'Leave log'!$B$7:$B$306,"&lt;="&amp;DATE($B$3,8,1),'Leave log'!$C$7:$C$306,"&gt;="&amp;DATE($B$3,8,1),'Leave log'!$F$7:$F$306,"Approved")&gt;0,"A",""))="A","A",IF(OR(DATE($B$3,8,1)&gt;EOMONTH(DATE($B$3,8,1),0),NETWORKDAYS.INTL(DATE($B$3,8,1),DATE($B$3,8,1),1,'Non-working days'!$A$6:$A$45)=0),"",IF(COUNTIFS('Leave log'!$A$7:$A$306,Employees!$A$7,'Leave log'!$B$7:$B$306,"&lt;="&amp;DATE($B$3,8,1),'Leave log'!$C$7:$C$306,"&gt;="&amp;DATE($B$3,8,1),'Leave log'!$F$7:$F$306,"Pending")&gt;0,"P",""))))</f>
        <v/>
      </c>
      <c r="C246" s="23" t="str">
        <f>IF(A246="","",IF(IF(OR(DATE($B$3,8,2)&gt;EOMONTH(DATE($B$3,8,1),0),NETWORKDAYS.INTL(DATE($B$3,8,2),DATE($B$3,8,2),1,'Non-working days'!$A$6:$A$45)=0),"",IF(COUNTIFS('Leave log'!$A$7:$A$306,Employees!$A$7,'Leave log'!$B$7:$B$306,"&lt;="&amp;DATE($B$3,8,2),'Leave log'!$C$7:$C$306,"&gt;="&amp;DATE($B$3,8,2),'Leave log'!$F$7:$F$306,"Approved")&gt;0,"A",""))="A","A",IF(OR(DATE($B$3,8,2)&gt;EOMONTH(DATE($B$3,8,1),0),NETWORKDAYS.INTL(DATE($B$3,8,2),DATE($B$3,8,2),1,'Non-working days'!$A$6:$A$45)=0),"",IF(COUNTIFS('Leave log'!$A$7:$A$306,Employees!$A$7,'Leave log'!$B$7:$B$306,"&lt;="&amp;DATE($B$3,8,2),'Leave log'!$C$7:$C$306,"&gt;="&amp;DATE($B$3,8,2),'Leave log'!$F$7:$F$306,"Pending")&gt;0,"P",""))))</f>
        <v/>
      </c>
      <c r="D246" s="23" t="str">
        <f>IF(A246="","",IF(IF(OR(DATE($B$3,8,3)&gt;EOMONTH(DATE($B$3,8,1),0),NETWORKDAYS.INTL(DATE($B$3,8,3),DATE($B$3,8,3),1,'Non-working days'!$A$6:$A$45)=0),"",IF(COUNTIFS('Leave log'!$A$7:$A$306,Employees!$A$7,'Leave log'!$B$7:$B$306,"&lt;="&amp;DATE($B$3,8,3),'Leave log'!$C$7:$C$306,"&gt;="&amp;DATE($B$3,8,3),'Leave log'!$F$7:$F$306,"Approved")&gt;0,"A",""))="A","A",IF(OR(DATE($B$3,8,3)&gt;EOMONTH(DATE($B$3,8,1),0),NETWORKDAYS.INTL(DATE($B$3,8,3),DATE($B$3,8,3),1,'Non-working days'!$A$6:$A$45)=0),"",IF(COUNTIFS('Leave log'!$A$7:$A$306,Employees!$A$7,'Leave log'!$B$7:$B$306,"&lt;="&amp;DATE($B$3,8,3),'Leave log'!$C$7:$C$306,"&gt;="&amp;DATE($B$3,8,3),'Leave log'!$F$7:$F$306,"Pending")&gt;0,"P",""))))</f>
        <v/>
      </c>
      <c r="E246" s="23" t="str">
        <f>IF(A246="","",IF(IF(OR(DATE($B$3,8,4)&gt;EOMONTH(DATE($B$3,8,1),0),NETWORKDAYS.INTL(DATE($B$3,8,4),DATE($B$3,8,4),1,'Non-working days'!$A$6:$A$45)=0),"",IF(COUNTIFS('Leave log'!$A$7:$A$306,Employees!$A$7,'Leave log'!$B$7:$B$306,"&lt;="&amp;DATE($B$3,8,4),'Leave log'!$C$7:$C$306,"&gt;="&amp;DATE($B$3,8,4),'Leave log'!$F$7:$F$306,"Approved")&gt;0,"A",""))="A","A",IF(OR(DATE($B$3,8,4)&gt;EOMONTH(DATE($B$3,8,1),0),NETWORKDAYS.INTL(DATE($B$3,8,4),DATE($B$3,8,4),1,'Non-working days'!$A$6:$A$45)=0),"",IF(COUNTIFS('Leave log'!$A$7:$A$306,Employees!$A$7,'Leave log'!$B$7:$B$306,"&lt;="&amp;DATE($B$3,8,4),'Leave log'!$C$7:$C$306,"&gt;="&amp;DATE($B$3,8,4),'Leave log'!$F$7:$F$306,"Pending")&gt;0,"P",""))))</f>
        <v/>
      </c>
      <c r="F246" s="23" t="str">
        <f>IF(A246="","",IF(IF(OR(DATE($B$3,8,5)&gt;EOMONTH(DATE($B$3,8,1),0),NETWORKDAYS.INTL(DATE($B$3,8,5),DATE($B$3,8,5),1,'Non-working days'!$A$6:$A$45)=0),"",IF(COUNTIFS('Leave log'!$A$7:$A$306,Employees!$A$7,'Leave log'!$B$7:$B$306,"&lt;="&amp;DATE($B$3,8,5),'Leave log'!$C$7:$C$306,"&gt;="&amp;DATE($B$3,8,5),'Leave log'!$F$7:$F$306,"Approved")&gt;0,"A",""))="A","A",IF(OR(DATE($B$3,8,5)&gt;EOMONTH(DATE($B$3,8,1),0),NETWORKDAYS.INTL(DATE($B$3,8,5),DATE($B$3,8,5),1,'Non-working days'!$A$6:$A$45)=0),"",IF(COUNTIFS('Leave log'!$A$7:$A$306,Employees!$A$7,'Leave log'!$B$7:$B$306,"&lt;="&amp;DATE($B$3,8,5),'Leave log'!$C$7:$C$306,"&gt;="&amp;DATE($B$3,8,5),'Leave log'!$F$7:$F$306,"Pending")&gt;0,"P",""))))</f>
        <v/>
      </c>
      <c r="G246" s="23" t="str">
        <f>IF(A246="","",IF(IF(OR(DATE($B$3,8,6)&gt;EOMONTH(DATE($B$3,8,1),0),NETWORKDAYS.INTL(DATE($B$3,8,6),DATE($B$3,8,6),1,'Non-working days'!$A$6:$A$45)=0),"",IF(COUNTIFS('Leave log'!$A$7:$A$306,Employees!$A$7,'Leave log'!$B$7:$B$306,"&lt;="&amp;DATE($B$3,8,6),'Leave log'!$C$7:$C$306,"&gt;="&amp;DATE($B$3,8,6),'Leave log'!$F$7:$F$306,"Approved")&gt;0,"A",""))="A","A",IF(OR(DATE($B$3,8,6)&gt;EOMONTH(DATE($B$3,8,1),0),NETWORKDAYS.INTL(DATE($B$3,8,6),DATE($B$3,8,6),1,'Non-working days'!$A$6:$A$45)=0),"",IF(COUNTIFS('Leave log'!$A$7:$A$306,Employees!$A$7,'Leave log'!$B$7:$B$306,"&lt;="&amp;DATE($B$3,8,6),'Leave log'!$C$7:$C$306,"&gt;="&amp;DATE($B$3,8,6),'Leave log'!$F$7:$F$306,"Pending")&gt;0,"P",""))))</f>
        <v/>
      </c>
      <c r="H246" s="23" t="str">
        <f>IF(A246="","",IF(IF(OR(DATE($B$3,8,7)&gt;EOMONTH(DATE($B$3,8,1),0),NETWORKDAYS.INTL(DATE($B$3,8,7),DATE($B$3,8,7),1,'Non-working days'!$A$6:$A$45)=0),"",IF(COUNTIFS('Leave log'!$A$7:$A$306,Employees!$A$7,'Leave log'!$B$7:$B$306,"&lt;="&amp;DATE($B$3,8,7),'Leave log'!$C$7:$C$306,"&gt;="&amp;DATE($B$3,8,7),'Leave log'!$F$7:$F$306,"Approved")&gt;0,"A",""))="A","A",IF(OR(DATE($B$3,8,7)&gt;EOMONTH(DATE($B$3,8,1),0),NETWORKDAYS.INTL(DATE($B$3,8,7),DATE($B$3,8,7),1,'Non-working days'!$A$6:$A$45)=0),"",IF(COUNTIFS('Leave log'!$A$7:$A$306,Employees!$A$7,'Leave log'!$B$7:$B$306,"&lt;="&amp;DATE($B$3,8,7),'Leave log'!$C$7:$C$306,"&gt;="&amp;DATE($B$3,8,7),'Leave log'!$F$7:$F$306,"Pending")&gt;0,"P",""))))</f>
        <v/>
      </c>
      <c r="I246" s="23" t="str">
        <f>IF(A246="","",IF(IF(OR(DATE($B$3,8,8)&gt;EOMONTH(DATE($B$3,8,1),0),NETWORKDAYS.INTL(DATE($B$3,8,8),DATE($B$3,8,8),1,'Non-working days'!$A$6:$A$45)=0),"",IF(COUNTIFS('Leave log'!$A$7:$A$306,Employees!$A$7,'Leave log'!$B$7:$B$306,"&lt;="&amp;DATE($B$3,8,8),'Leave log'!$C$7:$C$306,"&gt;="&amp;DATE($B$3,8,8),'Leave log'!$F$7:$F$306,"Approved")&gt;0,"A",""))="A","A",IF(OR(DATE($B$3,8,8)&gt;EOMONTH(DATE($B$3,8,1),0),NETWORKDAYS.INTL(DATE($B$3,8,8),DATE($B$3,8,8),1,'Non-working days'!$A$6:$A$45)=0),"",IF(COUNTIFS('Leave log'!$A$7:$A$306,Employees!$A$7,'Leave log'!$B$7:$B$306,"&lt;="&amp;DATE($B$3,8,8),'Leave log'!$C$7:$C$306,"&gt;="&amp;DATE($B$3,8,8),'Leave log'!$F$7:$F$306,"Pending")&gt;0,"P",""))))</f>
        <v/>
      </c>
      <c r="J246" s="23" t="str">
        <f>IF(A246="","",IF(IF(OR(DATE($B$3,8,9)&gt;EOMONTH(DATE($B$3,8,1),0),NETWORKDAYS.INTL(DATE($B$3,8,9),DATE($B$3,8,9),1,'Non-working days'!$A$6:$A$45)=0),"",IF(COUNTIFS('Leave log'!$A$7:$A$306,Employees!$A$7,'Leave log'!$B$7:$B$306,"&lt;="&amp;DATE($B$3,8,9),'Leave log'!$C$7:$C$306,"&gt;="&amp;DATE($B$3,8,9),'Leave log'!$F$7:$F$306,"Approved")&gt;0,"A",""))="A","A",IF(OR(DATE($B$3,8,9)&gt;EOMONTH(DATE($B$3,8,1),0),NETWORKDAYS.INTL(DATE($B$3,8,9),DATE($B$3,8,9),1,'Non-working days'!$A$6:$A$45)=0),"",IF(COUNTIFS('Leave log'!$A$7:$A$306,Employees!$A$7,'Leave log'!$B$7:$B$306,"&lt;="&amp;DATE($B$3,8,9),'Leave log'!$C$7:$C$306,"&gt;="&amp;DATE($B$3,8,9),'Leave log'!$F$7:$F$306,"Pending")&gt;0,"P",""))))</f>
        <v/>
      </c>
      <c r="K246" s="23" t="str">
        <f>IF(A246="","",IF(IF(OR(DATE($B$3,8,10)&gt;EOMONTH(DATE($B$3,8,1),0),NETWORKDAYS.INTL(DATE($B$3,8,10),DATE($B$3,8,10),1,'Non-working days'!$A$6:$A$45)=0),"",IF(COUNTIFS('Leave log'!$A$7:$A$306,Employees!$A$7,'Leave log'!$B$7:$B$306,"&lt;="&amp;DATE($B$3,8,10),'Leave log'!$C$7:$C$306,"&gt;="&amp;DATE($B$3,8,10),'Leave log'!$F$7:$F$306,"Approved")&gt;0,"A",""))="A","A",IF(OR(DATE($B$3,8,10)&gt;EOMONTH(DATE($B$3,8,1),0),NETWORKDAYS.INTL(DATE($B$3,8,10),DATE($B$3,8,10),1,'Non-working days'!$A$6:$A$45)=0),"",IF(COUNTIFS('Leave log'!$A$7:$A$306,Employees!$A$7,'Leave log'!$B$7:$B$306,"&lt;="&amp;DATE($B$3,8,10),'Leave log'!$C$7:$C$306,"&gt;="&amp;DATE($B$3,8,10),'Leave log'!$F$7:$F$306,"Pending")&gt;0,"P",""))))</f>
        <v/>
      </c>
      <c r="L246" s="23" t="str">
        <f>IF(A246="","",IF(IF(OR(DATE($B$3,8,11)&gt;EOMONTH(DATE($B$3,8,1),0),NETWORKDAYS.INTL(DATE($B$3,8,11),DATE($B$3,8,11),1,'Non-working days'!$A$6:$A$45)=0),"",IF(COUNTIFS('Leave log'!$A$7:$A$306,Employees!$A$7,'Leave log'!$B$7:$B$306,"&lt;="&amp;DATE($B$3,8,11),'Leave log'!$C$7:$C$306,"&gt;="&amp;DATE($B$3,8,11),'Leave log'!$F$7:$F$306,"Approved")&gt;0,"A",""))="A","A",IF(OR(DATE($B$3,8,11)&gt;EOMONTH(DATE($B$3,8,1),0),NETWORKDAYS.INTL(DATE($B$3,8,11),DATE($B$3,8,11),1,'Non-working days'!$A$6:$A$45)=0),"",IF(COUNTIFS('Leave log'!$A$7:$A$306,Employees!$A$7,'Leave log'!$B$7:$B$306,"&lt;="&amp;DATE($B$3,8,11),'Leave log'!$C$7:$C$306,"&gt;="&amp;DATE($B$3,8,11),'Leave log'!$F$7:$F$306,"Pending")&gt;0,"P",""))))</f>
        <v/>
      </c>
      <c r="M246" s="23" t="str">
        <f>IF(A246="","",IF(IF(OR(DATE($B$3,8,12)&gt;EOMONTH(DATE($B$3,8,1),0),NETWORKDAYS.INTL(DATE($B$3,8,12),DATE($B$3,8,12),1,'Non-working days'!$A$6:$A$45)=0),"",IF(COUNTIFS('Leave log'!$A$7:$A$306,Employees!$A$7,'Leave log'!$B$7:$B$306,"&lt;="&amp;DATE($B$3,8,12),'Leave log'!$C$7:$C$306,"&gt;="&amp;DATE($B$3,8,12),'Leave log'!$F$7:$F$306,"Approved")&gt;0,"A",""))="A","A",IF(OR(DATE($B$3,8,12)&gt;EOMONTH(DATE($B$3,8,1),0),NETWORKDAYS.INTL(DATE($B$3,8,12),DATE($B$3,8,12),1,'Non-working days'!$A$6:$A$45)=0),"",IF(COUNTIFS('Leave log'!$A$7:$A$306,Employees!$A$7,'Leave log'!$B$7:$B$306,"&lt;="&amp;DATE($B$3,8,12),'Leave log'!$C$7:$C$306,"&gt;="&amp;DATE($B$3,8,12),'Leave log'!$F$7:$F$306,"Pending")&gt;0,"P",""))))</f>
        <v/>
      </c>
      <c r="N246" s="23" t="str">
        <f>IF(A246="","",IF(IF(OR(DATE($B$3,8,13)&gt;EOMONTH(DATE($B$3,8,1),0),NETWORKDAYS.INTL(DATE($B$3,8,13),DATE($B$3,8,13),1,'Non-working days'!$A$6:$A$45)=0),"",IF(COUNTIFS('Leave log'!$A$7:$A$306,Employees!$A$7,'Leave log'!$B$7:$B$306,"&lt;="&amp;DATE($B$3,8,13),'Leave log'!$C$7:$C$306,"&gt;="&amp;DATE($B$3,8,13),'Leave log'!$F$7:$F$306,"Approved")&gt;0,"A",""))="A","A",IF(OR(DATE($B$3,8,13)&gt;EOMONTH(DATE($B$3,8,1),0),NETWORKDAYS.INTL(DATE($B$3,8,13),DATE($B$3,8,13),1,'Non-working days'!$A$6:$A$45)=0),"",IF(COUNTIFS('Leave log'!$A$7:$A$306,Employees!$A$7,'Leave log'!$B$7:$B$306,"&lt;="&amp;DATE($B$3,8,13),'Leave log'!$C$7:$C$306,"&gt;="&amp;DATE($B$3,8,13),'Leave log'!$F$7:$F$306,"Pending")&gt;0,"P",""))))</f>
        <v/>
      </c>
      <c r="O246" s="23" t="str">
        <f>IF(A246="","",IF(IF(OR(DATE($B$3,8,14)&gt;EOMONTH(DATE($B$3,8,1),0),NETWORKDAYS.INTL(DATE($B$3,8,14),DATE($B$3,8,14),1,'Non-working days'!$A$6:$A$45)=0),"",IF(COUNTIFS('Leave log'!$A$7:$A$306,Employees!$A$7,'Leave log'!$B$7:$B$306,"&lt;="&amp;DATE($B$3,8,14),'Leave log'!$C$7:$C$306,"&gt;="&amp;DATE($B$3,8,14),'Leave log'!$F$7:$F$306,"Approved")&gt;0,"A",""))="A","A",IF(OR(DATE($B$3,8,14)&gt;EOMONTH(DATE($B$3,8,1),0),NETWORKDAYS.INTL(DATE($B$3,8,14),DATE($B$3,8,14),1,'Non-working days'!$A$6:$A$45)=0),"",IF(COUNTIFS('Leave log'!$A$7:$A$306,Employees!$A$7,'Leave log'!$B$7:$B$306,"&lt;="&amp;DATE($B$3,8,14),'Leave log'!$C$7:$C$306,"&gt;="&amp;DATE($B$3,8,14),'Leave log'!$F$7:$F$306,"Pending")&gt;0,"P",""))))</f>
        <v/>
      </c>
      <c r="P246" s="23" t="str">
        <f>IF(A246="","",IF(IF(OR(DATE($B$3,8,15)&gt;EOMONTH(DATE($B$3,8,1),0),NETWORKDAYS.INTL(DATE($B$3,8,15),DATE($B$3,8,15),1,'Non-working days'!$A$6:$A$45)=0),"",IF(COUNTIFS('Leave log'!$A$7:$A$306,Employees!$A$7,'Leave log'!$B$7:$B$306,"&lt;="&amp;DATE($B$3,8,15),'Leave log'!$C$7:$C$306,"&gt;="&amp;DATE($B$3,8,15),'Leave log'!$F$7:$F$306,"Approved")&gt;0,"A",""))="A","A",IF(OR(DATE($B$3,8,15)&gt;EOMONTH(DATE($B$3,8,1),0),NETWORKDAYS.INTL(DATE($B$3,8,15),DATE($B$3,8,15),1,'Non-working days'!$A$6:$A$45)=0),"",IF(COUNTIFS('Leave log'!$A$7:$A$306,Employees!$A$7,'Leave log'!$B$7:$B$306,"&lt;="&amp;DATE($B$3,8,15),'Leave log'!$C$7:$C$306,"&gt;="&amp;DATE($B$3,8,15),'Leave log'!$F$7:$F$306,"Pending")&gt;0,"P",""))))</f>
        <v/>
      </c>
      <c r="Q246" s="23" t="str">
        <f>IF(A246="","",IF(IF(OR(DATE($B$3,8,16)&gt;EOMONTH(DATE($B$3,8,1),0),NETWORKDAYS.INTL(DATE($B$3,8,16),DATE($B$3,8,16),1,'Non-working days'!$A$6:$A$45)=0),"",IF(COUNTIFS('Leave log'!$A$7:$A$306,Employees!$A$7,'Leave log'!$B$7:$B$306,"&lt;="&amp;DATE($B$3,8,16),'Leave log'!$C$7:$C$306,"&gt;="&amp;DATE($B$3,8,16),'Leave log'!$F$7:$F$306,"Approved")&gt;0,"A",""))="A","A",IF(OR(DATE($B$3,8,16)&gt;EOMONTH(DATE($B$3,8,1),0),NETWORKDAYS.INTL(DATE($B$3,8,16),DATE($B$3,8,16),1,'Non-working days'!$A$6:$A$45)=0),"",IF(COUNTIFS('Leave log'!$A$7:$A$306,Employees!$A$7,'Leave log'!$B$7:$B$306,"&lt;="&amp;DATE($B$3,8,16),'Leave log'!$C$7:$C$306,"&gt;="&amp;DATE($B$3,8,16),'Leave log'!$F$7:$F$306,"Pending")&gt;0,"P",""))))</f>
        <v/>
      </c>
      <c r="R246" s="23" t="str">
        <f>IF(A246="","",IF(IF(OR(DATE($B$3,8,17)&gt;EOMONTH(DATE($B$3,8,1),0),NETWORKDAYS.INTL(DATE($B$3,8,17),DATE($B$3,8,17),1,'Non-working days'!$A$6:$A$45)=0),"",IF(COUNTIFS('Leave log'!$A$7:$A$306,Employees!$A$7,'Leave log'!$B$7:$B$306,"&lt;="&amp;DATE($B$3,8,17),'Leave log'!$C$7:$C$306,"&gt;="&amp;DATE($B$3,8,17),'Leave log'!$F$7:$F$306,"Approved")&gt;0,"A",""))="A","A",IF(OR(DATE($B$3,8,17)&gt;EOMONTH(DATE($B$3,8,1),0),NETWORKDAYS.INTL(DATE($B$3,8,17),DATE($B$3,8,17),1,'Non-working days'!$A$6:$A$45)=0),"",IF(COUNTIFS('Leave log'!$A$7:$A$306,Employees!$A$7,'Leave log'!$B$7:$B$306,"&lt;="&amp;DATE($B$3,8,17),'Leave log'!$C$7:$C$306,"&gt;="&amp;DATE($B$3,8,17),'Leave log'!$F$7:$F$306,"Pending")&gt;0,"P",""))))</f>
        <v/>
      </c>
      <c r="S246" s="23" t="str">
        <f>IF(A246="","",IF(IF(OR(DATE($B$3,8,18)&gt;EOMONTH(DATE($B$3,8,1),0),NETWORKDAYS.INTL(DATE($B$3,8,18),DATE($B$3,8,18),1,'Non-working days'!$A$6:$A$45)=0),"",IF(COUNTIFS('Leave log'!$A$7:$A$306,Employees!$A$7,'Leave log'!$B$7:$B$306,"&lt;="&amp;DATE($B$3,8,18),'Leave log'!$C$7:$C$306,"&gt;="&amp;DATE($B$3,8,18),'Leave log'!$F$7:$F$306,"Approved")&gt;0,"A",""))="A","A",IF(OR(DATE($B$3,8,18)&gt;EOMONTH(DATE($B$3,8,1),0),NETWORKDAYS.INTL(DATE($B$3,8,18),DATE($B$3,8,18),1,'Non-working days'!$A$6:$A$45)=0),"",IF(COUNTIFS('Leave log'!$A$7:$A$306,Employees!$A$7,'Leave log'!$B$7:$B$306,"&lt;="&amp;DATE($B$3,8,18),'Leave log'!$C$7:$C$306,"&gt;="&amp;DATE($B$3,8,18),'Leave log'!$F$7:$F$306,"Pending")&gt;0,"P",""))))</f>
        <v/>
      </c>
      <c r="T246" s="23" t="str">
        <f>IF(A246="","",IF(IF(OR(DATE($B$3,8,19)&gt;EOMONTH(DATE($B$3,8,1),0),NETWORKDAYS.INTL(DATE($B$3,8,19),DATE($B$3,8,19),1,'Non-working days'!$A$6:$A$45)=0),"",IF(COUNTIFS('Leave log'!$A$7:$A$306,Employees!$A$7,'Leave log'!$B$7:$B$306,"&lt;="&amp;DATE($B$3,8,19),'Leave log'!$C$7:$C$306,"&gt;="&amp;DATE($B$3,8,19),'Leave log'!$F$7:$F$306,"Approved")&gt;0,"A",""))="A","A",IF(OR(DATE($B$3,8,19)&gt;EOMONTH(DATE($B$3,8,1),0),NETWORKDAYS.INTL(DATE($B$3,8,19),DATE($B$3,8,19),1,'Non-working days'!$A$6:$A$45)=0),"",IF(COUNTIFS('Leave log'!$A$7:$A$306,Employees!$A$7,'Leave log'!$B$7:$B$306,"&lt;="&amp;DATE($B$3,8,19),'Leave log'!$C$7:$C$306,"&gt;="&amp;DATE($B$3,8,19),'Leave log'!$F$7:$F$306,"Pending")&gt;0,"P",""))))</f>
        <v/>
      </c>
      <c r="U246" s="23" t="str">
        <f>IF(A246="","",IF(IF(OR(DATE($B$3,8,20)&gt;EOMONTH(DATE($B$3,8,1),0),NETWORKDAYS.INTL(DATE($B$3,8,20),DATE($B$3,8,20),1,'Non-working days'!$A$6:$A$45)=0),"",IF(COUNTIFS('Leave log'!$A$7:$A$306,Employees!$A$7,'Leave log'!$B$7:$B$306,"&lt;="&amp;DATE($B$3,8,20),'Leave log'!$C$7:$C$306,"&gt;="&amp;DATE($B$3,8,20),'Leave log'!$F$7:$F$306,"Approved")&gt;0,"A",""))="A","A",IF(OR(DATE($B$3,8,20)&gt;EOMONTH(DATE($B$3,8,1),0),NETWORKDAYS.INTL(DATE($B$3,8,20),DATE($B$3,8,20),1,'Non-working days'!$A$6:$A$45)=0),"",IF(COUNTIFS('Leave log'!$A$7:$A$306,Employees!$A$7,'Leave log'!$B$7:$B$306,"&lt;="&amp;DATE($B$3,8,20),'Leave log'!$C$7:$C$306,"&gt;="&amp;DATE($B$3,8,20),'Leave log'!$F$7:$F$306,"Pending")&gt;0,"P",""))))</f>
        <v/>
      </c>
      <c r="V246" s="23" t="str">
        <f>IF(A246="","",IF(IF(OR(DATE($B$3,8,21)&gt;EOMONTH(DATE($B$3,8,1),0),NETWORKDAYS.INTL(DATE($B$3,8,21),DATE($B$3,8,21),1,'Non-working days'!$A$6:$A$45)=0),"",IF(COUNTIFS('Leave log'!$A$7:$A$306,Employees!$A$7,'Leave log'!$B$7:$B$306,"&lt;="&amp;DATE($B$3,8,21),'Leave log'!$C$7:$C$306,"&gt;="&amp;DATE($B$3,8,21),'Leave log'!$F$7:$F$306,"Approved")&gt;0,"A",""))="A","A",IF(OR(DATE($B$3,8,21)&gt;EOMONTH(DATE($B$3,8,1),0),NETWORKDAYS.INTL(DATE($B$3,8,21),DATE($B$3,8,21),1,'Non-working days'!$A$6:$A$45)=0),"",IF(COUNTIFS('Leave log'!$A$7:$A$306,Employees!$A$7,'Leave log'!$B$7:$B$306,"&lt;="&amp;DATE($B$3,8,21),'Leave log'!$C$7:$C$306,"&gt;="&amp;DATE($B$3,8,21),'Leave log'!$F$7:$F$306,"Pending")&gt;0,"P",""))))</f>
        <v/>
      </c>
      <c r="W246" s="23" t="str">
        <f>IF(A246="","",IF(IF(OR(DATE($B$3,8,22)&gt;EOMONTH(DATE($B$3,8,1),0),NETWORKDAYS.INTL(DATE($B$3,8,22),DATE($B$3,8,22),1,'Non-working days'!$A$6:$A$45)=0),"",IF(COUNTIFS('Leave log'!$A$7:$A$306,Employees!$A$7,'Leave log'!$B$7:$B$306,"&lt;="&amp;DATE($B$3,8,22),'Leave log'!$C$7:$C$306,"&gt;="&amp;DATE($B$3,8,22),'Leave log'!$F$7:$F$306,"Approved")&gt;0,"A",""))="A","A",IF(OR(DATE($B$3,8,22)&gt;EOMONTH(DATE($B$3,8,1),0),NETWORKDAYS.INTL(DATE($B$3,8,22),DATE($B$3,8,22),1,'Non-working days'!$A$6:$A$45)=0),"",IF(COUNTIFS('Leave log'!$A$7:$A$306,Employees!$A$7,'Leave log'!$B$7:$B$306,"&lt;="&amp;DATE($B$3,8,22),'Leave log'!$C$7:$C$306,"&gt;="&amp;DATE($B$3,8,22),'Leave log'!$F$7:$F$306,"Pending")&gt;0,"P",""))))</f>
        <v/>
      </c>
      <c r="X246" s="23" t="str">
        <f>IF(A246="","",IF(IF(OR(DATE($B$3,8,23)&gt;EOMONTH(DATE($B$3,8,1),0),NETWORKDAYS.INTL(DATE($B$3,8,23),DATE($B$3,8,23),1,'Non-working days'!$A$6:$A$45)=0),"",IF(COUNTIFS('Leave log'!$A$7:$A$306,Employees!$A$7,'Leave log'!$B$7:$B$306,"&lt;="&amp;DATE($B$3,8,23),'Leave log'!$C$7:$C$306,"&gt;="&amp;DATE($B$3,8,23),'Leave log'!$F$7:$F$306,"Approved")&gt;0,"A",""))="A","A",IF(OR(DATE($B$3,8,23)&gt;EOMONTH(DATE($B$3,8,1),0),NETWORKDAYS.INTL(DATE($B$3,8,23),DATE($B$3,8,23),1,'Non-working days'!$A$6:$A$45)=0),"",IF(COUNTIFS('Leave log'!$A$7:$A$306,Employees!$A$7,'Leave log'!$B$7:$B$306,"&lt;="&amp;DATE($B$3,8,23),'Leave log'!$C$7:$C$306,"&gt;="&amp;DATE($B$3,8,23),'Leave log'!$F$7:$F$306,"Pending")&gt;0,"P",""))))</f>
        <v/>
      </c>
      <c r="Y246" s="23" t="str">
        <f>IF(A246="","",IF(IF(OR(DATE($B$3,8,24)&gt;EOMONTH(DATE($B$3,8,1),0),NETWORKDAYS.INTL(DATE($B$3,8,24),DATE($B$3,8,24),1,'Non-working days'!$A$6:$A$45)=0),"",IF(COUNTIFS('Leave log'!$A$7:$A$306,Employees!$A$7,'Leave log'!$B$7:$B$306,"&lt;="&amp;DATE($B$3,8,24),'Leave log'!$C$7:$C$306,"&gt;="&amp;DATE($B$3,8,24),'Leave log'!$F$7:$F$306,"Approved")&gt;0,"A",""))="A","A",IF(OR(DATE($B$3,8,24)&gt;EOMONTH(DATE($B$3,8,1),0),NETWORKDAYS.INTL(DATE($B$3,8,24),DATE($B$3,8,24),1,'Non-working days'!$A$6:$A$45)=0),"",IF(COUNTIFS('Leave log'!$A$7:$A$306,Employees!$A$7,'Leave log'!$B$7:$B$306,"&lt;="&amp;DATE($B$3,8,24),'Leave log'!$C$7:$C$306,"&gt;="&amp;DATE($B$3,8,24),'Leave log'!$F$7:$F$306,"Pending")&gt;0,"P",""))))</f>
        <v/>
      </c>
      <c r="Z246" s="23" t="str">
        <f>IF(A246="","",IF(IF(OR(DATE($B$3,8,25)&gt;EOMONTH(DATE($B$3,8,1),0),NETWORKDAYS.INTL(DATE($B$3,8,25),DATE($B$3,8,25),1,'Non-working days'!$A$6:$A$45)=0),"",IF(COUNTIFS('Leave log'!$A$7:$A$306,Employees!$A$7,'Leave log'!$B$7:$B$306,"&lt;="&amp;DATE($B$3,8,25),'Leave log'!$C$7:$C$306,"&gt;="&amp;DATE($B$3,8,25),'Leave log'!$F$7:$F$306,"Approved")&gt;0,"A",""))="A","A",IF(OR(DATE($B$3,8,25)&gt;EOMONTH(DATE($B$3,8,1),0),NETWORKDAYS.INTL(DATE($B$3,8,25),DATE($B$3,8,25),1,'Non-working days'!$A$6:$A$45)=0),"",IF(COUNTIFS('Leave log'!$A$7:$A$306,Employees!$A$7,'Leave log'!$B$7:$B$306,"&lt;="&amp;DATE($B$3,8,25),'Leave log'!$C$7:$C$306,"&gt;="&amp;DATE($B$3,8,25),'Leave log'!$F$7:$F$306,"Pending")&gt;0,"P",""))))</f>
        <v/>
      </c>
      <c r="AA246" s="23" t="str">
        <f>IF(A246="","",IF(IF(OR(DATE($B$3,8,26)&gt;EOMONTH(DATE($B$3,8,1),0),NETWORKDAYS.INTL(DATE($B$3,8,26),DATE($B$3,8,26),1,'Non-working days'!$A$6:$A$45)=0),"",IF(COUNTIFS('Leave log'!$A$7:$A$306,Employees!$A$7,'Leave log'!$B$7:$B$306,"&lt;="&amp;DATE($B$3,8,26),'Leave log'!$C$7:$C$306,"&gt;="&amp;DATE($B$3,8,26),'Leave log'!$F$7:$F$306,"Approved")&gt;0,"A",""))="A","A",IF(OR(DATE($B$3,8,26)&gt;EOMONTH(DATE($B$3,8,1),0),NETWORKDAYS.INTL(DATE($B$3,8,26),DATE($B$3,8,26),1,'Non-working days'!$A$6:$A$45)=0),"",IF(COUNTIFS('Leave log'!$A$7:$A$306,Employees!$A$7,'Leave log'!$B$7:$B$306,"&lt;="&amp;DATE($B$3,8,26),'Leave log'!$C$7:$C$306,"&gt;="&amp;DATE($B$3,8,26),'Leave log'!$F$7:$F$306,"Pending")&gt;0,"P",""))))</f>
        <v/>
      </c>
      <c r="AB246" s="23" t="str">
        <f>IF(A246="","",IF(IF(OR(DATE($B$3,8,27)&gt;EOMONTH(DATE($B$3,8,1),0),NETWORKDAYS.INTL(DATE($B$3,8,27),DATE($B$3,8,27),1,'Non-working days'!$A$6:$A$45)=0),"",IF(COUNTIFS('Leave log'!$A$7:$A$306,Employees!$A$7,'Leave log'!$B$7:$B$306,"&lt;="&amp;DATE($B$3,8,27),'Leave log'!$C$7:$C$306,"&gt;="&amp;DATE($B$3,8,27),'Leave log'!$F$7:$F$306,"Approved")&gt;0,"A",""))="A","A",IF(OR(DATE($B$3,8,27)&gt;EOMONTH(DATE($B$3,8,1),0),NETWORKDAYS.INTL(DATE($B$3,8,27),DATE($B$3,8,27),1,'Non-working days'!$A$6:$A$45)=0),"",IF(COUNTIFS('Leave log'!$A$7:$A$306,Employees!$A$7,'Leave log'!$B$7:$B$306,"&lt;="&amp;DATE($B$3,8,27),'Leave log'!$C$7:$C$306,"&gt;="&amp;DATE($B$3,8,27),'Leave log'!$F$7:$F$306,"Pending")&gt;0,"P",""))))</f>
        <v/>
      </c>
      <c r="AC246" s="23" t="str">
        <f>IF(A246="","",IF(IF(OR(DATE($B$3,8,28)&gt;EOMONTH(DATE($B$3,8,1),0),NETWORKDAYS.INTL(DATE($B$3,8,28),DATE($B$3,8,28),1,'Non-working days'!$A$6:$A$45)=0),"",IF(COUNTIFS('Leave log'!$A$7:$A$306,Employees!$A$7,'Leave log'!$B$7:$B$306,"&lt;="&amp;DATE($B$3,8,28),'Leave log'!$C$7:$C$306,"&gt;="&amp;DATE($B$3,8,28),'Leave log'!$F$7:$F$306,"Approved")&gt;0,"A",""))="A","A",IF(OR(DATE($B$3,8,28)&gt;EOMONTH(DATE($B$3,8,1),0),NETWORKDAYS.INTL(DATE($B$3,8,28),DATE($B$3,8,28),1,'Non-working days'!$A$6:$A$45)=0),"",IF(COUNTIFS('Leave log'!$A$7:$A$306,Employees!$A$7,'Leave log'!$B$7:$B$306,"&lt;="&amp;DATE($B$3,8,28),'Leave log'!$C$7:$C$306,"&gt;="&amp;DATE($B$3,8,28),'Leave log'!$F$7:$F$306,"Pending")&gt;0,"P",""))))</f>
        <v/>
      </c>
      <c r="AD246" s="23" t="str">
        <f>IF(A246="","",IF(IF(OR(DATE($B$3,8,29)&gt;EOMONTH(DATE($B$3,8,1),0),NETWORKDAYS.INTL(DATE($B$3,8,29),DATE($B$3,8,29),1,'Non-working days'!$A$6:$A$45)=0),"",IF(COUNTIFS('Leave log'!$A$7:$A$306,Employees!$A$7,'Leave log'!$B$7:$B$306,"&lt;="&amp;DATE($B$3,8,29),'Leave log'!$C$7:$C$306,"&gt;="&amp;DATE($B$3,8,29),'Leave log'!$F$7:$F$306,"Approved")&gt;0,"A",""))="A","A",IF(OR(DATE($B$3,8,29)&gt;EOMONTH(DATE($B$3,8,1),0),NETWORKDAYS.INTL(DATE($B$3,8,29),DATE($B$3,8,29),1,'Non-working days'!$A$6:$A$45)=0),"",IF(COUNTIFS('Leave log'!$A$7:$A$306,Employees!$A$7,'Leave log'!$B$7:$B$306,"&lt;="&amp;DATE($B$3,8,29),'Leave log'!$C$7:$C$306,"&gt;="&amp;DATE($B$3,8,29),'Leave log'!$F$7:$F$306,"Pending")&gt;0,"P",""))))</f>
        <v/>
      </c>
      <c r="AE246" s="23" t="str">
        <f>IF(A246="","",IF(IF(OR(DATE($B$3,8,30)&gt;EOMONTH(DATE($B$3,8,1),0),NETWORKDAYS.INTL(DATE($B$3,8,30),DATE($B$3,8,30),1,'Non-working days'!$A$6:$A$45)=0),"",IF(COUNTIFS('Leave log'!$A$7:$A$306,Employees!$A$7,'Leave log'!$B$7:$B$306,"&lt;="&amp;DATE($B$3,8,30),'Leave log'!$C$7:$C$306,"&gt;="&amp;DATE($B$3,8,30),'Leave log'!$F$7:$F$306,"Approved")&gt;0,"A",""))="A","A",IF(OR(DATE($B$3,8,30)&gt;EOMONTH(DATE($B$3,8,1),0),NETWORKDAYS.INTL(DATE($B$3,8,30),DATE($B$3,8,30),1,'Non-working days'!$A$6:$A$45)=0),"",IF(COUNTIFS('Leave log'!$A$7:$A$306,Employees!$A$7,'Leave log'!$B$7:$B$306,"&lt;="&amp;DATE($B$3,8,30),'Leave log'!$C$7:$C$306,"&gt;="&amp;DATE($B$3,8,30),'Leave log'!$F$7:$F$306,"Pending")&gt;0,"P",""))))</f>
        <v/>
      </c>
      <c r="AF246" s="23" t="str">
        <f>IF(A246="","",IF(IF(OR(DATE($B$3,8,31)&gt;EOMONTH(DATE($B$3,8,1),0),NETWORKDAYS.INTL(DATE($B$3,8,31),DATE($B$3,8,31),1,'Non-working days'!$A$6:$A$45)=0),"",IF(COUNTIFS('Leave log'!$A$7:$A$306,Employees!$A$7,'Leave log'!$B$7:$B$306,"&lt;="&amp;DATE($B$3,8,31),'Leave log'!$C$7:$C$306,"&gt;="&amp;DATE($B$3,8,31),'Leave log'!$F$7:$F$306,"Approved")&gt;0,"A",""))="A","A",IF(OR(DATE($B$3,8,31)&gt;EOMONTH(DATE($B$3,8,1),0),NETWORKDAYS.INTL(DATE($B$3,8,31),DATE($B$3,8,31),1,'Non-working days'!$A$6:$A$45)=0),"",IF(COUNTIFS('Leave log'!$A$7:$A$306,Employees!$A$7,'Leave log'!$B$7:$B$306,"&lt;="&amp;DATE($B$3,8,31),'Leave log'!$C$7:$C$306,"&gt;="&amp;DATE($B$3,8,31),'Leave log'!$F$7:$F$306,"Pending")&gt;0,"P",""))))</f>
        <v/>
      </c>
    </row>
    <row r="247" spans="1:32" ht="18" customHeight="1" x14ac:dyDescent="0.3">
      <c r="A247" s="22" t="str">
        <f>IF(Employees!F8="Yes",Employees!B8,"")</f>
        <v/>
      </c>
      <c r="B247" s="23" t="str">
        <f>IF(A247="","",IF(IF(OR(DATE($B$3,8,1)&gt;EOMONTH(DATE($B$3,8,1),0),NETWORKDAYS.INTL(DATE($B$3,8,1),DATE($B$3,8,1),1,'Non-working days'!$A$6:$A$45)=0),"",IF(COUNTIFS('Leave log'!$A$7:$A$306,Employees!$A$8,'Leave log'!$B$7:$B$306,"&lt;="&amp;DATE($B$3,8,1),'Leave log'!$C$7:$C$306,"&gt;="&amp;DATE($B$3,8,1),'Leave log'!$F$7:$F$306,"Approved")&gt;0,"A",""))="A","A",IF(OR(DATE($B$3,8,1)&gt;EOMONTH(DATE($B$3,8,1),0),NETWORKDAYS.INTL(DATE($B$3,8,1),DATE($B$3,8,1),1,'Non-working days'!$A$6:$A$45)=0),"",IF(COUNTIFS('Leave log'!$A$7:$A$306,Employees!$A$8,'Leave log'!$B$7:$B$306,"&lt;="&amp;DATE($B$3,8,1),'Leave log'!$C$7:$C$306,"&gt;="&amp;DATE($B$3,8,1),'Leave log'!$F$7:$F$306,"Pending")&gt;0,"P",""))))</f>
        <v/>
      </c>
      <c r="C247" s="23" t="str">
        <f>IF(A247="","",IF(IF(OR(DATE($B$3,8,2)&gt;EOMONTH(DATE($B$3,8,1),0),NETWORKDAYS.INTL(DATE($B$3,8,2),DATE($B$3,8,2),1,'Non-working days'!$A$6:$A$45)=0),"",IF(COUNTIFS('Leave log'!$A$7:$A$306,Employees!$A$8,'Leave log'!$B$7:$B$306,"&lt;="&amp;DATE($B$3,8,2),'Leave log'!$C$7:$C$306,"&gt;="&amp;DATE($B$3,8,2),'Leave log'!$F$7:$F$306,"Approved")&gt;0,"A",""))="A","A",IF(OR(DATE($B$3,8,2)&gt;EOMONTH(DATE($B$3,8,1),0),NETWORKDAYS.INTL(DATE($B$3,8,2),DATE($B$3,8,2),1,'Non-working days'!$A$6:$A$45)=0),"",IF(COUNTIFS('Leave log'!$A$7:$A$306,Employees!$A$8,'Leave log'!$B$7:$B$306,"&lt;="&amp;DATE($B$3,8,2),'Leave log'!$C$7:$C$306,"&gt;="&amp;DATE($B$3,8,2),'Leave log'!$F$7:$F$306,"Pending")&gt;0,"P",""))))</f>
        <v/>
      </c>
      <c r="D247" s="23" t="str">
        <f>IF(A247="","",IF(IF(OR(DATE($B$3,8,3)&gt;EOMONTH(DATE($B$3,8,1),0),NETWORKDAYS.INTL(DATE($B$3,8,3),DATE($B$3,8,3),1,'Non-working days'!$A$6:$A$45)=0),"",IF(COUNTIFS('Leave log'!$A$7:$A$306,Employees!$A$8,'Leave log'!$B$7:$B$306,"&lt;="&amp;DATE($B$3,8,3),'Leave log'!$C$7:$C$306,"&gt;="&amp;DATE($B$3,8,3),'Leave log'!$F$7:$F$306,"Approved")&gt;0,"A",""))="A","A",IF(OR(DATE($B$3,8,3)&gt;EOMONTH(DATE($B$3,8,1),0),NETWORKDAYS.INTL(DATE($B$3,8,3),DATE($B$3,8,3),1,'Non-working days'!$A$6:$A$45)=0),"",IF(COUNTIFS('Leave log'!$A$7:$A$306,Employees!$A$8,'Leave log'!$B$7:$B$306,"&lt;="&amp;DATE($B$3,8,3),'Leave log'!$C$7:$C$306,"&gt;="&amp;DATE($B$3,8,3),'Leave log'!$F$7:$F$306,"Pending")&gt;0,"P",""))))</f>
        <v/>
      </c>
      <c r="E247" s="23" t="str">
        <f>IF(A247="","",IF(IF(OR(DATE($B$3,8,4)&gt;EOMONTH(DATE($B$3,8,1),0),NETWORKDAYS.INTL(DATE($B$3,8,4),DATE($B$3,8,4),1,'Non-working days'!$A$6:$A$45)=0),"",IF(COUNTIFS('Leave log'!$A$7:$A$306,Employees!$A$8,'Leave log'!$B$7:$B$306,"&lt;="&amp;DATE($B$3,8,4),'Leave log'!$C$7:$C$306,"&gt;="&amp;DATE($B$3,8,4),'Leave log'!$F$7:$F$306,"Approved")&gt;0,"A",""))="A","A",IF(OR(DATE($B$3,8,4)&gt;EOMONTH(DATE($B$3,8,1),0),NETWORKDAYS.INTL(DATE($B$3,8,4),DATE($B$3,8,4),1,'Non-working days'!$A$6:$A$45)=0),"",IF(COUNTIFS('Leave log'!$A$7:$A$306,Employees!$A$8,'Leave log'!$B$7:$B$306,"&lt;="&amp;DATE($B$3,8,4),'Leave log'!$C$7:$C$306,"&gt;="&amp;DATE($B$3,8,4),'Leave log'!$F$7:$F$306,"Pending")&gt;0,"P",""))))</f>
        <v/>
      </c>
      <c r="F247" s="23" t="str">
        <f>IF(A247="","",IF(IF(OR(DATE($B$3,8,5)&gt;EOMONTH(DATE($B$3,8,1),0),NETWORKDAYS.INTL(DATE($B$3,8,5),DATE($B$3,8,5),1,'Non-working days'!$A$6:$A$45)=0),"",IF(COUNTIFS('Leave log'!$A$7:$A$306,Employees!$A$8,'Leave log'!$B$7:$B$306,"&lt;="&amp;DATE($B$3,8,5),'Leave log'!$C$7:$C$306,"&gt;="&amp;DATE($B$3,8,5),'Leave log'!$F$7:$F$306,"Approved")&gt;0,"A",""))="A","A",IF(OR(DATE($B$3,8,5)&gt;EOMONTH(DATE($B$3,8,1),0),NETWORKDAYS.INTL(DATE($B$3,8,5),DATE($B$3,8,5),1,'Non-working days'!$A$6:$A$45)=0),"",IF(COUNTIFS('Leave log'!$A$7:$A$306,Employees!$A$8,'Leave log'!$B$7:$B$306,"&lt;="&amp;DATE($B$3,8,5),'Leave log'!$C$7:$C$306,"&gt;="&amp;DATE($B$3,8,5),'Leave log'!$F$7:$F$306,"Pending")&gt;0,"P",""))))</f>
        <v/>
      </c>
      <c r="G247" s="23" t="str">
        <f>IF(A247="","",IF(IF(OR(DATE($B$3,8,6)&gt;EOMONTH(DATE($B$3,8,1),0),NETWORKDAYS.INTL(DATE($B$3,8,6),DATE($B$3,8,6),1,'Non-working days'!$A$6:$A$45)=0),"",IF(COUNTIFS('Leave log'!$A$7:$A$306,Employees!$A$8,'Leave log'!$B$7:$B$306,"&lt;="&amp;DATE($B$3,8,6),'Leave log'!$C$7:$C$306,"&gt;="&amp;DATE($B$3,8,6),'Leave log'!$F$7:$F$306,"Approved")&gt;0,"A",""))="A","A",IF(OR(DATE($B$3,8,6)&gt;EOMONTH(DATE($B$3,8,1),0),NETWORKDAYS.INTL(DATE($B$3,8,6),DATE($B$3,8,6),1,'Non-working days'!$A$6:$A$45)=0),"",IF(COUNTIFS('Leave log'!$A$7:$A$306,Employees!$A$8,'Leave log'!$B$7:$B$306,"&lt;="&amp;DATE($B$3,8,6),'Leave log'!$C$7:$C$306,"&gt;="&amp;DATE($B$3,8,6),'Leave log'!$F$7:$F$306,"Pending")&gt;0,"P",""))))</f>
        <v/>
      </c>
      <c r="H247" s="23" t="str">
        <f>IF(A247="","",IF(IF(OR(DATE($B$3,8,7)&gt;EOMONTH(DATE($B$3,8,1),0),NETWORKDAYS.INTL(DATE($B$3,8,7),DATE($B$3,8,7),1,'Non-working days'!$A$6:$A$45)=0),"",IF(COUNTIFS('Leave log'!$A$7:$A$306,Employees!$A$8,'Leave log'!$B$7:$B$306,"&lt;="&amp;DATE($B$3,8,7),'Leave log'!$C$7:$C$306,"&gt;="&amp;DATE($B$3,8,7),'Leave log'!$F$7:$F$306,"Approved")&gt;0,"A",""))="A","A",IF(OR(DATE($B$3,8,7)&gt;EOMONTH(DATE($B$3,8,1),0),NETWORKDAYS.INTL(DATE($B$3,8,7),DATE($B$3,8,7),1,'Non-working days'!$A$6:$A$45)=0),"",IF(COUNTIFS('Leave log'!$A$7:$A$306,Employees!$A$8,'Leave log'!$B$7:$B$306,"&lt;="&amp;DATE($B$3,8,7),'Leave log'!$C$7:$C$306,"&gt;="&amp;DATE($B$3,8,7),'Leave log'!$F$7:$F$306,"Pending")&gt;0,"P",""))))</f>
        <v/>
      </c>
      <c r="I247" s="23" t="str">
        <f>IF(A247="","",IF(IF(OR(DATE($B$3,8,8)&gt;EOMONTH(DATE($B$3,8,1),0),NETWORKDAYS.INTL(DATE($B$3,8,8),DATE($B$3,8,8),1,'Non-working days'!$A$6:$A$45)=0),"",IF(COUNTIFS('Leave log'!$A$7:$A$306,Employees!$A$8,'Leave log'!$B$7:$B$306,"&lt;="&amp;DATE($B$3,8,8),'Leave log'!$C$7:$C$306,"&gt;="&amp;DATE($B$3,8,8),'Leave log'!$F$7:$F$306,"Approved")&gt;0,"A",""))="A","A",IF(OR(DATE($B$3,8,8)&gt;EOMONTH(DATE($B$3,8,1),0),NETWORKDAYS.INTL(DATE($B$3,8,8),DATE($B$3,8,8),1,'Non-working days'!$A$6:$A$45)=0),"",IF(COUNTIFS('Leave log'!$A$7:$A$306,Employees!$A$8,'Leave log'!$B$7:$B$306,"&lt;="&amp;DATE($B$3,8,8),'Leave log'!$C$7:$C$306,"&gt;="&amp;DATE($B$3,8,8),'Leave log'!$F$7:$F$306,"Pending")&gt;0,"P",""))))</f>
        <v/>
      </c>
      <c r="J247" s="23" t="str">
        <f>IF(A247="","",IF(IF(OR(DATE($B$3,8,9)&gt;EOMONTH(DATE($B$3,8,1),0),NETWORKDAYS.INTL(DATE($B$3,8,9),DATE($B$3,8,9),1,'Non-working days'!$A$6:$A$45)=0),"",IF(COUNTIFS('Leave log'!$A$7:$A$306,Employees!$A$8,'Leave log'!$B$7:$B$306,"&lt;="&amp;DATE($B$3,8,9),'Leave log'!$C$7:$C$306,"&gt;="&amp;DATE($B$3,8,9),'Leave log'!$F$7:$F$306,"Approved")&gt;0,"A",""))="A","A",IF(OR(DATE($B$3,8,9)&gt;EOMONTH(DATE($B$3,8,1),0),NETWORKDAYS.INTL(DATE($B$3,8,9),DATE($B$3,8,9),1,'Non-working days'!$A$6:$A$45)=0),"",IF(COUNTIFS('Leave log'!$A$7:$A$306,Employees!$A$8,'Leave log'!$B$7:$B$306,"&lt;="&amp;DATE($B$3,8,9),'Leave log'!$C$7:$C$306,"&gt;="&amp;DATE($B$3,8,9),'Leave log'!$F$7:$F$306,"Pending")&gt;0,"P",""))))</f>
        <v/>
      </c>
      <c r="K247" s="23" t="str">
        <f>IF(A247="","",IF(IF(OR(DATE($B$3,8,10)&gt;EOMONTH(DATE($B$3,8,1),0),NETWORKDAYS.INTL(DATE($B$3,8,10),DATE($B$3,8,10),1,'Non-working days'!$A$6:$A$45)=0),"",IF(COUNTIFS('Leave log'!$A$7:$A$306,Employees!$A$8,'Leave log'!$B$7:$B$306,"&lt;="&amp;DATE($B$3,8,10),'Leave log'!$C$7:$C$306,"&gt;="&amp;DATE($B$3,8,10),'Leave log'!$F$7:$F$306,"Approved")&gt;0,"A",""))="A","A",IF(OR(DATE($B$3,8,10)&gt;EOMONTH(DATE($B$3,8,1),0),NETWORKDAYS.INTL(DATE($B$3,8,10),DATE($B$3,8,10),1,'Non-working days'!$A$6:$A$45)=0),"",IF(COUNTIFS('Leave log'!$A$7:$A$306,Employees!$A$8,'Leave log'!$B$7:$B$306,"&lt;="&amp;DATE($B$3,8,10),'Leave log'!$C$7:$C$306,"&gt;="&amp;DATE($B$3,8,10),'Leave log'!$F$7:$F$306,"Pending")&gt;0,"P",""))))</f>
        <v/>
      </c>
      <c r="L247" s="23" t="str">
        <f>IF(A247="","",IF(IF(OR(DATE($B$3,8,11)&gt;EOMONTH(DATE($B$3,8,1),0),NETWORKDAYS.INTL(DATE($B$3,8,11),DATE($B$3,8,11),1,'Non-working days'!$A$6:$A$45)=0),"",IF(COUNTIFS('Leave log'!$A$7:$A$306,Employees!$A$8,'Leave log'!$B$7:$B$306,"&lt;="&amp;DATE($B$3,8,11),'Leave log'!$C$7:$C$306,"&gt;="&amp;DATE($B$3,8,11),'Leave log'!$F$7:$F$306,"Approved")&gt;0,"A",""))="A","A",IF(OR(DATE($B$3,8,11)&gt;EOMONTH(DATE($B$3,8,1),0),NETWORKDAYS.INTL(DATE($B$3,8,11),DATE($B$3,8,11),1,'Non-working days'!$A$6:$A$45)=0),"",IF(COUNTIFS('Leave log'!$A$7:$A$306,Employees!$A$8,'Leave log'!$B$7:$B$306,"&lt;="&amp;DATE($B$3,8,11),'Leave log'!$C$7:$C$306,"&gt;="&amp;DATE($B$3,8,11),'Leave log'!$F$7:$F$306,"Pending")&gt;0,"P",""))))</f>
        <v/>
      </c>
      <c r="M247" s="23" t="str">
        <f>IF(A247="","",IF(IF(OR(DATE($B$3,8,12)&gt;EOMONTH(DATE($B$3,8,1),0),NETWORKDAYS.INTL(DATE($B$3,8,12),DATE($B$3,8,12),1,'Non-working days'!$A$6:$A$45)=0),"",IF(COUNTIFS('Leave log'!$A$7:$A$306,Employees!$A$8,'Leave log'!$B$7:$B$306,"&lt;="&amp;DATE($B$3,8,12),'Leave log'!$C$7:$C$306,"&gt;="&amp;DATE($B$3,8,12),'Leave log'!$F$7:$F$306,"Approved")&gt;0,"A",""))="A","A",IF(OR(DATE($B$3,8,12)&gt;EOMONTH(DATE($B$3,8,1),0),NETWORKDAYS.INTL(DATE($B$3,8,12),DATE($B$3,8,12),1,'Non-working days'!$A$6:$A$45)=0),"",IF(COUNTIFS('Leave log'!$A$7:$A$306,Employees!$A$8,'Leave log'!$B$7:$B$306,"&lt;="&amp;DATE($B$3,8,12),'Leave log'!$C$7:$C$306,"&gt;="&amp;DATE($B$3,8,12),'Leave log'!$F$7:$F$306,"Pending")&gt;0,"P",""))))</f>
        <v/>
      </c>
      <c r="N247" s="23" t="str">
        <f>IF(A247="","",IF(IF(OR(DATE($B$3,8,13)&gt;EOMONTH(DATE($B$3,8,1),0),NETWORKDAYS.INTL(DATE($B$3,8,13),DATE($B$3,8,13),1,'Non-working days'!$A$6:$A$45)=0),"",IF(COUNTIFS('Leave log'!$A$7:$A$306,Employees!$A$8,'Leave log'!$B$7:$B$306,"&lt;="&amp;DATE($B$3,8,13),'Leave log'!$C$7:$C$306,"&gt;="&amp;DATE($B$3,8,13),'Leave log'!$F$7:$F$306,"Approved")&gt;0,"A",""))="A","A",IF(OR(DATE($B$3,8,13)&gt;EOMONTH(DATE($B$3,8,1),0),NETWORKDAYS.INTL(DATE($B$3,8,13),DATE($B$3,8,13),1,'Non-working days'!$A$6:$A$45)=0),"",IF(COUNTIFS('Leave log'!$A$7:$A$306,Employees!$A$8,'Leave log'!$B$7:$B$306,"&lt;="&amp;DATE($B$3,8,13),'Leave log'!$C$7:$C$306,"&gt;="&amp;DATE($B$3,8,13),'Leave log'!$F$7:$F$306,"Pending")&gt;0,"P",""))))</f>
        <v/>
      </c>
      <c r="O247" s="23" t="str">
        <f>IF(A247="","",IF(IF(OR(DATE($B$3,8,14)&gt;EOMONTH(DATE($B$3,8,1),0),NETWORKDAYS.INTL(DATE($B$3,8,14),DATE($B$3,8,14),1,'Non-working days'!$A$6:$A$45)=0),"",IF(COUNTIFS('Leave log'!$A$7:$A$306,Employees!$A$8,'Leave log'!$B$7:$B$306,"&lt;="&amp;DATE($B$3,8,14),'Leave log'!$C$7:$C$306,"&gt;="&amp;DATE($B$3,8,14),'Leave log'!$F$7:$F$306,"Approved")&gt;0,"A",""))="A","A",IF(OR(DATE($B$3,8,14)&gt;EOMONTH(DATE($B$3,8,1),0),NETWORKDAYS.INTL(DATE($B$3,8,14),DATE($B$3,8,14),1,'Non-working days'!$A$6:$A$45)=0),"",IF(COUNTIFS('Leave log'!$A$7:$A$306,Employees!$A$8,'Leave log'!$B$7:$B$306,"&lt;="&amp;DATE($B$3,8,14),'Leave log'!$C$7:$C$306,"&gt;="&amp;DATE($B$3,8,14),'Leave log'!$F$7:$F$306,"Pending")&gt;0,"P",""))))</f>
        <v/>
      </c>
      <c r="P247" s="23" t="str">
        <f>IF(A247="","",IF(IF(OR(DATE($B$3,8,15)&gt;EOMONTH(DATE($B$3,8,1),0),NETWORKDAYS.INTL(DATE($B$3,8,15),DATE($B$3,8,15),1,'Non-working days'!$A$6:$A$45)=0),"",IF(COUNTIFS('Leave log'!$A$7:$A$306,Employees!$A$8,'Leave log'!$B$7:$B$306,"&lt;="&amp;DATE($B$3,8,15),'Leave log'!$C$7:$C$306,"&gt;="&amp;DATE($B$3,8,15),'Leave log'!$F$7:$F$306,"Approved")&gt;0,"A",""))="A","A",IF(OR(DATE($B$3,8,15)&gt;EOMONTH(DATE($B$3,8,1),0),NETWORKDAYS.INTL(DATE($B$3,8,15),DATE($B$3,8,15),1,'Non-working days'!$A$6:$A$45)=0),"",IF(COUNTIFS('Leave log'!$A$7:$A$306,Employees!$A$8,'Leave log'!$B$7:$B$306,"&lt;="&amp;DATE($B$3,8,15),'Leave log'!$C$7:$C$306,"&gt;="&amp;DATE($B$3,8,15),'Leave log'!$F$7:$F$306,"Pending")&gt;0,"P",""))))</f>
        <v/>
      </c>
      <c r="Q247" s="23" t="str">
        <f>IF(A247="","",IF(IF(OR(DATE($B$3,8,16)&gt;EOMONTH(DATE($B$3,8,1),0),NETWORKDAYS.INTL(DATE($B$3,8,16),DATE($B$3,8,16),1,'Non-working days'!$A$6:$A$45)=0),"",IF(COUNTIFS('Leave log'!$A$7:$A$306,Employees!$A$8,'Leave log'!$B$7:$B$306,"&lt;="&amp;DATE($B$3,8,16),'Leave log'!$C$7:$C$306,"&gt;="&amp;DATE($B$3,8,16),'Leave log'!$F$7:$F$306,"Approved")&gt;0,"A",""))="A","A",IF(OR(DATE($B$3,8,16)&gt;EOMONTH(DATE($B$3,8,1),0),NETWORKDAYS.INTL(DATE($B$3,8,16),DATE($B$3,8,16),1,'Non-working days'!$A$6:$A$45)=0),"",IF(COUNTIFS('Leave log'!$A$7:$A$306,Employees!$A$8,'Leave log'!$B$7:$B$306,"&lt;="&amp;DATE($B$3,8,16),'Leave log'!$C$7:$C$306,"&gt;="&amp;DATE($B$3,8,16),'Leave log'!$F$7:$F$306,"Pending")&gt;0,"P",""))))</f>
        <v/>
      </c>
      <c r="R247" s="23" t="str">
        <f>IF(A247="","",IF(IF(OR(DATE($B$3,8,17)&gt;EOMONTH(DATE($B$3,8,1),0),NETWORKDAYS.INTL(DATE($B$3,8,17),DATE($B$3,8,17),1,'Non-working days'!$A$6:$A$45)=0),"",IF(COUNTIFS('Leave log'!$A$7:$A$306,Employees!$A$8,'Leave log'!$B$7:$B$306,"&lt;="&amp;DATE($B$3,8,17),'Leave log'!$C$7:$C$306,"&gt;="&amp;DATE($B$3,8,17),'Leave log'!$F$7:$F$306,"Approved")&gt;0,"A",""))="A","A",IF(OR(DATE($B$3,8,17)&gt;EOMONTH(DATE($B$3,8,1),0),NETWORKDAYS.INTL(DATE($B$3,8,17),DATE($B$3,8,17),1,'Non-working days'!$A$6:$A$45)=0),"",IF(COUNTIFS('Leave log'!$A$7:$A$306,Employees!$A$8,'Leave log'!$B$7:$B$306,"&lt;="&amp;DATE($B$3,8,17),'Leave log'!$C$7:$C$306,"&gt;="&amp;DATE($B$3,8,17),'Leave log'!$F$7:$F$306,"Pending")&gt;0,"P",""))))</f>
        <v/>
      </c>
      <c r="S247" s="23" t="str">
        <f>IF(A247="","",IF(IF(OR(DATE($B$3,8,18)&gt;EOMONTH(DATE($B$3,8,1),0),NETWORKDAYS.INTL(DATE($B$3,8,18),DATE($B$3,8,18),1,'Non-working days'!$A$6:$A$45)=0),"",IF(COUNTIFS('Leave log'!$A$7:$A$306,Employees!$A$8,'Leave log'!$B$7:$B$306,"&lt;="&amp;DATE($B$3,8,18),'Leave log'!$C$7:$C$306,"&gt;="&amp;DATE($B$3,8,18),'Leave log'!$F$7:$F$306,"Approved")&gt;0,"A",""))="A","A",IF(OR(DATE($B$3,8,18)&gt;EOMONTH(DATE($B$3,8,1),0),NETWORKDAYS.INTL(DATE($B$3,8,18),DATE($B$3,8,18),1,'Non-working days'!$A$6:$A$45)=0),"",IF(COUNTIFS('Leave log'!$A$7:$A$306,Employees!$A$8,'Leave log'!$B$7:$B$306,"&lt;="&amp;DATE($B$3,8,18),'Leave log'!$C$7:$C$306,"&gt;="&amp;DATE($B$3,8,18),'Leave log'!$F$7:$F$306,"Pending")&gt;0,"P",""))))</f>
        <v/>
      </c>
      <c r="T247" s="23" t="str">
        <f>IF(A247="","",IF(IF(OR(DATE($B$3,8,19)&gt;EOMONTH(DATE($B$3,8,1),0),NETWORKDAYS.INTL(DATE($B$3,8,19),DATE($B$3,8,19),1,'Non-working days'!$A$6:$A$45)=0),"",IF(COUNTIFS('Leave log'!$A$7:$A$306,Employees!$A$8,'Leave log'!$B$7:$B$306,"&lt;="&amp;DATE($B$3,8,19),'Leave log'!$C$7:$C$306,"&gt;="&amp;DATE($B$3,8,19),'Leave log'!$F$7:$F$306,"Approved")&gt;0,"A",""))="A","A",IF(OR(DATE($B$3,8,19)&gt;EOMONTH(DATE($B$3,8,1),0),NETWORKDAYS.INTL(DATE($B$3,8,19),DATE($B$3,8,19),1,'Non-working days'!$A$6:$A$45)=0),"",IF(COUNTIFS('Leave log'!$A$7:$A$306,Employees!$A$8,'Leave log'!$B$7:$B$306,"&lt;="&amp;DATE($B$3,8,19),'Leave log'!$C$7:$C$306,"&gt;="&amp;DATE($B$3,8,19),'Leave log'!$F$7:$F$306,"Pending")&gt;0,"P",""))))</f>
        <v/>
      </c>
      <c r="U247" s="23" t="str">
        <f>IF(A247="","",IF(IF(OR(DATE($B$3,8,20)&gt;EOMONTH(DATE($B$3,8,1),0),NETWORKDAYS.INTL(DATE($B$3,8,20),DATE($B$3,8,20),1,'Non-working days'!$A$6:$A$45)=0),"",IF(COUNTIFS('Leave log'!$A$7:$A$306,Employees!$A$8,'Leave log'!$B$7:$B$306,"&lt;="&amp;DATE($B$3,8,20),'Leave log'!$C$7:$C$306,"&gt;="&amp;DATE($B$3,8,20),'Leave log'!$F$7:$F$306,"Approved")&gt;0,"A",""))="A","A",IF(OR(DATE($B$3,8,20)&gt;EOMONTH(DATE($B$3,8,1),0),NETWORKDAYS.INTL(DATE($B$3,8,20),DATE($B$3,8,20),1,'Non-working days'!$A$6:$A$45)=0),"",IF(COUNTIFS('Leave log'!$A$7:$A$306,Employees!$A$8,'Leave log'!$B$7:$B$306,"&lt;="&amp;DATE($B$3,8,20),'Leave log'!$C$7:$C$306,"&gt;="&amp;DATE($B$3,8,20),'Leave log'!$F$7:$F$306,"Pending")&gt;0,"P",""))))</f>
        <v/>
      </c>
      <c r="V247" s="23" t="str">
        <f>IF(A247="","",IF(IF(OR(DATE($B$3,8,21)&gt;EOMONTH(DATE($B$3,8,1),0),NETWORKDAYS.INTL(DATE($B$3,8,21),DATE($B$3,8,21),1,'Non-working days'!$A$6:$A$45)=0),"",IF(COUNTIFS('Leave log'!$A$7:$A$306,Employees!$A$8,'Leave log'!$B$7:$B$306,"&lt;="&amp;DATE($B$3,8,21),'Leave log'!$C$7:$C$306,"&gt;="&amp;DATE($B$3,8,21),'Leave log'!$F$7:$F$306,"Approved")&gt;0,"A",""))="A","A",IF(OR(DATE($B$3,8,21)&gt;EOMONTH(DATE($B$3,8,1),0),NETWORKDAYS.INTL(DATE($B$3,8,21),DATE($B$3,8,21),1,'Non-working days'!$A$6:$A$45)=0),"",IF(COUNTIFS('Leave log'!$A$7:$A$306,Employees!$A$8,'Leave log'!$B$7:$B$306,"&lt;="&amp;DATE($B$3,8,21),'Leave log'!$C$7:$C$306,"&gt;="&amp;DATE($B$3,8,21),'Leave log'!$F$7:$F$306,"Pending")&gt;0,"P",""))))</f>
        <v/>
      </c>
      <c r="W247" s="23" t="str">
        <f>IF(A247="","",IF(IF(OR(DATE($B$3,8,22)&gt;EOMONTH(DATE($B$3,8,1),0),NETWORKDAYS.INTL(DATE($B$3,8,22),DATE($B$3,8,22),1,'Non-working days'!$A$6:$A$45)=0),"",IF(COUNTIFS('Leave log'!$A$7:$A$306,Employees!$A$8,'Leave log'!$B$7:$B$306,"&lt;="&amp;DATE($B$3,8,22),'Leave log'!$C$7:$C$306,"&gt;="&amp;DATE($B$3,8,22),'Leave log'!$F$7:$F$306,"Approved")&gt;0,"A",""))="A","A",IF(OR(DATE($B$3,8,22)&gt;EOMONTH(DATE($B$3,8,1),0),NETWORKDAYS.INTL(DATE($B$3,8,22),DATE($B$3,8,22),1,'Non-working days'!$A$6:$A$45)=0),"",IF(COUNTIFS('Leave log'!$A$7:$A$306,Employees!$A$8,'Leave log'!$B$7:$B$306,"&lt;="&amp;DATE($B$3,8,22),'Leave log'!$C$7:$C$306,"&gt;="&amp;DATE($B$3,8,22),'Leave log'!$F$7:$F$306,"Pending")&gt;0,"P",""))))</f>
        <v/>
      </c>
      <c r="X247" s="23" t="str">
        <f>IF(A247="","",IF(IF(OR(DATE($B$3,8,23)&gt;EOMONTH(DATE($B$3,8,1),0),NETWORKDAYS.INTL(DATE($B$3,8,23),DATE($B$3,8,23),1,'Non-working days'!$A$6:$A$45)=0),"",IF(COUNTIFS('Leave log'!$A$7:$A$306,Employees!$A$8,'Leave log'!$B$7:$B$306,"&lt;="&amp;DATE($B$3,8,23),'Leave log'!$C$7:$C$306,"&gt;="&amp;DATE($B$3,8,23),'Leave log'!$F$7:$F$306,"Approved")&gt;0,"A",""))="A","A",IF(OR(DATE($B$3,8,23)&gt;EOMONTH(DATE($B$3,8,1),0),NETWORKDAYS.INTL(DATE($B$3,8,23),DATE($B$3,8,23),1,'Non-working days'!$A$6:$A$45)=0),"",IF(COUNTIFS('Leave log'!$A$7:$A$306,Employees!$A$8,'Leave log'!$B$7:$B$306,"&lt;="&amp;DATE($B$3,8,23),'Leave log'!$C$7:$C$306,"&gt;="&amp;DATE($B$3,8,23),'Leave log'!$F$7:$F$306,"Pending")&gt;0,"P",""))))</f>
        <v/>
      </c>
      <c r="Y247" s="23" t="str">
        <f>IF(A247="","",IF(IF(OR(DATE($B$3,8,24)&gt;EOMONTH(DATE($B$3,8,1),0),NETWORKDAYS.INTL(DATE($B$3,8,24),DATE($B$3,8,24),1,'Non-working days'!$A$6:$A$45)=0),"",IF(COUNTIFS('Leave log'!$A$7:$A$306,Employees!$A$8,'Leave log'!$B$7:$B$306,"&lt;="&amp;DATE($B$3,8,24),'Leave log'!$C$7:$C$306,"&gt;="&amp;DATE($B$3,8,24),'Leave log'!$F$7:$F$306,"Approved")&gt;0,"A",""))="A","A",IF(OR(DATE($B$3,8,24)&gt;EOMONTH(DATE($B$3,8,1),0),NETWORKDAYS.INTL(DATE($B$3,8,24),DATE($B$3,8,24),1,'Non-working days'!$A$6:$A$45)=0),"",IF(COUNTIFS('Leave log'!$A$7:$A$306,Employees!$A$8,'Leave log'!$B$7:$B$306,"&lt;="&amp;DATE($B$3,8,24),'Leave log'!$C$7:$C$306,"&gt;="&amp;DATE($B$3,8,24),'Leave log'!$F$7:$F$306,"Pending")&gt;0,"P",""))))</f>
        <v/>
      </c>
      <c r="Z247" s="23" t="str">
        <f>IF(A247="","",IF(IF(OR(DATE($B$3,8,25)&gt;EOMONTH(DATE($B$3,8,1),0),NETWORKDAYS.INTL(DATE($B$3,8,25),DATE($B$3,8,25),1,'Non-working days'!$A$6:$A$45)=0),"",IF(COUNTIFS('Leave log'!$A$7:$A$306,Employees!$A$8,'Leave log'!$B$7:$B$306,"&lt;="&amp;DATE($B$3,8,25),'Leave log'!$C$7:$C$306,"&gt;="&amp;DATE($B$3,8,25),'Leave log'!$F$7:$F$306,"Approved")&gt;0,"A",""))="A","A",IF(OR(DATE($B$3,8,25)&gt;EOMONTH(DATE($B$3,8,1),0),NETWORKDAYS.INTL(DATE($B$3,8,25),DATE($B$3,8,25),1,'Non-working days'!$A$6:$A$45)=0),"",IF(COUNTIFS('Leave log'!$A$7:$A$306,Employees!$A$8,'Leave log'!$B$7:$B$306,"&lt;="&amp;DATE($B$3,8,25),'Leave log'!$C$7:$C$306,"&gt;="&amp;DATE($B$3,8,25),'Leave log'!$F$7:$F$306,"Pending")&gt;0,"P",""))))</f>
        <v/>
      </c>
      <c r="AA247" s="23" t="str">
        <f>IF(A247="","",IF(IF(OR(DATE($B$3,8,26)&gt;EOMONTH(DATE($B$3,8,1),0),NETWORKDAYS.INTL(DATE($B$3,8,26),DATE($B$3,8,26),1,'Non-working days'!$A$6:$A$45)=0),"",IF(COUNTIFS('Leave log'!$A$7:$A$306,Employees!$A$8,'Leave log'!$B$7:$B$306,"&lt;="&amp;DATE($B$3,8,26),'Leave log'!$C$7:$C$306,"&gt;="&amp;DATE($B$3,8,26),'Leave log'!$F$7:$F$306,"Approved")&gt;0,"A",""))="A","A",IF(OR(DATE($B$3,8,26)&gt;EOMONTH(DATE($B$3,8,1),0),NETWORKDAYS.INTL(DATE($B$3,8,26),DATE($B$3,8,26),1,'Non-working days'!$A$6:$A$45)=0),"",IF(COUNTIFS('Leave log'!$A$7:$A$306,Employees!$A$8,'Leave log'!$B$7:$B$306,"&lt;="&amp;DATE($B$3,8,26),'Leave log'!$C$7:$C$306,"&gt;="&amp;DATE($B$3,8,26),'Leave log'!$F$7:$F$306,"Pending")&gt;0,"P",""))))</f>
        <v/>
      </c>
      <c r="AB247" s="23" t="str">
        <f>IF(A247="","",IF(IF(OR(DATE($B$3,8,27)&gt;EOMONTH(DATE($B$3,8,1),0),NETWORKDAYS.INTL(DATE($B$3,8,27),DATE($B$3,8,27),1,'Non-working days'!$A$6:$A$45)=0),"",IF(COUNTIFS('Leave log'!$A$7:$A$306,Employees!$A$8,'Leave log'!$B$7:$B$306,"&lt;="&amp;DATE($B$3,8,27),'Leave log'!$C$7:$C$306,"&gt;="&amp;DATE($B$3,8,27),'Leave log'!$F$7:$F$306,"Approved")&gt;0,"A",""))="A","A",IF(OR(DATE($B$3,8,27)&gt;EOMONTH(DATE($B$3,8,1),0),NETWORKDAYS.INTL(DATE($B$3,8,27),DATE($B$3,8,27),1,'Non-working days'!$A$6:$A$45)=0),"",IF(COUNTIFS('Leave log'!$A$7:$A$306,Employees!$A$8,'Leave log'!$B$7:$B$306,"&lt;="&amp;DATE($B$3,8,27),'Leave log'!$C$7:$C$306,"&gt;="&amp;DATE($B$3,8,27),'Leave log'!$F$7:$F$306,"Pending")&gt;0,"P",""))))</f>
        <v/>
      </c>
      <c r="AC247" s="23" t="str">
        <f>IF(A247="","",IF(IF(OR(DATE($B$3,8,28)&gt;EOMONTH(DATE($B$3,8,1),0),NETWORKDAYS.INTL(DATE($B$3,8,28),DATE($B$3,8,28),1,'Non-working days'!$A$6:$A$45)=0),"",IF(COUNTIFS('Leave log'!$A$7:$A$306,Employees!$A$8,'Leave log'!$B$7:$B$306,"&lt;="&amp;DATE($B$3,8,28),'Leave log'!$C$7:$C$306,"&gt;="&amp;DATE($B$3,8,28),'Leave log'!$F$7:$F$306,"Approved")&gt;0,"A",""))="A","A",IF(OR(DATE($B$3,8,28)&gt;EOMONTH(DATE($B$3,8,1),0),NETWORKDAYS.INTL(DATE($B$3,8,28),DATE($B$3,8,28),1,'Non-working days'!$A$6:$A$45)=0),"",IF(COUNTIFS('Leave log'!$A$7:$A$306,Employees!$A$8,'Leave log'!$B$7:$B$306,"&lt;="&amp;DATE($B$3,8,28),'Leave log'!$C$7:$C$306,"&gt;="&amp;DATE($B$3,8,28),'Leave log'!$F$7:$F$306,"Pending")&gt;0,"P",""))))</f>
        <v/>
      </c>
      <c r="AD247" s="23" t="str">
        <f>IF(A247="","",IF(IF(OR(DATE($B$3,8,29)&gt;EOMONTH(DATE($B$3,8,1),0),NETWORKDAYS.INTL(DATE($B$3,8,29),DATE($B$3,8,29),1,'Non-working days'!$A$6:$A$45)=0),"",IF(COUNTIFS('Leave log'!$A$7:$A$306,Employees!$A$8,'Leave log'!$B$7:$B$306,"&lt;="&amp;DATE($B$3,8,29),'Leave log'!$C$7:$C$306,"&gt;="&amp;DATE($B$3,8,29),'Leave log'!$F$7:$F$306,"Approved")&gt;0,"A",""))="A","A",IF(OR(DATE($B$3,8,29)&gt;EOMONTH(DATE($B$3,8,1),0),NETWORKDAYS.INTL(DATE($B$3,8,29),DATE($B$3,8,29),1,'Non-working days'!$A$6:$A$45)=0),"",IF(COUNTIFS('Leave log'!$A$7:$A$306,Employees!$A$8,'Leave log'!$B$7:$B$306,"&lt;="&amp;DATE($B$3,8,29),'Leave log'!$C$7:$C$306,"&gt;="&amp;DATE($B$3,8,29),'Leave log'!$F$7:$F$306,"Pending")&gt;0,"P",""))))</f>
        <v/>
      </c>
      <c r="AE247" s="23" t="str">
        <f>IF(A247="","",IF(IF(OR(DATE($B$3,8,30)&gt;EOMONTH(DATE($B$3,8,1),0),NETWORKDAYS.INTL(DATE($B$3,8,30),DATE($B$3,8,30),1,'Non-working days'!$A$6:$A$45)=0),"",IF(COUNTIFS('Leave log'!$A$7:$A$306,Employees!$A$8,'Leave log'!$B$7:$B$306,"&lt;="&amp;DATE($B$3,8,30),'Leave log'!$C$7:$C$306,"&gt;="&amp;DATE($B$3,8,30),'Leave log'!$F$7:$F$306,"Approved")&gt;0,"A",""))="A","A",IF(OR(DATE($B$3,8,30)&gt;EOMONTH(DATE($B$3,8,1),0),NETWORKDAYS.INTL(DATE($B$3,8,30),DATE($B$3,8,30),1,'Non-working days'!$A$6:$A$45)=0),"",IF(COUNTIFS('Leave log'!$A$7:$A$306,Employees!$A$8,'Leave log'!$B$7:$B$306,"&lt;="&amp;DATE($B$3,8,30),'Leave log'!$C$7:$C$306,"&gt;="&amp;DATE($B$3,8,30),'Leave log'!$F$7:$F$306,"Pending")&gt;0,"P",""))))</f>
        <v/>
      </c>
      <c r="AF247" s="23" t="str">
        <f>IF(A247="","",IF(IF(OR(DATE($B$3,8,31)&gt;EOMONTH(DATE($B$3,8,1),0),NETWORKDAYS.INTL(DATE($B$3,8,31),DATE($B$3,8,31),1,'Non-working days'!$A$6:$A$45)=0),"",IF(COUNTIFS('Leave log'!$A$7:$A$306,Employees!$A$8,'Leave log'!$B$7:$B$306,"&lt;="&amp;DATE($B$3,8,31),'Leave log'!$C$7:$C$306,"&gt;="&amp;DATE($B$3,8,31),'Leave log'!$F$7:$F$306,"Approved")&gt;0,"A",""))="A","A",IF(OR(DATE($B$3,8,31)&gt;EOMONTH(DATE($B$3,8,1),0),NETWORKDAYS.INTL(DATE($B$3,8,31),DATE($B$3,8,31),1,'Non-working days'!$A$6:$A$45)=0),"",IF(COUNTIFS('Leave log'!$A$7:$A$306,Employees!$A$8,'Leave log'!$B$7:$B$306,"&lt;="&amp;DATE($B$3,8,31),'Leave log'!$C$7:$C$306,"&gt;="&amp;DATE($B$3,8,31),'Leave log'!$F$7:$F$306,"Pending")&gt;0,"P",""))))</f>
        <v/>
      </c>
    </row>
    <row r="248" spans="1:32" ht="18" customHeight="1" x14ac:dyDescent="0.3">
      <c r="A248" s="22" t="str">
        <f>IF(Employees!F9="Yes",Employees!B9,"")</f>
        <v/>
      </c>
      <c r="B248" s="23" t="str">
        <f>IF(A248="","",IF(IF(OR(DATE($B$3,8,1)&gt;EOMONTH(DATE($B$3,8,1),0),NETWORKDAYS.INTL(DATE($B$3,8,1),DATE($B$3,8,1),1,'Non-working days'!$A$6:$A$45)=0),"",IF(COUNTIFS('Leave log'!$A$7:$A$306,Employees!$A$9,'Leave log'!$B$7:$B$306,"&lt;="&amp;DATE($B$3,8,1),'Leave log'!$C$7:$C$306,"&gt;="&amp;DATE($B$3,8,1),'Leave log'!$F$7:$F$306,"Approved")&gt;0,"A",""))="A","A",IF(OR(DATE($B$3,8,1)&gt;EOMONTH(DATE($B$3,8,1),0),NETWORKDAYS.INTL(DATE($B$3,8,1),DATE($B$3,8,1),1,'Non-working days'!$A$6:$A$45)=0),"",IF(COUNTIFS('Leave log'!$A$7:$A$306,Employees!$A$9,'Leave log'!$B$7:$B$306,"&lt;="&amp;DATE($B$3,8,1),'Leave log'!$C$7:$C$306,"&gt;="&amp;DATE($B$3,8,1),'Leave log'!$F$7:$F$306,"Pending")&gt;0,"P",""))))</f>
        <v/>
      </c>
      <c r="C248" s="23" t="str">
        <f>IF(A248="","",IF(IF(OR(DATE($B$3,8,2)&gt;EOMONTH(DATE($B$3,8,1),0),NETWORKDAYS.INTL(DATE($B$3,8,2),DATE($B$3,8,2),1,'Non-working days'!$A$6:$A$45)=0),"",IF(COUNTIFS('Leave log'!$A$7:$A$306,Employees!$A$9,'Leave log'!$B$7:$B$306,"&lt;="&amp;DATE($B$3,8,2),'Leave log'!$C$7:$C$306,"&gt;="&amp;DATE($B$3,8,2),'Leave log'!$F$7:$F$306,"Approved")&gt;0,"A",""))="A","A",IF(OR(DATE($B$3,8,2)&gt;EOMONTH(DATE($B$3,8,1),0),NETWORKDAYS.INTL(DATE($B$3,8,2),DATE($B$3,8,2),1,'Non-working days'!$A$6:$A$45)=0),"",IF(COUNTIFS('Leave log'!$A$7:$A$306,Employees!$A$9,'Leave log'!$B$7:$B$306,"&lt;="&amp;DATE($B$3,8,2),'Leave log'!$C$7:$C$306,"&gt;="&amp;DATE($B$3,8,2),'Leave log'!$F$7:$F$306,"Pending")&gt;0,"P",""))))</f>
        <v/>
      </c>
      <c r="D248" s="23" t="str">
        <f>IF(A248="","",IF(IF(OR(DATE($B$3,8,3)&gt;EOMONTH(DATE($B$3,8,1),0),NETWORKDAYS.INTL(DATE($B$3,8,3),DATE($B$3,8,3),1,'Non-working days'!$A$6:$A$45)=0),"",IF(COUNTIFS('Leave log'!$A$7:$A$306,Employees!$A$9,'Leave log'!$B$7:$B$306,"&lt;="&amp;DATE($B$3,8,3),'Leave log'!$C$7:$C$306,"&gt;="&amp;DATE($B$3,8,3),'Leave log'!$F$7:$F$306,"Approved")&gt;0,"A",""))="A","A",IF(OR(DATE($B$3,8,3)&gt;EOMONTH(DATE($B$3,8,1),0),NETWORKDAYS.INTL(DATE($B$3,8,3),DATE($B$3,8,3),1,'Non-working days'!$A$6:$A$45)=0),"",IF(COUNTIFS('Leave log'!$A$7:$A$306,Employees!$A$9,'Leave log'!$B$7:$B$306,"&lt;="&amp;DATE($B$3,8,3),'Leave log'!$C$7:$C$306,"&gt;="&amp;DATE($B$3,8,3),'Leave log'!$F$7:$F$306,"Pending")&gt;0,"P",""))))</f>
        <v/>
      </c>
      <c r="E248" s="23" t="str">
        <f>IF(A248="","",IF(IF(OR(DATE($B$3,8,4)&gt;EOMONTH(DATE($B$3,8,1),0),NETWORKDAYS.INTL(DATE($B$3,8,4),DATE($B$3,8,4),1,'Non-working days'!$A$6:$A$45)=0),"",IF(COUNTIFS('Leave log'!$A$7:$A$306,Employees!$A$9,'Leave log'!$B$7:$B$306,"&lt;="&amp;DATE($B$3,8,4),'Leave log'!$C$7:$C$306,"&gt;="&amp;DATE($B$3,8,4),'Leave log'!$F$7:$F$306,"Approved")&gt;0,"A",""))="A","A",IF(OR(DATE($B$3,8,4)&gt;EOMONTH(DATE($B$3,8,1),0),NETWORKDAYS.INTL(DATE($B$3,8,4),DATE($B$3,8,4),1,'Non-working days'!$A$6:$A$45)=0),"",IF(COUNTIFS('Leave log'!$A$7:$A$306,Employees!$A$9,'Leave log'!$B$7:$B$306,"&lt;="&amp;DATE($B$3,8,4),'Leave log'!$C$7:$C$306,"&gt;="&amp;DATE($B$3,8,4),'Leave log'!$F$7:$F$306,"Pending")&gt;0,"P",""))))</f>
        <v/>
      </c>
      <c r="F248" s="23" t="str">
        <f>IF(A248="","",IF(IF(OR(DATE($B$3,8,5)&gt;EOMONTH(DATE($B$3,8,1),0),NETWORKDAYS.INTL(DATE($B$3,8,5),DATE($B$3,8,5),1,'Non-working days'!$A$6:$A$45)=0),"",IF(COUNTIFS('Leave log'!$A$7:$A$306,Employees!$A$9,'Leave log'!$B$7:$B$306,"&lt;="&amp;DATE($B$3,8,5),'Leave log'!$C$7:$C$306,"&gt;="&amp;DATE($B$3,8,5),'Leave log'!$F$7:$F$306,"Approved")&gt;0,"A",""))="A","A",IF(OR(DATE($B$3,8,5)&gt;EOMONTH(DATE($B$3,8,1),0),NETWORKDAYS.INTL(DATE($B$3,8,5),DATE($B$3,8,5),1,'Non-working days'!$A$6:$A$45)=0),"",IF(COUNTIFS('Leave log'!$A$7:$A$306,Employees!$A$9,'Leave log'!$B$7:$B$306,"&lt;="&amp;DATE($B$3,8,5),'Leave log'!$C$7:$C$306,"&gt;="&amp;DATE($B$3,8,5),'Leave log'!$F$7:$F$306,"Pending")&gt;0,"P",""))))</f>
        <v/>
      </c>
      <c r="G248" s="23" t="str">
        <f>IF(A248="","",IF(IF(OR(DATE($B$3,8,6)&gt;EOMONTH(DATE($B$3,8,1),0),NETWORKDAYS.INTL(DATE($B$3,8,6),DATE($B$3,8,6),1,'Non-working days'!$A$6:$A$45)=0),"",IF(COUNTIFS('Leave log'!$A$7:$A$306,Employees!$A$9,'Leave log'!$B$7:$B$306,"&lt;="&amp;DATE($B$3,8,6),'Leave log'!$C$7:$C$306,"&gt;="&amp;DATE($B$3,8,6),'Leave log'!$F$7:$F$306,"Approved")&gt;0,"A",""))="A","A",IF(OR(DATE($B$3,8,6)&gt;EOMONTH(DATE($B$3,8,1),0),NETWORKDAYS.INTL(DATE($B$3,8,6),DATE($B$3,8,6),1,'Non-working days'!$A$6:$A$45)=0),"",IF(COUNTIFS('Leave log'!$A$7:$A$306,Employees!$A$9,'Leave log'!$B$7:$B$306,"&lt;="&amp;DATE($B$3,8,6),'Leave log'!$C$7:$C$306,"&gt;="&amp;DATE($B$3,8,6),'Leave log'!$F$7:$F$306,"Pending")&gt;0,"P",""))))</f>
        <v/>
      </c>
      <c r="H248" s="23" t="str">
        <f>IF(A248="","",IF(IF(OR(DATE($B$3,8,7)&gt;EOMONTH(DATE($B$3,8,1),0),NETWORKDAYS.INTL(DATE($B$3,8,7),DATE($B$3,8,7),1,'Non-working days'!$A$6:$A$45)=0),"",IF(COUNTIFS('Leave log'!$A$7:$A$306,Employees!$A$9,'Leave log'!$B$7:$B$306,"&lt;="&amp;DATE($B$3,8,7),'Leave log'!$C$7:$C$306,"&gt;="&amp;DATE($B$3,8,7),'Leave log'!$F$7:$F$306,"Approved")&gt;0,"A",""))="A","A",IF(OR(DATE($B$3,8,7)&gt;EOMONTH(DATE($B$3,8,1),0),NETWORKDAYS.INTL(DATE($B$3,8,7),DATE($B$3,8,7),1,'Non-working days'!$A$6:$A$45)=0),"",IF(COUNTIFS('Leave log'!$A$7:$A$306,Employees!$A$9,'Leave log'!$B$7:$B$306,"&lt;="&amp;DATE($B$3,8,7),'Leave log'!$C$7:$C$306,"&gt;="&amp;DATE($B$3,8,7),'Leave log'!$F$7:$F$306,"Pending")&gt;0,"P",""))))</f>
        <v/>
      </c>
      <c r="I248" s="23" t="str">
        <f>IF(A248="","",IF(IF(OR(DATE($B$3,8,8)&gt;EOMONTH(DATE($B$3,8,1),0),NETWORKDAYS.INTL(DATE($B$3,8,8),DATE($B$3,8,8),1,'Non-working days'!$A$6:$A$45)=0),"",IF(COUNTIFS('Leave log'!$A$7:$A$306,Employees!$A$9,'Leave log'!$B$7:$B$306,"&lt;="&amp;DATE($B$3,8,8),'Leave log'!$C$7:$C$306,"&gt;="&amp;DATE($B$3,8,8),'Leave log'!$F$7:$F$306,"Approved")&gt;0,"A",""))="A","A",IF(OR(DATE($B$3,8,8)&gt;EOMONTH(DATE($B$3,8,1),0),NETWORKDAYS.INTL(DATE($B$3,8,8),DATE($B$3,8,8),1,'Non-working days'!$A$6:$A$45)=0),"",IF(COUNTIFS('Leave log'!$A$7:$A$306,Employees!$A$9,'Leave log'!$B$7:$B$306,"&lt;="&amp;DATE($B$3,8,8),'Leave log'!$C$7:$C$306,"&gt;="&amp;DATE($B$3,8,8),'Leave log'!$F$7:$F$306,"Pending")&gt;0,"P",""))))</f>
        <v/>
      </c>
      <c r="J248" s="23" t="str">
        <f>IF(A248="","",IF(IF(OR(DATE($B$3,8,9)&gt;EOMONTH(DATE($B$3,8,1),0),NETWORKDAYS.INTL(DATE($B$3,8,9),DATE($B$3,8,9),1,'Non-working days'!$A$6:$A$45)=0),"",IF(COUNTIFS('Leave log'!$A$7:$A$306,Employees!$A$9,'Leave log'!$B$7:$B$306,"&lt;="&amp;DATE($B$3,8,9),'Leave log'!$C$7:$C$306,"&gt;="&amp;DATE($B$3,8,9),'Leave log'!$F$7:$F$306,"Approved")&gt;0,"A",""))="A","A",IF(OR(DATE($B$3,8,9)&gt;EOMONTH(DATE($B$3,8,1),0),NETWORKDAYS.INTL(DATE($B$3,8,9),DATE($B$3,8,9),1,'Non-working days'!$A$6:$A$45)=0),"",IF(COUNTIFS('Leave log'!$A$7:$A$306,Employees!$A$9,'Leave log'!$B$7:$B$306,"&lt;="&amp;DATE($B$3,8,9),'Leave log'!$C$7:$C$306,"&gt;="&amp;DATE($B$3,8,9),'Leave log'!$F$7:$F$306,"Pending")&gt;0,"P",""))))</f>
        <v/>
      </c>
      <c r="K248" s="23" t="str">
        <f>IF(A248="","",IF(IF(OR(DATE($B$3,8,10)&gt;EOMONTH(DATE($B$3,8,1),0),NETWORKDAYS.INTL(DATE($B$3,8,10),DATE($B$3,8,10),1,'Non-working days'!$A$6:$A$45)=0),"",IF(COUNTIFS('Leave log'!$A$7:$A$306,Employees!$A$9,'Leave log'!$B$7:$B$306,"&lt;="&amp;DATE($B$3,8,10),'Leave log'!$C$7:$C$306,"&gt;="&amp;DATE($B$3,8,10),'Leave log'!$F$7:$F$306,"Approved")&gt;0,"A",""))="A","A",IF(OR(DATE($B$3,8,10)&gt;EOMONTH(DATE($B$3,8,1),0),NETWORKDAYS.INTL(DATE($B$3,8,10),DATE($B$3,8,10),1,'Non-working days'!$A$6:$A$45)=0),"",IF(COUNTIFS('Leave log'!$A$7:$A$306,Employees!$A$9,'Leave log'!$B$7:$B$306,"&lt;="&amp;DATE($B$3,8,10),'Leave log'!$C$7:$C$306,"&gt;="&amp;DATE($B$3,8,10),'Leave log'!$F$7:$F$306,"Pending")&gt;0,"P",""))))</f>
        <v/>
      </c>
      <c r="L248" s="23" t="str">
        <f>IF(A248="","",IF(IF(OR(DATE($B$3,8,11)&gt;EOMONTH(DATE($B$3,8,1),0),NETWORKDAYS.INTL(DATE($B$3,8,11),DATE($B$3,8,11),1,'Non-working days'!$A$6:$A$45)=0),"",IF(COUNTIFS('Leave log'!$A$7:$A$306,Employees!$A$9,'Leave log'!$B$7:$B$306,"&lt;="&amp;DATE($B$3,8,11),'Leave log'!$C$7:$C$306,"&gt;="&amp;DATE($B$3,8,11),'Leave log'!$F$7:$F$306,"Approved")&gt;0,"A",""))="A","A",IF(OR(DATE($B$3,8,11)&gt;EOMONTH(DATE($B$3,8,1),0),NETWORKDAYS.INTL(DATE($B$3,8,11),DATE($B$3,8,11),1,'Non-working days'!$A$6:$A$45)=0),"",IF(COUNTIFS('Leave log'!$A$7:$A$306,Employees!$A$9,'Leave log'!$B$7:$B$306,"&lt;="&amp;DATE($B$3,8,11),'Leave log'!$C$7:$C$306,"&gt;="&amp;DATE($B$3,8,11),'Leave log'!$F$7:$F$306,"Pending")&gt;0,"P",""))))</f>
        <v/>
      </c>
      <c r="M248" s="23" t="str">
        <f>IF(A248="","",IF(IF(OR(DATE($B$3,8,12)&gt;EOMONTH(DATE($B$3,8,1),0),NETWORKDAYS.INTL(DATE($B$3,8,12),DATE($B$3,8,12),1,'Non-working days'!$A$6:$A$45)=0),"",IF(COUNTIFS('Leave log'!$A$7:$A$306,Employees!$A$9,'Leave log'!$B$7:$B$306,"&lt;="&amp;DATE($B$3,8,12),'Leave log'!$C$7:$C$306,"&gt;="&amp;DATE($B$3,8,12),'Leave log'!$F$7:$F$306,"Approved")&gt;0,"A",""))="A","A",IF(OR(DATE($B$3,8,12)&gt;EOMONTH(DATE($B$3,8,1),0),NETWORKDAYS.INTL(DATE($B$3,8,12),DATE($B$3,8,12),1,'Non-working days'!$A$6:$A$45)=0),"",IF(COUNTIFS('Leave log'!$A$7:$A$306,Employees!$A$9,'Leave log'!$B$7:$B$306,"&lt;="&amp;DATE($B$3,8,12),'Leave log'!$C$7:$C$306,"&gt;="&amp;DATE($B$3,8,12),'Leave log'!$F$7:$F$306,"Pending")&gt;0,"P",""))))</f>
        <v/>
      </c>
      <c r="N248" s="23" t="str">
        <f>IF(A248="","",IF(IF(OR(DATE($B$3,8,13)&gt;EOMONTH(DATE($B$3,8,1),0),NETWORKDAYS.INTL(DATE($B$3,8,13),DATE($B$3,8,13),1,'Non-working days'!$A$6:$A$45)=0),"",IF(COUNTIFS('Leave log'!$A$7:$A$306,Employees!$A$9,'Leave log'!$B$7:$B$306,"&lt;="&amp;DATE($B$3,8,13),'Leave log'!$C$7:$C$306,"&gt;="&amp;DATE($B$3,8,13),'Leave log'!$F$7:$F$306,"Approved")&gt;0,"A",""))="A","A",IF(OR(DATE($B$3,8,13)&gt;EOMONTH(DATE($B$3,8,1),0),NETWORKDAYS.INTL(DATE($B$3,8,13),DATE($B$3,8,13),1,'Non-working days'!$A$6:$A$45)=0),"",IF(COUNTIFS('Leave log'!$A$7:$A$306,Employees!$A$9,'Leave log'!$B$7:$B$306,"&lt;="&amp;DATE($B$3,8,13),'Leave log'!$C$7:$C$306,"&gt;="&amp;DATE($B$3,8,13),'Leave log'!$F$7:$F$306,"Pending")&gt;0,"P",""))))</f>
        <v/>
      </c>
      <c r="O248" s="23" t="str">
        <f>IF(A248="","",IF(IF(OR(DATE($B$3,8,14)&gt;EOMONTH(DATE($B$3,8,1),0),NETWORKDAYS.INTL(DATE($B$3,8,14),DATE($B$3,8,14),1,'Non-working days'!$A$6:$A$45)=0),"",IF(COUNTIFS('Leave log'!$A$7:$A$306,Employees!$A$9,'Leave log'!$B$7:$B$306,"&lt;="&amp;DATE($B$3,8,14),'Leave log'!$C$7:$C$306,"&gt;="&amp;DATE($B$3,8,14),'Leave log'!$F$7:$F$306,"Approved")&gt;0,"A",""))="A","A",IF(OR(DATE($B$3,8,14)&gt;EOMONTH(DATE($B$3,8,1),0),NETWORKDAYS.INTL(DATE($B$3,8,14),DATE($B$3,8,14),1,'Non-working days'!$A$6:$A$45)=0),"",IF(COUNTIFS('Leave log'!$A$7:$A$306,Employees!$A$9,'Leave log'!$B$7:$B$306,"&lt;="&amp;DATE($B$3,8,14),'Leave log'!$C$7:$C$306,"&gt;="&amp;DATE($B$3,8,14),'Leave log'!$F$7:$F$306,"Pending")&gt;0,"P",""))))</f>
        <v/>
      </c>
      <c r="P248" s="23" t="str">
        <f>IF(A248="","",IF(IF(OR(DATE($B$3,8,15)&gt;EOMONTH(DATE($B$3,8,1),0),NETWORKDAYS.INTL(DATE($B$3,8,15),DATE($B$3,8,15),1,'Non-working days'!$A$6:$A$45)=0),"",IF(COUNTIFS('Leave log'!$A$7:$A$306,Employees!$A$9,'Leave log'!$B$7:$B$306,"&lt;="&amp;DATE($B$3,8,15),'Leave log'!$C$7:$C$306,"&gt;="&amp;DATE($B$3,8,15),'Leave log'!$F$7:$F$306,"Approved")&gt;0,"A",""))="A","A",IF(OR(DATE($B$3,8,15)&gt;EOMONTH(DATE($B$3,8,1),0),NETWORKDAYS.INTL(DATE($B$3,8,15),DATE($B$3,8,15),1,'Non-working days'!$A$6:$A$45)=0),"",IF(COUNTIFS('Leave log'!$A$7:$A$306,Employees!$A$9,'Leave log'!$B$7:$B$306,"&lt;="&amp;DATE($B$3,8,15),'Leave log'!$C$7:$C$306,"&gt;="&amp;DATE($B$3,8,15),'Leave log'!$F$7:$F$306,"Pending")&gt;0,"P",""))))</f>
        <v/>
      </c>
      <c r="Q248" s="23" t="str">
        <f>IF(A248="","",IF(IF(OR(DATE($B$3,8,16)&gt;EOMONTH(DATE($B$3,8,1),0),NETWORKDAYS.INTL(DATE($B$3,8,16),DATE($B$3,8,16),1,'Non-working days'!$A$6:$A$45)=0),"",IF(COUNTIFS('Leave log'!$A$7:$A$306,Employees!$A$9,'Leave log'!$B$7:$B$306,"&lt;="&amp;DATE($B$3,8,16),'Leave log'!$C$7:$C$306,"&gt;="&amp;DATE($B$3,8,16),'Leave log'!$F$7:$F$306,"Approved")&gt;0,"A",""))="A","A",IF(OR(DATE($B$3,8,16)&gt;EOMONTH(DATE($B$3,8,1),0),NETWORKDAYS.INTL(DATE($B$3,8,16),DATE($B$3,8,16),1,'Non-working days'!$A$6:$A$45)=0),"",IF(COUNTIFS('Leave log'!$A$7:$A$306,Employees!$A$9,'Leave log'!$B$7:$B$306,"&lt;="&amp;DATE($B$3,8,16),'Leave log'!$C$7:$C$306,"&gt;="&amp;DATE($B$3,8,16),'Leave log'!$F$7:$F$306,"Pending")&gt;0,"P",""))))</f>
        <v/>
      </c>
      <c r="R248" s="23" t="str">
        <f>IF(A248="","",IF(IF(OR(DATE($B$3,8,17)&gt;EOMONTH(DATE($B$3,8,1),0),NETWORKDAYS.INTL(DATE($B$3,8,17),DATE($B$3,8,17),1,'Non-working days'!$A$6:$A$45)=0),"",IF(COUNTIFS('Leave log'!$A$7:$A$306,Employees!$A$9,'Leave log'!$B$7:$B$306,"&lt;="&amp;DATE($B$3,8,17),'Leave log'!$C$7:$C$306,"&gt;="&amp;DATE($B$3,8,17),'Leave log'!$F$7:$F$306,"Approved")&gt;0,"A",""))="A","A",IF(OR(DATE($B$3,8,17)&gt;EOMONTH(DATE($B$3,8,1),0),NETWORKDAYS.INTL(DATE($B$3,8,17),DATE($B$3,8,17),1,'Non-working days'!$A$6:$A$45)=0),"",IF(COUNTIFS('Leave log'!$A$7:$A$306,Employees!$A$9,'Leave log'!$B$7:$B$306,"&lt;="&amp;DATE($B$3,8,17),'Leave log'!$C$7:$C$306,"&gt;="&amp;DATE($B$3,8,17),'Leave log'!$F$7:$F$306,"Pending")&gt;0,"P",""))))</f>
        <v/>
      </c>
      <c r="S248" s="23" t="str">
        <f>IF(A248="","",IF(IF(OR(DATE($B$3,8,18)&gt;EOMONTH(DATE($B$3,8,1),0),NETWORKDAYS.INTL(DATE($B$3,8,18),DATE($B$3,8,18),1,'Non-working days'!$A$6:$A$45)=0),"",IF(COUNTIFS('Leave log'!$A$7:$A$306,Employees!$A$9,'Leave log'!$B$7:$B$306,"&lt;="&amp;DATE($B$3,8,18),'Leave log'!$C$7:$C$306,"&gt;="&amp;DATE($B$3,8,18),'Leave log'!$F$7:$F$306,"Approved")&gt;0,"A",""))="A","A",IF(OR(DATE($B$3,8,18)&gt;EOMONTH(DATE($B$3,8,1),0),NETWORKDAYS.INTL(DATE($B$3,8,18),DATE($B$3,8,18),1,'Non-working days'!$A$6:$A$45)=0),"",IF(COUNTIFS('Leave log'!$A$7:$A$306,Employees!$A$9,'Leave log'!$B$7:$B$306,"&lt;="&amp;DATE($B$3,8,18),'Leave log'!$C$7:$C$306,"&gt;="&amp;DATE($B$3,8,18),'Leave log'!$F$7:$F$306,"Pending")&gt;0,"P",""))))</f>
        <v/>
      </c>
      <c r="T248" s="23" t="str">
        <f>IF(A248="","",IF(IF(OR(DATE($B$3,8,19)&gt;EOMONTH(DATE($B$3,8,1),0),NETWORKDAYS.INTL(DATE($B$3,8,19),DATE($B$3,8,19),1,'Non-working days'!$A$6:$A$45)=0),"",IF(COUNTIFS('Leave log'!$A$7:$A$306,Employees!$A$9,'Leave log'!$B$7:$B$306,"&lt;="&amp;DATE($B$3,8,19),'Leave log'!$C$7:$C$306,"&gt;="&amp;DATE($B$3,8,19),'Leave log'!$F$7:$F$306,"Approved")&gt;0,"A",""))="A","A",IF(OR(DATE($B$3,8,19)&gt;EOMONTH(DATE($B$3,8,1),0),NETWORKDAYS.INTL(DATE($B$3,8,19),DATE($B$3,8,19),1,'Non-working days'!$A$6:$A$45)=0),"",IF(COUNTIFS('Leave log'!$A$7:$A$306,Employees!$A$9,'Leave log'!$B$7:$B$306,"&lt;="&amp;DATE($B$3,8,19),'Leave log'!$C$7:$C$306,"&gt;="&amp;DATE($B$3,8,19),'Leave log'!$F$7:$F$306,"Pending")&gt;0,"P",""))))</f>
        <v/>
      </c>
      <c r="U248" s="23" t="str">
        <f>IF(A248="","",IF(IF(OR(DATE($B$3,8,20)&gt;EOMONTH(DATE($B$3,8,1),0),NETWORKDAYS.INTL(DATE($B$3,8,20),DATE($B$3,8,20),1,'Non-working days'!$A$6:$A$45)=0),"",IF(COUNTIFS('Leave log'!$A$7:$A$306,Employees!$A$9,'Leave log'!$B$7:$B$306,"&lt;="&amp;DATE($B$3,8,20),'Leave log'!$C$7:$C$306,"&gt;="&amp;DATE($B$3,8,20),'Leave log'!$F$7:$F$306,"Approved")&gt;0,"A",""))="A","A",IF(OR(DATE($B$3,8,20)&gt;EOMONTH(DATE($B$3,8,1),0),NETWORKDAYS.INTL(DATE($B$3,8,20),DATE($B$3,8,20),1,'Non-working days'!$A$6:$A$45)=0),"",IF(COUNTIFS('Leave log'!$A$7:$A$306,Employees!$A$9,'Leave log'!$B$7:$B$306,"&lt;="&amp;DATE($B$3,8,20),'Leave log'!$C$7:$C$306,"&gt;="&amp;DATE($B$3,8,20),'Leave log'!$F$7:$F$306,"Pending")&gt;0,"P",""))))</f>
        <v/>
      </c>
      <c r="V248" s="23" t="str">
        <f>IF(A248="","",IF(IF(OR(DATE($B$3,8,21)&gt;EOMONTH(DATE($B$3,8,1),0),NETWORKDAYS.INTL(DATE($B$3,8,21),DATE($B$3,8,21),1,'Non-working days'!$A$6:$A$45)=0),"",IF(COUNTIFS('Leave log'!$A$7:$A$306,Employees!$A$9,'Leave log'!$B$7:$B$306,"&lt;="&amp;DATE($B$3,8,21),'Leave log'!$C$7:$C$306,"&gt;="&amp;DATE($B$3,8,21),'Leave log'!$F$7:$F$306,"Approved")&gt;0,"A",""))="A","A",IF(OR(DATE($B$3,8,21)&gt;EOMONTH(DATE($B$3,8,1),0),NETWORKDAYS.INTL(DATE($B$3,8,21),DATE($B$3,8,21),1,'Non-working days'!$A$6:$A$45)=0),"",IF(COUNTIFS('Leave log'!$A$7:$A$306,Employees!$A$9,'Leave log'!$B$7:$B$306,"&lt;="&amp;DATE($B$3,8,21),'Leave log'!$C$7:$C$306,"&gt;="&amp;DATE($B$3,8,21),'Leave log'!$F$7:$F$306,"Pending")&gt;0,"P",""))))</f>
        <v/>
      </c>
      <c r="W248" s="23" t="str">
        <f>IF(A248="","",IF(IF(OR(DATE($B$3,8,22)&gt;EOMONTH(DATE($B$3,8,1),0),NETWORKDAYS.INTL(DATE($B$3,8,22),DATE($B$3,8,22),1,'Non-working days'!$A$6:$A$45)=0),"",IF(COUNTIFS('Leave log'!$A$7:$A$306,Employees!$A$9,'Leave log'!$B$7:$B$306,"&lt;="&amp;DATE($B$3,8,22),'Leave log'!$C$7:$C$306,"&gt;="&amp;DATE($B$3,8,22),'Leave log'!$F$7:$F$306,"Approved")&gt;0,"A",""))="A","A",IF(OR(DATE($B$3,8,22)&gt;EOMONTH(DATE($B$3,8,1),0),NETWORKDAYS.INTL(DATE($B$3,8,22),DATE($B$3,8,22),1,'Non-working days'!$A$6:$A$45)=0),"",IF(COUNTIFS('Leave log'!$A$7:$A$306,Employees!$A$9,'Leave log'!$B$7:$B$306,"&lt;="&amp;DATE($B$3,8,22),'Leave log'!$C$7:$C$306,"&gt;="&amp;DATE($B$3,8,22),'Leave log'!$F$7:$F$306,"Pending")&gt;0,"P",""))))</f>
        <v/>
      </c>
      <c r="X248" s="23" t="str">
        <f>IF(A248="","",IF(IF(OR(DATE($B$3,8,23)&gt;EOMONTH(DATE($B$3,8,1),0),NETWORKDAYS.INTL(DATE($B$3,8,23),DATE($B$3,8,23),1,'Non-working days'!$A$6:$A$45)=0),"",IF(COUNTIFS('Leave log'!$A$7:$A$306,Employees!$A$9,'Leave log'!$B$7:$B$306,"&lt;="&amp;DATE($B$3,8,23),'Leave log'!$C$7:$C$306,"&gt;="&amp;DATE($B$3,8,23),'Leave log'!$F$7:$F$306,"Approved")&gt;0,"A",""))="A","A",IF(OR(DATE($B$3,8,23)&gt;EOMONTH(DATE($B$3,8,1),0),NETWORKDAYS.INTL(DATE($B$3,8,23),DATE($B$3,8,23),1,'Non-working days'!$A$6:$A$45)=0),"",IF(COUNTIFS('Leave log'!$A$7:$A$306,Employees!$A$9,'Leave log'!$B$7:$B$306,"&lt;="&amp;DATE($B$3,8,23),'Leave log'!$C$7:$C$306,"&gt;="&amp;DATE($B$3,8,23),'Leave log'!$F$7:$F$306,"Pending")&gt;0,"P",""))))</f>
        <v/>
      </c>
      <c r="Y248" s="23" t="str">
        <f>IF(A248="","",IF(IF(OR(DATE($B$3,8,24)&gt;EOMONTH(DATE($B$3,8,1),0),NETWORKDAYS.INTL(DATE($B$3,8,24),DATE($B$3,8,24),1,'Non-working days'!$A$6:$A$45)=0),"",IF(COUNTIFS('Leave log'!$A$7:$A$306,Employees!$A$9,'Leave log'!$B$7:$B$306,"&lt;="&amp;DATE($B$3,8,24),'Leave log'!$C$7:$C$306,"&gt;="&amp;DATE($B$3,8,24),'Leave log'!$F$7:$F$306,"Approved")&gt;0,"A",""))="A","A",IF(OR(DATE($B$3,8,24)&gt;EOMONTH(DATE($B$3,8,1),0),NETWORKDAYS.INTL(DATE($B$3,8,24),DATE($B$3,8,24),1,'Non-working days'!$A$6:$A$45)=0),"",IF(COUNTIFS('Leave log'!$A$7:$A$306,Employees!$A$9,'Leave log'!$B$7:$B$306,"&lt;="&amp;DATE($B$3,8,24),'Leave log'!$C$7:$C$306,"&gt;="&amp;DATE($B$3,8,24),'Leave log'!$F$7:$F$306,"Pending")&gt;0,"P",""))))</f>
        <v/>
      </c>
      <c r="Z248" s="23" t="str">
        <f>IF(A248="","",IF(IF(OR(DATE($B$3,8,25)&gt;EOMONTH(DATE($B$3,8,1),0),NETWORKDAYS.INTL(DATE($B$3,8,25),DATE($B$3,8,25),1,'Non-working days'!$A$6:$A$45)=0),"",IF(COUNTIFS('Leave log'!$A$7:$A$306,Employees!$A$9,'Leave log'!$B$7:$B$306,"&lt;="&amp;DATE($B$3,8,25),'Leave log'!$C$7:$C$306,"&gt;="&amp;DATE($B$3,8,25),'Leave log'!$F$7:$F$306,"Approved")&gt;0,"A",""))="A","A",IF(OR(DATE($B$3,8,25)&gt;EOMONTH(DATE($B$3,8,1),0),NETWORKDAYS.INTL(DATE($B$3,8,25),DATE($B$3,8,25),1,'Non-working days'!$A$6:$A$45)=0),"",IF(COUNTIFS('Leave log'!$A$7:$A$306,Employees!$A$9,'Leave log'!$B$7:$B$306,"&lt;="&amp;DATE($B$3,8,25),'Leave log'!$C$7:$C$306,"&gt;="&amp;DATE($B$3,8,25),'Leave log'!$F$7:$F$306,"Pending")&gt;0,"P",""))))</f>
        <v/>
      </c>
      <c r="AA248" s="23" t="str">
        <f>IF(A248="","",IF(IF(OR(DATE($B$3,8,26)&gt;EOMONTH(DATE($B$3,8,1),0),NETWORKDAYS.INTL(DATE($B$3,8,26),DATE($B$3,8,26),1,'Non-working days'!$A$6:$A$45)=0),"",IF(COUNTIFS('Leave log'!$A$7:$A$306,Employees!$A$9,'Leave log'!$B$7:$B$306,"&lt;="&amp;DATE($B$3,8,26),'Leave log'!$C$7:$C$306,"&gt;="&amp;DATE($B$3,8,26),'Leave log'!$F$7:$F$306,"Approved")&gt;0,"A",""))="A","A",IF(OR(DATE($B$3,8,26)&gt;EOMONTH(DATE($B$3,8,1),0),NETWORKDAYS.INTL(DATE($B$3,8,26),DATE($B$3,8,26),1,'Non-working days'!$A$6:$A$45)=0),"",IF(COUNTIFS('Leave log'!$A$7:$A$306,Employees!$A$9,'Leave log'!$B$7:$B$306,"&lt;="&amp;DATE($B$3,8,26),'Leave log'!$C$7:$C$306,"&gt;="&amp;DATE($B$3,8,26),'Leave log'!$F$7:$F$306,"Pending")&gt;0,"P",""))))</f>
        <v/>
      </c>
      <c r="AB248" s="23" t="str">
        <f>IF(A248="","",IF(IF(OR(DATE($B$3,8,27)&gt;EOMONTH(DATE($B$3,8,1),0),NETWORKDAYS.INTL(DATE($B$3,8,27),DATE($B$3,8,27),1,'Non-working days'!$A$6:$A$45)=0),"",IF(COUNTIFS('Leave log'!$A$7:$A$306,Employees!$A$9,'Leave log'!$B$7:$B$306,"&lt;="&amp;DATE($B$3,8,27),'Leave log'!$C$7:$C$306,"&gt;="&amp;DATE($B$3,8,27),'Leave log'!$F$7:$F$306,"Approved")&gt;0,"A",""))="A","A",IF(OR(DATE($B$3,8,27)&gt;EOMONTH(DATE($B$3,8,1),0),NETWORKDAYS.INTL(DATE($B$3,8,27),DATE($B$3,8,27),1,'Non-working days'!$A$6:$A$45)=0),"",IF(COUNTIFS('Leave log'!$A$7:$A$306,Employees!$A$9,'Leave log'!$B$7:$B$306,"&lt;="&amp;DATE($B$3,8,27),'Leave log'!$C$7:$C$306,"&gt;="&amp;DATE($B$3,8,27),'Leave log'!$F$7:$F$306,"Pending")&gt;0,"P",""))))</f>
        <v/>
      </c>
      <c r="AC248" s="23" t="str">
        <f>IF(A248="","",IF(IF(OR(DATE($B$3,8,28)&gt;EOMONTH(DATE($B$3,8,1),0),NETWORKDAYS.INTL(DATE($B$3,8,28),DATE($B$3,8,28),1,'Non-working days'!$A$6:$A$45)=0),"",IF(COUNTIFS('Leave log'!$A$7:$A$306,Employees!$A$9,'Leave log'!$B$7:$B$306,"&lt;="&amp;DATE($B$3,8,28),'Leave log'!$C$7:$C$306,"&gt;="&amp;DATE($B$3,8,28),'Leave log'!$F$7:$F$306,"Approved")&gt;0,"A",""))="A","A",IF(OR(DATE($B$3,8,28)&gt;EOMONTH(DATE($B$3,8,1),0),NETWORKDAYS.INTL(DATE($B$3,8,28),DATE($B$3,8,28),1,'Non-working days'!$A$6:$A$45)=0),"",IF(COUNTIFS('Leave log'!$A$7:$A$306,Employees!$A$9,'Leave log'!$B$7:$B$306,"&lt;="&amp;DATE($B$3,8,28),'Leave log'!$C$7:$C$306,"&gt;="&amp;DATE($B$3,8,28),'Leave log'!$F$7:$F$306,"Pending")&gt;0,"P",""))))</f>
        <v/>
      </c>
      <c r="AD248" s="23" t="str">
        <f>IF(A248="","",IF(IF(OR(DATE($B$3,8,29)&gt;EOMONTH(DATE($B$3,8,1),0),NETWORKDAYS.INTL(DATE($B$3,8,29),DATE($B$3,8,29),1,'Non-working days'!$A$6:$A$45)=0),"",IF(COUNTIFS('Leave log'!$A$7:$A$306,Employees!$A$9,'Leave log'!$B$7:$B$306,"&lt;="&amp;DATE($B$3,8,29),'Leave log'!$C$7:$C$306,"&gt;="&amp;DATE($B$3,8,29),'Leave log'!$F$7:$F$306,"Approved")&gt;0,"A",""))="A","A",IF(OR(DATE($B$3,8,29)&gt;EOMONTH(DATE($B$3,8,1),0),NETWORKDAYS.INTL(DATE($B$3,8,29),DATE($B$3,8,29),1,'Non-working days'!$A$6:$A$45)=0),"",IF(COUNTIFS('Leave log'!$A$7:$A$306,Employees!$A$9,'Leave log'!$B$7:$B$306,"&lt;="&amp;DATE($B$3,8,29),'Leave log'!$C$7:$C$306,"&gt;="&amp;DATE($B$3,8,29),'Leave log'!$F$7:$F$306,"Pending")&gt;0,"P",""))))</f>
        <v/>
      </c>
      <c r="AE248" s="23" t="str">
        <f>IF(A248="","",IF(IF(OR(DATE($B$3,8,30)&gt;EOMONTH(DATE($B$3,8,1),0),NETWORKDAYS.INTL(DATE($B$3,8,30),DATE($B$3,8,30),1,'Non-working days'!$A$6:$A$45)=0),"",IF(COUNTIFS('Leave log'!$A$7:$A$306,Employees!$A$9,'Leave log'!$B$7:$B$306,"&lt;="&amp;DATE($B$3,8,30),'Leave log'!$C$7:$C$306,"&gt;="&amp;DATE($B$3,8,30),'Leave log'!$F$7:$F$306,"Approved")&gt;0,"A",""))="A","A",IF(OR(DATE($B$3,8,30)&gt;EOMONTH(DATE($B$3,8,1),0),NETWORKDAYS.INTL(DATE($B$3,8,30),DATE($B$3,8,30),1,'Non-working days'!$A$6:$A$45)=0),"",IF(COUNTIFS('Leave log'!$A$7:$A$306,Employees!$A$9,'Leave log'!$B$7:$B$306,"&lt;="&amp;DATE($B$3,8,30),'Leave log'!$C$7:$C$306,"&gt;="&amp;DATE($B$3,8,30),'Leave log'!$F$7:$F$306,"Pending")&gt;0,"P",""))))</f>
        <v/>
      </c>
      <c r="AF248" s="23" t="str">
        <f>IF(A248="","",IF(IF(OR(DATE($B$3,8,31)&gt;EOMONTH(DATE($B$3,8,1),0),NETWORKDAYS.INTL(DATE($B$3,8,31),DATE($B$3,8,31),1,'Non-working days'!$A$6:$A$45)=0),"",IF(COUNTIFS('Leave log'!$A$7:$A$306,Employees!$A$9,'Leave log'!$B$7:$B$306,"&lt;="&amp;DATE($B$3,8,31),'Leave log'!$C$7:$C$306,"&gt;="&amp;DATE($B$3,8,31),'Leave log'!$F$7:$F$306,"Approved")&gt;0,"A",""))="A","A",IF(OR(DATE($B$3,8,31)&gt;EOMONTH(DATE($B$3,8,1),0),NETWORKDAYS.INTL(DATE($B$3,8,31),DATE($B$3,8,31),1,'Non-working days'!$A$6:$A$45)=0),"",IF(COUNTIFS('Leave log'!$A$7:$A$306,Employees!$A$9,'Leave log'!$B$7:$B$306,"&lt;="&amp;DATE($B$3,8,31),'Leave log'!$C$7:$C$306,"&gt;="&amp;DATE($B$3,8,31),'Leave log'!$F$7:$F$306,"Pending")&gt;0,"P",""))))</f>
        <v/>
      </c>
    </row>
    <row r="249" spans="1:32" ht="18" customHeight="1" x14ac:dyDescent="0.3">
      <c r="A249" s="22" t="str">
        <f>IF(Employees!F10="Yes",Employees!B10,"")</f>
        <v/>
      </c>
      <c r="B249" s="23" t="str">
        <f>IF(A249="","",IF(IF(OR(DATE($B$3,8,1)&gt;EOMONTH(DATE($B$3,8,1),0),NETWORKDAYS.INTL(DATE($B$3,8,1),DATE($B$3,8,1),1,'Non-working days'!$A$6:$A$45)=0),"",IF(COUNTIFS('Leave log'!$A$7:$A$306,Employees!$A$10,'Leave log'!$B$7:$B$306,"&lt;="&amp;DATE($B$3,8,1),'Leave log'!$C$7:$C$306,"&gt;="&amp;DATE($B$3,8,1),'Leave log'!$F$7:$F$306,"Approved")&gt;0,"A",""))="A","A",IF(OR(DATE($B$3,8,1)&gt;EOMONTH(DATE($B$3,8,1),0),NETWORKDAYS.INTL(DATE($B$3,8,1),DATE($B$3,8,1),1,'Non-working days'!$A$6:$A$45)=0),"",IF(COUNTIFS('Leave log'!$A$7:$A$306,Employees!$A$10,'Leave log'!$B$7:$B$306,"&lt;="&amp;DATE($B$3,8,1),'Leave log'!$C$7:$C$306,"&gt;="&amp;DATE($B$3,8,1),'Leave log'!$F$7:$F$306,"Pending")&gt;0,"P",""))))</f>
        <v/>
      </c>
      <c r="C249" s="23" t="str">
        <f>IF(A249="","",IF(IF(OR(DATE($B$3,8,2)&gt;EOMONTH(DATE($B$3,8,1),0),NETWORKDAYS.INTL(DATE($B$3,8,2),DATE($B$3,8,2),1,'Non-working days'!$A$6:$A$45)=0),"",IF(COUNTIFS('Leave log'!$A$7:$A$306,Employees!$A$10,'Leave log'!$B$7:$B$306,"&lt;="&amp;DATE($B$3,8,2),'Leave log'!$C$7:$C$306,"&gt;="&amp;DATE($B$3,8,2),'Leave log'!$F$7:$F$306,"Approved")&gt;0,"A",""))="A","A",IF(OR(DATE($B$3,8,2)&gt;EOMONTH(DATE($B$3,8,1),0),NETWORKDAYS.INTL(DATE($B$3,8,2),DATE($B$3,8,2),1,'Non-working days'!$A$6:$A$45)=0),"",IF(COUNTIFS('Leave log'!$A$7:$A$306,Employees!$A$10,'Leave log'!$B$7:$B$306,"&lt;="&amp;DATE($B$3,8,2),'Leave log'!$C$7:$C$306,"&gt;="&amp;DATE($B$3,8,2),'Leave log'!$F$7:$F$306,"Pending")&gt;0,"P",""))))</f>
        <v/>
      </c>
      <c r="D249" s="23" t="str">
        <f>IF(A249="","",IF(IF(OR(DATE($B$3,8,3)&gt;EOMONTH(DATE($B$3,8,1),0),NETWORKDAYS.INTL(DATE($B$3,8,3),DATE($B$3,8,3),1,'Non-working days'!$A$6:$A$45)=0),"",IF(COUNTIFS('Leave log'!$A$7:$A$306,Employees!$A$10,'Leave log'!$B$7:$B$306,"&lt;="&amp;DATE($B$3,8,3),'Leave log'!$C$7:$C$306,"&gt;="&amp;DATE($B$3,8,3),'Leave log'!$F$7:$F$306,"Approved")&gt;0,"A",""))="A","A",IF(OR(DATE($B$3,8,3)&gt;EOMONTH(DATE($B$3,8,1),0),NETWORKDAYS.INTL(DATE($B$3,8,3),DATE($B$3,8,3),1,'Non-working days'!$A$6:$A$45)=0),"",IF(COUNTIFS('Leave log'!$A$7:$A$306,Employees!$A$10,'Leave log'!$B$7:$B$306,"&lt;="&amp;DATE($B$3,8,3),'Leave log'!$C$7:$C$306,"&gt;="&amp;DATE($B$3,8,3),'Leave log'!$F$7:$F$306,"Pending")&gt;0,"P",""))))</f>
        <v/>
      </c>
      <c r="E249" s="23" t="str">
        <f>IF(A249="","",IF(IF(OR(DATE($B$3,8,4)&gt;EOMONTH(DATE($B$3,8,1),0),NETWORKDAYS.INTL(DATE($B$3,8,4),DATE($B$3,8,4),1,'Non-working days'!$A$6:$A$45)=0),"",IF(COUNTIFS('Leave log'!$A$7:$A$306,Employees!$A$10,'Leave log'!$B$7:$B$306,"&lt;="&amp;DATE($B$3,8,4),'Leave log'!$C$7:$C$306,"&gt;="&amp;DATE($B$3,8,4),'Leave log'!$F$7:$F$306,"Approved")&gt;0,"A",""))="A","A",IF(OR(DATE($B$3,8,4)&gt;EOMONTH(DATE($B$3,8,1),0),NETWORKDAYS.INTL(DATE($B$3,8,4),DATE($B$3,8,4),1,'Non-working days'!$A$6:$A$45)=0),"",IF(COUNTIFS('Leave log'!$A$7:$A$306,Employees!$A$10,'Leave log'!$B$7:$B$306,"&lt;="&amp;DATE($B$3,8,4),'Leave log'!$C$7:$C$306,"&gt;="&amp;DATE($B$3,8,4),'Leave log'!$F$7:$F$306,"Pending")&gt;0,"P",""))))</f>
        <v/>
      </c>
      <c r="F249" s="23" t="str">
        <f>IF(A249="","",IF(IF(OR(DATE($B$3,8,5)&gt;EOMONTH(DATE($B$3,8,1),0),NETWORKDAYS.INTL(DATE($B$3,8,5),DATE($B$3,8,5),1,'Non-working days'!$A$6:$A$45)=0),"",IF(COUNTIFS('Leave log'!$A$7:$A$306,Employees!$A$10,'Leave log'!$B$7:$B$306,"&lt;="&amp;DATE($B$3,8,5),'Leave log'!$C$7:$C$306,"&gt;="&amp;DATE($B$3,8,5),'Leave log'!$F$7:$F$306,"Approved")&gt;0,"A",""))="A","A",IF(OR(DATE($B$3,8,5)&gt;EOMONTH(DATE($B$3,8,1),0),NETWORKDAYS.INTL(DATE($B$3,8,5),DATE($B$3,8,5),1,'Non-working days'!$A$6:$A$45)=0),"",IF(COUNTIFS('Leave log'!$A$7:$A$306,Employees!$A$10,'Leave log'!$B$7:$B$306,"&lt;="&amp;DATE($B$3,8,5),'Leave log'!$C$7:$C$306,"&gt;="&amp;DATE($B$3,8,5),'Leave log'!$F$7:$F$306,"Pending")&gt;0,"P",""))))</f>
        <v/>
      </c>
      <c r="G249" s="23" t="str">
        <f>IF(A249="","",IF(IF(OR(DATE($B$3,8,6)&gt;EOMONTH(DATE($B$3,8,1),0),NETWORKDAYS.INTL(DATE($B$3,8,6),DATE($B$3,8,6),1,'Non-working days'!$A$6:$A$45)=0),"",IF(COUNTIFS('Leave log'!$A$7:$A$306,Employees!$A$10,'Leave log'!$B$7:$B$306,"&lt;="&amp;DATE($B$3,8,6),'Leave log'!$C$7:$C$306,"&gt;="&amp;DATE($B$3,8,6),'Leave log'!$F$7:$F$306,"Approved")&gt;0,"A",""))="A","A",IF(OR(DATE($B$3,8,6)&gt;EOMONTH(DATE($B$3,8,1),0),NETWORKDAYS.INTL(DATE($B$3,8,6),DATE($B$3,8,6),1,'Non-working days'!$A$6:$A$45)=0),"",IF(COUNTIFS('Leave log'!$A$7:$A$306,Employees!$A$10,'Leave log'!$B$7:$B$306,"&lt;="&amp;DATE($B$3,8,6),'Leave log'!$C$7:$C$306,"&gt;="&amp;DATE($B$3,8,6),'Leave log'!$F$7:$F$306,"Pending")&gt;0,"P",""))))</f>
        <v/>
      </c>
      <c r="H249" s="23" t="str">
        <f>IF(A249="","",IF(IF(OR(DATE($B$3,8,7)&gt;EOMONTH(DATE($B$3,8,1),0),NETWORKDAYS.INTL(DATE($B$3,8,7),DATE($B$3,8,7),1,'Non-working days'!$A$6:$A$45)=0),"",IF(COUNTIFS('Leave log'!$A$7:$A$306,Employees!$A$10,'Leave log'!$B$7:$B$306,"&lt;="&amp;DATE($B$3,8,7),'Leave log'!$C$7:$C$306,"&gt;="&amp;DATE($B$3,8,7),'Leave log'!$F$7:$F$306,"Approved")&gt;0,"A",""))="A","A",IF(OR(DATE($B$3,8,7)&gt;EOMONTH(DATE($B$3,8,1),0),NETWORKDAYS.INTL(DATE($B$3,8,7),DATE($B$3,8,7),1,'Non-working days'!$A$6:$A$45)=0),"",IF(COUNTIFS('Leave log'!$A$7:$A$306,Employees!$A$10,'Leave log'!$B$7:$B$306,"&lt;="&amp;DATE($B$3,8,7),'Leave log'!$C$7:$C$306,"&gt;="&amp;DATE($B$3,8,7),'Leave log'!$F$7:$F$306,"Pending")&gt;0,"P",""))))</f>
        <v/>
      </c>
      <c r="I249" s="23" t="str">
        <f>IF(A249="","",IF(IF(OR(DATE($B$3,8,8)&gt;EOMONTH(DATE($B$3,8,1),0),NETWORKDAYS.INTL(DATE($B$3,8,8),DATE($B$3,8,8),1,'Non-working days'!$A$6:$A$45)=0),"",IF(COUNTIFS('Leave log'!$A$7:$A$306,Employees!$A$10,'Leave log'!$B$7:$B$306,"&lt;="&amp;DATE($B$3,8,8),'Leave log'!$C$7:$C$306,"&gt;="&amp;DATE($B$3,8,8),'Leave log'!$F$7:$F$306,"Approved")&gt;0,"A",""))="A","A",IF(OR(DATE($B$3,8,8)&gt;EOMONTH(DATE($B$3,8,1),0),NETWORKDAYS.INTL(DATE($B$3,8,8),DATE($B$3,8,8),1,'Non-working days'!$A$6:$A$45)=0),"",IF(COUNTIFS('Leave log'!$A$7:$A$306,Employees!$A$10,'Leave log'!$B$7:$B$306,"&lt;="&amp;DATE($B$3,8,8),'Leave log'!$C$7:$C$306,"&gt;="&amp;DATE($B$3,8,8),'Leave log'!$F$7:$F$306,"Pending")&gt;0,"P",""))))</f>
        <v/>
      </c>
      <c r="J249" s="23" t="str">
        <f>IF(A249="","",IF(IF(OR(DATE($B$3,8,9)&gt;EOMONTH(DATE($B$3,8,1),0),NETWORKDAYS.INTL(DATE($B$3,8,9),DATE($B$3,8,9),1,'Non-working days'!$A$6:$A$45)=0),"",IF(COUNTIFS('Leave log'!$A$7:$A$306,Employees!$A$10,'Leave log'!$B$7:$B$306,"&lt;="&amp;DATE($B$3,8,9),'Leave log'!$C$7:$C$306,"&gt;="&amp;DATE($B$3,8,9),'Leave log'!$F$7:$F$306,"Approved")&gt;0,"A",""))="A","A",IF(OR(DATE($B$3,8,9)&gt;EOMONTH(DATE($B$3,8,1),0),NETWORKDAYS.INTL(DATE($B$3,8,9),DATE($B$3,8,9),1,'Non-working days'!$A$6:$A$45)=0),"",IF(COUNTIFS('Leave log'!$A$7:$A$306,Employees!$A$10,'Leave log'!$B$7:$B$306,"&lt;="&amp;DATE($B$3,8,9),'Leave log'!$C$7:$C$306,"&gt;="&amp;DATE($B$3,8,9),'Leave log'!$F$7:$F$306,"Pending")&gt;0,"P",""))))</f>
        <v/>
      </c>
      <c r="K249" s="23" t="str">
        <f>IF(A249="","",IF(IF(OR(DATE($B$3,8,10)&gt;EOMONTH(DATE($B$3,8,1),0),NETWORKDAYS.INTL(DATE($B$3,8,10),DATE($B$3,8,10),1,'Non-working days'!$A$6:$A$45)=0),"",IF(COUNTIFS('Leave log'!$A$7:$A$306,Employees!$A$10,'Leave log'!$B$7:$B$306,"&lt;="&amp;DATE($B$3,8,10),'Leave log'!$C$7:$C$306,"&gt;="&amp;DATE($B$3,8,10),'Leave log'!$F$7:$F$306,"Approved")&gt;0,"A",""))="A","A",IF(OR(DATE($B$3,8,10)&gt;EOMONTH(DATE($B$3,8,1),0),NETWORKDAYS.INTL(DATE($B$3,8,10),DATE($B$3,8,10),1,'Non-working days'!$A$6:$A$45)=0),"",IF(COUNTIFS('Leave log'!$A$7:$A$306,Employees!$A$10,'Leave log'!$B$7:$B$306,"&lt;="&amp;DATE($B$3,8,10),'Leave log'!$C$7:$C$306,"&gt;="&amp;DATE($B$3,8,10),'Leave log'!$F$7:$F$306,"Pending")&gt;0,"P",""))))</f>
        <v/>
      </c>
      <c r="L249" s="23" t="str">
        <f>IF(A249="","",IF(IF(OR(DATE($B$3,8,11)&gt;EOMONTH(DATE($B$3,8,1),0),NETWORKDAYS.INTL(DATE($B$3,8,11),DATE($B$3,8,11),1,'Non-working days'!$A$6:$A$45)=0),"",IF(COUNTIFS('Leave log'!$A$7:$A$306,Employees!$A$10,'Leave log'!$B$7:$B$306,"&lt;="&amp;DATE($B$3,8,11),'Leave log'!$C$7:$C$306,"&gt;="&amp;DATE($B$3,8,11),'Leave log'!$F$7:$F$306,"Approved")&gt;0,"A",""))="A","A",IF(OR(DATE($B$3,8,11)&gt;EOMONTH(DATE($B$3,8,1),0),NETWORKDAYS.INTL(DATE($B$3,8,11),DATE($B$3,8,11),1,'Non-working days'!$A$6:$A$45)=0),"",IF(COUNTIFS('Leave log'!$A$7:$A$306,Employees!$A$10,'Leave log'!$B$7:$B$306,"&lt;="&amp;DATE($B$3,8,11),'Leave log'!$C$7:$C$306,"&gt;="&amp;DATE($B$3,8,11),'Leave log'!$F$7:$F$306,"Pending")&gt;0,"P",""))))</f>
        <v/>
      </c>
      <c r="M249" s="23" t="str">
        <f>IF(A249="","",IF(IF(OR(DATE($B$3,8,12)&gt;EOMONTH(DATE($B$3,8,1),0),NETWORKDAYS.INTL(DATE($B$3,8,12),DATE($B$3,8,12),1,'Non-working days'!$A$6:$A$45)=0),"",IF(COUNTIFS('Leave log'!$A$7:$A$306,Employees!$A$10,'Leave log'!$B$7:$B$306,"&lt;="&amp;DATE($B$3,8,12),'Leave log'!$C$7:$C$306,"&gt;="&amp;DATE($B$3,8,12),'Leave log'!$F$7:$F$306,"Approved")&gt;0,"A",""))="A","A",IF(OR(DATE($B$3,8,12)&gt;EOMONTH(DATE($B$3,8,1),0),NETWORKDAYS.INTL(DATE($B$3,8,12),DATE($B$3,8,12),1,'Non-working days'!$A$6:$A$45)=0),"",IF(COUNTIFS('Leave log'!$A$7:$A$306,Employees!$A$10,'Leave log'!$B$7:$B$306,"&lt;="&amp;DATE($B$3,8,12),'Leave log'!$C$7:$C$306,"&gt;="&amp;DATE($B$3,8,12),'Leave log'!$F$7:$F$306,"Pending")&gt;0,"P",""))))</f>
        <v/>
      </c>
      <c r="N249" s="23" t="str">
        <f>IF(A249="","",IF(IF(OR(DATE($B$3,8,13)&gt;EOMONTH(DATE($B$3,8,1),0),NETWORKDAYS.INTL(DATE($B$3,8,13),DATE($B$3,8,13),1,'Non-working days'!$A$6:$A$45)=0),"",IF(COUNTIFS('Leave log'!$A$7:$A$306,Employees!$A$10,'Leave log'!$B$7:$B$306,"&lt;="&amp;DATE($B$3,8,13),'Leave log'!$C$7:$C$306,"&gt;="&amp;DATE($B$3,8,13),'Leave log'!$F$7:$F$306,"Approved")&gt;0,"A",""))="A","A",IF(OR(DATE($B$3,8,13)&gt;EOMONTH(DATE($B$3,8,1),0),NETWORKDAYS.INTL(DATE($B$3,8,13),DATE($B$3,8,13),1,'Non-working days'!$A$6:$A$45)=0),"",IF(COUNTIFS('Leave log'!$A$7:$A$306,Employees!$A$10,'Leave log'!$B$7:$B$306,"&lt;="&amp;DATE($B$3,8,13),'Leave log'!$C$7:$C$306,"&gt;="&amp;DATE($B$3,8,13),'Leave log'!$F$7:$F$306,"Pending")&gt;0,"P",""))))</f>
        <v/>
      </c>
      <c r="O249" s="23" t="str">
        <f>IF(A249="","",IF(IF(OR(DATE($B$3,8,14)&gt;EOMONTH(DATE($B$3,8,1),0),NETWORKDAYS.INTL(DATE($B$3,8,14),DATE($B$3,8,14),1,'Non-working days'!$A$6:$A$45)=0),"",IF(COUNTIFS('Leave log'!$A$7:$A$306,Employees!$A$10,'Leave log'!$B$7:$B$306,"&lt;="&amp;DATE($B$3,8,14),'Leave log'!$C$7:$C$306,"&gt;="&amp;DATE($B$3,8,14),'Leave log'!$F$7:$F$306,"Approved")&gt;0,"A",""))="A","A",IF(OR(DATE($B$3,8,14)&gt;EOMONTH(DATE($B$3,8,1),0),NETWORKDAYS.INTL(DATE($B$3,8,14),DATE($B$3,8,14),1,'Non-working days'!$A$6:$A$45)=0),"",IF(COUNTIFS('Leave log'!$A$7:$A$306,Employees!$A$10,'Leave log'!$B$7:$B$306,"&lt;="&amp;DATE($B$3,8,14),'Leave log'!$C$7:$C$306,"&gt;="&amp;DATE($B$3,8,14),'Leave log'!$F$7:$F$306,"Pending")&gt;0,"P",""))))</f>
        <v/>
      </c>
      <c r="P249" s="23" t="str">
        <f>IF(A249="","",IF(IF(OR(DATE($B$3,8,15)&gt;EOMONTH(DATE($B$3,8,1),0),NETWORKDAYS.INTL(DATE($B$3,8,15),DATE($B$3,8,15),1,'Non-working days'!$A$6:$A$45)=0),"",IF(COUNTIFS('Leave log'!$A$7:$A$306,Employees!$A$10,'Leave log'!$B$7:$B$306,"&lt;="&amp;DATE($B$3,8,15),'Leave log'!$C$7:$C$306,"&gt;="&amp;DATE($B$3,8,15),'Leave log'!$F$7:$F$306,"Approved")&gt;0,"A",""))="A","A",IF(OR(DATE($B$3,8,15)&gt;EOMONTH(DATE($B$3,8,1),0),NETWORKDAYS.INTL(DATE($B$3,8,15),DATE($B$3,8,15),1,'Non-working days'!$A$6:$A$45)=0),"",IF(COUNTIFS('Leave log'!$A$7:$A$306,Employees!$A$10,'Leave log'!$B$7:$B$306,"&lt;="&amp;DATE($B$3,8,15),'Leave log'!$C$7:$C$306,"&gt;="&amp;DATE($B$3,8,15),'Leave log'!$F$7:$F$306,"Pending")&gt;0,"P",""))))</f>
        <v/>
      </c>
      <c r="Q249" s="23" t="str">
        <f>IF(A249="","",IF(IF(OR(DATE($B$3,8,16)&gt;EOMONTH(DATE($B$3,8,1),0),NETWORKDAYS.INTL(DATE($B$3,8,16),DATE($B$3,8,16),1,'Non-working days'!$A$6:$A$45)=0),"",IF(COUNTIFS('Leave log'!$A$7:$A$306,Employees!$A$10,'Leave log'!$B$7:$B$306,"&lt;="&amp;DATE($B$3,8,16),'Leave log'!$C$7:$C$306,"&gt;="&amp;DATE($B$3,8,16),'Leave log'!$F$7:$F$306,"Approved")&gt;0,"A",""))="A","A",IF(OR(DATE($B$3,8,16)&gt;EOMONTH(DATE($B$3,8,1),0),NETWORKDAYS.INTL(DATE($B$3,8,16),DATE($B$3,8,16),1,'Non-working days'!$A$6:$A$45)=0),"",IF(COUNTIFS('Leave log'!$A$7:$A$306,Employees!$A$10,'Leave log'!$B$7:$B$306,"&lt;="&amp;DATE($B$3,8,16),'Leave log'!$C$7:$C$306,"&gt;="&amp;DATE($B$3,8,16),'Leave log'!$F$7:$F$306,"Pending")&gt;0,"P",""))))</f>
        <v/>
      </c>
      <c r="R249" s="23" t="str">
        <f>IF(A249="","",IF(IF(OR(DATE($B$3,8,17)&gt;EOMONTH(DATE($B$3,8,1),0),NETWORKDAYS.INTL(DATE($B$3,8,17),DATE($B$3,8,17),1,'Non-working days'!$A$6:$A$45)=0),"",IF(COUNTIFS('Leave log'!$A$7:$A$306,Employees!$A$10,'Leave log'!$B$7:$B$306,"&lt;="&amp;DATE($B$3,8,17),'Leave log'!$C$7:$C$306,"&gt;="&amp;DATE($B$3,8,17),'Leave log'!$F$7:$F$306,"Approved")&gt;0,"A",""))="A","A",IF(OR(DATE($B$3,8,17)&gt;EOMONTH(DATE($B$3,8,1),0),NETWORKDAYS.INTL(DATE($B$3,8,17),DATE($B$3,8,17),1,'Non-working days'!$A$6:$A$45)=0),"",IF(COUNTIFS('Leave log'!$A$7:$A$306,Employees!$A$10,'Leave log'!$B$7:$B$306,"&lt;="&amp;DATE($B$3,8,17),'Leave log'!$C$7:$C$306,"&gt;="&amp;DATE($B$3,8,17),'Leave log'!$F$7:$F$306,"Pending")&gt;0,"P",""))))</f>
        <v/>
      </c>
      <c r="S249" s="23" t="str">
        <f>IF(A249="","",IF(IF(OR(DATE($B$3,8,18)&gt;EOMONTH(DATE($B$3,8,1),0),NETWORKDAYS.INTL(DATE($B$3,8,18),DATE($B$3,8,18),1,'Non-working days'!$A$6:$A$45)=0),"",IF(COUNTIFS('Leave log'!$A$7:$A$306,Employees!$A$10,'Leave log'!$B$7:$B$306,"&lt;="&amp;DATE($B$3,8,18),'Leave log'!$C$7:$C$306,"&gt;="&amp;DATE($B$3,8,18),'Leave log'!$F$7:$F$306,"Approved")&gt;0,"A",""))="A","A",IF(OR(DATE($B$3,8,18)&gt;EOMONTH(DATE($B$3,8,1),0),NETWORKDAYS.INTL(DATE($B$3,8,18),DATE($B$3,8,18),1,'Non-working days'!$A$6:$A$45)=0),"",IF(COUNTIFS('Leave log'!$A$7:$A$306,Employees!$A$10,'Leave log'!$B$7:$B$306,"&lt;="&amp;DATE($B$3,8,18),'Leave log'!$C$7:$C$306,"&gt;="&amp;DATE($B$3,8,18),'Leave log'!$F$7:$F$306,"Pending")&gt;0,"P",""))))</f>
        <v/>
      </c>
      <c r="T249" s="23" t="str">
        <f>IF(A249="","",IF(IF(OR(DATE($B$3,8,19)&gt;EOMONTH(DATE($B$3,8,1),0),NETWORKDAYS.INTL(DATE($B$3,8,19),DATE($B$3,8,19),1,'Non-working days'!$A$6:$A$45)=0),"",IF(COUNTIFS('Leave log'!$A$7:$A$306,Employees!$A$10,'Leave log'!$B$7:$B$306,"&lt;="&amp;DATE($B$3,8,19),'Leave log'!$C$7:$C$306,"&gt;="&amp;DATE($B$3,8,19),'Leave log'!$F$7:$F$306,"Approved")&gt;0,"A",""))="A","A",IF(OR(DATE($B$3,8,19)&gt;EOMONTH(DATE($B$3,8,1),0),NETWORKDAYS.INTL(DATE($B$3,8,19),DATE($B$3,8,19),1,'Non-working days'!$A$6:$A$45)=0),"",IF(COUNTIFS('Leave log'!$A$7:$A$306,Employees!$A$10,'Leave log'!$B$7:$B$306,"&lt;="&amp;DATE($B$3,8,19),'Leave log'!$C$7:$C$306,"&gt;="&amp;DATE($B$3,8,19),'Leave log'!$F$7:$F$306,"Pending")&gt;0,"P",""))))</f>
        <v/>
      </c>
      <c r="U249" s="23" t="str">
        <f>IF(A249="","",IF(IF(OR(DATE($B$3,8,20)&gt;EOMONTH(DATE($B$3,8,1),0),NETWORKDAYS.INTL(DATE($B$3,8,20),DATE($B$3,8,20),1,'Non-working days'!$A$6:$A$45)=0),"",IF(COUNTIFS('Leave log'!$A$7:$A$306,Employees!$A$10,'Leave log'!$B$7:$B$306,"&lt;="&amp;DATE($B$3,8,20),'Leave log'!$C$7:$C$306,"&gt;="&amp;DATE($B$3,8,20),'Leave log'!$F$7:$F$306,"Approved")&gt;0,"A",""))="A","A",IF(OR(DATE($B$3,8,20)&gt;EOMONTH(DATE($B$3,8,1),0),NETWORKDAYS.INTL(DATE($B$3,8,20),DATE($B$3,8,20),1,'Non-working days'!$A$6:$A$45)=0),"",IF(COUNTIFS('Leave log'!$A$7:$A$306,Employees!$A$10,'Leave log'!$B$7:$B$306,"&lt;="&amp;DATE($B$3,8,20),'Leave log'!$C$7:$C$306,"&gt;="&amp;DATE($B$3,8,20),'Leave log'!$F$7:$F$306,"Pending")&gt;0,"P",""))))</f>
        <v/>
      </c>
      <c r="V249" s="23" t="str">
        <f>IF(A249="","",IF(IF(OR(DATE($B$3,8,21)&gt;EOMONTH(DATE($B$3,8,1),0),NETWORKDAYS.INTL(DATE($B$3,8,21),DATE($B$3,8,21),1,'Non-working days'!$A$6:$A$45)=0),"",IF(COUNTIFS('Leave log'!$A$7:$A$306,Employees!$A$10,'Leave log'!$B$7:$B$306,"&lt;="&amp;DATE($B$3,8,21),'Leave log'!$C$7:$C$306,"&gt;="&amp;DATE($B$3,8,21),'Leave log'!$F$7:$F$306,"Approved")&gt;0,"A",""))="A","A",IF(OR(DATE($B$3,8,21)&gt;EOMONTH(DATE($B$3,8,1),0),NETWORKDAYS.INTL(DATE($B$3,8,21),DATE($B$3,8,21),1,'Non-working days'!$A$6:$A$45)=0),"",IF(COUNTIFS('Leave log'!$A$7:$A$306,Employees!$A$10,'Leave log'!$B$7:$B$306,"&lt;="&amp;DATE($B$3,8,21),'Leave log'!$C$7:$C$306,"&gt;="&amp;DATE($B$3,8,21),'Leave log'!$F$7:$F$306,"Pending")&gt;0,"P",""))))</f>
        <v/>
      </c>
      <c r="W249" s="23" t="str">
        <f>IF(A249="","",IF(IF(OR(DATE($B$3,8,22)&gt;EOMONTH(DATE($B$3,8,1),0),NETWORKDAYS.INTL(DATE($B$3,8,22),DATE($B$3,8,22),1,'Non-working days'!$A$6:$A$45)=0),"",IF(COUNTIFS('Leave log'!$A$7:$A$306,Employees!$A$10,'Leave log'!$B$7:$B$306,"&lt;="&amp;DATE($B$3,8,22),'Leave log'!$C$7:$C$306,"&gt;="&amp;DATE($B$3,8,22),'Leave log'!$F$7:$F$306,"Approved")&gt;0,"A",""))="A","A",IF(OR(DATE($B$3,8,22)&gt;EOMONTH(DATE($B$3,8,1),0),NETWORKDAYS.INTL(DATE($B$3,8,22),DATE($B$3,8,22),1,'Non-working days'!$A$6:$A$45)=0),"",IF(COUNTIFS('Leave log'!$A$7:$A$306,Employees!$A$10,'Leave log'!$B$7:$B$306,"&lt;="&amp;DATE($B$3,8,22),'Leave log'!$C$7:$C$306,"&gt;="&amp;DATE($B$3,8,22),'Leave log'!$F$7:$F$306,"Pending")&gt;0,"P",""))))</f>
        <v/>
      </c>
      <c r="X249" s="23" t="str">
        <f>IF(A249="","",IF(IF(OR(DATE($B$3,8,23)&gt;EOMONTH(DATE($B$3,8,1),0),NETWORKDAYS.INTL(DATE($B$3,8,23),DATE($B$3,8,23),1,'Non-working days'!$A$6:$A$45)=0),"",IF(COUNTIFS('Leave log'!$A$7:$A$306,Employees!$A$10,'Leave log'!$B$7:$B$306,"&lt;="&amp;DATE($B$3,8,23),'Leave log'!$C$7:$C$306,"&gt;="&amp;DATE($B$3,8,23),'Leave log'!$F$7:$F$306,"Approved")&gt;0,"A",""))="A","A",IF(OR(DATE($B$3,8,23)&gt;EOMONTH(DATE($B$3,8,1),0),NETWORKDAYS.INTL(DATE($B$3,8,23),DATE($B$3,8,23),1,'Non-working days'!$A$6:$A$45)=0),"",IF(COUNTIFS('Leave log'!$A$7:$A$306,Employees!$A$10,'Leave log'!$B$7:$B$306,"&lt;="&amp;DATE($B$3,8,23),'Leave log'!$C$7:$C$306,"&gt;="&amp;DATE($B$3,8,23),'Leave log'!$F$7:$F$306,"Pending")&gt;0,"P",""))))</f>
        <v/>
      </c>
      <c r="Y249" s="23" t="str">
        <f>IF(A249="","",IF(IF(OR(DATE($B$3,8,24)&gt;EOMONTH(DATE($B$3,8,1),0),NETWORKDAYS.INTL(DATE($B$3,8,24),DATE($B$3,8,24),1,'Non-working days'!$A$6:$A$45)=0),"",IF(COUNTIFS('Leave log'!$A$7:$A$306,Employees!$A$10,'Leave log'!$B$7:$B$306,"&lt;="&amp;DATE($B$3,8,24),'Leave log'!$C$7:$C$306,"&gt;="&amp;DATE($B$3,8,24),'Leave log'!$F$7:$F$306,"Approved")&gt;0,"A",""))="A","A",IF(OR(DATE($B$3,8,24)&gt;EOMONTH(DATE($B$3,8,1),0),NETWORKDAYS.INTL(DATE($B$3,8,24),DATE($B$3,8,24),1,'Non-working days'!$A$6:$A$45)=0),"",IF(COUNTIFS('Leave log'!$A$7:$A$306,Employees!$A$10,'Leave log'!$B$7:$B$306,"&lt;="&amp;DATE($B$3,8,24),'Leave log'!$C$7:$C$306,"&gt;="&amp;DATE($B$3,8,24),'Leave log'!$F$7:$F$306,"Pending")&gt;0,"P",""))))</f>
        <v/>
      </c>
      <c r="Z249" s="23" t="str">
        <f>IF(A249="","",IF(IF(OR(DATE($B$3,8,25)&gt;EOMONTH(DATE($B$3,8,1),0),NETWORKDAYS.INTL(DATE($B$3,8,25),DATE($B$3,8,25),1,'Non-working days'!$A$6:$A$45)=0),"",IF(COUNTIFS('Leave log'!$A$7:$A$306,Employees!$A$10,'Leave log'!$B$7:$B$306,"&lt;="&amp;DATE($B$3,8,25),'Leave log'!$C$7:$C$306,"&gt;="&amp;DATE($B$3,8,25),'Leave log'!$F$7:$F$306,"Approved")&gt;0,"A",""))="A","A",IF(OR(DATE($B$3,8,25)&gt;EOMONTH(DATE($B$3,8,1),0),NETWORKDAYS.INTL(DATE($B$3,8,25),DATE($B$3,8,25),1,'Non-working days'!$A$6:$A$45)=0),"",IF(COUNTIFS('Leave log'!$A$7:$A$306,Employees!$A$10,'Leave log'!$B$7:$B$306,"&lt;="&amp;DATE($B$3,8,25),'Leave log'!$C$7:$C$306,"&gt;="&amp;DATE($B$3,8,25),'Leave log'!$F$7:$F$306,"Pending")&gt;0,"P",""))))</f>
        <v/>
      </c>
      <c r="AA249" s="23" t="str">
        <f>IF(A249="","",IF(IF(OR(DATE($B$3,8,26)&gt;EOMONTH(DATE($B$3,8,1),0),NETWORKDAYS.INTL(DATE($B$3,8,26),DATE($B$3,8,26),1,'Non-working days'!$A$6:$A$45)=0),"",IF(COUNTIFS('Leave log'!$A$7:$A$306,Employees!$A$10,'Leave log'!$B$7:$B$306,"&lt;="&amp;DATE($B$3,8,26),'Leave log'!$C$7:$C$306,"&gt;="&amp;DATE($B$3,8,26),'Leave log'!$F$7:$F$306,"Approved")&gt;0,"A",""))="A","A",IF(OR(DATE($B$3,8,26)&gt;EOMONTH(DATE($B$3,8,1),0),NETWORKDAYS.INTL(DATE($B$3,8,26),DATE($B$3,8,26),1,'Non-working days'!$A$6:$A$45)=0),"",IF(COUNTIFS('Leave log'!$A$7:$A$306,Employees!$A$10,'Leave log'!$B$7:$B$306,"&lt;="&amp;DATE($B$3,8,26),'Leave log'!$C$7:$C$306,"&gt;="&amp;DATE($B$3,8,26),'Leave log'!$F$7:$F$306,"Pending")&gt;0,"P",""))))</f>
        <v/>
      </c>
      <c r="AB249" s="23" t="str">
        <f>IF(A249="","",IF(IF(OR(DATE($B$3,8,27)&gt;EOMONTH(DATE($B$3,8,1),0),NETWORKDAYS.INTL(DATE($B$3,8,27),DATE($B$3,8,27),1,'Non-working days'!$A$6:$A$45)=0),"",IF(COUNTIFS('Leave log'!$A$7:$A$306,Employees!$A$10,'Leave log'!$B$7:$B$306,"&lt;="&amp;DATE($B$3,8,27),'Leave log'!$C$7:$C$306,"&gt;="&amp;DATE($B$3,8,27),'Leave log'!$F$7:$F$306,"Approved")&gt;0,"A",""))="A","A",IF(OR(DATE($B$3,8,27)&gt;EOMONTH(DATE($B$3,8,1),0),NETWORKDAYS.INTL(DATE($B$3,8,27),DATE($B$3,8,27),1,'Non-working days'!$A$6:$A$45)=0),"",IF(COUNTIFS('Leave log'!$A$7:$A$306,Employees!$A$10,'Leave log'!$B$7:$B$306,"&lt;="&amp;DATE($B$3,8,27),'Leave log'!$C$7:$C$306,"&gt;="&amp;DATE($B$3,8,27),'Leave log'!$F$7:$F$306,"Pending")&gt;0,"P",""))))</f>
        <v/>
      </c>
      <c r="AC249" s="23" t="str">
        <f>IF(A249="","",IF(IF(OR(DATE($B$3,8,28)&gt;EOMONTH(DATE($B$3,8,1),0),NETWORKDAYS.INTL(DATE($B$3,8,28),DATE($B$3,8,28),1,'Non-working days'!$A$6:$A$45)=0),"",IF(COUNTIFS('Leave log'!$A$7:$A$306,Employees!$A$10,'Leave log'!$B$7:$B$306,"&lt;="&amp;DATE($B$3,8,28),'Leave log'!$C$7:$C$306,"&gt;="&amp;DATE($B$3,8,28),'Leave log'!$F$7:$F$306,"Approved")&gt;0,"A",""))="A","A",IF(OR(DATE($B$3,8,28)&gt;EOMONTH(DATE($B$3,8,1),0),NETWORKDAYS.INTL(DATE($B$3,8,28),DATE($B$3,8,28),1,'Non-working days'!$A$6:$A$45)=0),"",IF(COUNTIFS('Leave log'!$A$7:$A$306,Employees!$A$10,'Leave log'!$B$7:$B$306,"&lt;="&amp;DATE($B$3,8,28),'Leave log'!$C$7:$C$306,"&gt;="&amp;DATE($B$3,8,28),'Leave log'!$F$7:$F$306,"Pending")&gt;0,"P",""))))</f>
        <v/>
      </c>
      <c r="AD249" s="23" t="str">
        <f>IF(A249="","",IF(IF(OR(DATE($B$3,8,29)&gt;EOMONTH(DATE($B$3,8,1),0),NETWORKDAYS.INTL(DATE($B$3,8,29),DATE($B$3,8,29),1,'Non-working days'!$A$6:$A$45)=0),"",IF(COUNTIFS('Leave log'!$A$7:$A$306,Employees!$A$10,'Leave log'!$B$7:$B$306,"&lt;="&amp;DATE($B$3,8,29),'Leave log'!$C$7:$C$306,"&gt;="&amp;DATE($B$3,8,29),'Leave log'!$F$7:$F$306,"Approved")&gt;0,"A",""))="A","A",IF(OR(DATE($B$3,8,29)&gt;EOMONTH(DATE($B$3,8,1),0),NETWORKDAYS.INTL(DATE($B$3,8,29),DATE($B$3,8,29),1,'Non-working days'!$A$6:$A$45)=0),"",IF(COUNTIFS('Leave log'!$A$7:$A$306,Employees!$A$10,'Leave log'!$B$7:$B$306,"&lt;="&amp;DATE($B$3,8,29),'Leave log'!$C$7:$C$306,"&gt;="&amp;DATE($B$3,8,29),'Leave log'!$F$7:$F$306,"Pending")&gt;0,"P",""))))</f>
        <v/>
      </c>
      <c r="AE249" s="23" t="str">
        <f>IF(A249="","",IF(IF(OR(DATE($B$3,8,30)&gt;EOMONTH(DATE($B$3,8,1),0),NETWORKDAYS.INTL(DATE($B$3,8,30),DATE($B$3,8,30),1,'Non-working days'!$A$6:$A$45)=0),"",IF(COUNTIFS('Leave log'!$A$7:$A$306,Employees!$A$10,'Leave log'!$B$7:$B$306,"&lt;="&amp;DATE($B$3,8,30),'Leave log'!$C$7:$C$306,"&gt;="&amp;DATE($B$3,8,30),'Leave log'!$F$7:$F$306,"Approved")&gt;0,"A",""))="A","A",IF(OR(DATE($B$3,8,30)&gt;EOMONTH(DATE($B$3,8,1),0),NETWORKDAYS.INTL(DATE($B$3,8,30),DATE($B$3,8,30),1,'Non-working days'!$A$6:$A$45)=0),"",IF(COUNTIFS('Leave log'!$A$7:$A$306,Employees!$A$10,'Leave log'!$B$7:$B$306,"&lt;="&amp;DATE($B$3,8,30),'Leave log'!$C$7:$C$306,"&gt;="&amp;DATE($B$3,8,30),'Leave log'!$F$7:$F$306,"Pending")&gt;0,"P",""))))</f>
        <v/>
      </c>
      <c r="AF249" s="23" t="str">
        <f>IF(A249="","",IF(IF(OR(DATE($B$3,8,31)&gt;EOMONTH(DATE($B$3,8,1),0),NETWORKDAYS.INTL(DATE($B$3,8,31),DATE($B$3,8,31),1,'Non-working days'!$A$6:$A$45)=0),"",IF(COUNTIFS('Leave log'!$A$7:$A$306,Employees!$A$10,'Leave log'!$B$7:$B$306,"&lt;="&amp;DATE($B$3,8,31),'Leave log'!$C$7:$C$306,"&gt;="&amp;DATE($B$3,8,31),'Leave log'!$F$7:$F$306,"Approved")&gt;0,"A",""))="A","A",IF(OR(DATE($B$3,8,31)&gt;EOMONTH(DATE($B$3,8,1),0),NETWORKDAYS.INTL(DATE($B$3,8,31),DATE($B$3,8,31),1,'Non-working days'!$A$6:$A$45)=0),"",IF(COUNTIFS('Leave log'!$A$7:$A$306,Employees!$A$10,'Leave log'!$B$7:$B$306,"&lt;="&amp;DATE($B$3,8,31),'Leave log'!$C$7:$C$306,"&gt;="&amp;DATE($B$3,8,31),'Leave log'!$F$7:$F$306,"Pending")&gt;0,"P",""))))</f>
        <v/>
      </c>
    </row>
    <row r="250" spans="1:32" ht="18" customHeight="1" x14ac:dyDescent="0.3">
      <c r="A250" s="22" t="str">
        <f>IF(Employees!F11="Yes",Employees!B11,"")</f>
        <v/>
      </c>
      <c r="B250" s="23" t="str">
        <f>IF(A250="","",IF(IF(OR(DATE($B$3,8,1)&gt;EOMONTH(DATE($B$3,8,1),0),NETWORKDAYS.INTL(DATE($B$3,8,1),DATE($B$3,8,1),1,'Non-working days'!$A$6:$A$45)=0),"",IF(COUNTIFS('Leave log'!$A$7:$A$306,Employees!$A$11,'Leave log'!$B$7:$B$306,"&lt;="&amp;DATE($B$3,8,1),'Leave log'!$C$7:$C$306,"&gt;="&amp;DATE($B$3,8,1),'Leave log'!$F$7:$F$306,"Approved")&gt;0,"A",""))="A","A",IF(OR(DATE($B$3,8,1)&gt;EOMONTH(DATE($B$3,8,1),0),NETWORKDAYS.INTL(DATE($B$3,8,1),DATE($B$3,8,1),1,'Non-working days'!$A$6:$A$45)=0),"",IF(COUNTIFS('Leave log'!$A$7:$A$306,Employees!$A$11,'Leave log'!$B$7:$B$306,"&lt;="&amp;DATE($B$3,8,1),'Leave log'!$C$7:$C$306,"&gt;="&amp;DATE($B$3,8,1),'Leave log'!$F$7:$F$306,"Pending")&gt;0,"P",""))))</f>
        <v/>
      </c>
      <c r="C250" s="23" t="str">
        <f>IF(A250="","",IF(IF(OR(DATE($B$3,8,2)&gt;EOMONTH(DATE($B$3,8,1),0),NETWORKDAYS.INTL(DATE($B$3,8,2),DATE($B$3,8,2),1,'Non-working days'!$A$6:$A$45)=0),"",IF(COUNTIFS('Leave log'!$A$7:$A$306,Employees!$A$11,'Leave log'!$B$7:$B$306,"&lt;="&amp;DATE($B$3,8,2),'Leave log'!$C$7:$C$306,"&gt;="&amp;DATE($B$3,8,2),'Leave log'!$F$7:$F$306,"Approved")&gt;0,"A",""))="A","A",IF(OR(DATE($B$3,8,2)&gt;EOMONTH(DATE($B$3,8,1),0),NETWORKDAYS.INTL(DATE($B$3,8,2),DATE($B$3,8,2),1,'Non-working days'!$A$6:$A$45)=0),"",IF(COUNTIFS('Leave log'!$A$7:$A$306,Employees!$A$11,'Leave log'!$B$7:$B$306,"&lt;="&amp;DATE($B$3,8,2),'Leave log'!$C$7:$C$306,"&gt;="&amp;DATE($B$3,8,2),'Leave log'!$F$7:$F$306,"Pending")&gt;0,"P",""))))</f>
        <v/>
      </c>
      <c r="D250" s="23" t="str">
        <f>IF(A250="","",IF(IF(OR(DATE($B$3,8,3)&gt;EOMONTH(DATE($B$3,8,1),0),NETWORKDAYS.INTL(DATE($B$3,8,3),DATE($B$3,8,3),1,'Non-working days'!$A$6:$A$45)=0),"",IF(COUNTIFS('Leave log'!$A$7:$A$306,Employees!$A$11,'Leave log'!$B$7:$B$306,"&lt;="&amp;DATE($B$3,8,3),'Leave log'!$C$7:$C$306,"&gt;="&amp;DATE($B$3,8,3),'Leave log'!$F$7:$F$306,"Approved")&gt;0,"A",""))="A","A",IF(OR(DATE($B$3,8,3)&gt;EOMONTH(DATE($B$3,8,1),0),NETWORKDAYS.INTL(DATE($B$3,8,3),DATE($B$3,8,3),1,'Non-working days'!$A$6:$A$45)=0),"",IF(COUNTIFS('Leave log'!$A$7:$A$306,Employees!$A$11,'Leave log'!$B$7:$B$306,"&lt;="&amp;DATE($B$3,8,3),'Leave log'!$C$7:$C$306,"&gt;="&amp;DATE($B$3,8,3),'Leave log'!$F$7:$F$306,"Pending")&gt;0,"P",""))))</f>
        <v/>
      </c>
      <c r="E250" s="23" t="str">
        <f>IF(A250="","",IF(IF(OR(DATE($B$3,8,4)&gt;EOMONTH(DATE($B$3,8,1),0),NETWORKDAYS.INTL(DATE($B$3,8,4),DATE($B$3,8,4),1,'Non-working days'!$A$6:$A$45)=0),"",IF(COUNTIFS('Leave log'!$A$7:$A$306,Employees!$A$11,'Leave log'!$B$7:$B$306,"&lt;="&amp;DATE($B$3,8,4),'Leave log'!$C$7:$C$306,"&gt;="&amp;DATE($B$3,8,4),'Leave log'!$F$7:$F$306,"Approved")&gt;0,"A",""))="A","A",IF(OR(DATE($B$3,8,4)&gt;EOMONTH(DATE($B$3,8,1),0),NETWORKDAYS.INTL(DATE($B$3,8,4),DATE($B$3,8,4),1,'Non-working days'!$A$6:$A$45)=0),"",IF(COUNTIFS('Leave log'!$A$7:$A$306,Employees!$A$11,'Leave log'!$B$7:$B$306,"&lt;="&amp;DATE($B$3,8,4),'Leave log'!$C$7:$C$306,"&gt;="&amp;DATE($B$3,8,4),'Leave log'!$F$7:$F$306,"Pending")&gt;0,"P",""))))</f>
        <v/>
      </c>
      <c r="F250" s="23" t="str">
        <f>IF(A250="","",IF(IF(OR(DATE($B$3,8,5)&gt;EOMONTH(DATE($B$3,8,1),0),NETWORKDAYS.INTL(DATE($B$3,8,5),DATE($B$3,8,5),1,'Non-working days'!$A$6:$A$45)=0),"",IF(COUNTIFS('Leave log'!$A$7:$A$306,Employees!$A$11,'Leave log'!$B$7:$B$306,"&lt;="&amp;DATE($B$3,8,5),'Leave log'!$C$7:$C$306,"&gt;="&amp;DATE($B$3,8,5),'Leave log'!$F$7:$F$306,"Approved")&gt;0,"A",""))="A","A",IF(OR(DATE($B$3,8,5)&gt;EOMONTH(DATE($B$3,8,1),0),NETWORKDAYS.INTL(DATE($B$3,8,5),DATE($B$3,8,5),1,'Non-working days'!$A$6:$A$45)=0),"",IF(COUNTIFS('Leave log'!$A$7:$A$306,Employees!$A$11,'Leave log'!$B$7:$B$306,"&lt;="&amp;DATE($B$3,8,5),'Leave log'!$C$7:$C$306,"&gt;="&amp;DATE($B$3,8,5),'Leave log'!$F$7:$F$306,"Pending")&gt;0,"P",""))))</f>
        <v/>
      </c>
      <c r="G250" s="23" t="str">
        <f>IF(A250="","",IF(IF(OR(DATE($B$3,8,6)&gt;EOMONTH(DATE($B$3,8,1),0),NETWORKDAYS.INTL(DATE($B$3,8,6),DATE($B$3,8,6),1,'Non-working days'!$A$6:$A$45)=0),"",IF(COUNTIFS('Leave log'!$A$7:$A$306,Employees!$A$11,'Leave log'!$B$7:$B$306,"&lt;="&amp;DATE($B$3,8,6),'Leave log'!$C$7:$C$306,"&gt;="&amp;DATE($B$3,8,6),'Leave log'!$F$7:$F$306,"Approved")&gt;0,"A",""))="A","A",IF(OR(DATE($B$3,8,6)&gt;EOMONTH(DATE($B$3,8,1),0),NETWORKDAYS.INTL(DATE($B$3,8,6),DATE($B$3,8,6),1,'Non-working days'!$A$6:$A$45)=0),"",IF(COUNTIFS('Leave log'!$A$7:$A$306,Employees!$A$11,'Leave log'!$B$7:$B$306,"&lt;="&amp;DATE($B$3,8,6),'Leave log'!$C$7:$C$306,"&gt;="&amp;DATE($B$3,8,6),'Leave log'!$F$7:$F$306,"Pending")&gt;0,"P",""))))</f>
        <v/>
      </c>
      <c r="H250" s="23" t="str">
        <f>IF(A250="","",IF(IF(OR(DATE($B$3,8,7)&gt;EOMONTH(DATE($B$3,8,1),0),NETWORKDAYS.INTL(DATE($B$3,8,7),DATE($B$3,8,7),1,'Non-working days'!$A$6:$A$45)=0),"",IF(COUNTIFS('Leave log'!$A$7:$A$306,Employees!$A$11,'Leave log'!$B$7:$B$306,"&lt;="&amp;DATE($B$3,8,7),'Leave log'!$C$7:$C$306,"&gt;="&amp;DATE($B$3,8,7),'Leave log'!$F$7:$F$306,"Approved")&gt;0,"A",""))="A","A",IF(OR(DATE($B$3,8,7)&gt;EOMONTH(DATE($B$3,8,1),0),NETWORKDAYS.INTL(DATE($B$3,8,7),DATE($B$3,8,7),1,'Non-working days'!$A$6:$A$45)=0),"",IF(COUNTIFS('Leave log'!$A$7:$A$306,Employees!$A$11,'Leave log'!$B$7:$B$306,"&lt;="&amp;DATE($B$3,8,7),'Leave log'!$C$7:$C$306,"&gt;="&amp;DATE($B$3,8,7),'Leave log'!$F$7:$F$306,"Pending")&gt;0,"P",""))))</f>
        <v/>
      </c>
      <c r="I250" s="23" t="str">
        <f>IF(A250="","",IF(IF(OR(DATE($B$3,8,8)&gt;EOMONTH(DATE($B$3,8,1),0),NETWORKDAYS.INTL(DATE($B$3,8,8),DATE($B$3,8,8),1,'Non-working days'!$A$6:$A$45)=0),"",IF(COUNTIFS('Leave log'!$A$7:$A$306,Employees!$A$11,'Leave log'!$B$7:$B$306,"&lt;="&amp;DATE($B$3,8,8),'Leave log'!$C$7:$C$306,"&gt;="&amp;DATE($B$3,8,8),'Leave log'!$F$7:$F$306,"Approved")&gt;0,"A",""))="A","A",IF(OR(DATE($B$3,8,8)&gt;EOMONTH(DATE($B$3,8,1),0),NETWORKDAYS.INTL(DATE($B$3,8,8),DATE($B$3,8,8),1,'Non-working days'!$A$6:$A$45)=0),"",IF(COUNTIFS('Leave log'!$A$7:$A$306,Employees!$A$11,'Leave log'!$B$7:$B$306,"&lt;="&amp;DATE($B$3,8,8),'Leave log'!$C$7:$C$306,"&gt;="&amp;DATE($B$3,8,8),'Leave log'!$F$7:$F$306,"Pending")&gt;0,"P",""))))</f>
        <v/>
      </c>
      <c r="J250" s="23" t="str">
        <f>IF(A250="","",IF(IF(OR(DATE($B$3,8,9)&gt;EOMONTH(DATE($B$3,8,1),0),NETWORKDAYS.INTL(DATE($B$3,8,9),DATE($B$3,8,9),1,'Non-working days'!$A$6:$A$45)=0),"",IF(COUNTIFS('Leave log'!$A$7:$A$306,Employees!$A$11,'Leave log'!$B$7:$B$306,"&lt;="&amp;DATE($B$3,8,9),'Leave log'!$C$7:$C$306,"&gt;="&amp;DATE($B$3,8,9),'Leave log'!$F$7:$F$306,"Approved")&gt;0,"A",""))="A","A",IF(OR(DATE($B$3,8,9)&gt;EOMONTH(DATE($B$3,8,1),0),NETWORKDAYS.INTL(DATE($B$3,8,9),DATE($B$3,8,9),1,'Non-working days'!$A$6:$A$45)=0),"",IF(COUNTIFS('Leave log'!$A$7:$A$306,Employees!$A$11,'Leave log'!$B$7:$B$306,"&lt;="&amp;DATE($B$3,8,9),'Leave log'!$C$7:$C$306,"&gt;="&amp;DATE($B$3,8,9),'Leave log'!$F$7:$F$306,"Pending")&gt;0,"P",""))))</f>
        <v/>
      </c>
      <c r="K250" s="23" t="str">
        <f>IF(A250="","",IF(IF(OR(DATE($B$3,8,10)&gt;EOMONTH(DATE($B$3,8,1),0),NETWORKDAYS.INTL(DATE($B$3,8,10),DATE($B$3,8,10),1,'Non-working days'!$A$6:$A$45)=0),"",IF(COUNTIFS('Leave log'!$A$7:$A$306,Employees!$A$11,'Leave log'!$B$7:$B$306,"&lt;="&amp;DATE($B$3,8,10),'Leave log'!$C$7:$C$306,"&gt;="&amp;DATE($B$3,8,10),'Leave log'!$F$7:$F$306,"Approved")&gt;0,"A",""))="A","A",IF(OR(DATE($B$3,8,10)&gt;EOMONTH(DATE($B$3,8,1),0),NETWORKDAYS.INTL(DATE($B$3,8,10),DATE($B$3,8,10),1,'Non-working days'!$A$6:$A$45)=0),"",IF(COUNTIFS('Leave log'!$A$7:$A$306,Employees!$A$11,'Leave log'!$B$7:$B$306,"&lt;="&amp;DATE($B$3,8,10),'Leave log'!$C$7:$C$306,"&gt;="&amp;DATE($B$3,8,10),'Leave log'!$F$7:$F$306,"Pending")&gt;0,"P",""))))</f>
        <v/>
      </c>
      <c r="L250" s="23" t="str">
        <f>IF(A250="","",IF(IF(OR(DATE($B$3,8,11)&gt;EOMONTH(DATE($B$3,8,1),0),NETWORKDAYS.INTL(DATE($B$3,8,11),DATE($B$3,8,11),1,'Non-working days'!$A$6:$A$45)=0),"",IF(COUNTIFS('Leave log'!$A$7:$A$306,Employees!$A$11,'Leave log'!$B$7:$B$306,"&lt;="&amp;DATE($B$3,8,11),'Leave log'!$C$7:$C$306,"&gt;="&amp;DATE($B$3,8,11),'Leave log'!$F$7:$F$306,"Approved")&gt;0,"A",""))="A","A",IF(OR(DATE($B$3,8,11)&gt;EOMONTH(DATE($B$3,8,1),0),NETWORKDAYS.INTL(DATE($B$3,8,11),DATE($B$3,8,11),1,'Non-working days'!$A$6:$A$45)=0),"",IF(COUNTIFS('Leave log'!$A$7:$A$306,Employees!$A$11,'Leave log'!$B$7:$B$306,"&lt;="&amp;DATE($B$3,8,11),'Leave log'!$C$7:$C$306,"&gt;="&amp;DATE($B$3,8,11),'Leave log'!$F$7:$F$306,"Pending")&gt;0,"P",""))))</f>
        <v/>
      </c>
      <c r="M250" s="23" t="str">
        <f>IF(A250="","",IF(IF(OR(DATE($B$3,8,12)&gt;EOMONTH(DATE($B$3,8,1),0),NETWORKDAYS.INTL(DATE($B$3,8,12),DATE($B$3,8,12),1,'Non-working days'!$A$6:$A$45)=0),"",IF(COUNTIFS('Leave log'!$A$7:$A$306,Employees!$A$11,'Leave log'!$B$7:$B$306,"&lt;="&amp;DATE($B$3,8,12),'Leave log'!$C$7:$C$306,"&gt;="&amp;DATE($B$3,8,12),'Leave log'!$F$7:$F$306,"Approved")&gt;0,"A",""))="A","A",IF(OR(DATE($B$3,8,12)&gt;EOMONTH(DATE($B$3,8,1),0),NETWORKDAYS.INTL(DATE($B$3,8,12),DATE($B$3,8,12),1,'Non-working days'!$A$6:$A$45)=0),"",IF(COUNTIFS('Leave log'!$A$7:$A$306,Employees!$A$11,'Leave log'!$B$7:$B$306,"&lt;="&amp;DATE($B$3,8,12),'Leave log'!$C$7:$C$306,"&gt;="&amp;DATE($B$3,8,12),'Leave log'!$F$7:$F$306,"Pending")&gt;0,"P",""))))</f>
        <v/>
      </c>
      <c r="N250" s="23" t="str">
        <f>IF(A250="","",IF(IF(OR(DATE($B$3,8,13)&gt;EOMONTH(DATE($B$3,8,1),0),NETWORKDAYS.INTL(DATE($B$3,8,13),DATE($B$3,8,13),1,'Non-working days'!$A$6:$A$45)=0),"",IF(COUNTIFS('Leave log'!$A$7:$A$306,Employees!$A$11,'Leave log'!$B$7:$B$306,"&lt;="&amp;DATE($B$3,8,13),'Leave log'!$C$7:$C$306,"&gt;="&amp;DATE($B$3,8,13),'Leave log'!$F$7:$F$306,"Approved")&gt;0,"A",""))="A","A",IF(OR(DATE($B$3,8,13)&gt;EOMONTH(DATE($B$3,8,1),0),NETWORKDAYS.INTL(DATE($B$3,8,13),DATE($B$3,8,13),1,'Non-working days'!$A$6:$A$45)=0),"",IF(COUNTIFS('Leave log'!$A$7:$A$306,Employees!$A$11,'Leave log'!$B$7:$B$306,"&lt;="&amp;DATE($B$3,8,13),'Leave log'!$C$7:$C$306,"&gt;="&amp;DATE($B$3,8,13),'Leave log'!$F$7:$F$306,"Pending")&gt;0,"P",""))))</f>
        <v/>
      </c>
      <c r="O250" s="23" t="str">
        <f>IF(A250="","",IF(IF(OR(DATE($B$3,8,14)&gt;EOMONTH(DATE($B$3,8,1),0),NETWORKDAYS.INTL(DATE($B$3,8,14),DATE($B$3,8,14),1,'Non-working days'!$A$6:$A$45)=0),"",IF(COUNTIFS('Leave log'!$A$7:$A$306,Employees!$A$11,'Leave log'!$B$7:$B$306,"&lt;="&amp;DATE($B$3,8,14),'Leave log'!$C$7:$C$306,"&gt;="&amp;DATE($B$3,8,14),'Leave log'!$F$7:$F$306,"Approved")&gt;0,"A",""))="A","A",IF(OR(DATE($B$3,8,14)&gt;EOMONTH(DATE($B$3,8,1),0),NETWORKDAYS.INTL(DATE($B$3,8,14),DATE($B$3,8,14),1,'Non-working days'!$A$6:$A$45)=0),"",IF(COUNTIFS('Leave log'!$A$7:$A$306,Employees!$A$11,'Leave log'!$B$7:$B$306,"&lt;="&amp;DATE($B$3,8,14),'Leave log'!$C$7:$C$306,"&gt;="&amp;DATE($B$3,8,14),'Leave log'!$F$7:$F$306,"Pending")&gt;0,"P",""))))</f>
        <v/>
      </c>
      <c r="P250" s="23" t="str">
        <f>IF(A250="","",IF(IF(OR(DATE($B$3,8,15)&gt;EOMONTH(DATE($B$3,8,1),0),NETWORKDAYS.INTL(DATE($B$3,8,15),DATE($B$3,8,15),1,'Non-working days'!$A$6:$A$45)=0),"",IF(COUNTIFS('Leave log'!$A$7:$A$306,Employees!$A$11,'Leave log'!$B$7:$B$306,"&lt;="&amp;DATE($B$3,8,15),'Leave log'!$C$7:$C$306,"&gt;="&amp;DATE($B$3,8,15),'Leave log'!$F$7:$F$306,"Approved")&gt;0,"A",""))="A","A",IF(OR(DATE($B$3,8,15)&gt;EOMONTH(DATE($B$3,8,1),0),NETWORKDAYS.INTL(DATE($B$3,8,15),DATE($B$3,8,15),1,'Non-working days'!$A$6:$A$45)=0),"",IF(COUNTIFS('Leave log'!$A$7:$A$306,Employees!$A$11,'Leave log'!$B$7:$B$306,"&lt;="&amp;DATE($B$3,8,15),'Leave log'!$C$7:$C$306,"&gt;="&amp;DATE($B$3,8,15),'Leave log'!$F$7:$F$306,"Pending")&gt;0,"P",""))))</f>
        <v/>
      </c>
      <c r="Q250" s="23" t="str">
        <f>IF(A250="","",IF(IF(OR(DATE($B$3,8,16)&gt;EOMONTH(DATE($B$3,8,1),0),NETWORKDAYS.INTL(DATE($B$3,8,16),DATE($B$3,8,16),1,'Non-working days'!$A$6:$A$45)=0),"",IF(COUNTIFS('Leave log'!$A$7:$A$306,Employees!$A$11,'Leave log'!$B$7:$B$306,"&lt;="&amp;DATE($B$3,8,16),'Leave log'!$C$7:$C$306,"&gt;="&amp;DATE($B$3,8,16),'Leave log'!$F$7:$F$306,"Approved")&gt;0,"A",""))="A","A",IF(OR(DATE($B$3,8,16)&gt;EOMONTH(DATE($B$3,8,1),0),NETWORKDAYS.INTL(DATE($B$3,8,16),DATE($B$3,8,16),1,'Non-working days'!$A$6:$A$45)=0),"",IF(COUNTIFS('Leave log'!$A$7:$A$306,Employees!$A$11,'Leave log'!$B$7:$B$306,"&lt;="&amp;DATE($B$3,8,16),'Leave log'!$C$7:$C$306,"&gt;="&amp;DATE($B$3,8,16),'Leave log'!$F$7:$F$306,"Pending")&gt;0,"P",""))))</f>
        <v/>
      </c>
      <c r="R250" s="23" t="str">
        <f>IF(A250="","",IF(IF(OR(DATE($B$3,8,17)&gt;EOMONTH(DATE($B$3,8,1),0),NETWORKDAYS.INTL(DATE($B$3,8,17),DATE($B$3,8,17),1,'Non-working days'!$A$6:$A$45)=0),"",IF(COUNTIFS('Leave log'!$A$7:$A$306,Employees!$A$11,'Leave log'!$B$7:$B$306,"&lt;="&amp;DATE($B$3,8,17),'Leave log'!$C$7:$C$306,"&gt;="&amp;DATE($B$3,8,17),'Leave log'!$F$7:$F$306,"Approved")&gt;0,"A",""))="A","A",IF(OR(DATE($B$3,8,17)&gt;EOMONTH(DATE($B$3,8,1),0),NETWORKDAYS.INTL(DATE($B$3,8,17),DATE($B$3,8,17),1,'Non-working days'!$A$6:$A$45)=0),"",IF(COUNTIFS('Leave log'!$A$7:$A$306,Employees!$A$11,'Leave log'!$B$7:$B$306,"&lt;="&amp;DATE($B$3,8,17),'Leave log'!$C$7:$C$306,"&gt;="&amp;DATE($B$3,8,17),'Leave log'!$F$7:$F$306,"Pending")&gt;0,"P",""))))</f>
        <v/>
      </c>
      <c r="S250" s="23" t="str">
        <f>IF(A250="","",IF(IF(OR(DATE($B$3,8,18)&gt;EOMONTH(DATE($B$3,8,1),0),NETWORKDAYS.INTL(DATE($B$3,8,18),DATE($B$3,8,18),1,'Non-working days'!$A$6:$A$45)=0),"",IF(COUNTIFS('Leave log'!$A$7:$A$306,Employees!$A$11,'Leave log'!$B$7:$B$306,"&lt;="&amp;DATE($B$3,8,18),'Leave log'!$C$7:$C$306,"&gt;="&amp;DATE($B$3,8,18),'Leave log'!$F$7:$F$306,"Approved")&gt;0,"A",""))="A","A",IF(OR(DATE($B$3,8,18)&gt;EOMONTH(DATE($B$3,8,1),0),NETWORKDAYS.INTL(DATE($B$3,8,18),DATE($B$3,8,18),1,'Non-working days'!$A$6:$A$45)=0),"",IF(COUNTIFS('Leave log'!$A$7:$A$306,Employees!$A$11,'Leave log'!$B$7:$B$306,"&lt;="&amp;DATE($B$3,8,18),'Leave log'!$C$7:$C$306,"&gt;="&amp;DATE($B$3,8,18),'Leave log'!$F$7:$F$306,"Pending")&gt;0,"P",""))))</f>
        <v/>
      </c>
      <c r="T250" s="23" t="str">
        <f>IF(A250="","",IF(IF(OR(DATE($B$3,8,19)&gt;EOMONTH(DATE($B$3,8,1),0),NETWORKDAYS.INTL(DATE($B$3,8,19),DATE($B$3,8,19),1,'Non-working days'!$A$6:$A$45)=0),"",IF(COUNTIFS('Leave log'!$A$7:$A$306,Employees!$A$11,'Leave log'!$B$7:$B$306,"&lt;="&amp;DATE($B$3,8,19),'Leave log'!$C$7:$C$306,"&gt;="&amp;DATE($B$3,8,19),'Leave log'!$F$7:$F$306,"Approved")&gt;0,"A",""))="A","A",IF(OR(DATE($B$3,8,19)&gt;EOMONTH(DATE($B$3,8,1),0),NETWORKDAYS.INTL(DATE($B$3,8,19),DATE($B$3,8,19),1,'Non-working days'!$A$6:$A$45)=0),"",IF(COUNTIFS('Leave log'!$A$7:$A$306,Employees!$A$11,'Leave log'!$B$7:$B$306,"&lt;="&amp;DATE($B$3,8,19),'Leave log'!$C$7:$C$306,"&gt;="&amp;DATE($B$3,8,19),'Leave log'!$F$7:$F$306,"Pending")&gt;0,"P",""))))</f>
        <v/>
      </c>
      <c r="U250" s="23" t="str">
        <f>IF(A250="","",IF(IF(OR(DATE($B$3,8,20)&gt;EOMONTH(DATE($B$3,8,1),0),NETWORKDAYS.INTL(DATE($B$3,8,20),DATE($B$3,8,20),1,'Non-working days'!$A$6:$A$45)=0),"",IF(COUNTIFS('Leave log'!$A$7:$A$306,Employees!$A$11,'Leave log'!$B$7:$B$306,"&lt;="&amp;DATE($B$3,8,20),'Leave log'!$C$7:$C$306,"&gt;="&amp;DATE($B$3,8,20),'Leave log'!$F$7:$F$306,"Approved")&gt;0,"A",""))="A","A",IF(OR(DATE($B$3,8,20)&gt;EOMONTH(DATE($B$3,8,1),0),NETWORKDAYS.INTL(DATE($B$3,8,20),DATE($B$3,8,20),1,'Non-working days'!$A$6:$A$45)=0),"",IF(COUNTIFS('Leave log'!$A$7:$A$306,Employees!$A$11,'Leave log'!$B$7:$B$306,"&lt;="&amp;DATE($B$3,8,20),'Leave log'!$C$7:$C$306,"&gt;="&amp;DATE($B$3,8,20),'Leave log'!$F$7:$F$306,"Pending")&gt;0,"P",""))))</f>
        <v/>
      </c>
      <c r="V250" s="23" t="str">
        <f>IF(A250="","",IF(IF(OR(DATE($B$3,8,21)&gt;EOMONTH(DATE($B$3,8,1),0),NETWORKDAYS.INTL(DATE($B$3,8,21),DATE($B$3,8,21),1,'Non-working days'!$A$6:$A$45)=0),"",IF(COUNTIFS('Leave log'!$A$7:$A$306,Employees!$A$11,'Leave log'!$B$7:$B$306,"&lt;="&amp;DATE($B$3,8,21),'Leave log'!$C$7:$C$306,"&gt;="&amp;DATE($B$3,8,21),'Leave log'!$F$7:$F$306,"Approved")&gt;0,"A",""))="A","A",IF(OR(DATE($B$3,8,21)&gt;EOMONTH(DATE($B$3,8,1),0),NETWORKDAYS.INTL(DATE($B$3,8,21),DATE($B$3,8,21),1,'Non-working days'!$A$6:$A$45)=0),"",IF(COUNTIFS('Leave log'!$A$7:$A$306,Employees!$A$11,'Leave log'!$B$7:$B$306,"&lt;="&amp;DATE($B$3,8,21),'Leave log'!$C$7:$C$306,"&gt;="&amp;DATE($B$3,8,21),'Leave log'!$F$7:$F$306,"Pending")&gt;0,"P",""))))</f>
        <v/>
      </c>
      <c r="W250" s="23" t="str">
        <f>IF(A250="","",IF(IF(OR(DATE($B$3,8,22)&gt;EOMONTH(DATE($B$3,8,1),0),NETWORKDAYS.INTL(DATE($B$3,8,22),DATE($B$3,8,22),1,'Non-working days'!$A$6:$A$45)=0),"",IF(COUNTIFS('Leave log'!$A$7:$A$306,Employees!$A$11,'Leave log'!$B$7:$B$306,"&lt;="&amp;DATE($B$3,8,22),'Leave log'!$C$7:$C$306,"&gt;="&amp;DATE($B$3,8,22),'Leave log'!$F$7:$F$306,"Approved")&gt;0,"A",""))="A","A",IF(OR(DATE($B$3,8,22)&gt;EOMONTH(DATE($B$3,8,1),0),NETWORKDAYS.INTL(DATE($B$3,8,22),DATE($B$3,8,22),1,'Non-working days'!$A$6:$A$45)=0),"",IF(COUNTIFS('Leave log'!$A$7:$A$306,Employees!$A$11,'Leave log'!$B$7:$B$306,"&lt;="&amp;DATE($B$3,8,22),'Leave log'!$C$7:$C$306,"&gt;="&amp;DATE($B$3,8,22),'Leave log'!$F$7:$F$306,"Pending")&gt;0,"P",""))))</f>
        <v/>
      </c>
      <c r="X250" s="23" t="str">
        <f>IF(A250="","",IF(IF(OR(DATE($B$3,8,23)&gt;EOMONTH(DATE($B$3,8,1),0),NETWORKDAYS.INTL(DATE($B$3,8,23),DATE($B$3,8,23),1,'Non-working days'!$A$6:$A$45)=0),"",IF(COUNTIFS('Leave log'!$A$7:$A$306,Employees!$A$11,'Leave log'!$B$7:$B$306,"&lt;="&amp;DATE($B$3,8,23),'Leave log'!$C$7:$C$306,"&gt;="&amp;DATE($B$3,8,23),'Leave log'!$F$7:$F$306,"Approved")&gt;0,"A",""))="A","A",IF(OR(DATE($B$3,8,23)&gt;EOMONTH(DATE($B$3,8,1),0),NETWORKDAYS.INTL(DATE($B$3,8,23),DATE($B$3,8,23),1,'Non-working days'!$A$6:$A$45)=0),"",IF(COUNTIFS('Leave log'!$A$7:$A$306,Employees!$A$11,'Leave log'!$B$7:$B$306,"&lt;="&amp;DATE($B$3,8,23),'Leave log'!$C$7:$C$306,"&gt;="&amp;DATE($B$3,8,23),'Leave log'!$F$7:$F$306,"Pending")&gt;0,"P",""))))</f>
        <v/>
      </c>
      <c r="Y250" s="23" t="str">
        <f>IF(A250="","",IF(IF(OR(DATE($B$3,8,24)&gt;EOMONTH(DATE($B$3,8,1),0),NETWORKDAYS.INTL(DATE($B$3,8,24),DATE($B$3,8,24),1,'Non-working days'!$A$6:$A$45)=0),"",IF(COUNTIFS('Leave log'!$A$7:$A$306,Employees!$A$11,'Leave log'!$B$7:$B$306,"&lt;="&amp;DATE($B$3,8,24),'Leave log'!$C$7:$C$306,"&gt;="&amp;DATE($B$3,8,24),'Leave log'!$F$7:$F$306,"Approved")&gt;0,"A",""))="A","A",IF(OR(DATE($B$3,8,24)&gt;EOMONTH(DATE($B$3,8,1),0),NETWORKDAYS.INTL(DATE($B$3,8,24),DATE($B$3,8,24),1,'Non-working days'!$A$6:$A$45)=0),"",IF(COUNTIFS('Leave log'!$A$7:$A$306,Employees!$A$11,'Leave log'!$B$7:$B$306,"&lt;="&amp;DATE($B$3,8,24),'Leave log'!$C$7:$C$306,"&gt;="&amp;DATE($B$3,8,24),'Leave log'!$F$7:$F$306,"Pending")&gt;0,"P",""))))</f>
        <v/>
      </c>
      <c r="Z250" s="23" t="str">
        <f>IF(A250="","",IF(IF(OR(DATE($B$3,8,25)&gt;EOMONTH(DATE($B$3,8,1),0),NETWORKDAYS.INTL(DATE($B$3,8,25),DATE($B$3,8,25),1,'Non-working days'!$A$6:$A$45)=0),"",IF(COUNTIFS('Leave log'!$A$7:$A$306,Employees!$A$11,'Leave log'!$B$7:$B$306,"&lt;="&amp;DATE($B$3,8,25),'Leave log'!$C$7:$C$306,"&gt;="&amp;DATE($B$3,8,25),'Leave log'!$F$7:$F$306,"Approved")&gt;0,"A",""))="A","A",IF(OR(DATE($B$3,8,25)&gt;EOMONTH(DATE($B$3,8,1),0),NETWORKDAYS.INTL(DATE($B$3,8,25),DATE($B$3,8,25),1,'Non-working days'!$A$6:$A$45)=0),"",IF(COUNTIFS('Leave log'!$A$7:$A$306,Employees!$A$11,'Leave log'!$B$7:$B$306,"&lt;="&amp;DATE($B$3,8,25),'Leave log'!$C$7:$C$306,"&gt;="&amp;DATE($B$3,8,25),'Leave log'!$F$7:$F$306,"Pending")&gt;0,"P",""))))</f>
        <v/>
      </c>
      <c r="AA250" s="23" t="str">
        <f>IF(A250="","",IF(IF(OR(DATE($B$3,8,26)&gt;EOMONTH(DATE($B$3,8,1),0),NETWORKDAYS.INTL(DATE($B$3,8,26),DATE($B$3,8,26),1,'Non-working days'!$A$6:$A$45)=0),"",IF(COUNTIFS('Leave log'!$A$7:$A$306,Employees!$A$11,'Leave log'!$B$7:$B$306,"&lt;="&amp;DATE($B$3,8,26),'Leave log'!$C$7:$C$306,"&gt;="&amp;DATE($B$3,8,26),'Leave log'!$F$7:$F$306,"Approved")&gt;0,"A",""))="A","A",IF(OR(DATE($B$3,8,26)&gt;EOMONTH(DATE($B$3,8,1),0),NETWORKDAYS.INTL(DATE($B$3,8,26),DATE($B$3,8,26),1,'Non-working days'!$A$6:$A$45)=0),"",IF(COUNTIFS('Leave log'!$A$7:$A$306,Employees!$A$11,'Leave log'!$B$7:$B$306,"&lt;="&amp;DATE($B$3,8,26),'Leave log'!$C$7:$C$306,"&gt;="&amp;DATE($B$3,8,26),'Leave log'!$F$7:$F$306,"Pending")&gt;0,"P",""))))</f>
        <v/>
      </c>
      <c r="AB250" s="23" t="str">
        <f>IF(A250="","",IF(IF(OR(DATE($B$3,8,27)&gt;EOMONTH(DATE($B$3,8,1),0),NETWORKDAYS.INTL(DATE($B$3,8,27),DATE($B$3,8,27),1,'Non-working days'!$A$6:$A$45)=0),"",IF(COUNTIFS('Leave log'!$A$7:$A$306,Employees!$A$11,'Leave log'!$B$7:$B$306,"&lt;="&amp;DATE($B$3,8,27),'Leave log'!$C$7:$C$306,"&gt;="&amp;DATE($B$3,8,27),'Leave log'!$F$7:$F$306,"Approved")&gt;0,"A",""))="A","A",IF(OR(DATE($B$3,8,27)&gt;EOMONTH(DATE($B$3,8,1),0),NETWORKDAYS.INTL(DATE($B$3,8,27),DATE($B$3,8,27),1,'Non-working days'!$A$6:$A$45)=0),"",IF(COUNTIFS('Leave log'!$A$7:$A$306,Employees!$A$11,'Leave log'!$B$7:$B$306,"&lt;="&amp;DATE($B$3,8,27),'Leave log'!$C$7:$C$306,"&gt;="&amp;DATE($B$3,8,27),'Leave log'!$F$7:$F$306,"Pending")&gt;0,"P",""))))</f>
        <v/>
      </c>
      <c r="AC250" s="23" t="str">
        <f>IF(A250="","",IF(IF(OR(DATE($B$3,8,28)&gt;EOMONTH(DATE($B$3,8,1),0),NETWORKDAYS.INTL(DATE($B$3,8,28),DATE($B$3,8,28),1,'Non-working days'!$A$6:$A$45)=0),"",IF(COUNTIFS('Leave log'!$A$7:$A$306,Employees!$A$11,'Leave log'!$B$7:$B$306,"&lt;="&amp;DATE($B$3,8,28),'Leave log'!$C$7:$C$306,"&gt;="&amp;DATE($B$3,8,28),'Leave log'!$F$7:$F$306,"Approved")&gt;0,"A",""))="A","A",IF(OR(DATE($B$3,8,28)&gt;EOMONTH(DATE($B$3,8,1),0),NETWORKDAYS.INTL(DATE($B$3,8,28),DATE($B$3,8,28),1,'Non-working days'!$A$6:$A$45)=0),"",IF(COUNTIFS('Leave log'!$A$7:$A$306,Employees!$A$11,'Leave log'!$B$7:$B$306,"&lt;="&amp;DATE($B$3,8,28),'Leave log'!$C$7:$C$306,"&gt;="&amp;DATE($B$3,8,28),'Leave log'!$F$7:$F$306,"Pending")&gt;0,"P",""))))</f>
        <v/>
      </c>
      <c r="AD250" s="23" t="str">
        <f>IF(A250="","",IF(IF(OR(DATE($B$3,8,29)&gt;EOMONTH(DATE($B$3,8,1),0),NETWORKDAYS.INTL(DATE($B$3,8,29),DATE($B$3,8,29),1,'Non-working days'!$A$6:$A$45)=0),"",IF(COUNTIFS('Leave log'!$A$7:$A$306,Employees!$A$11,'Leave log'!$B$7:$B$306,"&lt;="&amp;DATE($B$3,8,29),'Leave log'!$C$7:$C$306,"&gt;="&amp;DATE($B$3,8,29),'Leave log'!$F$7:$F$306,"Approved")&gt;0,"A",""))="A","A",IF(OR(DATE($B$3,8,29)&gt;EOMONTH(DATE($B$3,8,1),0),NETWORKDAYS.INTL(DATE($B$3,8,29),DATE($B$3,8,29),1,'Non-working days'!$A$6:$A$45)=0),"",IF(COUNTIFS('Leave log'!$A$7:$A$306,Employees!$A$11,'Leave log'!$B$7:$B$306,"&lt;="&amp;DATE($B$3,8,29),'Leave log'!$C$7:$C$306,"&gt;="&amp;DATE($B$3,8,29),'Leave log'!$F$7:$F$306,"Pending")&gt;0,"P",""))))</f>
        <v/>
      </c>
      <c r="AE250" s="23" t="str">
        <f>IF(A250="","",IF(IF(OR(DATE($B$3,8,30)&gt;EOMONTH(DATE($B$3,8,1),0),NETWORKDAYS.INTL(DATE($B$3,8,30),DATE($B$3,8,30),1,'Non-working days'!$A$6:$A$45)=0),"",IF(COUNTIFS('Leave log'!$A$7:$A$306,Employees!$A$11,'Leave log'!$B$7:$B$306,"&lt;="&amp;DATE($B$3,8,30),'Leave log'!$C$7:$C$306,"&gt;="&amp;DATE($B$3,8,30),'Leave log'!$F$7:$F$306,"Approved")&gt;0,"A",""))="A","A",IF(OR(DATE($B$3,8,30)&gt;EOMONTH(DATE($B$3,8,1),0),NETWORKDAYS.INTL(DATE($B$3,8,30),DATE($B$3,8,30),1,'Non-working days'!$A$6:$A$45)=0),"",IF(COUNTIFS('Leave log'!$A$7:$A$306,Employees!$A$11,'Leave log'!$B$7:$B$306,"&lt;="&amp;DATE($B$3,8,30),'Leave log'!$C$7:$C$306,"&gt;="&amp;DATE($B$3,8,30),'Leave log'!$F$7:$F$306,"Pending")&gt;0,"P",""))))</f>
        <v/>
      </c>
      <c r="AF250" s="23" t="str">
        <f>IF(A250="","",IF(IF(OR(DATE($B$3,8,31)&gt;EOMONTH(DATE($B$3,8,1),0),NETWORKDAYS.INTL(DATE($B$3,8,31),DATE($B$3,8,31),1,'Non-working days'!$A$6:$A$45)=0),"",IF(COUNTIFS('Leave log'!$A$7:$A$306,Employees!$A$11,'Leave log'!$B$7:$B$306,"&lt;="&amp;DATE($B$3,8,31),'Leave log'!$C$7:$C$306,"&gt;="&amp;DATE($B$3,8,31),'Leave log'!$F$7:$F$306,"Approved")&gt;0,"A",""))="A","A",IF(OR(DATE($B$3,8,31)&gt;EOMONTH(DATE($B$3,8,1),0),NETWORKDAYS.INTL(DATE($B$3,8,31),DATE($B$3,8,31),1,'Non-working days'!$A$6:$A$45)=0),"",IF(COUNTIFS('Leave log'!$A$7:$A$306,Employees!$A$11,'Leave log'!$B$7:$B$306,"&lt;="&amp;DATE($B$3,8,31),'Leave log'!$C$7:$C$306,"&gt;="&amp;DATE($B$3,8,31),'Leave log'!$F$7:$F$306,"Pending")&gt;0,"P",""))))</f>
        <v/>
      </c>
    </row>
    <row r="251" spans="1:32" ht="18" customHeight="1" x14ac:dyDescent="0.3">
      <c r="A251" s="22" t="str">
        <f>IF(Employees!F12="Yes",Employees!B12,"")</f>
        <v/>
      </c>
      <c r="B251" s="23" t="str">
        <f>IF(A251="","",IF(IF(OR(DATE($B$3,8,1)&gt;EOMONTH(DATE($B$3,8,1),0),NETWORKDAYS.INTL(DATE($B$3,8,1),DATE($B$3,8,1),1,'Non-working days'!$A$6:$A$45)=0),"",IF(COUNTIFS('Leave log'!$A$7:$A$306,Employees!$A$12,'Leave log'!$B$7:$B$306,"&lt;="&amp;DATE($B$3,8,1),'Leave log'!$C$7:$C$306,"&gt;="&amp;DATE($B$3,8,1),'Leave log'!$F$7:$F$306,"Approved")&gt;0,"A",""))="A","A",IF(OR(DATE($B$3,8,1)&gt;EOMONTH(DATE($B$3,8,1),0),NETWORKDAYS.INTL(DATE($B$3,8,1),DATE($B$3,8,1),1,'Non-working days'!$A$6:$A$45)=0),"",IF(COUNTIFS('Leave log'!$A$7:$A$306,Employees!$A$12,'Leave log'!$B$7:$B$306,"&lt;="&amp;DATE($B$3,8,1),'Leave log'!$C$7:$C$306,"&gt;="&amp;DATE($B$3,8,1),'Leave log'!$F$7:$F$306,"Pending")&gt;0,"P",""))))</f>
        <v/>
      </c>
      <c r="C251" s="23" t="str">
        <f>IF(A251="","",IF(IF(OR(DATE($B$3,8,2)&gt;EOMONTH(DATE($B$3,8,1),0),NETWORKDAYS.INTL(DATE($B$3,8,2),DATE($B$3,8,2),1,'Non-working days'!$A$6:$A$45)=0),"",IF(COUNTIFS('Leave log'!$A$7:$A$306,Employees!$A$12,'Leave log'!$B$7:$B$306,"&lt;="&amp;DATE($B$3,8,2),'Leave log'!$C$7:$C$306,"&gt;="&amp;DATE($B$3,8,2),'Leave log'!$F$7:$F$306,"Approved")&gt;0,"A",""))="A","A",IF(OR(DATE($B$3,8,2)&gt;EOMONTH(DATE($B$3,8,1),0),NETWORKDAYS.INTL(DATE($B$3,8,2),DATE($B$3,8,2),1,'Non-working days'!$A$6:$A$45)=0),"",IF(COUNTIFS('Leave log'!$A$7:$A$306,Employees!$A$12,'Leave log'!$B$7:$B$306,"&lt;="&amp;DATE($B$3,8,2),'Leave log'!$C$7:$C$306,"&gt;="&amp;DATE($B$3,8,2),'Leave log'!$F$7:$F$306,"Pending")&gt;0,"P",""))))</f>
        <v/>
      </c>
      <c r="D251" s="23" t="str">
        <f>IF(A251="","",IF(IF(OR(DATE($B$3,8,3)&gt;EOMONTH(DATE($B$3,8,1),0),NETWORKDAYS.INTL(DATE($B$3,8,3),DATE($B$3,8,3),1,'Non-working days'!$A$6:$A$45)=0),"",IF(COUNTIFS('Leave log'!$A$7:$A$306,Employees!$A$12,'Leave log'!$B$7:$B$306,"&lt;="&amp;DATE($B$3,8,3),'Leave log'!$C$7:$C$306,"&gt;="&amp;DATE($B$3,8,3),'Leave log'!$F$7:$F$306,"Approved")&gt;0,"A",""))="A","A",IF(OR(DATE($B$3,8,3)&gt;EOMONTH(DATE($B$3,8,1),0),NETWORKDAYS.INTL(DATE($B$3,8,3),DATE($B$3,8,3),1,'Non-working days'!$A$6:$A$45)=0),"",IF(COUNTIFS('Leave log'!$A$7:$A$306,Employees!$A$12,'Leave log'!$B$7:$B$306,"&lt;="&amp;DATE($B$3,8,3),'Leave log'!$C$7:$C$306,"&gt;="&amp;DATE($B$3,8,3),'Leave log'!$F$7:$F$306,"Pending")&gt;0,"P",""))))</f>
        <v/>
      </c>
      <c r="E251" s="23" t="str">
        <f>IF(A251="","",IF(IF(OR(DATE($B$3,8,4)&gt;EOMONTH(DATE($B$3,8,1),0),NETWORKDAYS.INTL(DATE($B$3,8,4),DATE($B$3,8,4),1,'Non-working days'!$A$6:$A$45)=0),"",IF(COUNTIFS('Leave log'!$A$7:$A$306,Employees!$A$12,'Leave log'!$B$7:$B$306,"&lt;="&amp;DATE($B$3,8,4),'Leave log'!$C$7:$C$306,"&gt;="&amp;DATE($B$3,8,4),'Leave log'!$F$7:$F$306,"Approved")&gt;0,"A",""))="A","A",IF(OR(DATE($B$3,8,4)&gt;EOMONTH(DATE($B$3,8,1),0),NETWORKDAYS.INTL(DATE($B$3,8,4),DATE($B$3,8,4),1,'Non-working days'!$A$6:$A$45)=0),"",IF(COUNTIFS('Leave log'!$A$7:$A$306,Employees!$A$12,'Leave log'!$B$7:$B$306,"&lt;="&amp;DATE($B$3,8,4),'Leave log'!$C$7:$C$306,"&gt;="&amp;DATE($B$3,8,4),'Leave log'!$F$7:$F$306,"Pending")&gt;0,"P",""))))</f>
        <v/>
      </c>
      <c r="F251" s="23" t="str">
        <f>IF(A251="","",IF(IF(OR(DATE($B$3,8,5)&gt;EOMONTH(DATE($B$3,8,1),0),NETWORKDAYS.INTL(DATE($B$3,8,5),DATE($B$3,8,5),1,'Non-working days'!$A$6:$A$45)=0),"",IF(COUNTIFS('Leave log'!$A$7:$A$306,Employees!$A$12,'Leave log'!$B$7:$B$306,"&lt;="&amp;DATE($B$3,8,5),'Leave log'!$C$7:$C$306,"&gt;="&amp;DATE($B$3,8,5),'Leave log'!$F$7:$F$306,"Approved")&gt;0,"A",""))="A","A",IF(OR(DATE($B$3,8,5)&gt;EOMONTH(DATE($B$3,8,1),0),NETWORKDAYS.INTL(DATE($B$3,8,5),DATE($B$3,8,5),1,'Non-working days'!$A$6:$A$45)=0),"",IF(COUNTIFS('Leave log'!$A$7:$A$306,Employees!$A$12,'Leave log'!$B$7:$B$306,"&lt;="&amp;DATE($B$3,8,5),'Leave log'!$C$7:$C$306,"&gt;="&amp;DATE($B$3,8,5),'Leave log'!$F$7:$F$306,"Pending")&gt;0,"P",""))))</f>
        <v/>
      </c>
      <c r="G251" s="23" t="str">
        <f>IF(A251="","",IF(IF(OR(DATE($B$3,8,6)&gt;EOMONTH(DATE($B$3,8,1),0),NETWORKDAYS.INTL(DATE($B$3,8,6),DATE($B$3,8,6),1,'Non-working days'!$A$6:$A$45)=0),"",IF(COUNTIFS('Leave log'!$A$7:$A$306,Employees!$A$12,'Leave log'!$B$7:$B$306,"&lt;="&amp;DATE($B$3,8,6),'Leave log'!$C$7:$C$306,"&gt;="&amp;DATE($B$3,8,6),'Leave log'!$F$7:$F$306,"Approved")&gt;0,"A",""))="A","A",IF(OR(DATE($B$3,8,6)&gt;EOMONTH(DATE($B$3,8,1),0),NETWORKDAYS.INTL(DATE($B$3,8,6),DATE($B$3,8,6),1,'Non-working days'!$A$6:$A$45)=0),"",IF(COUNTIFS('Leave log'!$A$7:$A$306,Employees!$A$12,'Leave log'!$B$7:$B$306,"&lt;="&amp;DATE($B$3,8,6),'Leave log'!$C$7:$C$306,"&gt;="&amp;DATE($B$3,8,6),'Leave log'!$F$7:$F$306,"Pending")&gt;0,"P",""))))</f>
        <v/>
      </c>
      <c r="H251" s="23" t="str">
        <f>IF(A251="","",IF(IF(OR(DATE($B$3,8,7)&gt;EOMONTH(DATE($B$3,8,1),0),NETWORKDAYS.INTL(DATE($B$3,8,7),DATE($B$3,8,7),1,'Non-working days'!$A$6:$A$45)=0),"",IF(COUNTIFS('Leave log'!$A$7:$A$306,Employees!$A$12,'Leave log'!$B$7:$B$306,"&lt;="&amp;DATE($B$3,8,7),'Leave log'!$C$7:$C$306,"&gt;="&amp;DATE($B$3,8,7),'Leave log'!$F$7:$F$306,"Approved")&gt;0,"A",""))="A","A",IF(OR(DATE($B$3,8,7)&gt;EOMONTH(DATE($B$3,8,1),0),NETWORKDAYS.INTL(DATE($B$3,8,7),DATE($B$3,8,7),1,'Non-working days'!$A$6:$A$45)=0),"",IF(COUNTIFS('Leave log'!$A$7:$A$306,Employees!$A$12,'Leave log'!$B$7:$B$306,"&lt;="&amp;DATE($B$3,8,7),'Leave log'!$C$7:$C$306,"&gt;="&amp;DATE($B$3,8,7),'Leave log'!$F$7:$F$306,"Pending")&gt;0,"P",""))))</f>
        <v/>
      </c>
      <c r="I251" s="23" t="str">
        <f>IF(A251="","",IF(IF(OR(DATE($B$3,8,8)&gt;EOMONTH(DATE($B$3,8,1),0),NETWORKDAYS.INTL(DATE($B$3,8,8),DATE($B$3,8,8),1,'Non-working days'!$A$6:$A$45)=0),"",IF(COUNTIFS('Leave log'!$A$7:$A$306,Employees!$A$12,'Leave log'!$B$7:$B$306,"&lt;="&amp;DATE($B$3,8,8),'Leave log'!$C$7:$C$306,"&gt;="&amp;DATE($B$3,8,8),'Leave log'!$F$7:$F$306,"Approved")&gt;0,"A",""))="A","A",IF(OR(DATE($B$3,8,8)&gt;EOMONTH(DATE($B$3,8,1),0),NETWORKDAYS.INTL(DATE($B$3,8,8),DATE($B$3,8,8),1,'Non-working days'!$A$6:$A$45)=0),"",IF(COUNTIFS('Leave log'!$A$7:$A$306,Employees!$A$12,'Leave log'!$B$7:$B$306,"&lt;="&amp;DATE($B$3,8,8),'Leave log'!$C$7:$C$306,"&gt;="&amp;DATE($B$3,8,8),'Leave log'!$F$7:$F$306,"Pending")&gt;0,"P",""))))</f>
        <v/>
      </c>
      <c r="J251" s="23" t="str">
        <f>IF(A251="","",IF(IF(OR(DATE($B$3,8,9)&gt;EOMONTH(DATE($B$3,8,1),0),NETWORKDAYS.INTL(DATE($B$3,8,9),DATE($B$3,8,9),1,'Non-working days'!$A$6:$A$45)=0),"",IF(COUNTIFS('Leave log'!$A$7:$A$306,Employees!$A$12,'Leave log'!$B$7:$B$306,"&lt;="&amp;DATE($B$3,8,9),'Leave log'!$C$7:$C$306,"&gt;="&amp;DATE($B$3,8,9),'Leave log'!$F$7:$F$306,"Approved")&gt;0,"A",""))="A","A",IF(OR(DATE($B$3,8,9)&gt;EOMONTH(DATE($B$3,8,1),0),NETWORKDAYS.INTL(DATE($B$3,8,9),DATE($B$3,8,9),1,'Non-working days'!$A$6:$A$45)=0),"",IF(COUNTIFS('Leave log'!$A$7:$A$306,Employees!$A$12,'Leave log'!$B$7:$B$306,"&lt;="&amp;DATE($B$3,8,9),'Leave log'!$C$7:$C$306,"&gt;="&amp;DATE($B$3,8,9),'Leave log'!$F$7:$F$306,"Pending")&gt;0,"P",""))))</f>
        <v/>
      </c>
      <c r="K251" s="23" t="str">
        <f>IF(A251="","",IF(IF(OR(DATE($B$3,8,10)&gt;EOMONTH(DATE($B$3,8,1),0),NETWORKDAYS.INTL(DATE($B$3,8,10),DATE($B$3,8,10),1,'Non-working days'!$A$6:$A$45)=0),"",IF(COUNTIFS('Leave log'!$A$7:$A$306,Employees!$A$12,'Leave log'!$B$7:$B$306,"&lt;="&amp;DATE($B$3,8,10),'Leave log'!$C$7:$C$306,"&gt;="&amp;DATE($B$3,8,10),'Leave log'!$F$7:$F$306,"Approved")&gt;0,"A",""))="A","A",IF(OR(DATE($B$3,8,10)&gt;EOMONTH(DATE($B$3,8,1),0),NETWORKDAYS.INTL(DATE($B$3,8,10),DATE($B$3,8,10),1,'Non-working days'!$A$6:$A$45)=0),"",IF(COUNTIFS('Leave log'!$A$7:$A$306,Employees!$A$12,'Leave log'!$B$7:$B$306,"&lt;="&amp;DATE($B$3,8,10),'Leave log'!$C$7:$C$306,"&gt;="&amp;DATE($B$3,8,10),'Leave log'!$F$7:$F$306,"Pending")&gt;0,"P",""))))</f>
        <v/>
      </c>
      <c r="L251" s="23" t="str">
        <f>IF(A251="","",IF(IF(OR(DATE($B$3,8,11)&gt;EOMONTH(DATE($B$3,8,1),0),NETWORKDAYS.INTL(DATE($B$3,8,11),DATE($B$3,8,11),1,'Non-working days'!$A$6:$A$45)=0),"",IF(COUNTIFS('Leave log'!$A$7:$A$306,Employees!$A$12,'Leave log'!$B$7:$B$306,"&lt;="&amp;DATE($B$3,8,11),'Leave log'!$C$7:$C$306,"&gt;="&amp;DATE($B$3,8,11),'Leave log'!$F$7:$F$306,"Approved")&gt;0,"A",""))="A","A",IF(OR(DATE($B$3,8,11)&gt;EOMONTH(DATE($B$3,8,1),0),NETWORKDAYS.INTL(DATE($B$3,8,11),DATE($B$3,8,11),1,'Non-working days'!$A$6:$A$45)=0),"",IF(COUNTIFS('Leave log'!$A$7:$A$306,Employees!$A$12,'Leave log'!$B$7:$B$306,"&lt;="&amp;DATE($B$3,8,11),'Leave log'!$C$7:$C$306,"&gt;="&amp;DATE($B$3,8,11),'Leave log'!$F$7:$F$306,"Pending")&gt;0,"P",""))))</f>
        <v/>
      </c>
      <c r="M251" s="23" t="str">
        <f>IF(A251="","",IF(IF(OR(DATE($B$3,8,12)&gt;EOMONTH(DATE($B$3,8,1),0),NETWORKDAYS.INTL(DATE($B$3,8,12),DATE($B$3,8,12),1,'Non-working days'!$A$6:$A$45)=0),"",IF(COUNTIFS('Leave log'!$A$7:$A$306,Employees!$A$12,'Leave log'!$B$7:$B$306,"&lt;="&amp;DATE($B$3,8,12),'Leave log'!$C$7:$C$306,"&gt;="&amp;DATE($B$3,8,12),'Leave log'!$F$7:$F$306,"Approved")&gt;0,"A",""))="A","A",IF(OR(DATE($B$3,8,12)&gt;EOMONTH(DATE($B$3,8,1),0),NETWORKDAYS.INTL(DATE($B$3,8,12),DATE($B$3,8,12),1,'Non-working days'!$A$6:$A$45)=0),"",IF(COUNTIFS('Leave log'!$A$7:$A$306,Employees!$A$12,'Leave log'!$B$7:$B$306,"&lt;="&amp;DATE($B$3,8,12),'Leave log'!$C$7:$C$306,"&gt;="&amp;DATE($B$3,8,12),'Leave log'!$F$7:$F$306,"Pending")&gt;0,"P",""))))</f>
        <v/>
      </c>
      <c r="N251" s="23" t="str">
        <f>IF(A251="","",IF(IF(OR(DATE($B$3,8,13)&gt;EOMONTH(DATE($B$3,8,1),0),NETWORKDAYS.INTL(DATE($B$3,8,13),DATE($B$3,8,13),1,'Non-working days'!$A$6:$A$45)=0),"",IF(COUNTIFS('Leave log'!$A$7:$A$306,Employees!$A$12,'Leave log'!$B$7:$B$306,"&lt;="&amp;DATE($B$3,8,13),'Leave log'!$C$7:$C$306,"&gt;="&amp;DATE($B$3,8,13),'Leave log'!$F$7:$F$306,"Approved")&gt;0,"A",""))="A","A",IF(OR(DATE($B$3,8,13)&gt;EOMONTH(DATE($B$3,8,1),0),NETWORKDAYS.INTL(DATE($B$3,8,13),DATE($B$3,8,13),1,'Non-working days'!$A$6:$A$45)=0),"",IF(COUNTIFS('Leave log'!$A$7:$A$306,Employees!$A$12,'Leave log'!$B$7:$B$306,"&lt;="&amp;DATE($B$3,8,13),'Leave log'!$C$7:$C$306,"&gt;="&amp;DATE($B$3,8,13),'Leave log'!$F$7:$F$306,"Pending")&gt;0,"P",""))))</f>
        <v/>
      </c>
      <c r="O251" s="23" t="str">
        <f>IF(A251="","",IF(IF(OR(DATE($B$3,8,14)&gt;EOMONTH(DATE($B$3,8,1),0),NETWORKDAYS.INTL(DATE($B$3,8,14),DATE($B$3,8,14),1,'Non-working days'!$A$6:$A$45)=0),"",IF(COUNTIFS('Leave log'!$A$7:$A$306,Employees!$A$12,'Leave log'!$B$7:$B$306,"&lt;="&amp;DATE($B$3,8,14),'Leave log'!$C$7:$C$306,"&gt;="&amp;DATE($B$3,8,14),'Leave log'!$F$7:$F$306,"Approved")&gt;0,"A",""))="A","A",IF(OR(DATE($B$3,8,14)&gt;EOMONTH(DATE($B$3,8,1),0),NETWORKDAYS.INTL(DATE($B$3,8,14),DATE($B$3,8,14),1,'Non-working days'!$A$6:$A$45)=0),"",IF(COUNTIFS('Leave log'!$A$7:$A$306,Employees!$A$12,'Leave log'!$B$7:$B$306,"&lt;="&amp;DATE($B$3,8,14),'Leave log'!$C$7:$C$306,"&gt;="&amp;DATE($B$3,8,14),'Leave log'!$F$7:$F$306,"Pending")&gt;0,"P",""))))</f>
        <v/>
      </c>
      <c r="P251" s="23" t="str">
        <f>IF(A251="","",IF(IF(OR(DATE($B$3,8,15)&gt;EOMONTH(DATE($B$3,8,1),0),NETWORKDAYS.INTL(DATE($B$3,8,15),DATE($B$3,8,15),1,'Non-working days'!$A$6:$A$45)=0),"",IF(COUNTIFS('Leave log'!$A$7:$A$306,Employees!$A$12,'Leave log'!$B$7:$B$306,"&lt;="&amp;DATE($B$3,8,15),'Leave log'!$C$7:$C$306,"&gt;="&amp;DATE($B$3,8,15),'Leave log'!$F$7:$F$306,"Approved")&gt;0,"A",""))="A","A",IF(OR(DATE($B$3,8,15)&gt;EOMONTH(DATE($B$3,8,1),0),NETWORKDAYS.INTL(DATE($B$3,8,15),DATE($B$3,8,15),1,'Non-working days'!$A$6:$A$45)=0),"",IF(COUNTIFS('Leave log'!$A$7:$A$306,Employees!$A$12,'Leave log'!$B$7:$B$306,"&lt;="&amp;DATE($B$3,8,15),'Leave log'!$C$7:$C$306,"&gt;="&amp;DATE($B$3,8,15),'Leave log'!$F$7:$F$306,"Pending")&gt;0,"P",""))))</f>
        <v/>
      </c>
      <c r="Q251" s="23" t="str">
        <f>IF(A251="","",IF(IF(OR(DATE($B$3,8,16)&gt;EOMONTH(DATE($B$3,8,1),0),NETWORKDAYS.INTL(DATE($B$3,8,16),DATE($B$3,8,16),1,'Non-working days'!$A$6:$A$45)=0),"",IF(COUNTIFS('Leave log'!$A$7:$A$306,Employees!$A$12,'Leave log'!$B$7:$B$306,"&lt;="&amp;DATE($B$3,8,16),'Leave log'!$C$7:$C$306,"&gt;="&amp;DATE($B$3,8,16),'Leave log'!$F$7:$F$306,"Approved")&gt;0,"A",""))="A","A",IF(OR(DATE($B$3,8,16)&gt;EOMONTH(DATE($B$3,8,1),0),NETWORKDAYS.INTL(DATE($B$3,8,16),DATE($B$3,8,16),1,'Non-working days'!$A$6:$A$45)=0),"",IF(COUNTIFS('Leave log'!$A$7:$A$306,Employees!$A$12,'Leave log'!$B$7:$B$306,"&lt;="&amp;DATE($B$3,8,16),'Leave log'!$C$7:$C$306,"&gt;="&amp;DATE($B$3,8,16),'Leave log'!$F$7:$F$306,"Pending")&gt;0,"P",""))))</f>
        <v/>
      </c>
      <c r="R251" s="23" t="str">
        <f>IF(A251="","",IF(IF(OR(DATE($B$3,8,17)&gt;EOMONTH(DATE($B$3,8,1),0),NETWORKDAYS.INTL(DATE($B$3,8,17),DATE($B$3,8,17),1,'Non-working days'!$A$6:$A$45)=0),"",IF(COUNTIFS('Leave log'!$A$7:$A$306,Employees!$A$12,'Leave log'!$B$7:$B$306,"&lt;="&amp;DATE($B$3,8,17),'Leave log'!$C$7:$C$306,"&gt;="&amp;DATE($B$3,8,17),'Leave log'!$F$7:$F$306,"Approved")&gt;0,"A",""))="A","A",IF(OR(DATE($B$3,8,17)&gt;EOMONTH(DATE($B$3,8,1),0),NETWORKDAYS.INTL(DATE($B$3,8,17),DATE($B$3,8,17),1,'Non-working days'!$A$6:$A$45)=0),"",IF(COUNTIFS('Leave log'!$A$7:$A$306,Employees!$A$12,'Leave log'!$B$7:$B$306,"&lt;="&amp;DATE($B$3,8,17),'Leave log'!$C$7:$C$306,"&gt;="&amp;DATE($B$3,8,17),'Leave log'!$F$7:$F$306,"Pending")&gt;0,"P",""))))</f>
        <v/>
      </c>
      <c r="S251" s="23" t="str">
        <f>IF(A251="","",IF(IF(OR(DATE($B$3,8,18)&gt;EOMONTH(DATE($B$3,8,1),0),NETWORKDAYS.INTL(DATE($B$3,8,18),DATE($B$3,8,18),1,'Non-working days'!$A$6:$A$45)=0),"",IF(COUNTIFS('Leave log'!$A$7:$A$306,Employees!$A$12,'Leave log'!$B$7:$B$306,"&lt;="&amp;DATE($B$3,8,18),'Leave log'!$C$7:$C$306,"&gt;="&amp;DATE($B$3,8,18),'Leave log'!$F$7:$F$306,"Approved")&gt;0,"A",""))="A","A",IF(OR(DATE($B$3,8,18)&gt;EOMONTH(DATE($B$3,8,1),0),NETWORKDAYS.INTL(DATE($B$3,8,18),DATE($B$3,8,18),1,'Non-working days'!$A$6:$A$45)=0),"",IF(COUNTIFS('Leave log'!$A$7:$A$306,Employees!$A$12,'Leave log'!$B$7:$B$306,"&lt;="&amp;DATE($B$3,8,18),'Leave log'!$C$7:$C$306,"&gt;="&amp;DATE($B$3,8,18),'Leave log'!$F$7:$F$306,"Pending")&gt;0,"P",""))))</f>
        <v/>
      </c>
      <c r="T251" s="23" t="str">
        <f>IF(A251="","",IF(IF(OR(DATE($B$3,8,19)&gt;EOMONTH(DATE($B$3,8,1),0),NETWORKDAYS.INTL(DATE($B$3,8,19),DATE($B$3,8,19),1,'Non-working days'!$A$6:$A$45)=0),"",IF(COUNTIFS('Leave log'!$A$7:$A$306,Employees!$A$12,'Leave log'!$B$7:$B$306,"&lt;="&amp;DATE($B$3,8,19),'Leave log'!$C$7:$C$306,"&gt;="&amp;DATE($B$3,8,19),'Leave log'!$F$7:$F$306,"Approved")&gt;0,"A",""))="A","A",IF(OR(DATE($B$3,8,19)&gt;EOMONTH(DATE($B$3,8,1),0),NETWORKDAYS.INTL(DATE($B$3,8,19),DATE($B$3,8,19),1,'Non-working days'!$A$6:$A$45)=0),"",IF(COUNTIFS('Leave log'!$A$7:$A$306,Employees!$A$12,'Leave log'!$B$7:$B$306,"&lt;="&amp;DATE($B$3,8,19),'Leave log'!$C$7:$C$306,"&gt;="&amp;DATE($B$3,8,19),'Leave log'!$F$7:$F$306,"Pending")&gt;0,"P",""))))</f>
        <v/>
      </c>
      <c r="U251" s="23" t="str">
        <f>IF(A251="","",IF(IF(OR(DATE($B$3,8,20)&gt;EOMONTH(DATE($B$3,8,1),0),NETWORKDAYS.INTL(DATE($B$3,8,20),DATE($B$3,8,20),1,'Non-working days'!$A$6:$A$45)=0),"",IF(COUNTIFS('Leave log'!$A$7:$A$306,Employees!$A$12,'Leave log'!$B$7:$B$306,"&lt;="&amp;DATE($B$3,8,20),'Leave log'!$C$7:$C$306,"&gt;="&amp;DATE($B$3,8,20),'Leave log'!$F$7:$F$306,"Approved")&gt;0,"A",""))="A","A",IF(OR(DATE($B$3,8,20)&gt;EOMONTH(DATE($B$3,8,1),0),NETWORKDAYS.INTL(DATE($B$3,8,20),DATE($B$3,8,20),1,'Non-working days'!$A$6:$A$45)=0),"",IF(COUNTIFS('Leave log'!$A$7:$A$306,Employees!$A$12,'Leave log'!$B$7:$B$306,"&lt;="&amp;DATE($B$3,8,20),'Leave log'!$C$7:$C$306,"&gt;="&amp;DATE($B$3,8,20),'Leave log'!$F$7:$F$306,"Pending")&gt;0,"P",""))))</f>
        <v/>
      </c>
      <c r="V251" s="23" t="str">
        <f>IF(A251="","",IF(IF(OR(DATE($B$3,8,21)&gt;EOMONTH(DATE($B$3,8,1),0),NETWORKDAYS.INTL(DATE($B$3,8,21),DATE($B$3,8,21),1,'Non-working days'!$A$6:$A$45)=0),"",IF(COUNTIFS('Leave log'!$A$7:$A$306,Employees!$A$12,'Leave log'!$B$7:$B$306,"&lt;="&amp;DATE($B$3,8,21),'Leave log'!$C$7:$C$306,"&gt;="&amp;DATE($B$3,8,21),'Leave log'!$F$7:$F$306,"Approved")&gt;0,"A",""))="A","A",IF(OR(DATE($B$3,8,21)&gt;EOMONTH(DATE($B$3,8,1),0),NETWORKDAYS.INTL(DATE($B$3,8,21),DATE($B$3,8,21),1,'Non-working days'!$A$6:$A$45)=0),"",IF(COUNTIFS('Leave log'!$A$7:$A$306,Employees!$A$12,'Leave log'!$B$7:$B$306,"&lt;="&amp;DATE($B$3,8,21),'Leave log'!$C$7:$C$306,"&gt;="&amp;DATE($B$3,8,21),'Leave log'!$F$7:$F$306,"Pending")&gt;0,"P",""))))</f>
        <v/>
      </c>
      <c r="W251" s="23" t="str">
        <f>IF(A251="","",IF(IF(OR(DATE($B$3,8,22)&gt;EOMONTH(DATE($B$3,8,1),0),NETWORKDAYS.INTL(DATE($B$3,8,22),DATE($B$3,8,22),1,'Non-working days'!$A$6:$A$45)=0),"",IF(COUNTIFS('Leave log'!$A$7:$A$306,Employees!$A$12,'Leave log'!$B$7:$B$306,"&lt;="&amp;DATE($B$3,8,22),'Leave log'!$C$7:$C$306,"&gt;="&amp;DATE($B$3,8,22),'Leave log'!$F$7:$F$306,"Approved")&gt;0,"A",""))="A","A",IF(OR(DATE($B$3,8,22)&gt;EOMONTH(DATE($B$3,8,1),0),NETWORKDAYS.INTL(DATE($B$3,8,22),DATE($B$3,8,22),1,'Non-working days'!$A$6:$A$45)=0),"",IF(COUNTIFS('Leave log'!$A$7:$A$306,Employees!$A$12,'Leave log'!$B$7:$B$306,"&lt;="&amp;DATE($B$3,8,22),'Leave log'!$C$7:$C$306,"&gt;="&amp;DATE($B$3,8,22),'Leave log'!$F$7:$F$306,"Pending")&gt;0,"P",""))))</f>
        <v/>
      </c>
      <c r="X251" s="23" t="str">
        <f>IF(A251="","",IF(IF(OR(DATE($B$3,8,23)&gt;EOMONTH(DATE($B$3,8,1),0),NETWORKDAYS.INTL(DATE($B$3,8,23),DATE($B$3,8,23),1,'Non-working days'!$A$6:$A$45)=0),"",IF(COUNTIFS('Leave log'!$A$7:$A$306,Employees!$A$12,'Leave log'!$B$7:$B$306,"&lt;="&amp;DATE($B$3,8,23),'Leave log'!$C$7:$C$306,"&gt;="&amp;DATE($B$3,8,23),'Leave log'!$F$7:$F$306,"Approved")&gt;0,"A",""))="A","A",IF(OR(DATE($B$3,8,23)&gt;EOMONTH(DATE($B$3,8,1),0),NETWORKDAYS.INTL(DATE($B$3,8,23),DATE($B$3,8,23),1,'Non-working days'!$A$6:$A$45)=0),"",IF(COUNTIFS('Leave log'!$A$7:$A$306,Employees!$A$12,'Leave log'!$B$7:$B$306,"&lt;="&amp;DATE($B$3,8,23),'Leave log'!$C$7:$C$306,"&gt;="&amp;DATE($B$3,8,23),'Leave log'!$F$7:$F$306,"Pending")&gt;0,"P",""))))</f>
        <v/>
      </c>
      <c r="Y251" s="23" t="str">
        <f>IF(A251="","",IF(IF(OR(DATE($B$3,8,24)&gt;EOMONTH(DATE($B$3,8,1),0),NETWORKDAYS.INTL(DATE($B$3,8,24),DATE($B$3,8,24),1,'Non-working days'!$A$6:$A$45)=0),"",IF(COUNTIFS('Leave log'!$A$7:$A$306,Employees!$A$12,'Leave log'!$B$7:$B$306,"&lt;="&amp;DATE($B$3,8,24),'Leave log'!$C$7:$C$306,"&gt;="&amp;DATE($B$3,8,24),'Leave log'!$F$7:$F$306,"Approved")&gt;0,"A",""))="A","A",IF(OR(DATE($B$3,8,24)&gt;EOMONTH(DATE($B$3,8,1),0),NETWORKDAYS.INTL(DATE($B$3,8,24),DATE($B$3,8,24),1,'Non-working days'!$A$6:$A$45)=0),"",IF(COUNTIFS('Leave log'!$A$7:$A$306,Employees!$A$12,'Leave log'!$B$7:$B$306,"&lt;="&amp;DATE($B$3,8,24),'Leave log'!$C$7:$C$306,"&gt;="&amp;DATE($B$3,8,24),'Leave log'!$F$7:$F$306,"Pending")&gt;0,"P",""))))</f>
        <v/>
      </c>
      <c r="Z251" s="23" t="str">
        <f>IF(A251="","",IF(IF(OR(DATE($B$3,8,25)&gt;EOMONTH(DATE($B$3,8,1),0),NETWORKDAYS.INTL(DATE($B$3,8,25),DATE($B$3,8,25),1,'Non-working days'!$A$6:$A$45)=0),"",IF(COUNTIFS('Leave log'!$A$7:$A$306,Employees!$A$12,'Leave log'!$B$7:$B$306,"&lt;="&amp;DATE($B$3,8,25),'Leave log'!$C$7:$C$306,"&gt;="&amp;DATE($B$3,8,25),'Leave log'!$F$7:$F$306,"Approved")&gt;0,"A",""))="A","A",IF(OR(DATE($B$3,8,25)&gt;EOMONTH(DATE($B$3,8,1),0),NETWORKDAYS.INTL(DATE($B$3,8,25),DATE($B$3,8,25),1,'Non-working days'!$A$6:$A$45)=0),"",IF(COUNTIFS('Leave log'!$A$7:$A$306,Employees!$A$12,'Leave log'!$B$7:$B$306,"&lt;="&amp;DATE($B$3,8,25),'Leave log'!$C$7:$C$306,"&gt;="&amp;DATE($B$3,8,25),'Leave log'!$F$7:$F$306,"Pending")&gt;0,"P",""))))</f>
        <v/>
      </c>
      <c r="AA251" s="23" t="str">
        <f>IF(A251="","",IF(IF(OR(DATE($B$3,8,26)&gt;EOMONTH(DATE($B$3,8,1),0),NETWORKDAYS.INTL(DATE($B$3,8,26),DATE($B$3,8,26),1,'Non-working days'!$A$6:$A$45)=0),"",IF(COUNTIFS('Leave log'!$A$7:$A$306,Employees!$A$12,'Leave log'!$B$7:$B$306,"&lt;="&amp;DATE($B$3,8,26),'Leave log'!$C$7:$C$306,"&gt;="&amp;DATE($B$3,8,26),'Leave log'!$F$7:$F$306,"Approved")&gt;0,"A",""))="A","A",IF(OR(DATE($B$3,8,26)&gt;EOMONTH(DATE($B$3,8,1),0),NETWORKDAYS.INTL(DATE($B$3,8,26),DATE($B$3,8,26),1,'Non-working days'!$A$6:$A$45)=0),"",IF(COUNTIFS('Leave log'!$A$7:$A$306,Employees!$A$12,'Leave log'!$B$7:$B$306,"&lt;="&amp;DATE($B$3,8,26),'Leave log'!$C$7:$C$306,"&gt;="&amp;DATE($B$3,8,26),'Leave log'!$F$7:$F$306,"Pending")&gt;0,"P",""))))</f>
        <v/>
      </c>
      <c r="AB251" s="23" t="str">
        <f>IF(A251="","",IF(IF(OR(DATE($B$3,8,27)&gt;EOMONTH(DATE($B$3,8,1),0),NETWORKDAYS.INTL(DATE($B$3,8,27),DATE($B$3,8,27),1,'Non-working days'!$A$6:$A$45)=0),"",IF(COUNTIFS('Leave log'!$A$7:$A$306,Employees!$A$12,'Leave log'!$B$7:$B$306,"&lt;="&amp;DATE($B$3,8,27),'Leave log'!$C$7:$C$306,"&gt;="&amp;DATE($B$3,8,27),'Leave log'!$F$7:$F$306,"Approved")&gt;0,"A",""))="A","A",IF(OR(DATE($B$3,8,27)&gt;EOMONTH(DATE($B$3,8,1),0),NETWORKDAYS.INTL(DATE($B$3,8,27),DATE($B$3,8,27),1,'Non-working days'!$A$6:$A$45)=0),"",IF(COUNTIFS('Leave log'!$A$7:$A$306,Employees!$A$12,'Leave log'!$B$7:$B$306,"&lt;="&amp;DATE($B$3,8,27),'Leave log'!$C$7:$C$306,"&gt;="&amp;DATE($B$3,8,27),'Leave log'!$F$7:$F$306,"Pending")&gt;0,"P",""))))</f>
        <v/>
      </c>
      <c r="AC251" s="23" t="str">
        <f>IF(A251="","",IF(IF(OR(DATE($B$3,8,28)&gt;EOMONTH(DATE($B$3,8,1),0),NETWORKDAYS.INTL(DATE($B$3,8,28),DATE($B$3,8,28),1,'Non-working days'!$A$6:$A$45)=0),"",IF(COUNTIFS('Leave log'!$A$7:$A$306,Employees!$A$12,'Leave log'!$B$7:$B$306,"&lt;="&amp;DATE($B$3,8,28),'Leave log'!$C$7:$C$306,"&gt;="&amp;DATE($B$3,8,28),'Leave log'!$F$7:$F$306,"Approved")&gt;0,"A",""))="A","A",IF(OR(DATE($B$3,8,28)&gt;EOMONTH(DATE($B$3,8,1),0),NETWORKDAYS.INTL(DATE($B$3,8,28),DATE($B$3,8,28),1,'Non-working days'!$A$6:$A$45)=0),"",IF(COUNTIFS('Leave log'!$A$7:$A$306,Employees!$A$12,'Leave log'!$B$7:$B$306,"&lt;="&amp;DATE($B$3,8,28),'Leave log'!$C$7:$C$306,"&gt;="&amp;DATE($B$3,8,28),'Leave log'!$F$7:$F$306,"Pending")&gt;0,"P",""))))</f>
        <v/>
      </c>
      <c r="AD251" s="23" t="str">
        <f>IF(A251="","",IF(IF(OR(DATE($B$3,8,29)&gt;EOMONTH(DATE($B$3,8,1),0),NETWORKDAYS.INTL(DATE($B$3,8,29),DATE($B$3,8,29),1,'Non-working days'!$A$6:$A$45)=0),"",IF(COUNTIFS('Leave log'!$A$7:$A$306,Employees!$A$12,'Leave log'!$B$7:$B$306,"&lt;="&amp;DATE($B$3,8,29),'Leave log'!$C$7:$C$306,"&gt;="&amp;DATE($B$3,8,29),'Leave log'!$F$7:$F$306,"Approved")&gt;0,"A",""))="A","A",IF(OR(DATE($B$3,8,29)&gt;EOMONTH(DATE($B$3,8,1),0),NETWORKDAYS.INTL(DATE($B$3,8,29),DATE($B$3,8,29),1,'Non-working days'!$A$6:$A$45)=0),"",IF(COUNTIFS('Leave log'!$A$7:$A$306,Employees!$A$12,'Leave log'!$B$7:$B$306,"&lt;="&amp;DATE($B$3,8,29),'Leave log'!$C$7:$C$306,"&gt;="&amp;DATE($B$3,8,29),'Leave log'!$F$7:$F$306,"Pending")&gt;0,"P",""))))</f>
        <v/>
      </c>
      <c r="AE251" s="23" t="str">
        <f>IF(A251="","",IF(IF(OR(DATE($B$3,8,30)&gt;EOMONTH(DATE($B$3,8,1),0),NETWORKDAYS.INTL(DATE($B$3,8,30),DATE($B$3,8,30),1,'Non-working days'!$A$6:$A$45)=0),"",IF(COUNTIFS('Leave log'!$A$7:$A$306,Employees!$A$12,'Leave log'!$B$7:$B$306,"&lt;="&amp;DATE($B$3,8,30),'Leave log'!$C$7:$C$306,"&gt;="&amp;DATE($B$3,8,30),'Leave log'!$F$7:$F$306,"Approved")&gt;0,"A",""))="A","A",IF(OR(DATE($B$3,8,30)&gt;EOMONTH(DATE($B$3,8,1),0),NETWORKDAYS.INTL(DATE($B$3,8,30),DATE($B$3,8,30),1,'Non-working days'!$A$6:$A$45)=0),"",IF(COUNTIFS('Leave log'!$A$7:$A$306,Employees!$A$12,'Leave log'!$B$7:$B$306,"&lt;="&amp;DATE($B$3,8,30),'Leave log'!$C$7:$C$306,"&gt;="&amp;DATE($B$3,8,30),'Leave log'!$F$7:$F$306,"Pending")&gt;0,"P",""))))</f>
        <v/>
      </c>
      <c r="AF251" s="23" t="str">
        <f>IF(A251="","",IF(IF(OR(DATE($B$3,8,31)&gt;EOMONTH(DATE($B$3,8,1),0),NETWORKDAYS.INTL(DATE($B$3,8,31),DATE($B$3,8,31),1,'Non-working days'!$A$6:$A$45)=0),"",IF(COUNTIFS('Leave log'!$A$7:$A$306,Employees!$A$12,'Leave log'!$B$7:$B$306,"&lt;="&amp;DATE($B$3,8,31),'Leave log'!$C$7:$C$306,"&gt;="&amp;DATE($B$3,8,31),'Leave log'!$F$7:$F$306,"Approved")&gt;0,"A",""))="A","A",IF(OR(DATE($B$3,8,31)&gt;EOMONTH(DATE($B$3,8,1),0),NETWORKDAYS.INTL(DATE($B$3,8,31),DATE($B$3,8,31),1,'Non-working days'!$A$6:$A$45)=0),"",IF(COUNTIFS('Leave log'!$A$7:$A$306,Employees!$A$12,'Leave log'!$B$7:$B$306,"&lt;="&amp;DATE($B$3,8,31),'Leave log'!$C$7:$C$306,"&gt;="&amp;DATE($B$3,8,31),'Leave log'!$F$7:$F$306,"Pending")&gt;0,"P",""))))</f>
        <v/>
      </c>
    </row>
    <row r="252" spans="1:32" ht="18" customHeight="1" x14ac:dyDescent="0.3">
      <c r="A252" s="22" t="str">
        <f>IF(Employees!F13="Yes",Employees!B13,"")</f>
        <v/>
      </c>
      <c r="B252" s="23" t="str">
        <f>IF(A252="","",IF(IF(OR(DATE($B$3,8,1)&gt;EOMONTH(DATE($B$3,8,1),0),NETWORKDAYS.INTL(DATE($B$3,8,1),DATE($B$3,8,1),1,'Non-working days'!$A$6:$A$45)=0),"",IF(COUNTIFS('Leave log'!$A$7:$A$306,Employees!$A$13,'Leave log'!$B$7:$B$306,"&lt;="&amp;DATE($B$3,8,1),'Leave log'!$C$7:$C$306,"&gt;="&amp;DATE($B$3,8,1),'Leave log'!$F$7:$F$306,"Approved")&gt;0,"A",""))="A","A",IF(OR(DATE($B$3,8,1)&gt;EOMONTH(DATE($B$3,8,1),0),NETWORKDAYS.INTL(DATE($B$3,8,1),DATE($B$3,8,1),1,'Non-working days'!$A$6:$A$45)=0),"",IF(COUNTIFS('Leave log'!$A$7:$A$306,Employees!$A$13,'Leave log'!$B$7:$B$306,"&lt;="&amp;DATE($B$3,8,1),'Leave log'!$C$7:$C$306,"&gt;="&amp;DATE($B$3,8,1),'Leave log'!$F$7:$F$306,"Pending")&gt;0,"P",""))))</f>
        <v/>
      </c>
      <c r="C252" s="23" t="str">
        <f>IF(A252="","",IF(IF(OR(DATE($B$3,8,2)&gt;EOMONTH(DATE($B$3,8,1),0),NETWORKDAYS.INTL(DATE($B$3,8,2),DATE($B$3,8,2),1,'Non-working days'!$A$6:$A$45)=0),"",IF(COUNTIFS('Leave log'!$A$7:$A$306,Employees!$A$13,'Leave log'!$B$7:$B$306,"&lt;="&amp;DATE($B$3,8,2),'Leave log'!$C$7:$C$306,"&gt;="&amp;DATE($B$3,8,2),'Leave log'!$F$7:$F$306,"Approved")&gt;0,"A",""))="A","A",IF(OR(DATE($B$3,8,2)&gt;EOMONTH(DATE($B$3,8,1),0),NETWORKDAYS.INTL(DATE($B$3,8,2),DATE($B$3,8,2),1,'Non-working days'!$A$6:$A$45)=0),"",IF(COUNTIFS('Leave log'!$A$7:$A$306,Employees!$A$13,'Leave log'!$B$7:$B$306,"&lt;="&amp;DATE($B$3,8,2),'Leave log'!$C$7:$C$306,"&gt;="&amp;DATE($B$3,8,2),'Leave log'!$F$7:$F$306,"Pending")&gt;0,"P",""))))</f>
        <v/>
      </c>
      <c r="D252" s="23" t="str">
        <f>IF(A252="","",IF(IF(OR(DATE($B$3,8,3)&gt;EOMONTH(DATE($B$3,8,1),0),NETWORKDAYS.INTL(DATE($B$3,8,3),DATE($B$3,8,3),1,'Non-working days'!$A$6:$A$45)=0),"",IF(COUNTIFS('Leave log'!$A$7:$A$306,Employees!$A$13,'Leave log'!$B$7:$B$306,"&lt;="&amp;DATE($B$3,8,3),'Leave log'!$C$7:$C$306,"&gt;="&amp;DATE($B$3,8,3),'Leave log'!$F$7:$F$306,"Approved")&gt;0,"A",""))="A","A",IF(OR(DATE($B$3,8,3)&gt;EOMONTH(DATE($B$3,8,1),0),NETWORKDAYS.INTL(DATE($B$3,8,3),DATE($B$3,8,3),1,'Non-working days'!$A$6:$A$45)=0),"",IF(COUNTIFS('Leave log'!$A$7:$A$306,Employees!$A$13,'Leave log'!$B$7:$B$306,"&lt;="&amp;DATE($B$3,8,3),'Leave log'!$C$7:$C$306,"&gt;="&amp;DATE($B$3,8,3),'Leave log'!$F$7:$F$306,"Pending")&gt;0,"P",""))))</f>
        <v/>
      </c>
      <c r="E252" s="23" t="str">
        <f>IF(A252="","",IF(IF(OR(DATE($B$3,8,4)&gt;EOMONTH(DATE($B$3,8,1),0),NETWORKDAYS.INTL(DATE($B$3,8,4),DATE($B$3,8,4),1,'Non-working days'!$A$6:$A$45)=0),"",IF(COUNTIFS('Leave log'!$A$7:$A$306,Employees!$A$13,'Leave log'!$B$7:$B$306,"&lt;="&amp;DATE($B$3,8,4),'Leave log'!$C$7:$C$306,"&gt;="&amp;DATE($B$3,8,4),'Leave log'!$F$7:$F$306,"Approved")&gt;0,"A",""))="A","A",IF(OR(DATE($B$3,8,4)&gt;EOMONTH(DATE($B$3,8,1),0),NETWORKDAYS.INTL(DATE($B$3,8,4),DATE($B$3,8,4),1,'Non-working days'!$A$6:$A$45)=0),"",IF(COUNTIFS('Leave log'!$A$7:$A$306,Employees!$A$13,'Leave log'!$B$7:$B$306,"&lt;="&amp;DATE($B$3,8,4),'Leave log'!$C$7:$C$306,"&gt;="&amp;DATE($B$3,8,4),'Leave log'!$F$7:$F$306,"Pending")&gt;0,"P",""))))</f>
        <v/>
      </c>
      <c r="F252" s="23" t="str">
        <f>IF(A252="","",IF(IF(OR(DATE($B$3,8,5)&gt;EOMONTH(DATE($B$3,8,1),0),NETWORKDAYS.INTL(DATE($B$3,8,5),DATE($B$3,8,5),1,'Non-working days'!$A$6:$A$45)=0),"",IF(COUNTIFS('Leave log'!$A$7:$A$306,Employees!$A$13,'Leave log'!$B$7:$B$306,"&lt;="&amp;DATE($B$3,8,5),'Leave log'!$C$7:$C$306,"&gt;="&amp;DATE($B$3,8,5),'Leave log'!$F$7:$F$306,"Approved")&gt;0,"A",""))="A","A",IF(OR(DATE($B$3,8,5)&gt;EOMONTH(DATE($B$3,8,1),0),NETWORKDAYS.INTL(DATE($B$3,8,5),DATE($B$3,8,5),1,'Non-working days'!$A$6:$A$45)=0),"",IF(COUNTIFS('Leave log'!$A$7:$A$306,Employees!$A$13,'Leave log'!$B$7:$B$306,"&lt;="&amp;DATE($B$3,8,5),'Leave log'!$C$7:$C$306,"&gt;="&amp;DATE($B$3,8,5),'Leave log'!$F$7:$F$306,"Pending")&gt;0,"P",""))))</f>
        <v/>
      </c>
      <c r="G252" s="23" t="str">
        <f>IF(A252="","",IF(IF(OR(DATE($B$3,8,6)&gt;EOMONTH(DATE($B$3,8,1),0),NETWORKDAYS.INTL(DATE($B$3,8,6),DATE($B$3,8,6),1,'Non-working days'!$A$6:$A$45)=0),"",IF(COUNTIFS('Leave log'!$A$7:$A$306,Employees!$A$13,'Leave log'!$B$7:$B$306,"&lt;="&amp;DATE($B$3,8,6),'Leave log'!$C$7:$C$306,"&gt;="&amp;DATE($B$3,8,6),'Leave log'!$F$7:$F$306,"Approved")&gt;0,"A",""))="A","A",IF(OR(DATE($B$3,8,6)&gt;EOMONTH(DATE($B$3,8,1),0),NETWORKDAYS.INTL(DATE($B$3,8,6),DATE($B$3,8,6),1,'Non-working days'!$A$6:$A$45)=0),"",IF(COUNTIFS('Leave log'!$A$7:$A$306,Employees!$A$13,'Leave log'!$B$7:$B$306,"&lt;="&amp;DATE($B$3,8,6),'Leave log'!$C$7:$C$306,"&gt;="&amp;DATE($B$3,8,6),'Leave log'!$F$7:$F$306,"Pending")&gt;0,"P",""))))</f>
        <v/>
      </c>
      <c r="H252" s="23" t="str">
        <f>IF(A252="","",IF(IF(OR(DATE($B$3,8,7)&gt;EOMONTH(DATE($B$3,8,1),0),NETWORKDAYS.INTL(DATE($B$3,8,7),DATE($B$3,8,7),1,'Non-working days'!$A$6:$A$45)=0),"",IF(COUNTIFS('Leave log'!$A$7:$A$306,Employees!$A$13,'Leave log'!$B$7:$B$306,"&lt;="&amp;DATE($B$3,8,7),'Leave log'!$C$7:$C$306,"&gt;="&amp;DATE($B$3,8,7),'Leave log'!$F$7:$F$306,"Approved")&gt;0,"A",""))="A","A",IF(OR(DATE($B$3,8,7)&gt;EOMONTH(DATE($B$3,8,1),0),NETWORKDAYS.INTL(DATE($B$3,8,7),DATE($B$3,8,7),1,'Non-working days'!$A$6:$A$45)=0),"",IF(COUNTIFS('Leave log'!$A$7:$A$306,Employees!$A$13,'Leave log'!$B$7:$B$306,"&lt;="&amp;DATE($B$3,8,7),'Leave log'!$C$7:$C$306,"&gt;="&amp;DATE($B$3,8,7),'Leave log'!$F$7:$F$306,"Pending")&gt;0,"P",""))))</f>
        <v/>
      </c>
      <c r="I252" s="23" t="str">
        <f>IF(A252="","",IF(IF(OR(DATE($B$3,8,8)&gt;EOMONTH(DATE($B$3,8,1),0),NETWORKDAYS.INTL(DATE($B$3,8,8),DATE($B$3,8,8),1,'Non-working days'!$A$6:$A$45)=0),"",IF(COUNTIFS('Leave log'!$A$7:$A$306,Employees!$A$13,'Leave log'!$B$7:$B$306,"&lt;="&amp;DATE($B$3,8,8),'Leave log'!$C$7:$C$306,"&gt;="&amp;DATE($B$3,8,8),'Leave log'!$F$7:$F$306,"Approved")&gt;0,"A",""))="A","A",IF(OR(DATE($B$3,8,8)&gt;EOMONTH(DATE($B$3,8,1),0),NETWORKDAYS.INTL(DATE($B$3,8,8),DATE($B$3,8,8),1,'Non-working days'!$A$6:$A$45)=0),"",IF(COUNTIFS('Leave log'!$A$7:$A$306,Employees!$A$13,'Leave log'!$B$7:$B$306,"&lt;="&amp;DATE($B$3,8,8),'Leave log'!$C$7:$C$306,"&gt;="&amp;DATE($B$3,8,8),'Leave log'!$F$7:$F$306,"Pending")&gt;0,"P",""))))</f>
        <v/>
      </c>
      <c r="J252" s="23" t="str">
        <f>IF(A252="","",IF(IF(OR(DATE($B$3,8,9)&gt;EOMONTH(DATE($B$3,8,1),0),NETWORKDAYS.INTL(DATE($B$3,8,9),DATE($B$3,8,9),1,'Non-working days'!$A$6:$A$45)=0),"",IF(COUNTIFS('Leave log'!$A$7:$A$306,Employees!$A$13,'Leave log'!$B$7:$B$306,"&lt;="&amp;DATE($B$3,8,9),'Leave log'!$C$7:$C$306,"&gt;="&amp;DATE($B$3,8,9),'Leave log'!$F$7:$F$306,"Approved")&gt;0,"A",""))="A","A",IF(OR(DATE($B$3,8,9)&gt;EOMONTH(DATE($B$3,8,1),0),NETWORKDAYS.INTL(DATE($B$3,8,9),DATE($B$3,8,9),1,'Non-working days'!$A$6:$A$45)=0),"",IF(COUNTIFS('Leave log'!$A$7:$A$306,Employees!$A$13,'Leave log'!$B$7:$B$306,"&lt;="&amp;DATE($B$3,8,9),'Leave log'!$C$7:$C$306,"&gt;="&amp;DATE($B$3,8,9),'Leave log'!$F$7:$F$306,"Pending")&gt;0,"P",""))))</f>
        <v/>
      </c>
      <c r="K252" s="23" t="str">
        <f>IF(A252="","",IF(IF(OR(DATE($B$3,8,10)&gt;EOMONTH(DATE($B$3,8,1),0),NETWORKDAYS.INTL(DATE($B$3,8,10),DATE($B$3,8,10),1,'Non-working days'!$A$6:$A$45)=0),"",IF(COUNTIFS('Leave log'!$A$7:$A$306,Employees!$A$13,'Leave log'!$B$7:$B$306,"&lt;="&amp;DATE($B$3,8,10),'Leave log'!$C$7:$C$306,"&gt;="&amp;DATE($B$3,8,10),'Leave log'!$F$7:$F$306,"Approved")&gt;0,"A",""))="A","A",IF(OR(DATE($B$3,8,10)&gt;EOMONTH(DATE($B$3,8,1),0),NETWORKDAYS.INTL(DATE($B$3,8,10),DATE($B$3,8,10),1,'Non-working days'!$A$6:$A$45)=0),"",IF(COUNTIFS('Leave log'!$A$7:$A$306,Employees!$A$13,'Leave log'!$B$7:$B$306,"&lt;="&amp;DATE($B$3,8,10),'Leave log'!$C$7:$C$306,"&gt;="&amp;DATE($B$3,8,10),'Leave log'!$F$7:$F$306,"Pending")&gt;0,"P",""))))</f>
        <v/>
      </c>
      <c r="L252" s="23" t="str">
        <f>IF(A252="","",IF(IF(OR(DATE($B$3,8,11)&gt;EOMONTH(DATE($B$3,8,1),0),NETWORKDAYS.INTL(DATE($B$3,8,11),DATE($B$3,8,11),1,'Non-working days'!$A$6:$A$45)=0),"",IF(COUNTIFS('Leave log'!$A$7:$A$306,Employees!$A$13,'Leave log'!$B$7:$B$306,"&lt;="&amp;DATE($B$3,8,11),'Leave log'!$C$7:$C$306,"&gt;="&amp;DATE($B$3,8,11),'Leave log'!$F$7:$F$306,"Approved")&gt;0,"A",""))="A","A",IF(OR(DATE($B$3,8,11)&gt;EOMONTH(DATE($B$3,8,1),0),NETWORKDAYS.INTL(DATE($B$3,8,11),DATE($B$3,8,11),1,'Non-working days'!$A$6:$A$45)=0),"",IF(COUNTIFS('Leave log'!$A$7:$A$306,Employees!$A$13,'Leave log'!$B$7:$B$306,"&lt;="&amp;DATE($B$3,8,11),'Leave log'!$C$7:$C$306,"&gt;="&amp;DATE($B$3,8,11),'Leave log'!$F$7:$F$306,"Pending")&gt;0,"P",""))))</f>
        <v/>
      </c>
      <c r="M252" s="23" t="str">
        <f>IF(A252="","",IF(IF(OR(DATE($B$3,8,12)&gt;EOMONTH(DATE($B$3,8,1),0),NETWORKDAYS.INTL(DATE($B$3,8,12),DATE($B$3,8,12),1,'Non-working days'!$A$6:$A$45)=0),"",IF(COUNTIFS('Leave log'!$A$7:$A$306,Employees!$A$13,'Leave log'!$B$7:$B$306,"&lt;="&amp;DATE($B$3,8,12),'Leave log'!$C$7:$C$306,"&gt;="&amp;DATE($B$3,8,12),'Leave log'!$F$7:$F$306,"Approved")&gt;0,"A",""))="A","A",IF(OR(DATE($B$3,8,12)&gt;EOMONTH(DATE($B$3,8,1),0),NETWORKDAYS.INTL(DATE($B$3,8,12),DATE($B$3,8,12),1,'Non-working days'!$A$6:$A$45)=0),"",IF(COUNTIFS('Leave log'!$A$7:$A$306,Employees!$A$13,'Leave log'!$B$7:$B$306,"&lt;="&amp;DATE($B$3,8,12),'Leave log'!$C$7:$C$306,"&gt;="&amp;DATE($B$3,8,12),'Leave log'!$F$7:$F$306,"Pending")&gt;0,"P",""))))</f>
        <v/>
      </c>
      <c r="N252" s="23" t="str">
        <f>IF(A252="","",IF(IF(OR(DATE($B$3,8,13)&gt;EOMONTH(DATE($B$3,8,1),0),NETWORKDAYS.INTL(DATE($B$3,8,13),DATE($B$3,8,13),1,'Non-working days'!$A$6:$A$45)=0),"",IF(COUNTIFS('Leave log'!$A$7:$A$306,Employees!$A$13,'Leave log'!$B$7:$B$306,"&lt;="&amp;DATE($B$3,8,13),'Leave log'!$C$7:$C$306,"&gt;="&amp;DATE($B$3,8,13),'Leave log'!$F$7:$F$306,"Approved")&gt;0,"A",""))="A","A",IF(OR(DATE($B$3,8,13)&gt;EOMONTH(DATE($B$3,8,1),0),NETWORKDAYS.INTL(DATE($B$3,8,13),DATE($B$3,8,13),1,'Non-working days'!$A$6:$A$45)=0),"",IF(COUNTIFS('Leave log'!$A$7:$A$306,Employees!$A$13,'Leave log'!$B$7:$B$306,"&lt;="&amp;DATE($B$3,8,13),'Leave log'!$C$7:$C$306,"&gt;="&amp;DATE($B$3,8,13),'Leave log'!$F$7:$F$306,"Pending")&gt;0,"P",""))))</f>
        <v/>
      </c>
      <c r="O252" s="23" t="str">
        <f>IF(A252="","",IF(IF(OR(DATE($B$3,8,14)&gt;EOMONTH(DATE($B$3,8,1),0),NETWORKDAYS.INTL(DATE($B$3,8,14),DATE($B$3,8,14),1,'Non-working days'!$A$6:$A$45)=0),"",IF(COUNTIFS('Leave log'!$A$7:$A$306,Employees!$A$13,'Leave log'!$B$7:$B$306,"&lt;="&amp;DATE($B$3,8,14),'Leave log'!$C$7:$C$306,"&gt;="&amp;DATE($B$3,8,14),'Leave log'!$F$7:$F$306,"Approved")&gt;0,"A",""))="A","A",IF(OR(DATE($B$3,8,14)&gt;EOMONTH(DATE($B$3,8,1),0),NETWORKDAYS.INTL(DATE($B$3,8,14),DATE($B$3,8,14),1,'Non-working days'!$A$6:$A$45)=0),"",IF(COUNTIFS('Leave log'!$A$7:$A$306,Employees!$A$13,'Leave log'!$B$7:$B$306,"&lt;="&amp;DATE($B$3,8,14),'Leave log'!$C$7:$C$306,"&gt;="&amp;DATE($B$3,8,14),'Leave log'!$F$7:$F$306,"Pending")&gt;0,"P",""))))</f>
        <v/>
      </c>
      <c r="P252" s="23" t="str">
        <f>IF(A252="","",IF(IF(OR(DATE($B$3,8,15)&gt;EOMONTH(DATE($B$3,8,1),0),NETWORKDAYS.INTL(DATE($B$3,8,15),DATE($B$3,8,15),1,'Non-working days'!$A$6:$A$45)=0),"",IF(COUNTIFS('Leave log'!$A$7:$A$306,Employees!$A$13,'Leave log'!$B$7:$B$306,"&lt;="&amp;DATE($B$3,8,15),'Leave log'!$C$7:$C$306,"&gt;="&amp;DATE($B$3,8,15),'Leave log'!$F$7:$F$306,"Approved")&gt;0,"A",""))="A","A",IF(OR(DATE($B$3,8,15)&gt;EOMONTH(DATE($B$3,8,1),0),NETWORKDAYS.INTL(DATE($B$3,8,15),DATE($B$3,8,15),1,'Non-working days'!$A$6:$A$45)=0),"",IF(COUNTIFS('Leave log'!$A$7:$A$306,Employees!$A$13,'Leave log'!$B$7:$B$306,"&lt;="&amp;DATE($B$3,8,15),'Leave log'!$C$7:$C$306,"&gt;="&amp;DATE($B$3,8,15),'Leave log'!$F$7:$F$306,"Pending")&gt;0,"P",""))))</f>
        <v/>
      </c>
      <c r="Q252" s="23" t="str">
        <f>IF(A252="","",IF(IF(OR(DATE($B$3,8,16)&gt;EOMONTH(DATE($B$3,8,1),0),NETWORKDAYS.INTL(DATE($B$3,8,16),DATE($B$3,8,16),1,'Non-working days'!$A$6:$A$45)=0),"",IF(COUNTIFS('Leave log'!$A$7:$A$306,Employees!$A$13,'Leave log'!$B$7:$B$306,"&lt;="&amp;DATE($B$3,8,16),'Leave log'!$C$7:$C$306,"&gt;="&amp;DATE($B$3,8,16),'Leave log'!$F$7:$F$306,"Approved")&gt;0,"A",""))="A","A",IF(OR(DATE($B$3,8,16)&gt;EOMONTH(DATE($B$3,8,1),0),NETWORKDAYS.INTL(DATE($B$3,8,16),DATE($B$3,8,16),1,'Non-working days'!$A$6:$A$45)=0),"",IF(COUNTIFS('Leave log'!$A$7:$A$306,Employees!$A$13,'Leave log'!$B$7:$B$306,"&lt;="&amp;DATE($B$3,8,16),'Leave log'!$C$7:$C$306,"&gt;="&amp;DATE($B$3,8,16),'Leave log'!$F$7:$F$306,"Pending")&gt;0,"P",""))))</f>
        <v/>
      </c>
      <c r="R252" s="23" t="str">
        <f>IF(A252="","",IF(IF(OR(DATE($B$3,8,17)&gt;EOMONTH(DATE($B$3,8,1),0),NETWORKDAYS.INTL(DATE($B$3,8,17),DATE($B$3,8,17),1,'Non-working days'!$A$6:$A$45)=0),"",IF(COUNTIFS('Leave log'!$A$7:$A$306,Employees!$A$13,'Leave log'!$B$7:$B$306,"&lt;="&amp;DATE($B$3,8,17),'Leave log'!$C$7:$C$306,"&gt;="&amp;DATE($B$3,8,17),'Leave log'!$F$7:$F$306,"Approved")&gt;0,"A",""))="A","A",IF(OR(DATE($B$3,8,17)&gt;EOMONTH(DATE($B$3,8,1),0),NETWORKDAYS.INTL(DATE($B$3,8,17),DATE($B$3,8,17),1,'Non-working days'!$A$6:$A$45)=0),"",IF(COUNTIFS('Leave log'!$A$7:$A$306,Employees!$A$13,'Leave log'!$B$7:$B$306,"&lt;="&amp;DATE($B$3,8,17),'Leave log'!$C$7:$C$306,"&gt;="&amp;DATE($B$3,8,17),'Leave log'!$F$7:$F$306,"Pending")&gt;0,"P",""))))</f>
        <v/>
      </c>
      <c r="S252" s="23" t="str">
        <f>IF(A252="","",IF(IF(OR(DATE($B$3,8,18)&gt;EOMONTH(DATE($B$3,8,1),0),NETWORKDAYS.INTL(DATE($B$3,8,18),DATE($B$3,8,18),1,'Non-working days'!$A$6:$A$45)=0),"",IF(COUNTIFS('Leave log'!$A$7:$A$306,Employees!$A$13,'Leave log'!$B$7:$B$306,"&lt;="&amp;DATE($B$3,8,18),'Leave log'!$C$7:$C$306,"&gt;="&amp;DATE($B$3,8,18),'Leave log'!$F$7:$F$306,"Approved")&gt;0,"A",""))="A","A",IF(OR(DATE($B$3,8,18)&gt;EOMONTH(DATE($B$3,8,1),0),NETWORKDAYS.INTL(DATE($B$3,8,18),DATE($B$3,8,18),1,'Non-working days'!$A$6:$A$45)=0),"",IF(COUNTIFS('Leave log'!$A$7:$A$306,Employees!$A$13,'Leave log'!$B$7:$B$306,"&lt;="&amp;DATE($B$3,8,18),'Leave log'!$C$7:$C$306,"&gt;="&amp;DATE($B$3,8,18),'Leave log'!$F$7:$F$306,"Pending")&gt;0,"P",""))))</f>
        <v/>
      </c>
      <c r="T252" s="23" t="str">
        <f>IF(A252="","",IF(IF(OR(DATE($B$3,8,19)&gt;EOMONTH(DATE($B$3,8,1),0),NETWORKDAYS.INTL(DATE($B$3,8,19),DATE($B$3,8,19),1,'Non-working days'!$A$6:$A$45)=0),"",IF(COUNTIFS('Leave log'!$A$7:$A$306,Employees!$A$13,'Leave log'!$B$7:$B$306,"&lt;="&amp;DATE($B$3,8,19),'Leave log'!$C$7:$C$306,"&gt;="&amp;DATE($B$3,8,19),'Leave log'!$F$7:$F$306,"Approved")&gt;0,"A",""))="A","A",IF(OR(DATE($B$3,8,19)&gt;EOMONTH(DATE($B$3,8,1),0),NETWORKDAYS.INTL(DATE($B$3,8,19),DATE($B$3,8,19),1,'Non-working days'!$A$6:$A$45)=0),"",IF(COUNTIFS('Leave log'!$A$7:$A$306,Employees!$A$13,'Leave log'!$B$7:$B$306,"&lt;="&amp;DATE($B$3,8,19),'Leave log'!$C$7:$C$306,"&gt;="&amp;DATE($B$3,8,19),'Leave log'!$F$7:$F$306,"Pending")&gt;0,"P",""))))</f>
        <v/>
      </c>
      <c r="U252" s="23" t="str">
        <f>IF(A252="","",IF(IF(OR(DATE($B$3,8,20)&gt;EOMONTH(DATE($B$3,8,1),0),NETWORKDAYS.INTL(DATE($B$3,8,20),DATE($B$3,8,20),1,'Non-working days'!$A$6:$A$45)=0),"",IF(COUNTIFS('Leave log'!$A$7:$A$306,Employees!$A$13,'Leave log'!$B$7:$B$306,"&lt;="&amp;DATE($B$3,8,20),'Leave log'!$C$7:$C$306,"&gt;="&amp;DATE($B$3,8,20),'Leave log'!$F$7:$F$306,"Approved")&gt;0,"A",""))="A","A",IF(OR(DATE($B$3,8,20)&gt;EOMONTH(DATE($B$3,8,1),0),NETWORKDAYS.INTL(DATE($B$3,8,20),DATE($B$3,8,20),1,'Non-working days'!$A$6:$A$45)=0),"",IF(COUNTIFS('Leave log'!$A$7:$A$306,Employees!$A$13,'Leave log'!$B$7:$B$306,"&lt;="&amp;DATE($B$3,8,20),'Leave log'!$C$7:$C$306,"&gt;="&amp;DATE($B$3,8,20),'Leave log'!$F$7:$F$306,"Pending")&gt;0,"P",""))))</f>
        <v/>
      </c>
      <c r="V252" s="23" t="str">
        <f>IF(A252="","",IF(IF(OR(DATE($B$3,8,21)&gt;EOMONTH(DATE($B$3,8,1),0),NETWORKDAYS.INTL(DATE($B$3,8,21),DATE($B$3,8,21),1,'Non-working days'!$A$6:$A$45)=0),"",IF(COUNTIFS('Leave log'!$A$7:$A$306,Employees!$A$13,'Leave log'!$B$7:$B$306,"&lt;="&amp;DATE($B$3,8,21),'Leave log'!$C$7:$C$306,"&gt;="&amp;DATE($B$3,8,21),'Leave log'!$F$7:$F$306,"Approved")&gt;0,"A",""))="A","A",IF(OR(DATE($B$3,8,21)&gt;EOMONTH(DATE($B$3,8,1),0),NETWORKDAYS.INTL(DATE($B$3,8,21),DATE($B$3,8,21),1,'Non-working days'!$A$6:$A$45)=0),"",IF(COUNTIFS('Leave log'!$A$7:$A$306,Employees!$A$13,'Leave log'!$B$7:$B$306,"&lt;="&amp;DATE($B$3,8,21),'Leave log'!$C$7:$C$306,"&gt;="&amp;DATE($B$3,8,21),'Leave log'!$F$7:$F$306,"Pending")&gt;0,"P",""))))</f>
        <v/>
      </c>
      <c r="W252" s="23" t="str">
        <f>IF(A252="","",IF(IF(OR(DATE($B$3,8,22)&gt;EOMONTH(DATE($B$3,8,1),0),NETWORKDAYS.INTL(DATE($B$3,8,22),DATE($B$3,8,22),1,'Non-working days'!$A$6:$A$45)=0),"",IF(COUNTIFS('Leave log'!$A$7:$A$306,Employees!$A$13,'Leave log'!$B$7:$B$306,"&lt;="&amp;DATE($B$3,8,22),'Leave log'!$C$7:$C$306,"&gt;="&amp;DATE($B$3,8,22),'Leave log'!$F$7:$F$306,"Approved")&gt;0,"A",""))="A","A",IF(OR(DATE($B$3,8,22)&gt;EOMONTH(DATE($B$3,8,1),0),NETWORKDAYS.INTL(DATE($B$3,8,22),DATE($B$3,8,22),1,'Non-working days'!$A$6:$A$45)=0),"",IF(COUNTIFS('Leave log'!$A$7:$A$306,Employees!$A$13,'Leave log'!$B$7:$B$306,"&lt;="&amp;DATE($B$3,8,22),'Leave log'!$C$7:$C$306,"&gt;="&amp;DATE($B$3,8,22),'Leave log'!$F$7:$F$306,"Pending")&gt;0,"P",""))))</f>
        <v/>
      </c>
      <c r="X252" s="23" t="str">
        <f>IF(A252="","",IF(IF(OR(DATE($B$3,8,23)&gt;EOMONTH(DATE($B$3,8,1),0),NETWORKDAYS.INTL(DATE($B$3,8,23),DATE($B$3,8,23),1,'Non-working days'!$A$6:$A$45)=0),"",IF(COUNTIFS('Leave log'!$A$7:$A$306,Employees!$A$13,'Leave log'!$B$7:$B$306,"&lt;="&amp;DATE($B$3,8,23),'Leave log'!$C$7:$C$306,"&gt;="&amp;DATE($B$3,8,23),'Leave log'!$F$7:$F$306,"Approved")&gt;0,"A",""))="A","A",IF(OR(DATE($B$3,8,23)&gt;EOMONTH(DATE($B$3,8,1),0),NETWORKDAYS.INTL(DATE($B$3,8,23),DATE($B$3,8,23),1,'Non-working days'!$A$6:$A$45)=0),"",IF(COUNTIFS('Leave log'!$A$7:$A$306,Employees!$A$13,'Leave log'!$B$7:$B$306,"&lt;="&amp;DATE($B$3,8,23),'Leave log'!$C$7:$C$306,"&gt;="&amp;DATE($B$3,8,23),'Leave log'!$F$7:$F$306,"Pending")&gt;0,"P",""))))</f>
        <v/>
      </c>
      <c r="Y252" s="23" t="str">
        <f>IF(A252="","",IF(IF(OR(DATE($B$3,8,24)&gt;EOMONTH(DATE($B$3,8,1),0),NETWORKDAYS.INTL(DATE($B$3,8,24),DATE($B$3,8,24),1,'Non-working days'!$A$6:$A$45)=0),"",IF(COUNTIFS('Leave log'!$A$7:$A$306,Employees!$A$13,'Leave log'!$B$7:$B$306,"&lt;="&amp;DATE($B$3,8,24),'Leave log'!$C$7:$C$306,"&gt;="&amp;DATE($B$3,8,24),'Leave log'!$F$7:$F$306,"Approved")&gt;0,"A",""))="A","A",IF(OR(DATE($B$3,8,24)&gt;EOMONTH(DATE($B$3,8,1),0),NETWORKDAYS.INTL(DATE($B$3,8,24),DATE($B$3,8,24),1,'Non-working days'!$A$6:$A$45)=0),"",IF(COUNTIFS('Leave log'!$A$7:$A$306,Employees!$A$13,'Leave log'!$B$7:$B$306,"&lt;="&amp;DATE($B$3,8,24),'Leave log'!$C$7:$C$306,"&gt;="&amp;DATE($B$3,8,24),'Leave log'!$F$7:$F$306,"Pending")&gt;0,"P",""))))</f>
        <v/>
      </c>
      <c r="Z252" s="23" t="str">
        <f>IF(A252="","",IF(IF(OR(DATE($B$3,8,25)&gt;EOMONTH(DATE($B$3,8,1),0),NETWORKDAYS.INTL(DATE($B$3,8,25),DATE($B$3,8,25),1,'Non-working days'!$A$6:$A$45)=0),"",IF(COUNTIFS('Leave log'!$A$7:$A$306,Employees!$A$13,'Leave log'!$B$7:$B$306,"&lt;="&amp;DATE($B$3,8,25),'Leave log'!$C$7:$C$306,"&gt;="&amp;DATE($B$3,8,25),'Leave log'!$F$7:$F$306,"Approved")&gt;0,"A",""))="A","A",IF(OR(DATE($B$3,8,25)&gt;EOMONTH(DATE($B$3,8,1),0),NETWORKDAYS.INTL(DATE($B$3,8,25),DATE($B$3,8,25),1,'Non-working days'!$A$6:$A$45)=0),"",IF(COUNTIFS('Leave log'!$A$7:$A$306,Employees!$A$13,'Leave log'!$B$7:$B$306,"&lt;="&amp;DATE($B$3,8,25),'Leave log'!$C$7:$C$306,"&gt;="&amp;DATE($B$3,8,25),'Leave log'!$F$7:$F$306,"Pending")&gt;0,"P",""))))</f>
        <v/>
      </c>
      <c r="AA252" s="23" t="str">
        <f>IF(A252="","",IF(IF(OR(DATE($B$3,8,26)&gt;EOMONTH(DATE($B$3,8,1),0),NETWORKDAYS.INTL(DATE($B$3,8,26),DATE($B$3,8,26),1,'Non-working days'!$A$6:$A$45)=0),"",IF(COUNTIFS('Leave log'!$A$7:$A$306,Employees!$A$13,'Leave log'!$B$7:$B$306,"&lt;="&amp;DATE($B$3,8,26),'Leave log'!$C$7:$C$306,"&gt;="&amp;DATE($B$3,8,26),'Leave log'!$F$7:$F$306,"Approved")&gt;0,"A",""))="A","A",IF(OR(DATE($B$3,8,26)&gt;EOMONTH(DATE($B$3,8,1),0),NETWORKDAYS.INTL(DATE($B$3,8,26),DATE($B$3,8,26),1,'Non-working days'!$A$6:$A$45)=0),"",IF(COUNTIFS('Leave log'!$A$7:$A$306,Employees!$A$13,'Leave log'!$B$7:$B$306,"&lt;="&amp;DATE($B$3,8,26),'Leave log'!$C$7:$C$306,"&gt;="&amp;DATE($B$3,8,26),'Leave log'!$F$7:$F$306,"Pending")&gt;0,"P",""))))</f>
        <v/>
      </c>
      <c r="AB252" s="23" t="str">
        <f>IF(A252="","",IF(IF(OR(DATE($B$3,8,27)&gt;EOMONTH(DATE($B$3,8,1),0),NETWORKDAYS.INTL(DATE($B$3,8,27),DATE($B$3,8,27),1,'Non-working days'!$A$6:$A$45)=0),"",IF(COUNTIFS('Leave log'!$A$7:$A$306,Employees!$A$13,'Leave log'!$B$7:$B$306,"&lt;="&amp;DATE($B$3,8,27),'Leave log'!$C$7:$C$306,"&gt;="&amp;DATE($B$3,8,27),'Leave log'!$F$7:$F$306,"Approved")&gt;0,"A",""))="A","A",IF(OR(DATE($B$3,8,27)&gt;EOMONTH(DATE($B$3,8,1),0),NETWORKDAYS.INTL(DATE($B$3,8,27),DATE($B$3,8,27),1,'Non-working days'!$A$6:$A$45)=0),"",IF(COUNTIFS('Leave log'!$A$7:$A$306,Employees!$A$13,'Leave log'!$B$7:$B$306,"&lt;="&amp;DATE($B$3,8,27),'Leave log'!$C$7:$C$306,"&gt;="&amp;DATE($B$3,8,27),'Leave log'!$F$7:$F$306,"Pending")&gt;0,"P",""))))</f>
        <v/>
      </c>
      <c r="AC252" s="23" t="str">
        <f>IF(A252="","",IF(IF(OR(DATE($B$3,8,28)&gt;EOMONTH(DATE($B$3,8,1),0),NETWORKDAYS.INTL(DATE($B$3,8,28),DATE($B$3,8,28),1,'Non-working days'!$A$6:$A$45)=0),"",IF(COUNTIFS('Leave log'!$A$7:$A$306,Employees!$A$13,'Leave log'!$B$7:$B$306,"&lt;="&amp;DATE($B$3,8,28),'Leave log'!$C$7:$C$306,"&gt;="&amp;DATE($B$3,8,28),'Leave log'!$F$7:$F$306,"Approved")&gt;0,"A",""))="A","A",IF(OR(DATE($B$3,8,28)&gt;EOMONTH(DATE($B$3,8,1),0),NETWORKDAYS.INTL(DATE($B$3,8,28),DATE($B$3,8,28),1,'Non-working days'!$A$6:$A$45)=0),"",IF(COUNTIFS('Leave log'!$A$7:$A$306,Employees!$A$13,'Leave log'!$B$7:$B$306,"&lt;="&amp;DATE($B$3,8,28),'Leave log'!$C$7:$C$306,"&gt;="&amp;DATE($B$3,8,28),'Leave log'!$F$7:$F$306,"Pending")&gt;0,"P",""))))</f>
        <v/>
      </c>
      <c r="AD252" s="23" t="str">
        <f>IF(A252="","",IF(IF(OR(DATE($B$3,8,29)&gt;EOMONTH(DATE($B$3,8,1),0),NETWORKDAYS.INTL(DATE($B$3,8,29),DATE($B$3,8,29),1,'Non-working days'!$A$6:$A$45)=0),"",IF(COUNTIFS('Leave log'!$A$7:$A$306,Employees!$A$13,'Leave log'!$B$7:$B$306,"&lt;="&amp;DATE($B$3,8,29),'Leave log'!$C$7:$C$306,"&gt;="&amp;DATE($B$3,8,29),'Leave log'!$F$7:$F$306,"Approved")&gt;0,"A",""))="A","A",IF(OR(DATE($B$3,8,29)&gt;EOMONTH(DATE($B$3,8,1),0),NETWORKDAYS.INTL(DATE($B$3,8,29),DATE($B$3,8,29),1,'Non-working days'!$A$6:$A$45)=0),"",IF(COUNTIFS('Leave log'!$A$7:$A$306,Employees!$A$13,'Leave log'!$B$7:$B$306,"&lt;="&amp;DATE($B$3,8,29),'Leave log'!$C$7:$C$306,"&gt;="&amp;DATE($B$3,8,29),'Leave log'!$F$7:$F$306,"Pending")&gt;0,"P",""))))</f>
        <v/>
      </c>
      <c r="AE252" s="23" t="str">
        <f>IF(A252="","",IF(IF(OR(DATE($B$3,8,30)&gt;EOMONTH(DATE($B$3,8,1),0),NETWORKDAYS.INTL(DATE($B$3,8,30),DATE($B$3,8,30),1,'Non-working days'!$A$6:$A$45)=0),"",IF(COUNTIFS('Leave log'!$A$7:$A$306,Employees!$A$13,'Leave log'!$B$7:$B$306,"&lt;="&amp;DATE($B$3,8,30),'Leave log'!$C$7:$C$306,"&gt;="&amp;DATE($B$3,8,30),'Leave log'!$F$7:$F$306,"Approved")&gt;0,"A",""))="A","A",IF(OR(DATE($B$3,8,30)&gt;EOMONTH(DATE($B$3,8,1),0),NETWORKDAYS.INTL(DATE($B$3,8,30),DATE($B$3,8,30),1,'Non-working days'!$A$6:$A$45)=0),"",IF(COUNTIFS('Leave log'!$A$7:$A$306,Employees!$A$13,'Leave log'!$B$7:$B$306,"&lt;="&amp;DATE($B$3,8,30),'Leave log'!$C$7:$C$306,"&gt;="&amp;DATE($B$3,8,30),'Leave log'!$F$7:$F$306,"Pending")&gt;0,"P",""))))</f>
        <v/>
      </c>
      <c r="AF252" s="23" t="str">
        <f>IF(A252="","",IF(IF(OR(DATE($B$3,8,31)&gt;EOMONTH(DATE($B$3,8,1),0),NETWORKDAYS.INTL(DATE($B$3,8,31),DATE($B$3,8,31),1,'Non-working days'!$A$6:$A$45)=0),"",IF(COUNTIFS('Leave log'!$A$7:$A$306,Employees!$A$13,'Leave log'!$B$7:$B$306,"&lt;="&amp;DATE($B$3,8,31),'Leave log'!$C$7:$C$306,"&gt;="&amp;DATE($B$3,8,31),'Leave log'!$F$7:$F$306,"Approved")&gt;0,"A",""))="A","A",IF(OR(DATE($B$3,8,31)&gt;EOMONTH(DATE($B$3,8,1),0),NETWORKDAYS.INTL(DATE($B$3,8,31),DATE($B$3,8,31),1,'Non-working days'!$A$6:$A$45)=0),"",IF(COUNTIFS('Leave log'!$A$7:$A$306,Employees!$A$13,'Leave log'!$B$7:$B$306,"&lt;="&amp;DATE($B$3,8,31),'Leave log'!$C$7:$C$306,"&gt;="&amp;DATE($B$3,8,31),'Leave log'!$F$7:$F$306,"Pending")&gt;0,"P",""))))</f>
        <v/>
      </c>
    </row>
    <row r="253" spans="1:32" ht="18" customHeight="1" x14ac:dyDescent="0.3">
      <c r="A253" s="22" t="str">
        <f>IF(Employees!F14="Yes",Employees!B14,"")</f>
        <v/>
      </c>
      <c r="B253" s="23" t="str">
        <f>IF(A253="","",IF(IF(OR(DATE($B$3,8,1)&gt;EOMONTH(DATE($B$3,8,1),0),NETWORKDAYS.INTL(DATE($B$3,8,1),DATE($B$3,8,1),1,'Non-working days'!$A$6:$A$45)=0),"",IF(COUNTIFS('Leave log'!$A$7:$A$306,Employees!$A$14,'Leave log'!$B$7:$B$306,"&lt;="&amp;DATE($B$3,8,1),'Leave log'!$C$7:$C$306,"&gt;="&amp;DATE($B$3,8,1),'Leave log'!$F$7:$F$306,"Approved")&gt;0,"A",""))="A","A",IF(OR(DATE($B$3,8,1)&gt;EOMONTH(DATE($B$3,8,1),0),NETWORKDAYS.INTL(DATE($B$3,8,1),DATE($B$3,8,1),1,'Non-working days'!$A$6:$A$45)=0),"",IF(COUNTIFS('Leave log'!$A$7:$A$306,Employees!$A$14,'Leave log'!$B$7:$B$306,"&lt;="&amp;DATE($B$3,8,1),'Leave log'!$C$7:$C$306,"&gt;="&amp;DATE($B$3,8,1),'Leave log'!$F$7:$F$306,"Pending")&gt;0,"P",""))))</f>
        <v/>
      </c>
      <c r="C253" s="23" t="str">
        <f>IF(A253="","",IF(IF(OR(DATE($B$3,8,2)&gt;EOMONTH(DATE($B$3,8,1),0),NETWORKDAYS.INTL(DATE($B$3,8,2),DATE($B$3,8,2),1,'Non-working days'!$A$6:$A$45)=0),"",IF(COUNTIFS('Leave log'!$A$7:$A$306,Employees!$A$14,'Leave log'!$B$7:$B$306,"&lt;="&amp;DATE($B$3,8,2),'Leave log'!$C$7:$C$306,"&gt;="&amp;DATE($B$3,8,2),'Leave log'!$F$7:$F$306,"Approved")&gt;0,"A",""))="A","A",IF(OR(DATE($B$3,8,2)&gt;EOMONTH(DATE($B$3,8,1),0),NETWORKDAYS.INTL(DATE($B$3,8,2),DATE($B$3,8,2),1,'Non-working days'!$A$6:$A$45)=0),"",IF(COUNTIFS('Leave log'!$A$7:$A$306,Employees!$A$14,'Leave log'!$B$7:$B$306,"&lt;="&amp;DATE($B$3,8,2),'Leave log'!$C$7:$C$306,"&gt;="&amp;DATE($B$3,8,2),'Leave log'!$F$7:$F$306,"Pending")&gt;0,"P",""))))</f>
        <v/>
      </c>
      <c r="D253" s="23" t="str">
        <f>IF(A253="","",IF(IF(OR(DATE($B$3,8,3)&gt;EOMONTH(DATE($B$3,8,1),0),NETWORKDAYS.INTL(DATE($B$3,8,3),DATE($B$3,8,3),1,'Non-working days'!$A$6:$A$45)=0),"",IF(COUNTIFS('Leave log'!$A$7:$A$306,Employees!$A$14,'Leave log'!$B$7:$B$306,"&lt;="&amp;DATE($B$3,8,3),'Leave log'!$C$7:$C$306,"&gt;="&amp;DATE($B$3,8,3),'Leave log'!$F$7:$F$306,"Approved")&gt;0,"A",""))="A","A",IF(OR(DATE($B$3,8,3)&gt;EOMONTH(DATE($B$3,8,1),0),NETWORKDAYS.INTL(DATE($B$3,8,3),DATE($B$3,8,3),1,'Non-working days'!$A$6:$A$45)=0),"",IF(COUNTIFS('Leave log'!$A$7:$A$306,Employees!$A$14,'Leave log'!$B$7:$B$306,"&lt;="&amp;DATE($B$3,8,3),'Leave log'!$C$7:$C$306,"&gt;="&amp;DATE($B$3,8,3),'Leave log'!$F$7:$F$306,"Pending")&gt;0,"P",""))))</f>
        <v/>
      </c>
      <c r="E253" s="23" t="str">
        <f>IF(A253="","",IF(IF(OR(DATE($B$3,8,4)&gt;EOMONTH(DATE($B$3,8,1),0),NETWORKDAYS.INTL(DATE($B$3,8,4),DATE($B$3,8,4),1,'Non-working days'!$A$6:$A$45)=0),"",IF(COUNTIFS('Leave log'!$A$7:$A$306,Employees!$A$14,'Leave log'!$B$7:$B$306,"&lt;="&amp;DATE($B$3,8,4),'Leave log'!$C$7:$C$306,"&gt;="&amp;DATE($B$3,8,4),'Leave log'!$F$7:$F$306,"Approved")&gt;0,"A",""))="A","A",IF(OR(DATE($B$3,8,4)&gt;EOMONTH(DATE($B$3,8,1),0),NETWORKDAYS.INTL(DATE($B$3,8,4),DATE($B$3,8,4),1,'Non-working days'!$A$6:$A$45)=0),"",IF(COUNTIFS('Leave log'!$A$7:$A$306,Employees!$A$14,'Leave log'!$B$7:$B$306,"&lt;="&amp;DATE($B$3,8,4),'Leave log'!$C$7:$C$306,"&gt;="&amp;DATE($B$3,8,4),'Leave log'!$F$7:$F$306,"Pending")&gt;0,"P",""))))</f>
        <v/>
      </c>
      <c r="F253" s="23" t="str">
        <f>IF(A253="","",IF(IF(OR(DATE($B$3,8,5)&gt;EOMONTH(DATE($B$3,8,1),0),NETWORKDAYS.INTL(DATE($B$3,8,5),DATE($B$3,8,5),1,'Non-working days'!$A$6:$A$45)=0),"",IF(COUNTIFS('Leave log'!$A$7:$A$306,Employees!$A$14,'Leave log'!$B$7:$B$306,"&lt;="&amp;DATE($B$3,8,5),'Leave log'!$C$7:$C$306,"&gt;="&amp;DATE($B$3,8,5),'Leave log'!$F$7:$F$306,"Approved")&gt;0,"A",""))="A","A",IF(OR(DATE($B$3,8,5)&gt;EOMONTH(DATE($B$3,8,1),0),NETWORKDAYS.INTL(DATE($B$3,8,5),DATE($B$3,8,5),1,'Non-working days'!$A$6:$A$45)=0),"",IF(COUNTIFS('Leave log'!$A$7:$A$306,Employees!$A$14,'Leave log'!$B$7:$B$306,"&lt;="&amp;DATE($B$3,8,5),'Leave log'!$C$7:$C$306,"&gt;="&amp;DATE($B$3,8,5),'Leave log'!$F$7:$F$306,"Pending")&gt;0,"P",""))))</f>
        <v/>
      </c>
      <c r="G253" s="23" t="str">
        <f>IF(A253="","",IF(IF(OR(DATE($B$3,8,6)&gt;EOMONTH(DATE($B$3,8,1),0),NETWORKDAYS.INTL(DATE($B$3,8,6),DATE($B$3,8,6),1,'Non-working days'!$A$6:$A$45)=0),"",IF(COUNTIFS('Leave log'!$A$7:$A$306,Employees!$A$14,'Leave log'!$B$7:$B$306,"&lt;="&amp;DATE($B$3,8,6),'Leave log'!$C$7:$C$306,"&gt;="&amp;DATE($B$3,8,6),'Leave log'!$F$7:$F$306,"Approved")&gt;0,"A",""))="A","A",IF(OR(DATE($B$3,8,6)&gt;EOMONTH(DATE($B$3,8,1),0),NETWORKDAYS.INTL(DATE($B$3,8,6),DATE($B$3,8,6),1,'Non-working days'!$A$6:$A$45)=0),"",IF(COUNTIFS('Leave log'!$A$7:$A$306,Employees!$A$14,'Leave log'!$B$7:$B$306,"&lt;="&amp;DATE($B$3,8,6),'Leave log'!$C$7:$C$306,"&gt;="&amp;DATE($B$3,8,6),'Leave log'!$F$7:$F$306,"Pending")&gt;0,"P",""))))</f>
        <v/>
      </c>
      <c r="H253" s="23" t="str">
        <f>IF(A253="","",IF(IF(OR(DATE($B$3,8,7)&gt;EOMONTH(DATE($B$3,8,1),0),NETWORKDAYS.INTL(DATE($B$3,8,7),DATE($B$3,8,7),1,'Non-working days'!$A$6:$A$45)=0),"",IF(COUNTIFS('Leave log'!$A$7:$A$306,Employees!$A$14,'Leave log'!$B$7:$B$306,"&lt;="&amp;DATE($B$3,8,7),'Leave log'!$C$7:$C$306,"&gt;="&amp;DATE($B$3,8,7),'Leave log'!$F$7:$F$306,"Approved")&gt;0,"A",""))="A","A",IF(OR(DATE($B$3,8,7)&gt;EOMONTH(DATE($B$3,8,1),0),NETWORKDAYS.INTL(DATE($B$3,8,7),DATE($B$3,8,7),1,'Non-working days'!$A$6:$A$45)=0),"",IF(COUNTIFS('Leave log'!$A$7:$A$306,Employees!$A$14,'Leave log'!$B$7:$B$306,"&lt;="&amp;DATE($B$3,8,7),'Leave log'!$C$7:$C$306,"&gt;="&amp;DATE($B$3,8,7),'Leave log'!$F$7:$F$306,"Pending")&gt;0,"P",""))))</f>
        <v/>
      </c>
      <c r="I253" s="23" t="str">
        <f>IF(A253="","",IF(IF(OR(DATE($B$3,8,8)&gt;EOMONTH(DATE($B$3,8,1),0),NETWORKDAYS.INTL(DATE($B$3,8,8),DATE($B$3,8,8),1,'Non-working days'!$A$6:$A$45)=0),"",IF(COUNTIFS('Leave log'!$A$7:$A$306,Employees!$A$14,'Leave log'!$B$7:$B$306,"&lt;="&amp;DATE($B$3,8,8),'Leave log'!$C$7:$C$306,"&gt;="&amp;DATE($B$3,8,8),'Leave log'!$F$7:$F$306,"Approved")&gt;0,"A",""))="A","A",IF(OR(DATE($B$3,8,8)&gt;EOMONTH(DATE($B$3,8,1),0),NETWORKDAYS.INTL(DATE($B$3,8,8),DATE($B$3,8,8),1,'Non-working days'!$A$6:$A$45)=0),"",IF(COUNTIFS('Leave log'!$A$7:$A$306,Employees!$A$14,'Leave log'!$B$7:$B$306,"&lt;="&amp;DATE($B$3,8,8),'Leave log'!$C$7:$C$306,"&gt;="&amp;DATE($B$3,8,8),'Leave log'!$F$7:$F$306,"Pending")&gt;0,"P",""))))</f>
        <v/>
      </c>
      <c r="J253" s="23" t="str">
        <f>IF(A253="","",IF(IF(OR(DATE($B$3,8,9)&gt;EOMONTH(DATE($B$3,8,1),0),NETWORKDAYS.INTL(DATE($B$3,8,9),DATE($B$3,8,9),1,'Non-working days'!$A$6:$A$45)=0),"",IF(COUNTIFS('Leave log'!$A$7:$A$306,Employees!$A$14,'Leave log'!$B$7:$B$306,"&lt;="&amp;DATE($B$3,8,9),'Leave log'!$C$7:$C$306,"&gt;="&amp;DATE($B$3,8,9),'Leave log'!$F$7:$F$306,"Approved")&gt;0,"A",""))="A","A",IF(OR(DATE($B$3,8,9)&gt;EOMONTH(DATE($B$3,8,1),0),NETWORKDAYS.INTL(DATE($B$3,8,9),DATE($B$3,8,9),1,'Non-working days'!$A$6:$A$45)=0),"",IF(COUNTIFS('Leave log'!$A$7:$A$306,Employees!$A$14,'Leave log'!$B$7:$B$306,"&lt;="&amp;DATE($B$3,8,9),'Leave log'!$C$7:$C$306,"&gt;="&amp;DATE($B$3,8,9),'Leave log'!$F$7:$F$306,"Pending")&gt;0,"P",""))))</f>
        <v/>
      </c>
      <c r="K253" s="23" t="str">
        <f>IF(A253="","",IF(IF(OR(DATE($B$3,8,10)&gt;EOMONTH(DATE($B$3,8,1),0),NETWORKDAYS.INTL(DATE($B$3,8,10),DATE($B$3,8,10),1,'Non-working days'!$A$6:$A$45)=0),"",IF(COUNTIFS('Leave log'!$A$7:$A$306,Employees!$A$14,'Leave log'!$B$7:$B$306,"&lt;="&amp;DATE($B$3,8,10),'Leave log'!$C$7:$C$306,"&gt;="&amp;DATE($B$3,8,10),'Leave log'!$F$7:$F$306,"Approved")&gt;0,"A",""))="A","A",IF(OR(DATE($B$3,8,10)&gt;EOMONTH(DATE($B$3,8,1),0),NETWORKDAYS.INTL(DATE($B$3,8,10),DATE($B$3,8,10),1,'Non-working days'!$A$6:$A$45)=0),"",IF(COUNTIFS('Leave log'!$A$7:$A$306,Employees!$A$14,'Leave log'!$B$7:$B$306,"&lt;="&amp;DATE($B$3,8,10),'Leave log'!$C$7:$C$306,"&gt;="&amp;DATE($B$3,8,10),'Leave log'!$F$7:$F$306,"Pending")&gt;0,"P",""))))</f>
        <v/>
      </c>
      <c r="L253" s="23" t="str">
        <f>IF(A253="","",IF(IF(OR(DATE($B$3,8,11)&gt;EOMONTH(DATE($B$3,8,1),0),NETWORKDAYS.INTL(DATE($B$3,8,11),DATE($B$3,8,11),1,'Non-working days'!$A$6:$A$45)=0),"",IF(COUNTIFS('Leave log'!$A$7:$A$306,Employees!$A$14,'Leave log'!$B$7:$B$306,"&lt;="&amp;DATE($B$3,8,11),'Leave log'!$C$7:$C$306,"&gt;="&amp;DATE($B$3,8,11),'Leave log'!$F$7:$F$306,"Approved")&gt;0,"A",""))="A","A",IF(OR(DATE($B$3,8,11)&gt;EOMONTH(DATE($B$3,8,1),0),NETWORKDAYS.INTL(DATE($B$3,8,11),DATE($B$3,8,11),1,'Non-working days'!$A$6:$A$45)=0),"",IF(COUNTIFS('Leave log'!$A$7:$A$306,Employees!$A$14,'Leave log'!$B$7:$B$306,"&lt;="&amp;DATE($B$3,8,11),'Leave log'!$C$7:$C$306,"&gt;="&amp;DATE($B$3,8,11),'Leave log'!$F$7:$F$306,"Pending")&gt;0,"P",""))))</f>
        <v/>
      </c>
      <c r="M253" s="23" t="str">
        <f>IF(A253="","",IF(IF(OR(DATE($B$3,8,12)&gt;EOMONTH(DATE($B$3,8,1),0),NETWORKDAYS.INTL(DATE($B$3,8,12),DATE($B$3,8,12),1,'Non-working days'!$A$6:$A$45)=0),"",IF(COUNTIFS('Leave log'!$A$7:$A$306,Employees!$A$14,'Leave log'!$B$7:$B$306,"&lt;="&amp;DATE($B$3,8,12),'Leave log'!$C$7:$C$306,"&gt;="&amp;DATE($B$3,8,12),'Leave log'!$F$7:$F$306,"Approved")&gt;0,"A",""))="A","A",IF(OR(DATE($B$3,8,12)&gt;EOMONTH(DATE($B$3,8,1),0),NETWORKDAYS.INTL(DATE($B$3,8,12),DATE($B$3,8,12),1,'Non-working days'!$A$6:$A$45)=0),"",IF(COUNTIFS('Leave log'!$A$7:$A$306,Employees!$A$14,'Leave log'!$B$7:$B$306,"&lt;="&amp;DATE($B$3,8,12),'Leave log'!$C$7:$C$306,"&gt;="&amp;DATE($B$3,8,12),'Leave log'!$F$7:$F$306,"Pending")&gt;0,"P",""))))</f>
        <v/>
      </c>
      <c r="N253" s="23" t="str">
        <f>IF(A253="","",IF(IF(OR(DATE($B$3,8,13)&gt;EOMONTH(DATE($B$3,8,1),0),NETWORKDAYS.INTL(DATE($B$3,8,13),DATE($B$3,8,13),1,'Non-working days'!$A$6:$A$45)=0),"",IF(COUNTIFS('Leave log'!$A$7:$A$306,Employees!$A$14,'Leave log'!$B$7:$B$306,"&lt;="&amp;DATE($B$3,8,13),'Leave log'!$C$7:$C$306,"&gt;="&amp;DATE($B$3,8,13),'Leave log'!$F$7:$F$306,"Approved")&gt;0,"A",""))="A","A",IF(OR(DATE($B$3,8,13)&gt;EOMONTH(DATE($B$3,8,1),0),NETWORKDAYS.INTL(DATE($B$3,8,13),DATE($B$3,8,13),1,'Non-working days'!$A$6:$A$45)=0),"",IF(COUNTIFS('Leave log'!$A$7:$A$306,Employees!$A$14,'Leave log'!$B$7:$B$306,"&lt;="&amp;DATE($B$3,8,13),'Leave log'!$C$7:$C$306,"&gt;="&amp;DATE($B$3,8,13),'Leave log'!$F$7:$F$306,"Pending")&gt;0,"P",""))))</f>
        <v/>
      </c>
      <c r="O253" s="23" t="str">
        <f>IF(A253="","",IF(IF(OR(DATE($B$3,8,14)&gt;EOMONTH(DATE($B$3,8,1),0),NETWORKDAYS.INTL(DATE($B$3,8,14),DATE($B$3,8,14),1,'Non-working days'!$A$6:$A$45)=0),"",IF(COUNTIFS('Leave log'!$A$7:$A$306,Employees!$A$14,'Leave log'!$B$7:$B$306,"&lt;="&amp;DATE($B$3,8,14),'Leave log'!$C$7:$C$306,"&gt;="&amp;DATE($B$3,8,14),'Leave log'!$F$7:$F$306,"Approved")&gt;0,"A",""))="A","A",IF(OR(DATE($B$3,8,14)&gt;EOMONTH(DATE($B$3,8,1),0),NETWORKDAYS.INTL(DATE($B$3,8,14),DATE($B$3,8,14),1,'Non-working days'!$A$6:$A$45)=0),"",IF(COUNTIFS('Leave log'!$A$7:$A$306,Employees!$A$14,'Leave log'!$B$7:$B$306,"&lt;="&amp;DATE($B$3,8,14),'Leave log'!$C$7:$C$306,"&gt;="&amp;DATE($B$3,8,14),'Leave log'!$F$7:$F$306,"Pending")&gt;0,"P",""))))</f>
        <v/>
      </c>
      <c r="P253" s="23" t="str">
        <f>IF(A253="","",IF(IF(OR(DATE($B$3,8,15)&gt;EOMONTH(DATE($B$3,8,1),0),NETWORKDAYS.INTL(DATE($B$3,8,15),DATE($B$3,8,15),1,'Non-working days'!$A$6:$A$45)=0),"",IF(COUNTIFS('Leave log'!$A$7:$A$306,Employees!$A$14,'Leave log'!$B$7:$B$306,"&lt;="&amp;DATE($B$3,8,15),'Leave log'!$C$7:$C$306,"&gt;="&amp;DATE($B$3,8,15),'Leave log'!$F$7:$F$306,"Approved")&gt;0,"A",""))="A","A",IF(OR(DATE($B$3,8,15)&gt;EOMONTH(DATE($B$3,8,1),0),NETWORKDAYS.INTL(DATE($B$3,8,15),DATE($B$3,8,15),1,'Non-working days'!$A$6:$A$45)=0),"",IF(COUNTIFS('Leave log'!$A$7:$A$306,Employees!$A$14,'Leave log'!$B$7:$B$306,"&lt;="&amp;DATE($B$3,8,15),'Leave log'!$C$7:$C$306,"&gt;="&amp;DATE($B$3,8,15),'Leave log'!$F$7:$F$306,"Pending")&gt;0,"P",""))))</f>
        <v/>
      </c>
      <c r="Q253" s="23" t="str">
        <f>IF(A253="","",IF(IF(OR(DATE($B$3,8,16)&gt;EOMONTH(DATE($B$3,8,1),0),NETWORKDAYS.INTL(DATE($B$3,8,16),DATE($B$3,8,16),1,'Non-working days'!$A$6:$A$45)=0),"",IF(COUNTIFS('Leave log'!$A$7:$A$306,Employees!$A$14,'Leave log'!$B$7:$B$306,"&lt;="&amp;DATE($B$3,8,16),'Leave log'!$C$7:$C$306,"&gt;="&amp;DATE($B$3,8,16),'Leave log'!$F$7:$F$306,"Approved")&gt;0,"A",""))="A","A",IF(OR(DATE($B$3,8,16)&gt;EOMONTH(DATE($B$3,8,1),0),NETWORKDAYS.INTL(DATE($B$3,8,16),DATE($B$3,8,16),1,'Non-working days'!$A$6:$A$45)=0),"",IF(COUNTIFS('Leave log'!$A$7:$A$306,Employees!$A$14,'Leave log'!$B$7:$B$306,"&lt;="&amp;DATE($B$3,8,16),'Leave log'!$C$7:$C$306,"&gt;="&amp;DATE($B$3,8,16),'Leave log'!$F$7:$F$306,"Pending")&gt;0,"P",""))))</f>
        <v/>
      </c>
      <c r="R253" s="23" t="str">
        <f>IF(A253="","",IF(IF(OR(DATE($B$3,8,17)&gt;EOMONTH(DATE($B$3,8,1),0),NETWORKDAYS.INTL(DATE($B$3,8,17),DATE($B$3,8,17),1,'Non-working days'!$A$6:$A$45)=0),"",IF(COUNTIFS('Leave log'!$A$7:$A$306,Employees!$A$14,'Leave log'!$B$7:$B$306,"&lt;="&amp;DATE($B$3,8,17),'Leave log'!$C$7:$C$306,"&gt;="&amp;DATE($B$3,8,17),'Leave log'!$F$7:$F$306,"Approved")&gt;0,"A",""))="A","A",IF(OR(DATE($B$3,8,17)&gt;EOMONTH(DATE($B$3,8,1),0),NETWORKDAYS.INTL(DATE($B$3,8,17),DATE($B$3,8,17),1,'Non-working days'!$A$6:$A$45)=0),"",IF(COUNTIFS('Leave log'!$A$7:$A$306,Employees!$A$14,'Leave log'!$B$7:$B$306,"&lt;="&amp;DATE($B$3,8,17),'Leave log'!$C$7:$C$306,"&gt;="&amp;DATE($B$3,8,17),'Leave log'!$F$7:$F$306,"Pending")&gt;0,"P",""))))</f>
        <v/>
      </c>
      <c r="S253" s="23" t="str">
        <f>IF(A253="","",IF(IF(OR(DATE($B$3,8,18)&gt;EOMONTH(DATE($B$3,8,1),0),NETWORKDAYS.INTL(DATE($B$3,8,18),DATE($B$3,8,18),1,'Non-working days'!$A$6:$A$45)=0),"",IF(COUNTIFS('Leave log'!$A$7:$A$306,Employees!$A$14,'Leave log'!$B$7:$B$306,"&lt;="&amp;DATE($B$3,8,18),'Leave log'!$C$7:$C$306,"&gt;="&amp;DATE($B$3,8,18),'Leave log'!$F$7:$F$306,"Approved")&gt;0,"A",""))="A","A",IF(OR(DATE($B$3,8,18)&gt;EOMONTH(DATE($B$3,8,1),0),NETWORKDAYS.INTL(DATE($B$3,8,18),DATE($B$3,8,18),1,'Non-working days'!$A$6:$A$45)=0),"",IF(COUNTIFS('Leave log'!$A$7:$A$306,Employees!$A$14,'Leave log'!$B$7:$B$306,"&lt;="&amp;DATE($B$3,8,18),'Leave log'!$C$7:$C$306,"&gt;="&amp;DATE($B$3,8,18),'Leave log'!$F$7:$F$306,"Pending")&gt;0,"P",""))))</f>
        <v/>
      </c>
      <c r="T253" s="23" t="str">
        <f>IF(A253="","",IF(IF(OR(DATE($B$3,8,19)&gt;EOMONTH(DATE($B$3,8,1),0),NETWORKDAYS.INTL(DATE($B$3,8,19),DATE($B$3,8,19),1,'Non-working days'!$A$6:$A$45)=0),"",IF(COUNTIFS('Leave log'!$A$7:$A$306,Employees!$A$14,'Leave log'!$B$7:$B$306,"&lt;="&amp;DATE($B$3,8,19),'Leave log'!$C$7:$C$306,"&gt;="&amp;DATE($B$3,8,19),'Leave log'!$F$7:$F$306,"Approved")&gt;0,"A",""))="A","A",IF(OR(DATE($B$3,8,19)&gt;EOMONTH(DATE($B$3,8,1),0),NETWORKDAYS.INTL(DATE($B$3,8,19),DATE($B$3,8,19),1,'Non-working days'!$A$6:$A$45)=0),"",IF(COUNTIFS('Leave log'!$A$7:$A$306,Employees!$A$14,'Leave log'!$B$7:$B$306,"&lt;="&amp;DATE($B$3,8,19),'Leave log'!$C$7:$C$306,"&gt;="&amp;DATE($B$3,8,19),'Leave log'!$F$7:$F$306,"Pending")&gt;0,"P",""))))</f>
        <v/>
      </c>
      <c r="U253" s="23" t="str">
        <f>IF(A253="","",IF(IF(OR(DATE($B$3,8,20)&gt;EOMONTH(DATE($B$3,8,1),0),NETWORKDAYS.INTL(DATE($B$3,8,20),DATE($B$3,8,20),1,'Non-working days'!$A$6:$A$45)=0),"",IF(COUNTIFS('Leave log'!$A$7:$A$306,Employees!$A$14,'Leave log'!$B$7:$B$306,"&lt;="&amp;DATE($B$3,8,20),'Leave log'!$C$7:$C$306,"&gt;="&amp;DATE($B$3,8,20),'Leave log'!$F$7:$F$306,"Approved")&gt;0,"A",""))="A","A",IF(OR(DATE($B$3,8,20)&gt;EOMONTH(DATE($B$3,8,1),0),NETWORKDAYS.INTL(DATE($B$3,8,20),DATE($B$3,8,20),1,'Non-working days'!$A$6:$A$45)=0),"",IF(COUNTIFS('Leave log'!$A$7:$A$306,Employees!$A$14,'Leave log'!$B$7:$B$306,"&lt;="&amp;DATE($B$3,8,20),'Leave log'!$C$7:$C$306,"&gt;="&amp;DATE($B$3,8,20),'Leave log'!$F$7:$F$306,"Pending")&gt;0,"P",""))))</f>
        <v/>
      </c>
      <c r="V253" s="23" t="str">
        <f>IF(A253="","",IF(IF(OR(DATE($B$3,8,21)&gt;EOMONTH(DATE($B$3,8,1),0),NETWORKDAYS.INTL(DATE($B$3,8,21),DATE($B$3,8,21),1,'Non-working days'!$A$6:$A$45)=0),"",IF(COUNTIFS('Leave log'!$A$7:$A$306,Employees!$A$14,'Leave log'!$B$7:$B$306,"&lt;="&amp;DATE($B$3,8,21),'Leave log'!$C$7:$C$306,"&gt;="&amp;DATE($B$3,8,21),'Leave log'!$F$7:$F$306,"Approved")&gt;0,"A",""))="A","A",IF(OR(DATE($B$3,8,21)&gt;EOMONTH(DATE($B$3,8,1),0),NETWORKDAYS.INTL(DATE($B$3,8,21),DATE($B$3,8,21),1,'Non-working days'!$A$6:$A$45)=0),"",IF(COUNTIFS('Leave log'!$A$7:$A$306,Employees!$A$14,'Leave log'!$B$7:$B$306,"&lt;="&amp;DATE($B$3,8,21),'Leave log'!$C$7:$C$306,"&gt;="&amp;DATE($B$3,8,21),'Leave log'!$F$7:$F$306,"Pending")&gt;0,"P",""))))</f>
        <v/>
      </c>
      <c r="W253" s="23" t="str">
        <f>IF(A253="","",IF(IF(OR(DATE($B$3,8,22)&gt;EOMONTH(DATE($B$3,8,1),0),NETWORKDAYS.INTL(DATE($B$3,8,22),DATE($B$3,8,22),1,'Non-working days'!$A$6:$A$45)=0),"",IF(COUNTIFS('Leave log'!$A$7:$A$306,Employees!$A$14,'Leave log'!$B$7:$B$306,"&lt;="&amp;DATE($B$3,8,22),'Leave log'!$C$7:$C$306,"&gt;="&amp;DATE($B$3,8,22),'Leave log'!$F$7:$F$306,"Approved")&gt;0,"A",""))="A","A",IF(OR(DATE($B$3,8,22)&gt;EOMONTH(DATE($B$3,8,1),0),NETWORKDAYS.INTL(DATE($B$3,8,22),DATE($B$3,8,22),1,'Non-working days'!$A$6:$A$45)=0),"",IF(COUNTIFS('Leave log'!$A$7:$A$306,Employees!$A$14,'Leave log'!$B$7:$B$306,"&lt;="&amp;DATE($B$3,8,22),'Leave log'!$C$7:$C$306,"&gt;="&amp;DATE($B$3,8,22),'Leave log'!$F$7:$F$306,"Pending")&gt;0,"P",""))))</f>
        <v/>
      </c>
      <c r="X253" s="23" t="str">
        <f>IF(A253="","",IF(IF(OR(DATE($B$3,8,23)&gt;EOMONTH(DATE($B$3,8,1),0),NETWORKDAYS.INTL(DATE($B$3,8,23),DATE($B$3,8,23),1,'Non-working days'!$A$6:$A$45)=0),"",IF(COUNTIFS('Leave log'!$A$7:$A$306,Employees!$A$14,'Leave log'!$B$7:$B$306,"&lt;="&amp;DATE($B$3,8,23),'Leave log'!$C$7:$C$306,"&gt;="&amp;DATE($B$3,8,23),'Leave log'!$F$7:$F$306,"Approved")&gt;0,"A",""))="A","A",IF(OR(DATE($B$3,8,23)&gt;EOMONTH(DATE($B$3,8,1),0),NETWORKDAYS.INTL(DATE($B$3,8,23),DATE($B$3,8,23),1,'Non-working days'!$A$6:$A$45)=0),"",IF(COUNTIFS('Leave log'!$A$7:$A$306,Employees!$A$14,'Leave log'!$B$7:$B$306,"&lt;="&amp;DATE($B$3,8,23),'Leave log'!$C$7:$C$306,"&gt;="&amp;DATE($B$3,8,23),'Leave log'!$F$7:$F$306,"Pending")&gt;0,"P",""))))</f>
        <v/>
      </c>
      <c r="Y253" s="23" t="str">
        <f>IF(A253="","",IF(IF(OR(DATE($B$3,8,24)&gt;EOMONTH(DATE($B$3,8,1),0),NETWORKDAYS.INTL(DATE($B$3,8,24),DATE($B$3,8,24),1,'Non-working days'!$A$6:$A$45)=0),"",IF(COUNTIFS('Leave log'!$A$7:$A$306,Employees!$A$14,'Leave log'!$B$7:$B$306,"&lt;="&amp;DATE($B$3,8,24),'Leave log'!$C$7:$C$306,"&gt;="&amp;DATE($B$3,8,24),'Leave log'!$F$7:$F$306,"Approved")&gt;0,"A",""))="A","A",IF(OR(DATE($B$3,8,24)&gt;EOMONTH(DATE($B$3,8,1),0),NETWORKDAYS.INTL(DATE($B$3,8,24),DATE($B$3,8,24),1,'Non-working days'!$A$6:$A$45)=0),"",IF(COUNTIFS('Leave log'!$A$7:$A$306,Employees!$A$14,'Leave log'!$B$7:$B$306,"&lt;="&amp;DATE($B$3,8,24),'Leave log'!$C$7:$C$306,"&gt;="&amp;DATE($B$3,8,24),'Leave log'!$F$7:$F$306,"Pending")&gt;0,"P",""))))</f>
        <v/>
      </c>
      <c r="Z253" s="23" t="str">
        <f>IF(A253="","",IF(IF(OR(DATE($B$3,8,25)&gt;EOMONTH(DATE($B$3,8,1),0),NETWORKDAYS.INTL(DATE($B$3,8,25),DATE($B$3,8,25),1,'Non-working days'!$A$6:$A$45)=0),"",IF(COUNTIFS('Leave log'!$A$7:$A$306,Employees!$A$14,'Leave log'!$B$7:$B$306,"&lt;="&amp;DATE($B$3,8,25),'Leave log'!$C$7:$C$306,"&gt;="&amp;DATE($B$3,8,25),'Leave log'!$F$7:$F$306,"Approved")&gt;0,"A",""))="A","A",IF(OR(DATE($B$3,8,25)&gt;EOMONTH(DATE($B$3,8,1),0),NETWORKDAYS.INTL(DATE($B$3,8,25),DATE($B$3,8,25),1,'Non-working days'!$A$6:$A$45)=0),"",IF(COUNTIFS('Leave log'!$A$7:$A$306,Employees!$A$14,'Leave log'!$B$7:$B$306,"&lt;="&amp;DATE($B$3,8,25),'Leave log'!$C$7:$C$306,"&gt;="&amp;DATE($B$3,8,25),'Leave log'!$F$7:$F$306,"Pending")&gt;0,"P",""))))</f>
        <v/>
      </c>
      <c r="AA253" s="23" t="str">
        <f>IF(A253="","",IF(IF(OR(DATE($B$3,8,26)&gt;EOMONTH(DATE($B$3,8,1),0),NETWORKDAYS.INTL(DATE($B$3,8,26),DATE($B$3,8,26),1,'Non-working days'!$A$6:$A$45)=0),"",IF(COUNTIFS('Leave log'!$A$7:$A$306,Employees!$A$14,'Leave log'!$B$7:$B$306,"&lt;="&amp;DATE($B$3,8,26),'Leave log'!$C$7:$C$306,"&gt;="&amp;DATE($B$3,8,26),'Leave log'!$F$7:$F$306,"Approved")&gt;0,"A",""))="A","A",IF(OR(DATE($B$3,8,26)&gt;EOMONTH(DATE($B$3,8,1),0),NETWORKDAYS.INTL(DATE($B$3,8,26),DATE($B$3,8,26),1,'Non-working days'!$A$6:$A$45)=0),"",IF(COUNTIFS('Leave log'!$A$7:$A$306,Employees!$A$14,'Leave log'!$B$7:$B$306,"&lt;="&amp;DATE($B$3,8,26),'Leave log'!$C$7:$C$306,"&gt;="&amp;DATE($B$3,8,26),'Leave log'!$F$7:$F$306,"Pending")&gt;0,"P",""))))</f>
        <v/>
      </c>
      <c r="AB253" s="23" t="str">
        <f>IF(A253="","",IF(IF(OR(DATE($B$3,8,27)&gt;EOMONTH(DATE($B$3,8,1),0),NETWORKDAYS.INTL(DATE($B$3,8,27),DATE($B$3,8,27),1,'Non-working days'!$A$6:$A$45)=0),"",IF(COUNTIFS('Leave log'!$A$7:$A$306,Employees!$A$14,'Leave log'!$B$7:$B$306,"&lt;="&amp;DATE($B$3,8,27),'Leave log'!$C$7:$C$306,"&gt;="&amp;DATE($B$3,8,27),'Leave log'!$F$7:$F$306,"Approved")&gt;0,"A",""))="A","A",IF(OR(DATE($B$3,8,27)&gt;EOMONTH(DATE($B$3,8,1),0),NETWORKDAYS.INTL(DATE($B$3,8,27),DATE($B$3,8,27),1,'Non-working days'!$A$6:$A$45)=0),"",IF(COUNTIFS('Leave log'!$A$7:$A$306,Employees!$A$14,'Leave log'!$B$7:$B$306,"&lt;="&amp;DATE($B$3,8,27),'Leave log'!$C$7:$C$306,"&gt;="&amp;DATE($B$3,8,27),'Leave log'!$F$7:$F$306,"Pending")&gt;0,"P",""))))</f>
        <v/>
      </c>
      <c r="AC253" s="23" t="str">
        <f>IF(A253="","",IF(IF(OR(DATE($B$3,8,28)&gt;EOMONTH(DATE($B$3,8,1),0),NETWORKDAYS.INTL(DATE($B$3,8,28),DATE($B$3,8,28),1,'Non-working days'!$A$6:$A$45)=0),"",IF(COUNTIFS('Leave log'!$A$7:$A$306,Employees!$A$14,'Leave log'!$B$7:$B$306,"&lt;="&amp;DATE($B$3,8,28),'Leave log'!$C$7:$C$306,"&gt;="&amp;DATE($B$3,8,28),'Leave log'!$F$7:$F$306,"Approved")&gt;0,"A",""))="A","A",IF(OR(DATE($B$3,8,28)&gt;EOMONTH(DATE($B$3,8,1),0),NETWORKDAYS.INTL(DATE($B$3,8,28),DATE($B$3,8,28),1,'Non-working days'!$A$6:$A$45)=0),"",IF(COUNTIFS('Leave log'!$A$7:$A$306,Employees!$A$14,'Leave log'!$B$7:$B$306,"&lt;="&amp;DATE($B$3,8,28),'Leave log'!$C$7:$C$306,"&gt;="&amp;DATE($B$3,8,28),'Leave log'!$F$7:$F$306,"Pending")&gt;0,"P",""))))</f>
        <v/>
      </c>
      <c r="AD253" s="23" t="str">
        <f>IF(A253="","",IF(IF(OR(DATE($B$3,8,29)&gt;EOMONTH(DATE($B$3,8,1),0),NETWORKDAYS.INTL(DATE($B$3,8,29),DATE($B$3,8,29),1,'Non-working days'!$A$6:$A$45)=0),"",IF(COUNTIFS('Leave log'!$A$7:$A$306,Employees!$A$14,'Leave log'!$B$7:$B$306,"&lt;="&amp;DATE($B$3,8,29),'Leave log'!$C$7:$C$306,"&gt;="&amp;DATE($B$3,8,29),'Leave log'!$F$7:$F$306,"Approved")&gt;0,"A",""))="A","A",IF(OR(DATE($B$3,8,29)&gt;EOMONTH(DATE($B$3,8,1),0),NETWORKDAYS.INTL(DATE($B$3,8,29),DATE($B$3,8,29),1,'Non-working days'!$A$6:$A$45)=0),"",IF(COUNTIFS('Leave log'!$A$7:$A$306,Employees!$A$14,'Leave log'!$B$7:$B$306,"&lt;="&amp;DATE($B$3,8,29),'Leave log'!$C$7:$C$306,"&gt;="&amp;DATE($B$3,8,29),'Leave log'!$F$7:$F$306,"Pending")&gt;0,"P",""))))</f>
        <v/>
      </c>
      <c r="AE253" s="23" t="str">
        <f>IF(A253="","",IF(IF(OR(DATE($B$3,8,30)&gt;EOMONTH(DATE($B$3,8,1),0),NETWORKDAYS.INTL(DATE($B$3,8,30),DATE($B$3,8,30),1,'Non-working days'!$A$6:$A$45)=0),"",IF(COUNTIFS('Leave log'!$A$7:$A$306,Employees!$A$14,'Leave log'!$B$7:$B$306,"&lt;="&amp;DATE($B$3,8,30),'Leave log'!$C$7:$C$306,"&gt;="&amp;DATE($B$3,8,30),'Leave log'!$F$7:$F$306,"Approved")&gt;0,"A",""))="A","A",IF(OR(DATE($B$3,8,30)&gt;EOMONTH(DATE($B$3,8,1),0),NETWORKDAYS.INTL(DATE($B$3,8,30),DATE($B$3,8,30),1,'Non-working days'!$A$6:$A$45)=0),"",IF(COUNTIFS('Leave log'!$A$7:$A$306,Employees!$A$14,'Leave log'!$B$7:$B$306,"&lt;="&amp;DATE($B$3,8,30),'Leave log'!$C$7:$C$306,"&gt;="&amp;DATE($B$3,8,30),'Leave log'!$F$7:$F$306,"Pending")&gt;0,"P",""))))</f>
        <v/>
      </c>
      <c r="AF253" s="23" t="str">
        <f>IF(A253="","",IF(IF(OR(DATE($B$3,8,31)&gt;EOMONTH(DATE($B$3,8,1),0),NETWORKDAYS.INTL(DATE($B$3,8,31),DATE($B$3,8,31),1,'Non-working days'!$A$6:$A$45)=0),"",IF(COUNTIFS('Leave log'!$A$7:$A$306,Employees!$A$14,'Leave log'!$B$7:$B$306,"&lt;="&amp;DATE($B$3,8,31),'Leave log'!$C$7:$C$306,"&gt;="&amp;DATE($B$3,8,31),'Leave log'!$F$7:$F$306,"Approved")&gt;0,"A",""))="A","A",IF(OR(DATE($B$3,8,31)&gt;EOMONTH(DATE($B$3,8,1),0),NETWORKDAYS.INTL(DATE($B$3,8,31),DATE($B$3,8,31),1,'Non-working days'!$A$6:$A$45)=0),"",IF(COUNTIFS('Leave log'!$A$7:$A$306,Employees!$A$14,'Leave log'!$B$7:$B$306,"&lt;="&amp;DATE($B$3,8,31),'Leave log'!$C$7:$C$306,"&gt;="&amp;DATE($B$3,8,31),'Leave log'!$F$7:$F$306,"Pending")&gt;0,"P",""))))</f>
        <v/>
      </c>
    </row>
    <row r="254" spans="1:32" ht="18" customHeight="1" x14ac:dyDescent="0.3">
      <c r="A254" s="22" t="str">
        <f>IF(Employees!F15="Yes",Employees!B15,"")</f>
        <v/>
      </c>
      <c r="B254" s="23" t="str">
        <f>IF(A254="","",IF(IF(OR(DATE($B$3,8,1)&gt;EOMONTH(DATE($B$3,8,1),0),NETWORKDAYS.INTL(DATE($B$3,8,1),DATE($B$3,8,1),1,'Non-working days'!$A$6:$A$45)=0),"",IF(COUNTIFS('Leave log'!$A$7:$A$306,Employees!$A$15,'Leave log'!$B$7:$B$306,"&lt;="&amp;DATE($B$3,8,1),'Leave log'!$C$7:$C$306,"&gt;="&amp;DATE($B$3,8,1),'Leave log'!$F$7:$F$306,"Approved")&gt;0,"A",""))="A","A",IF(OR(DATE($B$3,8,1)&gt;EOMONTH(DATE($B$3,8,1),0),NETWORKDAYS.INTL(DATE($B$3,8,1),DATE($B$3,8,1),1,'Non-working days'!$A$6:$A$45)=0),"",IF(COUNTIFS('Leave log'!$A$7:$A$306,Employees!$A$15,'Leave log'!$B$7:$B$306,"&lt;="&amp;DATE($B$3,8,1),'Leave log'!$C$7:$C$306,"&gt;="&amp;DATE($B$3,8,1),'Leave log'!$F$7:$F$306,"Pending")&gt;0,"P",""))))</f>
        <v/>
      </c>
      <c r="C254" s="23" t="str">
        <f>IF(A254="","",IF(IF(OR(DATE($B$3,8,2)&gt;EOMONTH(DATE($B$3,8,1),0),NETWORKDAYS.INTL(DATE($B$3,8,2),DATE($B$3,8,2),1,'Non-working days'!$A$6:$A$45)=0),"",IF(COUNTIFS('Leave log'!$A$7:$A$306,Employees!$A$15,'Leave log'!$B$7:$B$306,"&lt;="&amp;DATE($B$3,8,2),'Leave log'!$C$7:$C$306,"&gt;="&amp;DATE($B$3,8,2),'Leave log'!$F$7:$F$306,"Approved")&gt;0,"A",""))="A","A",IF(OR(DATE($B$3,8,2)&gt;EOMONTH(DATE($B$3,8,1),0),NETWORKDAYS.INTL(DATE($B$3,8,2),DATE($B$3,8,2),1,'Non-working days'!$A$6:$A$45)=0),"",IF(COUNTIFS('Leave log'!$A$7:$A$306,Employees!$A$15,'Leave log'!$B$7:$B$306,"&lt;="&amp;DATE($B$3,8,2),'Leave log'!$C$7:$C$306,"&gt;="&amp;DATE($B$3,8,2),'Leave log'!$F$7:$F$306,"Pending")&gt;0,"P",""))))</f>
        <v/>
      </c>
      <c r="D254" s="23" t="str">
        <f>IF(A254="","",IF(IF(OR(DATE($B$3,8,3)&gt;EOMONTH(DATE($B$3,8,1),0),NETWORKDAYS.INTL(DATE($B$3,8,3),DATE($B$3,8,3),1,'Non-working days'!$A$6:$A$45)=0),"",IF(COUNTIFS('Leave log'!$A$7:$A$306,Employees!$A$15,'Leave log'!$B$7:$B$306,"&lt;="&amp;DATE($B$3,8,3),'Leave log'!$C$7:$C$306,"&gt;="&amp;DATE($B$3,8,3),'Leave log'!$F$7:$F$306,"Approved")&gt;0,"A",""))="A","A",IF(OR(DATE($B$3,8,3)&gt;EOMONTH(DATE($B$3,8,1),0),NETWORKDAYS.INTL(DATE($B$3,8,3),DATE($B$3,8,3),1,'Non-working days'!$A$6:$A$45)=0),"",IF(COUNTIFS('Leave log'!$A$7:$A$306,Employees!$A$15,'Leave log'!$B$7:$B$306,"&lt;="&amp;DATE($B$3,8,3),'Leave log'!$C$7:$C$306,"&gt;="&amp;DATE($B$3,8,3),'Leave log'!$F$7:$F$306,"Pending")&gt;0,"P",""))))</f>
        <v/>
      </c>
      <c r="E254" s="23" t="str">
        <f>IF(A254="","",IF(IF(OR(DATE($B$3,8,4)&gt;EOMONTH(DATE($B$3,8,1),0),NETWORKDAYS.INTL(DATE($B$3,8,4),DATE($B$3,8,4),1,'Non-working days'!$A$6:$A$45)=0),"",IF(COUNTIFS('Leave log'!$A$7:$A$306,Employees!$A$15,'Leave log'!$B$7:$B$306,"&lt;="&amp;DATE($B$3,8,4),'Leave log'!$C$7:$C$306,"&gt;="&amp;DATE($B$3,8,4),'Leave log'!$F$7:$F$306,"Approved")&gt;0,"A",""))="A","A",IF(OR(DATE($B$3,8,4)&gt;EOMONTH(DATE($B$3,8,1),0),NETWORKDAYS.INTL(DATE($B$3,8,4),DATE($B$3,8,4),1,'Non-working days'!$A$6:$A$45)=0),"",IF(COUNTIFS('Leave log'!$A$7:$A$306,Employees!$A$15,'Leave log'!$B$7:$B$306,"&lt;="&amp;DATE($B$3,8,4),'Leave log'!$C$7:$C$306,"&gt;="&amp;DATE($B$3,8,4),'Leave log'!$F$7:$F$306,"Pending")&gt;0,"P",""))))</f>
        <v/>
      </c>
      <c r="F254" s="23" t="str">
        <f>IF(A254="","",IF(IF(OR(DATE($B$3,8,5)&gt;EOMONTH(DATE($B$3,8,1),0),NETWORKDAYS.INTL(DATE($B$3,8,5),DATE($B$3,8,5),1,'Non-working days'!$A$6:$A$45)=0),"",IF(COUNTIFS('Leave log'!$A$7:$A$306,Employees!$A$15,'Leave log'!$B$7:$B$306,"&lt;="&amp;DATE($B$3,8,5),'Leave log'!$C$7:$C$306,"&gt;="&amp;DATE($B$3,8,5),'Leave log'!$F$7:$F$306,"Approved")&gt;0,"A",""))="A","A",IF(OR(DATE($B$3,8,5)&gt;EOMONTH(DATE($B$3,8,1),0),NETWORKDAYS.INTL(DATE($B$3,8,5),DATE($B$3,8,5),1,'Non-working days'!$A$6:$A$45)=0),"",IF(COUNTIFS('Leave log'!$A$7:$A$306,Employees!$A$15,'Leave log'!$B$7:$B$306,"&lt;="&amp;DATE($B$3,8,5),'Leave log'!$C$7:$C$306,"&gt;="&amp;DATE($B$3,8,5),'Leave log'!$F$7:$F$306,"Pending")&gt;0,"P",""))))</f>
        <v/>
      </c>
      <c r="G254" s="23" t="str">
        <f>IF(A254="","",IF(IF(OR(DATE($B$3,8,6)&gt;EOMONTH(DATE($B$3,8,1),0),NETWORKDAYS.INTL(DATE($B$3,8,6),DATE($B$3,8,6),1,'Non-working days'!$A$6:$A$45)=0),"",IF(COUNTIFS('Leave log'!$A$7:$A$306,Employees!$A$15,'Leave log'!$B$7:$B$306,"&lt;="&amp;DATE($B$3,8,6),'Leave log'!$C$7:$C$306,"&gt;="&amp;DATE($B$3,8,6),'Leave log'!$F$7:$F$306,"Approved")&gt;0,"A",""))="A","A",IF(OR(DATE($B$3,8,6)&gt;EOMONTH(DATE($B$3,8,1),0),NETWORKDAYS.INTL(DATE($B$3,8,6),DATE($B$3,8,6),1,'Non-working days'!$A$6:$A$45)=0),"",IF(COUNTIFS('Leave log'!$A$7:$A$306,Employees!$A$15,'Leave log'!$B$7:$B$306,"&lt;="&amp;DATE($B$3,8,6),'Leave log'!$C$7:$C$306,"&gt;="&amp;DATE($B$3,8,6),'Leave log'!$F$7:$F$306,"Pending")&gt;0,"P",""))))</f>
        <v/>
      </c>
      <c r="H254" s="23" t="str">
        <f>IF(A254="","",IF(IF(OR(DATE($B$3,8,7)&gt;EOMONTH(DATE($B$3,8,1),0),NETWORKDAYS.INTL(DATE($B$3,8,7),DATE($B$3,8,7),1,'Non-working days'!$A$6:$A$45)=0),"",IF(COUNTIFS('Leave log'!$A$7:$A$306,Employees!$A$15,'Leave log'!$B$7:$B$306,"&lt;="&amp;DATE($B$3,8,7),'Leave log'!$C$7:$C$306,"&gt;="&amp;DATE($B$3,8,7),'Leave log'!$F$7:$F$306,"Approved")&gt;0,"A",""))="A","A",IF(OR(DATE($B$3,8,7)&gt;EOMONTH(DATE($B$3,8,1),0),NETWORKDAYS.INTL(DATE($B$3,8,7),DATE($B$3,8,7),1,'Non-working days'!$A$6:$A$45)=0),"",IF(COUNTIFS('Leave log'!$A$7:$A$306,Employees!$A$15,'Leave log'!$B$7:$B$306,"&lt;="&amp;DATE($B$3,8,7),'Leave log'!$C$7:$C$306,"&gt;="&amp;DATE($B$3,8,7),'Leave log'!$F$7:$F$306,"Pending")&gt;0,"P",""))))</f>
        <v/>
      </c>
      <c r="I254" s="23" t="str">
        <f>IF(A254="","",IF(IF(OR(DATE($B$3,8,8)&gt;EOMONTH(DATE($B$3,8,1),0),NETWORKDAYS.INTL(DATE($B$3,8,8),DATE($B$3,8,8),1,'Non-working days'!$A$6:$A$45)=0),"",IF(COUNTIFS('Leave log'!$A$7:$A$306,Employees!$A$15,'Leave log'!$B$7:$B$306,"&lt;="&amp;DATE($B$3,8,8),'Leave log'!$C$7:$C$306,"&gt;="&amp;DATE($B$3,8,8),'Leave log'!$F$7:$F$306,"Approved")&gt;0,"A",""))="A","A",IF(OR(DATE($B$3,8,8)&gt;EOMONTH(DATE($B$3,8,1),0),NETWORKDAYS.INTL(DATE($B$3,8,8),DATE($B$3,8,8),1,'Non-working days'!$A$6:$A$45)=0),"",IF(COUNTIFS('Leave log'!$A$7:$A$306,Employees!$A$15,'Leave log'!$B$7:$B$306,"&lt;="&amp;DATE($B$3,8,8),'Leave log'!$C$7:$C$306,"&gt;="&amp;DATE($B$3,8,8),'Leave log'!$F$7:$F$306,"Pending")&gt;0,"P",""))))</f>
        <v/>
      </c>
      <c r="J254" s="23" t="str">
        <f>IF(A254="","",IF(IF(OR(DATE($B$3,8,9)&gt;EOMONTH(DATE($B$3,8,1),0),NETWORKDAYS.INTL(DATE($B$3,8,9),DATE($B$3,8,9),1,'Non-working days'!$A$6:$A$45)=0),"",IF(COUNTIFS('Leave log'!$A$7:$A$306,Employees!$A$15,'Leave log'!$B$7:$B$306,"&lt;="&amp;DATE($B$3,8,9),'Leave log'!$C$7:$C$306,"&gt;="&amp;DATE($B$3,8,9),'Leave log'!$F$7:$F$306,"Approved")&gt;0,"A",""))="A","A",IF(OR(DATE($B$3,8,9)&gt;EOMONTH(DATE($B$3,8,1),0),NETWORKDAYS.INTL(DATE($B$3,8,9),DATE($B$3,8,9),1,'Non-working days'!$A$6:$A$45)=0),"",IF(COUNTIFS('Leave log'!$A$7:$A$306,Employees!$A$15,'Leave log'!$B$7:$B$306,"&lt;="&amp;DATE($B$3,8,9),'Leave log'!$C$7:$C$306,"&gt;="&amp;DATE($B$3,8,9),'Leave log'!$F$7:$F$306,"Pending")&gt;0,"P",""))))</f>
        <v/>
      </c>
      <c r="K254" s="23" t="str">
        <f>IF(A254="","",IF(IF(OR(DATE($B$3,8,10)&gt;EOMONTH(DATE($B$3,8,1),0),NETWORKDAYS.INTL(DATE($B$3,8,10),DATE($B$3,8,10),1,'Non-working days'!$A$6:$A$45)=0),"",IF(COUNTIFS('Leave log'!$A$7:$A$306,Employees!$A$15,'Leave log'!$B$7:$B$306,"&lt;="&amp;DATE($B$3,8,10),'Leave log'!$C$7:$C$306,"&gt;="&amp;DATE($B$3,8,10),'Leave log'!$F$7:$F$306,"Approved")&gt;0,"A",""))="A","A",IF(OR(DATE($B$3,8,10)&gt;EOMONTH(DATE($B$3,8,1),0),NETWORKDAYS.INTL(DATE($B$3,8,10),DATE($B$3,8,10),1,'Non-working days'!$A$6:$A$45)=0),"",IF(COUNTIFS('Leave log'!$A$7:$A$306,Employees!$A$15,'Leave log'!$B$7:$B$306,"&lt;="&amp;DATE($B$3,8,10),'Leave log'!$C$7:$C$306,"&gt;="&amp;DATE($B$3,8,10),'Leave log'!$F$7:$F$306,"Pending")&gt;0,"P",""))))</f>
        <v/>
      </c>
      <c r="L254" s="23" t="str">
        <f>IF(A254="","",IF(IF(OR(DATE($B$3,8,11)&gt;EOMONTH(DATE($B$3,8,1),0),NETWORKDAYS.INTL(DATE($B$3,8,11),DATE($B$3,8,11),1,'Non-working days'!$A$6:$A$45)=0),"",IF(COUNTIFS('Leave log'!$A$7:$A$306,Employees!$A$15,'Leave log'!$B$7:$B$306,"&lt;="&amp;DATE($B$3,8,11),'Leave log'!$C$7:$C$306,"&gt;="&amp;DATE($B$3,8,11),'Leave log'!$F$7:$F$306,"Approved")&gt;0,"A",""))="A","A",IF(OR(DATE($B$3,8,11)&gt;EOMONTH(DATE($B$3,8,1),0),NETWORKDAYS.INTL(DATE($B$3,8,11),DATE($B$3,8,11),1,'Non-working days'!$A$6:$A$45)=0),"",IF(COUNTIFS('Leave log'!$A$7:$A$306,Employees!$A$15,'Leave log'!$B$7:$B$306,"&lt;="&amp;DATE($B$3,8,11),'Leave log'!$C$7:$C$306,"&gt;="&amp;DATE($B$3,8,11),'Leave log'!$F$7:$F$306,"Pending")&gt;0,"P",""))))</f>
        <v/>
      </c>
      <c r="M254" s="23" t="str">
        <f>IF(A254="","",IF(IF(OR(DATE($B$3,8,12)&gt;EOMONTH(DATE($B$3,8,1),0),NETWORKDAYS.INTL(DATE($B$3,8,12),DATE($B$3,8,12),1,'Non-working days'!$A$6:$A$45)=0),"",IF(COUNTIFS('Leave log'!$A$7:$A$306,Employees!$A$15,'Leave log'!$B$7:$B$306,"&lt;="&amp;DATE($B$3,8,12),'Leave log'!$C$7:$C$306,"&gt;="&amp;DATE($B$3,8,12),'Leave log'!$F$7:$F$306,"Approved")&gt;0,"A",""))="A","A",IF(OR(DATE($B$3,8,12)&gt;EOMONTH(DATE($B$3,8,1),0),NETWORKDAYS.INTL(DATE($B$3,8,12),DATE($B$3,8,12),1,'Non-working days'!$A$6:$A$45)=0),"",IF(COUNTIFS('Leave log'!$A$7:$A$306,Employees!$A$15,'Leave log'!$B$7:$B$306,"&lt;="&amp;DATE($B$3,8,12),'Leave log'!$C$7:$C$306,"&gt;="&amp;DATE($B$3,8,12),'Leave log'!$F$7:$F$306,"Pending")&gt;0,"P",""))))</f>
        <v/>
      </c>
      <c r="N254" s="23" t="str">
        <f>IF(A254="","",IF(IF(OR(DATE($B$3,8,13)&gt;EOMONTH(DATE($B$3,8,1),0),NETWORKDAYS.INTL(DATE($B$3,8,13),DATE($B$3,8,13),1,'Non-working days'!$A$6:$A$45)=0),"",IF(COUNTIFS('Leave log'!$A$7:$A$306,Employees!$A$15,'Leave log'!$B$7:$B$306,"&lt;="&amp;DATE($B$3,8,13),'Leave log'!$C$7:$C$306,"&gt;="&amp;DATE($B$3,8,13),'Leave log'!$F$7:$F$306,"Approved")&gt;0,"A",""))="A","A",IF(OR(DATE($B$3,8,13)&gt;EOMONTH(DATE($B$3,8,1),0),NETWORKDAYS.INTL(DATE($B$3,8,13),DATE($B$3,8,13),1,'Non-working days'!$A$6:$A$45)=0),"",IF(COUNTIFS('Leave log'!$A$7:$A$306,Employees!$A$15,'Leave log'!$B$7:$B$306,"&lt;="&amp;DATE($B$3,8,13),'Leave log'!$C$7:$C$306,"&gt;="&amp;DATE($B$3,8,13),'Leave log'!$F$7:$F$306,"Pending")&gt;0,"P",""))))</f>
        <v/>
      </c>
      <c r="O254" s="23" t="str">
        <f>IF(A254="","",IF(IF(OR(DATE($B$3,8,14)&gt;EOMONTH(DATE($B$3,8,1),0),NETWORKDAYS.INTL(DATE($B$3,8,14),DATE($B$3,8,14),1,'Non-working days'!$A$6:$A$45)=0),"",IF(COUNTIFS('Leave log'!$A$7:$A$306,Employees!$A$15,'Leave log'!$B$7:$B$306,"&lt;="&amp;DATE($B$3,8,14),'Leave log'!$C$7:$C$306,"&gt;="&amp;DATE($B$3,8,14),'Leave log'!$F$7:$F$306,"Approved")&gt;0,"A",""))="A","A",IF(OR(DATE($B$3,8,14)&gt;EOMONTH(DATE($B$3,8,1),0),NETWORKDAYS.INTL(DATE($B$3,8,14),DATE($B$3,8,14),1,'Non-working days'!$A$6:$A$45)=0),"",IF(COUNTIFS('Leave log'!$A$7:$A$306,Employees!$A$15,'Leave log'!$B$7:$B$306,"&lt;="&amp;DATE($B$3,8,14),'Leave log'!$C$7:$C$306,"&gt;="&amp;DATE($B$3,8,14),'Leave log'!$F$7:$F$306,"Pending")&gt;0,"P",""))))</f>
        <v/>
      </c>
      <c r="P254" s="23" t="str">
        <f>IF(A254="","",IF(IF(OR(DATE($B$3,8,15)&gt;EOMONTH(DATE($B$3,8,1),0),NETWORKDAYS.INTL(DATE($B$3,8,15),DATE($B$3,8,15),1,'Non-working days'!$A$6:$A$45)=0),"",IF(COUNTIFS('Leave log'!$A$7:$A$306,Employees!$A$15,'Leave log'!$B$7:$B$306,"&lt;="&amp;DATE($B$3,8,15),'Leave log'!$C$7:$C$306,"&gt;="&amp;DATE($B$3,8,15),'Leave log'!$F$7:$F$306,"Approved")&gt;0,"A",""))="A","A",IF(OR(DATE($B$3,8,15)&gt;EOMONTH(DATE($B$3,8,1),0),NETWORKDAYS.INTL(DATE($B$3,8,15),DATE($B$3,8,15),1,'Non-working days'!$A$6:$A$45)=0),"",IF(COUNTIFS('Leave log'!$A$7:$A$306,Employees!$A$15,'Leave log'!$B$7:$B$306,"&lt;="&amp;DATE($B$3,8,15),'Leave log'!$C$7:$C$306,"&gt;="&amp;DATE($B$3,8,15),'Leave log'!$F$7:$F$306,"Pending")&gt;0,"P",""))))</f>
        <v/>
      </c>
      <c r="Q254" s="23" t="str">
        <f>IF(A254="","",IF(IF(OR(DATE($B$3,8,16)&gt;EOMONTH(DATE($B$3,8,1),0),NETWORKDAYS.INTL(DATE($B$3,8,16),DATE($B$3,8,16),1,'Non-working days'!$A$6:$A$45)=0),"",IF(COUNTIFS('Leave log'!$A$7:$A$306,Employees!$A$15,'Leave log'!$B$7:$B$306,"&lt;="&amp;DATE($B$3,8,16),'Leave log'!$C$7:$C$306,"&gt;="&amp;DATE($B$3,8,16),'Leave log'!$F$7:$F$306,"Approved")&gt;0,"A",""))="A","A",IF(OR(DATE($B$3,8,16)&gt;EOMONTH(DATE($B$3,8,1),0),NETWORKDAYS.INTL(DATE($B$3,8,16),DATE($B$3,8,16),1,'Non-working days'!$A$6:$A$45)=0),"",IF(COUNTIFS('Leave log'!$A$7:$A$306,Employees!$A$15,'Leave log'!$B$7:$B$306,"&lt;="&amp;DATE($B$3,8,16),'Leave log'!$C$7:$C$306,"&gt;="&amp;DATE($B$3,8,16),'Leave log'!$F$7:$F$306,"Pending")&gt;0,"P",""))))</f>
        <v/>
      </c>
      <c r="R254" s="23" t="str">
        <f>IF(A254="","",IF(IF(OR(DATE($B$3,8,17)&gt;EOMONTH(DATE($B$3,8,1),0),NETWORKDAYS.INTL(DATE($B$3,8,17),DATE($B$3,8,17),1,'Non-working days'!$A$6:$A$45)=0),"",IF(COUNTIFS('Leave log'!$A$7:$A$306,Employees!$A$15,'Leave log'!$B$7:$B$306,"&lt;="&amp;DATE($B$3,8,17),'Leave log'!$C$7:$C$306,"&gt;="&amp;DATE($B$3,8,17),'Leave log'!$F$7:$F$306,"Approved")&gt;0,"A",""))="A","A",IF(OR(DATE($B$3,8,17)&gt;EOMONTH(DATE($B$3,8,1),0),NETWORKDAYS.INTL(DATE($B$3,8,17),DATE($B$3,8,17),1,'Non-working days'!$A$6:$A$45)=0),"",IF(COUNTIFS('Leave log'!$A$7:$A$306,Employees!$A$15,'Leave log'!$B$7:$B$306,"&lt;="&amp;DATE($B$3,8,17),'Leave log'!$C$7:$C$306,"&gt;="&amp;DATE($B$3,8,17),'Leave log'!$F$7:$F$306,"Pending")&gt;0,"P",""))))</f>
        <v/>
      </c>
      <c r="S254" s="23" t="str">
        <f>IF(A254="","",IF(IF(OR(DATE($B$3,8,18)&gt;EOMONTH(DATE($B$3,8,1),0),NETWORKDAYS.INTL(DATE($B$3,8,18),DATE($B$3,8,18),1,'Non-working days'!$A$6:$A$45)=0),"",IF(COUNTIFS('Leave log'!$A$7:$A$306,Employees!$A$15,'Leave log'!$B$7:$B$306,"&lt;="&amp;DATE($B$3,8,18),'Leave log'!$C$7:$C$306,"&gt;="&amp;DATE($B$3,8,18),'Leave log'!$F$7:$F$306,"Approved")&gt;0,"A",""))="A","A",IF(OR(DATE($B$3,8,18)&gt;EOMONTH(DATE($B$3,8,1),0),NETWORKDAYS.INTL(DATE($B$3,8,18),DATE($B$3,8,18),1,'Non-working days'!$A$6:$A$45)=0),"",IF(COUNTIFS('Leave log'!$A$7:$A$306,Employees!$A$15,'Leave log'!$B$7:$B$306,"&lt;="&amp;DATE($B$3,8,18),'Leave log'!$C$7:$C$306,"&gt;="&amp;DATE($B$3,8,18),'Leave log'!$F$7:$F$306,"Pending")&gt;0,"P",""))))</f>
        <v/>
      </c>
      <c r="T254" s="23" t="str">
        <f>IF(A254="","",IF(IF(OR(DATE($B$3,8,19)&gt;EOMONTH(DATE($B$3,8,1),0),NETWORKDAYS.INTL(DATE($B$3,8,19),DATE($B$3,8,19),1,'Non-working days'!$A$6:$A$45)=0),"",IF(COUNTIFS('Leave log'!$A$7:$A$306,Employees!$A$15,'Leave log'!$B$7:$B$306,"&lt;="&amp;DATE($B$3,8,19),'Leave log'!$C$7:$C$306,"&gt;="&amp;DATE($B$3,8,19),'Leave log'!$F$7:$F$306,"Approved")&gt;0,"A",""))="A","A",IF(OR(DATE($B$3,8,19)&gt;EOMONTH(DATE($B$3,8,1),0),NETWORKDAYS.INTL(DATE($B$3,8,19),DATE($B$3,8,19),1,'Non-working days'!$A$6:$A$45)=0),"",IF(COUNTIFS('Leave log'!$A$7:$A$306,Employees!$A$15,'Leave log'!$B$7:$B$306,"&lt;="&amp;DATE($B$3,8,19),'Leave log'!$C$7:$C$306,"&gt;="&amp;DATE($B$3,8,19),'Leave log'!$F$7:$F$306,"Pending")&gt;0,"P",""))))</f>
        <v/>
      </c>
      <c r="U254" s="23" t="str">
        <f>IF(A254="","",IF(IF(OR(DATE($B$3,8,20)&gt;EOMONTH(DATE($B$3,8,1),0),NETWORKDAYS.INTL(DATE($B$3,8,20),DATE($B$3,8,20),1,'Non-working days'!$A$6:$A$45)=0),"",IF(COUNTIFS('Leave log'!$A$7:$A$306,Employees!$A$15,'Leave log'!$B$7:$B$306,"&lt;="&amp;DATE($B$3,8,20),'Leave log'!$C$7:$C$306,"&gt;="&amp;DATE($B$3,8,20),'Leave log'!$F$7:$F$306,"Approved")&gt;0,"A",""))="A","A",IF(OR(DATE($B$3,8,20)&gt;EOMONTH(DATE($B$3,8,1),0),NETWORKDAYS.INTL(DATE($B$3,8,20),DATE($B$3,8,20),1,'Non-working days'!$A$6:$A$45)=0),"",IF(COUNTIFS('Leave log'!$A$7:$A$306,Employees!$A$15,'Leave log'!$B$7:$B$306,"&lt;="&amp;DATE($B$3,8,20),'Leave log'!$C$7:$C$306,"&gt;="&amp;DATE($B$3,8,20),'Leave log'!$F$7:$F$306,"Pending")&gt;0,"P",""))))</f>
        <v/>
      </c>
      <c r="V254" s="23" t="str">
        <f>IF(A254="","",IF(IF(OR(DATE($B$3,8,21)&gt;EOMONTH(DATE($B$3,8,1),0),NETWORKDAYS.INTL(DATE($B$3,8,21),DATE($B$3,8,21),1,'Non-working days'!$A$6:$A$45)=0),"",IF(COUNTIFS('Leave log'!$A$7:$A$306,Employees!$A$15,'Leave log'!$B$7:$B$306,"&lt;="&amp;DATE($B$3,8,21),'Leave log'!$C$7:$C$306,"&gt;="&amp;DATE($B$3,8,21),'Leave log'!$F$7:$F$306,"Approved")&gt;0,"A",""))="A","A",IF(OR(DATE($B$3,8,21)&gt;EOMONTH(DATE($B$3,8,1),0),NETWORKDAYS.INTL(DATE($B$3,8,21),DATE($B$3,8,21),1,'Non-working days'!$A$6:$A$45)=0),"",IF(COUNTIFS('Leave log'!$A$7:$A$306,Employees!$A$15,'Leave log'!$B$7:$B$306,"&lt;="&amp;DATE($B$3,8,21),'Leave log'!$C$7:$C$306,"&gt;="&amp;DATE($B$3,8,21),'Leave log'!$F$7:$F$306,"Pending")&gt;0,"P",""))))</f>
        <v/>
      </c>
      <c r="W254" s="23" t="str">
        <f>IF(A254="","",IF(IF(OR(DATE($B$3,8,22)&gt;EOMONTH(DATE($B$3,8,1),0),NETWORKDAYS.INTL(DATE($B$3,8,22),DATE($B$3,8,22),1,'Non-working days'!$A$6:$A$45)=0),"",IF(COUNTIFS('Leave log'!$A$7:$A$306,Employees!$A$15,'Leave log'!$B$7:$B$306,"&lt;="&amp;DATE($B$3,8,22),'Leave log'!$C$7:$C$306,"&gt;="&amp;DATE($B$3,8,22),'Leave log'!$F$7:$F$306,"Approved")&gt;0,"A",""))="A","A",IF(OR(DATE($B$3,8,22)&gt;EOMONTH(DATE($B$3,8,1),0),NETWORKDAYS.INTL(DATE($B$3,8,22),DATE($B$3,8,22),1,'Non-working days'!$A$6:$A$45)=0),"",IF(COUNTIFS('Leave log'!$A$7:$A$306,Employees!$A$15,'Leave log'!$B$7:$B$306,"&lt;="&amp;DATE($B$3,8,22),'Leave log'!$C$7:$C$306,"&gt;="&amp;DATE($B$3,8,22),'Leave log'!$F$7:$F$306,"Pending")&gt;0,"P",""))))</f>
        <v/>
      </c>
      <c r="X254" s="23" t="str">
        <f>IF(A254="","",IF(IF(OR(DATE($B$3,8,23)&gt;EOMONTH(DATE($B$3,8,1),0),NETWORKDAYS.INTL(DATE($B$3,8,23),DATE($B$3,8,23),1,'Non-working days'!$A$6:$A$45)=0),"",IF(COUNTIFS('Leave log'!$A$7:$A$306,Employees!$A$15,'Leave log'!$B$7:$B$306,"&lt;="&amp;DATE($B$3,8,23),'Leave log'!$C$7:$C$306,"&gt;="&amp;DATE($B$3,8,23),'Leave log'!$F$7:$F$306,"Approved")&gt;0,"A",""))="A","A",IF(OR(DATE($B$3,8,23)&gt;EOMONTH(DATE($B$3,8,1),0),NETWORKDAYS.INTL(DATE($B$3,8,23),DATE($B$3,8,23),1,'Non-working days'!$A$6:$A$45)=0),"",IF(COUNTIFS('Leave log'!$A$7:$A$306,Employees!$A$15,'Leave log'!$B$7:$B$306,"&lt;="&amp;DATE($B$3,8,23),'Leave log'!$C$7:$C$306,"&gt;="&amp;DATE($B$3,8,23),'Leave log'!$F$7:$F$306,"Pending")&gt;0,"P",""))))</f>
        <v/>
      </c>
      <c r="Y254" s="23" t="str">
        <f>IF(A254="","",IF(IF(OR(DATE($B$3,8,24)&gt;EOMONTH(DATE($B$3,8,1),0),NETWORKDAYS.INTL(DATE($B$3,8,24),DATE($B$3,8,24),1,'Non-working days'!$A$6:$A$45)=0),"",IF(COUNTIFS('Leave log'!$A$7:$A$306,Employees!$A$15,'Leave log'!$B$7:$B$306,"&lt;="&amp;DATE($B$3,8,24),'Leave log'!$C$7:$C$306,"&gt;="&amp;DATE($B$3,8,24),'Leave log'!$F$7:$F$306,"Approved")&gt;0,"A",""))="A","A",IF(OR(DATE($B$3,8,24)&gt;EOMONTH(DATE($B$3,8,1),0),NETWORKDAYS.INTL(DATE($B$3,8,24),DATE($B$3,8,24),1,'Non-working days'!$A$6:$A$45)=0),"",IF(COUNTIFS('Leave log'!$A$7:$A$306,Employees!$A$15,'Leave log'!$B$7:$B$306,"&lt;="&amp;DATE($B$3,8,24),'Leave log'!$C$7:$C$306,"&gt;="&amp;DATE($B$3,8,24),'Leave log'!$F$7:$F$306,"Pending")&gt;0,"P",""))))</f>
        <v/>
      </c>
      <c r="Z254" s="23" t="str">
        <f>IF(A254="","",IF(IF(OR(DATE($B$3,8,25)&gt;EOMONTH(DATE($B$3,8,1),0),NETWORKDAYS.INTL(DATE($B$3,8,25),DATE($B$3,8,25),1,'Non-working days'!$A$6:$A$45)=0),"",IF(COUNTIFS('Leave log'!$A$7:$A$306,Employees!$A$15,'Leave log'!$B$7:$B$306,"&lt;="&amp;DATE($B$3,8,25),'Leave log'!$C$7:$C$306,"&gt;="&amp;DATE($B$3,8,25),'Leave log'!$F$7:$F$306,"Approved")&gt;0,"A",""))="A","A",IF(OR(DATE($B$3,8,25)&gt;EOMONTH(DATE($B$3,8,1),0),NETWORKDAYS.INTL(DATE($B$3,8,25),DATE($B$3,8,25),1,'Non-working days'!$A$6:$A$45)=0),"",IF(COUNTIFS('Leave log'!$A$7:$A$306,Employees!$A$15,'Leave log'!$B$7:$B$306,"&lt;="&amp;DATE($B$3,8,25),'Leave log'!$C$7:$C$306,"&gt;="&amp;DATE($B$3,8,25),'Leave log'!$F$7:$F$306,"Pending")&gt;0,"P",""))))</f>
        <v/>
      </c>
      <c r="AA254" s="23" t="str">
        <f>IF(A254="","",IF(IF(OR(DATE($B$3,8,26)&gt;EOMONTH(DATE($B$3,8,1),0),NETWORKDAYS.INTL(DATE($B$3,8,26),DATE($B$3,8,26),1,'Non-working days'!$A$6:$A$45)=0),"",IF(COUNTIFS('Leave log'!$A$7:$A$306,Employees!$A$15,'Leave log'!$B$7:$B$306,"&lt;="&amp;DATE($B$3,8,26),'Leave log'!$C$7:$C$306,"&gt;="&amp;DATE($B$3,8,26),'Leave log'!$F$7:$F$306,"Approved")&gt;0,"A",""))="A","A",IF(OR(DATE($B$3,8,26)&gt;EOMONTH(DATE($B$3,8,1),0),NETWORKDAYS.INTL(DATE($B$3,8,26),DATE($B$3,8,26),1,'Non-working days'!$A$6:$A$45)=0),"",IF(COUNTIFS('Leave log'!$A$7:$A$306,Employees!$A$15,'Leave log'!$B$7:$B$306,"&lt;="&amp;DATE($B$3,8,26),'Leave log'!$C$7:$C$306,"&gt;="&amp;DATE($B$3,8,26),'Leave log'!$F$7:$F$306,"Pending")&gt;0,"P",""))))</f>
        <v/>
      </c>
      <c r="AB254" s="23" t="str">
        <f>IF(A254="","",IF(IF(OR(DATE($B$3,8,27)&gt;EOMONTH(DATE($B$3,8,1),0),NETWORKDAYS.INTL(DATE($B$3,8,27),DATE($B$3,8,27),1,'Non-working days'!$A$6:$A$45)=0),"",IF(COUNTIFS('Leave log'!$A$7:$A$306,Employees!$A$15,'Leave log'!$B$7:$B$306,"&lt;="&amp;DATE($B$3,8,27),'Leave log'!$C$7:$C$306,"&gt;="&amp;DATE($B$3,8,27),'Leave log'!$F$7:$F$306,"Approved")&gt;0,"A",""))="A","A",IF(OR(DATE($B$3,8,27)&gt;EOMONTH(DATE($B$3,8,1),0),NETWORKDAYS.INTL(DATE($B$3,8,27),DATE($B$3,8,27),1,'Non-working days'!$A$6:$A$45)=0),"",IF(COUNTIFS('Leave log'!$A$7:$A$306,Employees!$A$15,'Leave log'!$B$7:$B$306,"&lt;="&amp;DATE($B$3,8,27),'Leave log'!$C$7:$C$306,"&gt;="&amp;DATE($B$3,8,27),'Leave log'!$F$7:$F$306,"Pending")&gt;0,"P",""))))</f>
        <v/>
      </c>
      <c r="AC254" s="23" t="str">
        <f>IF(A254="","",IF(IF(OR(DATE($B$3,8,28)&gt;EOMONTH(DATE($B$3,8,1),0),NETWORKDAYS.INTL(DATE($B$3,8,28),DATE($B$3,8,28),1,'Non-working days'!$A$6:$A$45)=0),"",IF(COUNTIFS('Leave log'!$A$7:$A$306,Employees!$A$15,'Leave log'!$B$7:$B$306,"&lt;="&amp;DATE($B$3,8,28),'Leave log'!$C$7:$C$306,"&gt;="&amp;DATE($B$3,8,28),'Leave log'!$F$7:$F$306,"Approved")&gt;0,"A",""))="A","A",IF(OR(DATE($B$3,8,28)&gt;EOMONTH(DATE($B$3,8,1),0),NETWORKDAYS.INTL(DATE($B$3,8,28),DATE($B$3,8,28),1,'Non-working days'!$A$6:$A$45)=0),"",IF(COUNTIFS('Leave log'!$A$7:$A$306,Employees!$A$15,'Leave log'!$B$7:$B$306,"&lt;="&amp;DATE($B$3,8,28),'Leave log'!$C$7:$C$306,"&gt;="&amp;DATE($B$3,8,28),'Leave log'!$F$7:$F$306,"Pending")&gt;0,"P",""))))</f>
        <v/>
      </c>
      <c r="AD254" s="23" t="str">
        <f>IF(A254="","",IF(IF(OR(DATE($B$3,8,29)&gt;EOMONTH(DATE($B$3,8,1),0),NETWORKDAYS.INTL(DATE($B$3,8,29),DATE($B$3,8,29),1,'Non-working days'!$A$6:$A$45)=0),"",IF(COUNTIFS('Leave log'!$A$7:$A$306,Employees!$A$15,'Leave log'!$B$7:$B$306,"&lt;="&amp;DATE($B$3,8,29),'Leave log'!$C$7:$C$306,"&gt;="&amp;DATE($B$3,8,29),'Leave log'!$F$7:$F$306,"Approved")&gt;0,"A",""))="A","A",IF(OR(DATE($B$3,8,29)&gt;EOMONTH(DATE($B$3,8,1),0),NETWORKDAYS.INTL(DATE($B$3,8,29),DATE($B$3,8,29),1,'Non-working days'!$A$6:$A$45)=0),"",IF(COUNTIFS('Leave log'!$A$7:$A$306,Employees!$A$15,'Leave log'!$B$7:$B$306,"&lt;="&amp;DATE($B$3,8,29),'Leave log'!$C$7:$C$306,"&gt;="&amp;DATE($B$3,8,29),'Leave log'!$F$7:$F$306,"Pending")&gt;0,"P",""))))</f>
        <v/>
      </c>
      <c r="AE254" s="23" t="str">
        <f>IF(A254="","",IF(IF(OR(DATE($B$3,8,30)&gt;EOMONTH(DATE($B$3,8,1),0),NETWORKDAYS.INTL(DATE($B$3,8,30),DATE($B$3,8,30),1,'Non-working days'!$A$6:$A$45)=0),"",IF(COUNTIFS('Leave log'!$A$7:$A$306,Employees!$A$15,'Leave log'!$B$7:$B$306,"&lt;="&amp;DATE($B$3,8,30),'Leave log'!$C$7:$C$306,"&gt;="&amp;DATE($B$3,8,30),'Leave log'!$F$7:$F$306,"Approved")&gt;0,"A",""))="A","A",IF(OR(DATE($B$3,8,30)&gt;EOMONTH(DATE($B$3,8,1),0),NETWORKDAYS.INTL(DATE($B$3,8,30),DATE($B$3,8,30),1,'Non-working days'!$A$6:$A$45)=0),"",IF(COUNTIFS('Leave log'!$A$7:$A$306,Employees!$A$15,'Leave log'!$B$7:$B$306,"&lt;="&amp;DATE($B$3,8,30),'Leave log'!$C$7:$C$306,"&gt;="&amp;DATE($B$3,8,30),'Leave log'!$F$7:$F$306,"Pending")&gt;0,"P",""))))</f>
        <v/>
      </c>
      <c r="AF254" s="23" t="str">
        <f>IF(A254="","",IF(IF(OR(DATE($B$3,8,31)&gt;EOMONTH(DATE($B$3,8,1),0),NETWORKDAYS.INTL(DATE($B$3,8,31),DATE($B$3,8,31),1,'Non-working days'!$A$6:$A$45)=0),"",IF(COUNTIFS('Leave log'!$A$7:$A$306,Employees!$A$15,'Leave log'!$B$7:$B$306,"&lt;="&amp;DATE($B$3,8,31),'Leave log'!$C$7:$C$306,"&gt;="&amp;DATE($B$3,8,31),'Leave log'!$F$7:$F$306,"Approved")&gt;0,"A",""))="A","A",IF(OR(DATE($B$3,8,31)&gt;EOMONTH(DATE($B$3,8,1),0),NETWORKDAYS.INTL(DATE($B$3,8,31),DATE($B$3,8,31),1,'Non-working days'!$A$6:$A$45)=0),"",IF(COUNTIFS('Leave log'!$A$7:$A$306,Employees!$A$15,'Leave log'!$B$7:$B$306,"&lt;="&amp;DATE($B$3,8,31),'Leave log'!$C$7:$C$306,"&gt;="&amp;DATE($B$3,8,31),'Leave log'!$F$7:$F$306,"Pending")&gt;0,"P",""))))</f>
        <v/>
      </c>
    </row>
    <row r="255" spans="1:32" ht="18" customHeight="1" x14ac:dyDescent="0.3">
      <c r="A255" s="22" t="str">
        <f>IF(Employees!F16="Yes",Employees!B16,"")</f>
        <v/>
      </c>
      <c r="B255" s="23" t="str">
        <f>IF(A255="","",IF(IF(OR(DATE($B$3,8,1)&gt;EOMONTH(DATE($B$3,8,1),0),NETWORKDAYS.INTL(DATE($B$3,8,1),DATE($B$3,8,1),1,'Non-working days'!$A$6:$A$45)=0),"",IF(COUNTIFS('Leave log'!$A$7:$A$306,Employees!$A$16,'Leave log'!$B$7:$B$306,"&lt;="&amp;DATE($B$3,8,1),'Leave log'!$C$7:$C$306,"&gt;="&amp;DATE($B$3,8,1),'Leave log'!$F$7:$F$306,"Approved")&gt;0,"A",""))="A","A",IF(OR(DATE($B$3,8,1)&gt;EOMONTH(DATE($B$3,8,1),0),NETWORKDAYS.INTL(DATE($B$3,8,1),DATE($B$3,8,1),1,'Non-working days'!$A$6:$A$45)=0),"",IF(COUNTIFS('Leave log'!$A$7:$A$306,Employees!$A$16,'Leave log'!$B$7:$B$306,"&lt;="&amp;DATE($B$3,8,1),'Leave log'!$C$7:$C$306,"&gt;="&amp;DATE($B$3,8,1),'Leave log'!$F$7:$F$306,"Pending")&gt;0,"P",""))))</f>
        <v/>
      </c>
      <c r="C255" s="23" t="str">
        <f>IF(A255="","",IF(IF(OR(DATE($B$3,8,2)&gt;EOMONTH(DATE($B$3,8,1),0),NETWORKDAYS.INTL(DATE($B$3,8,2),DATE($B$3,8,2),1,'Non-working days'!$A$6:$A$45)=0),"",IF(COUNTIFS('Leave log'!$A$7:$A$306,Employees!$A$16,'Leave log'!$B$7:$B$306,"&lt;="&amp;DATE($B$3,8,2),'Leave log'!$C$7:$C$306,"&gt;="&amp;DATE($B$3,8,2),'Leave log'!$F$7:$F$306,"Approved")&gt;0,"A",""))="A","A",IF(OR(DATE($B$3,8,2)&gt;EOMONTH(DATE($B$3,8,1),0),NETWORKDAYS.INTL(DATE($B$3,8,2),DATE($B$3,8,2),1,'Non-working days'!$A$6:$A$45)=0),"",IF(COUNTIFS('Leave log'!$A$7:$A$306,Employees!$A$16,'Leave log'!$B$7:$B$306,"&lt;="&amp;DATE($B$3,8,2),'Leave log'!$C$7:$C$306,"&gt;="&amp;DATE($B$3,8,2),'Leave log'!$F$7:$F$306,"Pending")&gt;0,"P",""))))</f>
        <v/>
      </c>
      <c r="D255" s="23" t="str">
        <f>IF(A255="","",IF(IF(OR(DATE($B$3,8,3)&gt;EOMONTH(DATE($B$3,8,1),0),NETWORKDAYS.INTL(DATE($B$3,8,3),DATE($B$3,8,3),1,'Non-working days'!$A$6:$A$45)=0),"",IF(COUNTIFS('Leave log'!$A$7:$A$306,Employees!$A$16,'Leave log'!$B$7:$B$306,"&lt;="&amp;DATE($B$3,8,3),'Leave log'!$C$7:$C$306,"&gt;="&amp;DATE($B$3,8,3),'Leave log'!$F$7:$F$306,"Approved")&gt;0,"A",""))="A","A",IF(OR(DATE($B$3,8,3)&gt;EOMONTH(DATE($B$3,8,1),0),NETWORKDAYS.INTL(DATE($B$3,8,3),DATE($B$3,8,3),1,'Non-working days'!$A$6:$A$45)=0),"",IF(COUNTIFS('Leave log'!$A$7:$A$306,Employees!$A$16,'Leave log'!$B$7:$B$306,"&lt;="&amp;DATE($B$3,8,3),'Leave log'!$C$7:$C$306,"&gt;="&amp;DATE($B$3,8,3),'Leave log'!$F$7:$F$306,"Pending")&gt;0,"P",""))))</f>
        <v/>
      </c>
      <c r="E255" s="23" t="str">
        <f>IF(A255="","",IF(IF(OR(DATE($B$3,8,4)&gt;EOMONTH(DATE($B$3,8,1),0),NETWORKDAYS.INTL(DATE($B$3,8,4),DATE($B$3,8,4),1,'Non-working days'!$A$6:$A$45)=0),"",IF(COUNTIFS('Leave log'!$A$7:$A$306,Employees!$A$16,'Leave log'!$B$7:$B$306,"&lt;="&amp;DATE($B$3,8,4),'Leave log'!$C$7:$C$306,"&gt;="&amp;DATE($B$3,8,4),'Leave log'!$F$7:$F$306,"Approved")&gt;0,"A",""))="A","A",IF(OR(DATE($B$3,8,4)&gt;EOMONTH(DATE($B$3,8,1),0),NETWORKDAYS.INTL(DATE($B$3,8,4),DATE($B$3,8,4),1,'Non-working days'!$A$6:$A$45)=0),"",IF(COUNTIFS('Leave log'!$A$7:$A$306,Employees!$A$16,'Leave log'!$B$7:$B$306,"&lt;="&amp;DATE($B$3,8,4),'Leave log'!$C$7:$C$306,"&gt;="&amp;DATE($B$3,8,4),'Leave log'!$F$7:$F$306,"Pending")&gt;0,"P",""))))</f>
        <v/>
      </c>
      <c r="F255" s="23" t="str">
        <f>IF(A255="","",IF(IF(OR(DATE($B$3,8,5)&gt;EOMONTH(DATE($B$3,8,1),0),NETWORKDAYS.INTL(DATE($B$3,8,5),DATE($B$3,8,5),1,'Non-working days'!$A$6:$A$45)=0),"",IF(COUNTIFS('Leave log'!$A$7:$A$306,Employees!$A$16,'Leave log'!$B$7:$B$306,"&lt;="&amp;DATE($B$3,8,5),'Leave log'!$C$7:$C$306,"&gt;="&amp;DATE($B$3,8,5),'Leave log'!$F$7:$F$306,"Approved")&gt;0,"A",""))="A","A",IF(OR(DATE($B$3,8,5)&gt;EOMONTH(DATE($B$3,8,1),0),NETWORKDAYS.INTL(DATE($B$3,8,5),DATE($B$3,8,5),1,'Non-working days'!$A$6:$A$45)=0),"",IF(COUNTIFS('Leave log'!$A$7:$A$306,Employees!$A$16,'Leave log'!$B$7:$B$306,"&lt;="&amp;DATE($B$3,8,5),'Leave log'!$C$7:$C$306,"&gt;="&amp;DATE($B$3,8,5),'Leave log'!$F$7:$F$306,"Pending")&gt;0,"P",""))))</f>
        <v/>
      </c>
      <c r="G255" s="23" t="str">
        <f>IF(A255="","",IF(IF(OR(DATE($B$3,8,6)&gt;EOMONTH(DATE($B$3,8,1),0),NETWORKDAYS.INTL(DATE($B$3,8,6),DATE($B$3,8,6),1,'Non-working days'!$A$6:$A$45)=0),"",IF(COUNTIFS('Leave log'!$A$7:$A$306,Employees!$A$16,'Leave log'!$B$7:$B$306,"&lt;="&amp;DATE($B$3,8,6),'Leave log'!$C$7:$C$306,"&gt;="&amp;DATE($B$3,8,6),'Leave log'!$F$7:$F$306,"Approved")&gt;0,"A",""))="A","A",IF(OR(DATE($B$3,8,6)&gt;EOMONTH(DATE($B$3,8,1),0),NETWORKDAYS.INTL(DATE($B$3,8,6),DATE($B$3,8,6),1,'Non-working days'!$A$6:$A$45)=0),"",IF(COUNTIFS('Leave log'!$A$7:$A$306,Employees!$A$16,'Leave log'!$B$7:$B$306,"&lt;="&amp;DATE($B$3,8,6),'Leave log'!$C$7:$C$306,"&gt;="&amp;DATE($B$3,8,6),'Leave log'!$F$7:$F$306,"Pending")&gt;0,"P",""))))</f>
        <v/>
      </c>
      <c r="H255" s="23" t="str">
        <f>IF(A255="","",IF(IF(OR(DATE($B$3,8,7)&gt;EOMONTH(DATE($B$3,8,1),0),NETWORKDAYS.INTL(DATE($B$3,8,7),DATE($B$3,8,7),1,'Non-working days'!$A$6:$A$45)=0),"",IF(COUNTIFS('Leave log'!$A$7:$A$306,Employees!$A$16,'Leave log'!$B$7:$B$306,"&lt;="&amp;DATE($B$3,8,7),'Leave log'!$C$7:$C$306,"&gt;="&amp;DATE($B$3,8,7),'Leave log'!$F$7:$F$306,"Approved")&gt;0,"A",""))="A","A",IF(OR(DATE($B$3,8,7)&gt;EOMONTH(DATE($B$3,8,1),0),NETWORKDAYS.INTL(DATE($B$3,8,7),DATE($B$3,8,7),1,'Non-working days'!$A$6:$A$45)=0),"",IF(COUNTIFS('Leave log'!$A$7:$A$306,Employees!$A$16,'Leave log'!$B$7:$B$306,"&lt;="&amp;DATE($B$3,8,7),'Leave log'!$C$7:$C$306,"&gt;="&amp;DATE($B$3,8,7),'Leave log'!$F$7:$F$306,"Pending")&gt;0,"P",""))))</f>
        <v/>
      </c>
      <c r="I255" s="23" t="str">
        <f>IF(A255="","",IF(IF(OR(DATE($B$3,8,8)&gt;EOMONTH(DATE($B$3,8,1),0),NETWORKDAYS.INTL(DATE($B$3,8,8),DATE($B$3,8,8),1,'Non-working days'!$A$6:$A$45)=0),"",IF(COUNTIFS('Leave log'!$A$7:$A$306,Employees!$A$16,'Leave log'!$B$7:$B$306,"&lt;="&amp;DATE($B$3,8,8),'Leave log'!$C$7:$C$306,"&gt;="&amp;DATE($B$3,8,8),'Leave log'!$F$7:$F$306,"Approved")&gt;0,"A",""))="A","A",IF(OR(DATE($B$3,8,8)&gt;EOMONTH(DATE($B$3,8,1),0),NETWORKDAYS.INTL(DATE($B$3,8,8),DATE($B$3,8,8),1,'Non-working days'!$A$6:$A$45)=0),"",IF(COUNTIFS('Leave log'!$A$7:$A$306,Employees!$A$16,'Leave log'!$B$7:$B$306,"&lt;="&amp;DATE($B$3,8,8),'Leave log'!$C$7:$C$306,"&gt;="&amp;DATE($B$3,8,8),'Leave log'!$F$7:$F$306,"Pending")&gt;0,"P",""))))</f>
        <v/>
      </c>
      <c r="J255" s="23" t="str">
        <f>IF(A255="","",IF(IF(OR(DATE($B$3,8,9)&gt;EOMONTH(DATE($B$3,8,1),0),NETWORKDAYS.INTL(DATE($B$3,8,9),DATE($B$3,8,9),1,'Non-working days'!$A$6:$A$45)=0),"",IF(COUNTIFS('Leave log'!$A$7:$A$306,Employees!$A$16,'Leave log'!$B$7:$B$306,"&lt;="&amp;DATE($B$3,8,9),'Leave log'!$C$7:$C$306,"&gt;="&amp;DATE($B$3,8,9),'Leave log'!$F$7:$F$306,"Approved")&gt;0,"A",""))="A","A",IF(OR(DATE($B$3,8,9)&gt;EOMONTH(DATE($B$3,8,1),0),NETWORKDAYS.INTL(DATE($B$3,8,9),DATE($B$3,8,9),1,'Non-working days'!$A$6:$A$45)=0),"",IF(COUNTIFS('Leave log'!$A$7:$A$306,Employees!$A$16,'Leave log'!$B$7:$B$306,"&lt;="&amp;DATE($B$3,8,9),'Leave log'!$C$7:$C$306,"&gt;="&amp;DATE($B$3,8,9),'Leave log'!$F$7:$F$306,"Pending")&gt;0,"P",""))))</f>
        <v/>
      </c>
      <c r="K255" s="23" t="str">
        <f>IF(A255="","",IF(IF(OR(DATE($B$3,8,10)&gt;EOMONTH(DATE($B$3,8,1),0),NETWORKDAYS.INTL(DATE($B$3,8,10),DATE($B$3,8,10),1,'Non-working days'!$A$6:$A$45)=0),"",IF(COUNTIFS('Leave log'!$A$7:$A$306,Employees!$A$16,'Leave log'!$B$7:$B$306,"&lt;="&amp;DATE($B$3,8,10),'Leave log'!$C$7:$C$306,"&gt;="&amp;DATE($B$3,8,10),'Leave log'!$F$7:$F$306,"Approved")&gt;0,"A",""))="A","A",IF(OR(DATE($B$3,8,10)&gt;EOMONTH(DATE($B$3,8,1),0),NETWORKDAYS.INTL(DATE($B$3,8,10),DATE($B$3,8,10),1,'Non-working days'!$A$6:$A$45)=0),"",IF(COUNTIFS('Leave log'!$A$7:$A$306,Employees!$A$16,'Leave log'!$B$7:$B$306,"&lt;="&amp;DATE($B$3,8,10),'Leave log'!$C$7:$C$306,"&gt;="&amp;DATE($B$3,8,10),'Leave log'!$F$7:$F$306,"Pending")&gt;0,"P",""))))</f>
        <v/>
      </c>
      <c r="L255" s="23" t="str">
        <f>IF(A255="","",IF(IF(OR(DATE($B$3,8,11)&gt;EOMONTH(DATE($B$3,8,1),0),NETWORKDAYS.INTL(DATE($B$3,8,11),DATE($B$3,8,11),1,'Non-working days'!$A$6:$A$45)=0),"",IF(COUNTIFS('Leave log'!$A$7:$A$306,Employees!$A$16,'Leave log'!$B$7:$B$306,"&lt;="&amp;DATE($B$3,8,11),'Leave log'!$C$7:$C$306,"&gt;="&amp;DATE($B$3,8,11),'Leave log'!$F$7:$F$306,"Approved")&gt;0,"A",""))="A","A",IF(OR(DATE($B$3,8,11)&gt;EOMONTH(DATE($B$3,8,1),0),NETWORKDAYS.INTL(DATE($B$3,8,11),DATE($B$3,8,11),1,'Non-working days'!$A$6:$A$45)=0),"",IF(COUNTIFS('Leave log'!$A$7:$A$306,Employees!$A$16,'Leave log'!$B$7:$B$306,"&lt;="&amp;DATE($B$3,8,11),'Leave log'!$C$7:$C$306,"&gt;="&amp;DATE($B$3,8,11),'Leave log'!$F$7:$F$306,"Pending")&gt;0,"P",""))))</f>
        <v/>
      </c>
      <c r="M255" s="23" t="str">
        <f>IF(A255="","",IF(IF(OR(DATE($B$3,8,12)&gt;EOMONTH(DATE($B$3,8,1),0),NETWORKDAYS.INTL(DATE($B$3,8,12),DATE($B$3,8,12),1,'Non-working days'!$A$6:$A$45)=0),"",IF(COUNTIFS('Leave log'!$A$7:$A$306,Employees!$A$16,'Leave log'!$B$7:$B$306,"&lt;="&amp;DATE($B$3,8,12),'Leave log'!$C$7:$C$306,"&gt;="&amp;DATE($B$3,8,12),'Leave log'!$F$7:$F$306,"Approved")&gt;0,"A",""))="A","A",IF(OR(DATE($B$3,8,12)&gt;EOMONTH(DATE($B$3,8,1),0),NETWORKDAYS.INTL(DATE($B$3,8,12),DATE($B$3,8,12),1,'Non-working days'!$A$6:$A$45)=0),"",IF(COUNTIFS('Leave log'!$A$7:$A$306,Employees!$A$16,'Leave log'!$B$7:$B$306,"&lt;="&amp;DATE($B$3,8,12),'Leave log'!$C$7:$C$306,"&gt;="&amp;DATE($B$3,8,12),'Leave log'!$F$7:$F$306,"Pending")&gt;0,"P",""))))</f>
        <v/>
      </c>
      <c r="N255" s="23" t="str">
        <f>IF(A255="","",IF(IF(OR(DATE($B$3,8,13)&gt;EOMONTH(DATE($B$3,8,1),0),NETWORKDAYS.INTL(DATE($B$3,8,13),DATE($B$3,8,13),1,'Non-working days'!$A$6:$A$45)=0),"",IF(COUNTIFS('Leave log'!$A$7:$A$306,Employees!$A$16,'Leave log'!$B$7:$B$306,"&lt;="&amp;DATE($B$3,8,13),'Leave log'!$C$7:$C$306,"&gt;="&amp;DATE($B$3,8,13),'Leave log'!$F$7:$F$306,"Approved")&gt;0,"A",""))="A","A",IF(OR(DATE($B$3,8,13)&gt;EOMONTH(DATE($B$3,8,1),0),NETWORKDAYS.INTL(DATE($B$3,8,13),DATE($B$3,8,13),1,'Non-working days'!$A$6:$A$45)=0),"",IF(COUNTIFS('Leave log'!$A$7:$A$306,Employees!$A$16,'Leave log'!$B$7:$B$306,"&lt;="&amp;DATE($B$3,8,13),'Leave log'!$C$7:$C$306,"&gt;="&amp;DATE($B$3,8,13),'Leave log'!$F$7:$F$306,"Pending")&gt;0,"P",""))))</f>
        <v/>
      </c>
      <c r="O255" s="23" t="str">
        <f>IF(A255="","",IF(IF(OR(DATE($B$3,8,14)&gt;EOMONTH(DATE($B$3,8,1),0),NETWORKDAYS.INTL(DATE($B$3,8,14),DATE($B$3,8,14),1,'Non-working days'!$A$6:$A$45)=0),"",IF(COUNTIFS('Leave log'!$A$7:$A$306,Employees!$A$16,'Leave log'!$B$7:$B$306,"&lt;="&amp;DATE($B$3,8,14),'Leave log'!$C$7:$C$306,"&gt;="&amp;DATE($B$3,8,14),'Leave log'!$F$7:$F$306,"Approved")&gt;0,"A",""))="A","A",IF(OR(DATE($B$3,8,14)&gt;EOMONTH(DATE($B$3,8,1),0),NETWORKDAYS.INTL(DATE($B$3,8,14),DATE($B$3,8,14),1,'Non-working days'!$A$6:$A$45)=0),"",IF(COUNTIFS('Leave log'!$A$7:$A$306,Employees!$A$16,'Leave log'!$B$7:$B$306,"&lt;="&amp;DATE($B$3,8,14),'Leave log'!$C$7:$C$306,"&gt;="&amp;DATE($B$3,8,14),'Leave log'!$F$7:$F$306,"Pending")&gt;0,"P",""))))</f>
        <v/>
      </c>
      <c r="P255" s="23" t="str">
        <f>IF(A255="","",IF(IF(OR(DATE($B$3,8,15)&gt;EOMONTH(DATE($B$3,8,1),0),NETWORKDAYS.INTL(DATE($B$3,8,15),DATE($B$3,8,15),1,'Non-working days'!$A$6:$A$45)=0),"",IF(COUNTIFS('Leave log'!$A$7:$A$306,Employees!$A$16,'Leave log'!$B$7:$B$306,"&lt;="&amp;DATE($B$3,8,15),'Leave log'!$C$7:$C$306,"&gt;="&amp;DATE($B$3,8,15),'Leave log'!$F$7:$F$306,"Approved")&gt;0,"A",""))="A","A",IF(OR(DATE($B$3,8,15)&gt;EOMONTH(DATE($B$3,8,1),0),NETWORKDAYS.INTL(DATE($B$3,8,15),DATE($B$3,8,15),1,'Non-working days'!$A$6:$A$45)=0),"",IF(COUNTIFS('Leave log'!$A$7:$A$306,Employees!$A$16,'Leave log'!$B$7:$B$306,"&lt;="&amp;DATE($B$3,8,15),'Leave log'!$C$7:$C$306,"&gt;="&amp;DATE($B$3,8,15),'Leave log'!$F$7:$F$306,"Pending")&gt;0,"P",""))))</f>
        <v/>
      </c>
      <c r="Q255" s="23" t="str">
        <f>IF(A255="","",IF(IF(OR(DATE($B$3,8,16)&gt;EOMONTH(DATE($B$3,8,1),0),NETWORKDAYS.INTL(DATE($B$3,8,16),DATE($B$3,8,16),1,'Non-working days'!$A$6:$A$45)=0),"",IF(COUNTIFS('Leave log'!$A$7:$A$306,Employees!$A$16,'Leave log'!$B$7:$B$306,"&lt;="&amp;DATE($B$3,8,16),'Leave log'!$C$7:$C$306,"&gt;="&amp;DATE($B$3,8,16),'Leave log'!$F$7:$F$306,"Approved")&gt;0,"A",""))="A","A",IF(OR(DATE($B$3,8,16)&gt;EOMONTH(DATE($B$3,8,1),0),NETWORKDAYS.INTL(DATE($B$3,8,16),DATE($B$3,8,16),1,'Non-working days'!$A$6:$A$45)=0),"",IF(COUNTIFS('Leave log'!$A$7:$A$306,Employees!$A$16,'Leave log'!$B$7:$B$306,"&lt;="&amp;DATE($B$3,8,16),'Leave log'!$C$7:$C$306,"&gt;="&amp;DATE($B$3,8,16),'Leave log'!$F$7:$F$306,"Pending")&gt;0,"P",""))))</f>
        <v/>
      </c>
      <c r="R255" s="23" t="str">
        <f>IF(A255="","",IF(IF(OR(DATE($B$3,8,17)&gt;EOMONTH(DATE($B$3,8,1),0),NETWORKDAYS.INTL(DATE($B$3,8,17),DATE($B$3,8,17),1,'Non-working days'!$A$6:$A$45)=0),"",IF(COUNTIFS('Leave log'!$A$7:$A$306,Employees!$A$16,'Leave log'!$B$7:$B$306,"&lt;="&amp;DATE($B$3,8,17),'Leave log'!$C$7:$C$306,"&gt;="&amp;DATE($B$3,8,17),'Leave log'!$F$7:$F$306,"Approved")&gt;0,"A",""))="A","A",IF(OR(DATE($B$3,8,17)&gt;EOMONTH(DATE($B$3,8,1),0),NETWORKDAYS.INTL(DATE($B$3,8,17),DATE($B$3,8,17),1,'Non-working days'!$A$6:$A$45)=0),"",IF(COUNTIFS('Leave log'!$A$7:$A$306,Employees!$A$16,'Leave log'!$B$7:$B$306,"&lt;="&amp;DATE($B$3,8,17),'Leave log'!$C$7:$C$306,"&gt;="&amp;DATE($B$3,8,17),'Leave log'!$F$7:$F$306,"Pending")&gt;0,"P",""))))</f>
        <v/>
      </c>
      <c r="S255" s="23" t="str">
        <f>IF(A255="","",IF(IF(OR(DATE($B$3,8,18)&gt;EOMONTH(DATE($B$3,8,1),0),NETWORKDAYS.INTL(DATE($B$3,8,18),DATE($B$3,8,18),1,'Non-working days'!$A$6:$A$45)=0),"",IF(COUNTIFS('Leave log'!$A$7:$A$306,Employees!$A$16,'Leave log'!$B$7:$B$306,"&lt;="&amp;DATE($B$3,8,18),'Leave log'!$C$7:$C$306,"&gt;="&amp;DATE($B$3,8,18),'Leave log'!$F$7:$F$306,"Approved")&gt;0,"A",""))="A","A",IF(OR(DATE($B$3,8,18)&gt;EOMONTH(DATE($B$3,8,1),0),NETWORKDAYS.INTL(DATE($B$3,8,18),DATE($B$3,8,18),1,'Non-working days'!$A$6:$A$45)=0),"",IF(COUNTIFS('Leave log'!$A$7:$A$306,Employees!$A$16,'Leave log'!$B$7:$B$306,"&lt;="&amp;DATE($B$3,8,18),'Leave log'!$C$7:$C$306,"&gt;="&amp;DATE($B$3,8,18),'Leave log'!$F$7:$F$306,"Pending")&gt;0,"P",""))))</f>
        <v/>
      </c>
      <c r="T255" s="23" t="str">
        <f>IF(A255="","",IF(IF(OR(DATE($B$3,8,19)&gt;EOMONTH(DATE($B$3,8,1),0),NETWORKDAYS.INTL(DATE($B$3,8,19),DATE($B$3,8,19),1,'Non-working days'!$A$6:$A$45)=0),"",IF(COUNTIFS('Leave log'!$A$7:$A$306,Employees!$A$16,'Leave log'!$B$7:$B$306,"&lt;="&amp;DATE($B$3,8,19),'Leave log'!$C$7:$C$306,"&gt;="&amp;DATE($B$3,8,19),'Leave log'!$F$7:$F$306,"Approved")&gt;0,"A",""))="A","A",IF(OR(DATE($B$3,8,19)&gt;EOMONTH(DATE($B$3,8,1),0),NETWORKDAYS.INTL(DATE($B$3,8,19),DATE($B$3,8,19),1,'Non-working days'!$A$6:$A$45)=0),"",IF(COUNTIFS('Leave log'!$A$7:$A$306,Employees!$A$16,'Leave log'!$B$7:$B$306,"&lt;="&amp;DATE($B$3,8,19),'Leave log'!$C$7:$C$306,"&gt;="&amp;DATE($B$3,8,19),'Leave log'!$F$7:$F$306,"Pending")&gt;0,"P",""))))</f>
        <v/>
      </c>
      <c r="U255" s="23" t="str">
        <f>IF(A255="","",IF(IF(OR(DATE($B$3,8,20)&gt;EOMONTH(DATE($B$3,8,1),0),NETWORKDAYS.INTL(DATE($B$3,8,20),DATE($B$3,8,20),1,'Non-working days'!$A$6:$A$45)=0),"",IF(COUNTIFS('Leave log'!$A$7:$A$306,Employees!$A$16,'Leave log'!$B$7:$B$306,"&lt;="&amp;DATE($B$3,8,20),'Leave log'!$C$7:$C$306,"&gt;="&amp;DATE($B$3,8,20),'Leave log'!$F$7:$F$306,"Approved")&gt;0,"A",""))="A","A",IF(OR(DATE($B$3,8,20)&gt;EOMONTH(DATE($B$3,8,1),0),NETWORKDAYS.INTL(DATE($B$3,8,20),DATE($B$3,8,20),1,'Non-working days'!$A$6:$A$45)=0),"",IF(COUNTIFS('Leave log'!$A$7:$A$306,Employees!$A$16,'Leave log'!$B$7:$B$306,"&lt;="&amp;DATE($B$3,8,20),'Leave log'!$C$7:$C$306,"&gt;="&amp;DATE($B$3,8,20),'Leave log'!$F$7:$F$306,"Pending")&gt;0,"P",""))))</f>
        <v/>
      </c>
      <c r="V255" s="23" t="str">
        <f>IF(A255="","",IF(IF(OR(DATE($B$3,8,21)&gt;EOMONTH(DATE($B$3,8,1),0),NETWORKDAYS.INTL(DATE($B$3,8,21),DATE($B$3,8,21),1,'Non-working days'!$A$6:$A$45)=0),"",IF(COUNTIFS('Leave log'!$A$7:$A$306,Employees!$A$16,'Leave log'!$B$7:$B$306,"&lt;="&amp;DATE($B$3,8,21),'Leave log'!$C$7:$C$306,"&gt;="&amp;DATE($B$3,8,21),'Leave log'!$F$7:$F$306,"Approved")&gt;0,"A",""))="A","A",IF(OR(DATE($B$3,8,21)&gt;EOMONTH(DATE($B$3,8,1),0),NETWORKDAYS.INTL(DATE($B$3,8,21),DATE($B$3,8,21),1,'Non-working days'!$A$6:$A$45)=0),"",IF(COUNTIFS('Leave log'!$A$7:$A$306,Employees!$A$16,'Leave log'!$B$7:$B$306,"&lt;="&amp;DATE($B$3,8,21),'Leave log'!$C$7:$C$306,"&gt;="&amp;DATE($B$3,8,21),'Leave log'!$F$7:$F$306,"Pending")&gt;0,"P",""))))</f>
        <v/>
      </c>
      <c r="W255" s="23" t="str">
        <f>IF(A255="","",IF(IF(OR(DATE($B$3,8,22)&gt;EOMONTH(DATE($B$3,8,1),0),NETWORKDAYS.INTL(DATE($B$3,8,22),DATE($B$3,8,22),1,'Non-working days'!$A$6:$A$45)=0),"",IF(COUNTIFS('Leave log'!$A$7:$A$306,Employees!$A$16,'Leave log'!$B$7:$B$306,"&lt;="&amp;DATE($B$3,8,22),'Leave log'!$C$7:$C$306,"&gt;="&amp;DATE($B$3,8,22),'Leave log'!$F$7:$F$306,"Approved")&gt;0,"A",""))="A","A",IF(OR(DATE($B$3,8,22)&gt;EOMONTH(DATE($B$3,8,1),0),NETWORKDAYS.INTL(DATE($B$3,8,22),DATE($B$3,8,22),1,'Non-working days'!$A$6:$A$45)=0),"",IF(COUNTIFS('Leave log'!$A$7:$A$306,Employees!$A$16,'Leave log'!$B$7:$B$306,"&lt;="&amp;DATE($B$3,8,22),'Leave log'!$C$7:$C$306,"&gt;="&amp;DATE($B$3,8,22),'Leave log'!$F$7:$F$306,"Pending")&gt;0,"P",""))))</f>
        <v/>
      </c>
      <c r="X255" s="23" t="str">
        <f>IF(A255="","",IF(IF(OR(DATE($B$3,8,23)&gt;EOMONTH(DATE($B$3,8,1),0),NETWORKDAYS.INTL(DATE($B$3,8,23),DATE($B$3,8,23),1,'Non-working days'!$A$6:$A$45)=0),"",IF(COUNTIFS('Leave log'!$A$7:$A$306,Employees!$A$16,'Leave log'!$B$7:$B$306,"&lt;="&amp;DATE($B$3,8,23),'Leave log'!$C$7:$C$306,"&gt;="&amp;DATE($B$3,8,23),'Leave log'!$F$7:$F$306,"Approved")&gt;0,"A",""))="A","A",IF(OR(DATE($B$3,8,23)&gt;EOMONTH(DATE($B$3,8,1),0),NETWORKDAYS.INTL(DATE($B$3,8,23),DATE($B$3,8,23),1,'Non-working days'!$A$6:$A$45)=0),"",IF(COUNTIFS('Leave log'!$A$7:$A$306,Employees!$A$16,'Leave log'!$B$7:$B$306,"&lt;="&amp;DATE($B$3,8,23),'Leave log'!$C$7:$C$306,"&gt;="&amp;DATE($B$3,8,23),'Leave log'!$F$7:$F$306,"Pending")&gt;0,"P",""))))</f>
        <v/>
      </c>
      <c r="Y255" s="23" t="str">
        <f>IF(A255="","",IF(IF(OR(DATE($B$3,8,24)&gt;EOMONTH(DATE($B$3,8,1),0),NETWORKDAYS.INTL(DATE($B$3,8,24),DATE($B$3,8,24),1,'Non-working days'!$A$6:$A$45)=0),"",IF(COUNTIFS('Leave log'!$A$7:$A$306,Employees!$A$16,'Leave log'!$B$7:$B$306,"&lt;="&amp;DATE($B$3,8,24),'Leave log'!$C$7:$C$306,"&gt;="&amp;DATE($B$3,8,24),'Leave log'!$F$7:$F$306,"Approved")&gt;0,"A",""))="A","A",IF(OR(DATE($B$3,8,24)&gt;EOMONTH(DATE($B$3,8,1),0),NETWORKDAYS.INTL(DATE($B$3,8,24),DATE($B$3,8,24),1,'Non-working days'!$A$6:$A$45)=0),"",IF(COUNTIFS('Leave log'!$A$7:$A$306,Employees!$A$16,'Leave log'!$B$7:$B$306,"&lt;="&amp;DATE($B$3,8,24),'Leave log'!$C$7:$C$306,"&gt;="&amp;DATE($B$3,8,24),'Leave log'!$F$7:$F$306,"Pending")&gt;0,"P",""))))</f>
        <v/>
      </c>
      <c r="Z255" s="23" t="str">
        <f>IF(A255="","",IF(IF(OR(DATE($B$3,8,25)&gt;EOMONTH(DATE($B$3,8,1),0),NETWORKDAYS.INTL(DATE($B$3,8,25),DATE($B$3,8,25),1,'Non-working days'!$A$6:$A$45)=0),"",IF(COUNTIFS('Leave log'!$A$7:$A$306,Employees!$A$16,'Leave log'!$B$7:$B$306,"&lt;="&amp;DATE($B$3,8,25),'Leave log'!$C$7:$C$306,"&gt;="&amp;DATE($B$3,8,25),'Leave log'!$F$7:$F$306,"Approved")&gt;0,"A",""))="A","A",IF(OR(DATE($B$3,8,25)&gt;EOMONTH(DATE($B$3,8,1),0),NETWORKDAYS.INTL(DATE($B$3,8,25),DATE($B$3,8,25),1,'Non-working days'!$A$6:$A$45)=0),"",IF(COUNTIFS('Leave log'!$A$7:$A$306,Employees!$A$16,'Leave log'!$B$7:$B$306,"&lt;="&amp;DATE($B$3,8,25),'Leave log'!$C$7:$C$306,"&gt;="&amp;DATE($B$3,8,25),'Leave log'!$F$7:$F$306,"Pending")&gt;0,"P",""))))</f>
        <v/>
      </c>
      <c r="AA255" s="23" t="str">
        <f>IF(A255="","",IF(IF(OR(DATE($B$3,8,26)&gt;EOMONTH(DATE($B$3,8,1),0),NETWORKDAYS.INTL(DATE($B$3,8,26),DATE($B$3,8,26),1,'Non-working days'!$A$6:$A$45)=0),"",IF(COUNTIFS('Leave log'!$A$7:$A$306,Employees!$A$16,'Leave log'!$B$7:$B$306,"&lt;="&amp;DATE($B$3,8,26),'Leave log'!$C$7:$C$306,"&gt;="&amp;DATE($B$3,8,26),'Leave log'!$F$7:$F$306,"Approved")&gt;0,"A",""))="A","A",IF(OR(DATE($B$3,8,26)&gt;EOMONTH(DATE($B$3,8,1),0),NETWORKDAYS.INTL(DATE($B$3,8,26),DATE($B$3,8,26),1,'Non-working days'!$A$6:$A$45)=0),"",IF(COUNTIFS('Leave log'!$A$7:$A$306,Employees!$A$16,'Leave log'!$B$7:$B$306,"&lt;="&amp;DATE($B$3,8,26),'Leave log'!$C$7:$C$306,"&gt;="&amp;DATE($B$3,8,26),'Leave log'!$F$7:$F$306,"Pending")&gt;0,"P",""))))</f>
        <v/>
      </c>
      <c r="AB255" s="23" t="str">
        <f>IF(A255="","",IF(IF(OR(DATE($B$3,8,27)&gt;EOMONTH(DATE($B$3,8,1),0),NETWORKDAYS.INTL(DATE($B$3,8,27),DATE($B$3,8,27),1,'Non-working days'!$A$6:$A$45)=0),"",IF(COUNTIFS('Leave log'!$A$7:$A$306,Employees!$A$16,'Leave log'!$B$7:$B$306,"&lt;="&amp;DATE($B$3,8,27),'Leave log'!$C$7:$C$306,"&gt;="&amp;DATE($B$3,8,27),'Leave log'!$F$7:$F$306,"Approved")&gt;0,"A",""))="A","A",IF(OR(DATE($B$3,8,27)&gt;EOMONTH(DATE($B$3,8,1),0),NETWORKDAYS.INTL(DATE($B$3,8,27),DATE($B$3,8,27),1,'Non-working days'!$A$6:$A$45)=0),"",IF(COUNTIFS('Leave log'!$A$7:$A$306,Employees!$A$16,'Leave log'!$B$7:$B$306,"&lt;="&amp;DATE($B$3,8,27),'Leave log'!$C$7:$C$306,"&gt;="&amp;DATE($B$3,8,27),'Leave log'!$F$7:$F$306,"Pending")&gt;0,"P",""))))</f>
        <v/>
      </c>
      <c r="AC255" s="23" t="str">
        <f>IF(A255="","",IF(IF(OR(DATE($B$3,8,28)&gt;EOMONTH(DATE($B$3,8,1),0),NETWORKDAYS.INTL(DATE($B$3,8,28),DATE($B$3,8,28),1,'Non-working days'!$A$6:$A$45)=0),"",IF(COUNTIFS('Leave log'!$A$7:$A$306,Employees!$A$16,'Leave log'!$B$7:$B$306,"&lt;="&amp;DATE($B$3,8,28),'Leave log'!$C$7:$C$306,"&gt;="&amp;DATE($B$3,8,28),'Leave log'!$F$7:$F$306,"Approved")&gt;0,"A",""))="A","A",IF(OR(DATE($B$3,8,28)&gt;EOMONTH(DATE($B$3,8,1),0),NETWORKDAYS.INTL(DATE($B$3,8,28),DATE($B$3,8,28),1,'Non-working days'!$A$6:$A$45)=0),"",IF(COUNTIFS('Leave log'!$A$7:$A$306,Employees!$A$16,'Leave log'!$B$7:$B$306,"&lt;="&amp;DATE($B$3,8,28),'Leave log'!$C$7:$C$306,"&gt;="&amp;DATE($B$3,8,28),'Leave log'!$F$7:$F$306,"Pending")&gt;0,"P",""))))</f>
        <v/>
      </c>
      <c r="AD255" s="23" t="str">
        <f>IF(A255="","",IF(IF(OR(DATE($B$3,8,29)&gt;EOMONTH(DATE($B$3,8,1),0),NETWORKDAYS.INTL(DATE($B$3,8,29),DATE($B$3,8,29),1,'Non-working days'!$A$6:$A$45)=0),"",IF(COUNTIFS('Leave log'!$A$7:$A$306,Employees!$A$16,'Leave log'!$B$7:$B$306,"&lt;="&amp;DATE($B$3,8,29),'Leave log'!$C$7:$C$306,"&gt;="&amp;DATE($B$3,8,29),'Leave log'!$F$7:$F$306,"Approved")&gt;0,"A",""))="A","A",IF(OR(DATE($B$3,8,29)&gt;EOMONTH(DATE($B$3,8,1),0),NETWORKDAYS.INTL(DATE($B$3,8,29),DATE($B$3,8,29),1,'Non-working days'!$A$6:$A$45)=0),"",IF(COUNTIFS('Leave log'!$A$7:$A$306,Employees!$A$16,'Leave log'!$B$7:$B$306,"&lt;="&amp;DATE($B$3,8,29),'Leave log'!$C$7:$C$306,"&gt;="&amp;DATE($B$3,8,29),'Leave log'!$F$7:$F$306,"Pending")&gt;0,"P",""))))</f>
        <v/>
      </c>
      <c r="AE255" s="23" t="str">
        <f>IF(A255="","",IF(IF(OR(DATE($B$3,8,30)&gt;EOMONTH(DATE($B$3,8,1),0),NETWORKDAYS.INTL(DATE($B$3,8,30),DATE($B$3,8,30),1,'Non-working days'!$A$6:$A$45)=0),"",IF(COUNTIFS('Leave log'!$A$7:$A$306,Employees!$A$16,'Leave log'!$B$7:$B$306,"&lt;="&amp;DATE($B$3,8,30),'Leave log'!$C$7:$C$306,"&gt;="&amp;DATE($B$3,8,30),'Leave log'!$F$7:$F$306,"Approved")&gt;0,"A",""))="A","A",IF(OR(DATE($B$3,8,30)&gt;EOMONTH(DATE($B$3,8,1),0),NETWORKDAYS.INTL(DATE($B$3,8,30),DATE($B$3,8,30),1,'Non-working days'!$A$6:$A$45)=0),"",IF(COUNTIFS('Leave log'!$A$7:$A$306,Employees!$A$16,'Leave log'!$B$7:$B$306,"&lt;="&amp;DATE($B$3,8,30),'Leave log'!$C$7:$C$306,"&gt;="&amp;DATE($B$3,8,30),'Leave log'!$F$7:$F$306,"Pending")&gt;0,"P",""))))</f>
        <v/>
      </c>
      <c r="AF255" s="23" t="str">
        <f>IF(A255="","",IF(IF(OR(DATE($B$3,8,31)&gt;EOMONTH(DATE($B$3,8,1),0),NETWORKDAYS.INTL(DATE($B$3,8,31),DATE($B$3,8,31),1,'Non-working days'!$A$6:$A$45)=0),"",IF(COUNTIFS('Leave log'!$A$7:$A$306,Employees!$A$16,'Leave log'!$B$7:$B$306,"&lt;="&amp;DATE($B$3,8,31),'Leave log'!$C$7:$C$306,"&gt;="&amp;DATE($B$3,8,31),'Leave log'!$F$7:$F$306,"Approved")&gt;0,"A",""))="A","A",IF(OR(DATE($B$3,8,31)&gt;EOMONTH(DATE($B$3,8,1),0),NETWORKDAYS.INTL(DATE($B$3,8,31),DATE($B$3,8,31),1,'Non-working days'!$A$6:$A$45)=0),"",IF(COUNTIFS('Leave log'!$A$7:$A$306,Employees!$A$16,'Leave log'!$B$7:$B$306,"&lt;="&amp;DATE($B$3,8,31),'Leave log'!$C$7:$C$306,"&gt;="&amp;DATE($B$3,8,31),'Leave log'!$F$7:$F$306,"Pending")&gt;0,"P",""))))</f>
        <v/>
      </c>
    </row>
    <row r="256" spans="1:32" ht="18" customHeight="1" x14ac:dyDescent="0.3">
      <c r="A256" s="22" t="str">
        <f>IF(Employees!F17="Yes",Employees!B17,"")</f>
        <v/>
      </c>
      <c r="B256" s="23" t="str">
        <f>IF(A256="","",IF(IF(OR(DATE($B$3,8,1)&gt;EOMONTH(DATE($B$3,8,1),0),NETWORKDAYS.INTL(DATE($B$3,8,1),DATE($B$3,8,1),1,'Non-working days'!$A$6:$A$45)=0),"",IF(COUNTIFS('Leave log'!$A$7:$A$306,Employees!$A$17,'Leave log'!$B$7:$B$306,"&lt;="&amp;DATE($B$3,8,1),'Leave log'!$C$7:$C$306,"&gt;="&amp;DATE($B$3,8,1),'Leave log'!$F$7:$F$306,"Approved")&gt;0,"A",""))="A","A",IF(OR(DATE($B$3,8,1)&gt;EOMONTH(DATE($B$3,8,1),0),NETWORKDAYS.INTL(DATE($B$3,8,1),DATE($B$3,8,1),1,'Non-working days'!$A$6:$A$45)=0),"",IF(COUNTIFS('Leave log'!$A$7:$A$306,Employees!$A$17,'Leave log'!$B$7:$B$306,"&lt;="&amp;DATE($B$3,8,1),'Leave log'!$C$7:$C$306,"&gt;="&amp;DATE($B$3,8,1),'Leave log'!$F$7:$F$306,"Pending")&gt;0,"P",""))))</f>
        <v/>
      </c>
      <c r="C256" s="23" t="str">
        <f>IF(A256="","",IF(IF(OR(DATE($B$3,8,2)&gt;EOMONTH(DATE($B$3,8,1),0),NETWORKDAYS.INTL(DATE($B$3,8,2),DATE($B$3,8,2),1,'Non-working days'!$A$6:$A$45)=0),"",IF(COUNTIFS('Leave log'!$A$7:$A$306,Employees!$A$17,'Leave log'!$B$7:$B$306,"&lt;="&amp;DATE($B$3,8,2),'Leave log'!$C$7:$C$306,"&gt;="&amp;DATE($B$3,8,2),'Leave log'!$F$7:$F$306,"Approved")&gt;0,"A",""))="A","A",IF(OR(DATE($B$3,8,2)&gt;EOMONTH(DATE($B$3,8,1),0),NETWORKDAYS.INTL(DATE($B$3,8,2),DATE($B$3,8,2),1,'Non-working days'!$A$6:$A$45)=0),"",IF(COUNTIFS('Leave log'!$A$7:$A$306,Employees!$A$17,'Leave log'!$B$7:$B$306,"&lt;="&amp;DATE($B$3,8,2),'Leave log'!$C$7:$C$306,"&gt;="&amp;DATE($B$3,8,2),'Leave log'!$F$7:$F$306,"Pending")&gt;0,"P",""))))</f>
        <v/>
      </c>
      <c r="D256" s="23" t="str">
        <f>IF(A256="","",IF(IF(OR(DATE($B$3,8,3)&gt;EOMONTH(DATE($B$3,8,1),0),NETWORKDAYS.INTL(DATE($B$3,8,3),DATE($B$3,8,3),1,'Non-working days'!$A$6:$A$45)=0),"",IF(COUNTIFS('Leave log'!$A$7:$A$306,Employees!$A$17,'Leave log'!$B$7:$B$306,"&lt;="&amp;DATE($B$3,8,3),'Leave log'!$C$7:$C$306,"&gt;="&amp;DATE($B$3,8,3),'Leave log'!$F$7:$F$306,"Approved")&gt;0,"A",""))="A","A",IF(OR(DATE($B$3,8,3)&gt;EOMONTH(DATE($B$3,8,1),0),NETWORKDAYS.INTL(DATE($B$3,8,3),DATE($B$3,8,3),1,'Non-working days'!$A$6:$A$45)=0),"",IF(COUNTIFS('Leave log'!$A$7:$A$306,Employees!$A$17,'Leave log'!$B$7:$B$306,"&lt;="&amp;DATE($B$3,8,3),'Leave log'!$C$7:$C$306,"&gt;="&amp;DATE($B$3,8,3),'Leave log'!$F$7:$F$306,"Pending")&gt;0,"P",""))))</f>
        <v/>
      </c>
      <c r="E256" s="23" t="str">
        <f>IF(A256="","",IF(IF(OR(DATE($B$3,8,4)&gt;EOMONTH(DATE($B$3,8,1),0),NETWORKDAYS.INTL(DATE($B$3,8,4),DATE($B$3,8,4),1,'Non-working days'!$A$6:$A$45)=0),"",IF(COUNTIFS('Leave log'!$A$7:$A$306,Employees!$A$17,'Leave log'!$B$7:$B$306,"&lt;="&amp;DATE($B$3,8,4),'Leave log'!$C$7:$C$306,"&gt;="&amp;DATE($B$3,8,4),'Leave log'!$F$7:$F$306,"Approved")&gt;0,"A",""))="A","A",IF(OR(DATE($B$3,8,4)&gt;EOMONTH(DATE($B$3,8,1),0),NETWORKDAYS.INTL(DATE($B$3,8,4),DATE($B$3,8,4),1,'Non-working days'!$A$6:$A$45)=0),"",IF(COUNTIFS('Leave log'!$A$7:$A$306,Employees!$A$17,'Leave log'!$B$7:$B$306,"&lt;="&amp;DATE($B$3,8,4),'Leave log'!$C$7:$C$306,"&gt;="&amp;DATE($B$3,8,4),'Leave log'!$F$7:$F$306,"Pending")&gt;0,"P",""))))</f>
        <v/>
      </c>
      <c r="F256" s="23" t="str">
        <f>IF(A256="","",IF(IF(OR(DATE($B$3,8,5)&gt;EOMONTH(DATE($B$3,8,1),0),NETWORKDAYS.INTL(DATE($B$3,8,5),DATE($B$3,8,5),1,'Non-working days'!$A$6:$A$45)=0),"",IF(COUNTIFS('Leave log'!$A$7:$A$306,Employees!$A$17,'Leave log'!$B$7:$B$306,"&lt;="&amp;DATE($B$3,8,5),'Leave log'!$C$7:$C$306,"&gt;="&amp;DATE($B$3,8,5),'Leave log'!$F$7:$F$306,"Approved")&gt;0,"A",""))="A","A",IF(OR(DATE($B$3,8,5)&gt;EOMONTH(DATE($B$3,8,1),0),NETWORKDAYS.INTL(DATE($B$3,8,5),DATE($B$3,8,5),1,'Non-working days'!$A$6:$A$45)=0),"",IF(COUNTIFS('Leave log'!$A$7:$A$306,Employees!$A$17,'Leave log'!$B$7:$B$306,"&lt;="&amp;DATE($B$3,8,5),'Leave log'!$C$7:$C$306,"&gt;="&amp;DATE($B$3,8,5),'Leave log'!$F$7:$F$306,"Pending")&gt;0,"P",""))))</f>
        <v/>
      </c>
      <c r="G256" s="23" t="str">
        <f>IF(A256="","",IF(IF(OR(DATE($B$3,8,6)&gt;EOMONTH(DATE($B$3,8,1),0),NETWORKDAYS.INTL(DATE($B$3,8,6),DATE($B$3,8,6),1,'Non-working days'!$A$6:$A$45)=0),"",IF(COUNTIFS('Leave log'!$A$7:$A$306,Employees!$A$17,'Leave log'!$B$7:$B$306,"&lt;="&amp;DATE($B$3,8,6),'Leave log'!$C$7:$C$306,"&gt;="&amp;DATE($B$3,8,6),'Leave log'!$F$7:$F$306,"Approved")&gt;0,"A",""))="A","A",IF(OR(DATE($B$3,8,6)&gt;EOMONTH(DATE($B$3,8,1),0),NETWORKDAYS.INTL(DATE($B$3,8,6),DATE($B$3,8,6),1,'Non-working days'!$A$6:$A$45)=0),"",IF(COUNTIFS('Leave log'!$A$7:$A$306,Employees!$A$17,'Leave log'!$B$7:$B$306,"&lt;="&amp;DATE($B$3,8,6),'Leave log'!$C$7:$C$306,"&gt;="&amp;DATE($B$3,8,6),'Leave log'!$F$7:$F$306,"Pending")&gt;0,"P",""))))</f>
        <v/>
      </c>
      <c r="H256" s="23" t="str">
        <f>IF(A256="","",IF(IF(OR(DATE($B$3,8,7)&gt;EOMONTH(DATE($B$3,8,1),0),NETWORKDAYS.INTL(DATE($B$3,8,7),DATE($B$3,8,7),1,'Non-working days'!$A$6:$A$45)=0),"",IF(COUNTIFS('Leave log'!$A$7:$A$306,Employees!$A$17,'Leave log'!$B$7:$B$306,"&lt;="&amp;DATE($B$3,8,7),'Leave log'!$C$7:$C$306,"&gt;="&amp;DATE($B$3,8,7),'Leave log'!$F$7:$F$306,"Approved")&gt;0,"A",""))="A","A",IF(OR(DATE($B$3,8,7)&gt;EOMONTH(DATE($B$3,8,1),0),NETWORKDAYS.INTL(DATE($B$3,8,7),DATE($B$3,8,7),1,'Non-working days'!$A$6:$A$45)=0),"",IF(COUNTIFS('Leave log'!$A$7:$A$306,Employees!$A$17,'Leave log'!$B$7:$B$306,"&lt;="&amp;DATE($B$3,8,7),'Leave log'!$C$7:$C$306,"&gt;="&amp;DATE($B$3,8,7),'Leave log'!$F$7:$F$306,"Pending")&gt;0,"P",""))))</f>
        <v/>
      </c>
      <c r="I256" s="23" t="str">
        <f>IF(A256="","",IF(IF(OR(DATE($B$3,8,8)&gt;EOMONTH(DATE($B$3,8,1),0),NETWORKDAYS.INTL(DATE($B$3,8,8),DATE($B$3,8,8),1,'Non-working days'!$A$6:$A$45)=0),"",IF(COUNTIFS('Leave log'!$A$7:$A$306,Employees!$A$17,'Leave log'!$B$7:$B$306,"&lt;="&amp;DATE($B$3,8,8),'Leave log'!$C$7:$C$306,"&gt;="&amp;DATE($B$3,8,8),'Leave log'!$F$7:$F$306,"Approved")&gt;0,"A",""))="A","A",IF(OR(DATE($B$3,8,8)&gt;EOMONTH(DATE($B$3,8,1),0),NETWORKDAYS.INTL(DATE($B$3,8,8),DATE($B$3,8,8),1,'Non-working days'!$A$6:$A$45)=0),"",IF(COUNTIFS('Leave log'!$A$7:$A$306,Employees!$A$17,'Leave log'!$B$7:$B$306,"&lt;="&amp;DATE($B$3,8,8),'Leave log'!$C$7:$C$306,"&gt;="&amp;DATE($B$3,8,8),'Leave log'!$F$7:$F$306,"Pending")&gt;0,"P",""))))</f>
        <v/>
      </c>
      <c r="J256" s="23" t="str">
        <f>IF(A256="","",IF(IF(OR(DATE($B$3,8,9)&gt;EOMONTH(DATE($B$3,8,1),0),NETWORKDAYS.INTL(DATE($B$3,8,9),DATE($B$3,8,9),1,'Non-working days'!$A$6:$A$45)=0),"",IF(COUNTIFS('Leave log'!$A$7:$A$306,Employees!$A$17,'Leave log'!$B$7:$B$306,"&lt;="&amp;DATE($B$3,8,9),'Leave log'!$C$7:$C$306,"&gt;="&amp;DATE($B$3,8,9),'Leave log'!$F$7:$F$306,"Approved")&gt;0,"A",""))="A","A",IF(OR(DATE($B$3,8,9)&gt;EOMONTH(DATE($B$3,8,1),0),NETWORKDAYS.INTL(DATE($B$3,8,9),DATE($B$3,8,9),1,'Non-working days'!$A$6:$A$45)=0),"",IF(COUNTIFS('Leave log'!$A$7:$A$306,Employees!$A$17,'Leave log'!$B$7:$B$306,"&lt;="&amp;DATE($B$3,8,9),'Leave log'!$C$7:$C$306,"&gt;="&amp;DATE($B$3,8,9),'Leave log'!$F$7:$F$306,"Pending")&gt;0,"P",""))))</f>
        <v/>
      </c>
      <c r="K256" s="23" t="str">
        <f>IF(A256="","",IF(IF(OR(DATE($B$3,8,10)&gt;EOMONTH(DATE($B$3,8,1),0),NETWORKDAYS.INTL(DATE($B$3,8,10),DATE($B$3,8,10),1,'Non-working days'!$A$6:$A$45)=0),"",IF(COUNTIFS('Leave log'!$A$7:$A$306,Employees!$A$17,'Leave log'!$B$7:$B$306,"&lt;="&amp;DATE($B$3,8,10),'Leave log'!$C$7:$C$306,"&gt;="&amp;DATE($B$3,8,10),'Leave log'!$F$7:$F$306,"Approved")&gt;0,"A",""))="A","A",IF(OR(DATE($B$3,8,10)&gt;EOMONTH(DATE($B$3,8,1),0),NETWORKDAYS.INTL(DATE($B$3,8,10),DATE($B$3,8,10),1,'Non-working days'!$A$6:$A$45)=0),"",IF(COUNTIFS('Leave log'!$A$7:$A$306,Employees!$A$17,'Leave log'!$B$7:$B$306,"&lt;="&amp;DATE($B$3,8,10),'Leave log'!$C$7:$C$306,"&gt;="&amp;DATE($B$3,8,10),'Leave log'!$F$7:$F$306,"Pending")&gt;0,"P",""))))</f>
        <v/>
      </c>
      <c r="L256" s="23" t="str">
        <f>IF(A256="","",IF(IF(OR(DATE($B$3,8,11)&gt;EOMONTH(DATE($B$3,8,1),0),NETWORKDAYS.INTL(DATE($B$3,8,11),DATE($B$3,8,11),1,'Non-working days'!$A$6:$A$45)=0),"",IF(COUNTIFS('Leave log'!$A$7:$A$306,Employees!$A$17,'Leave log'!$B$7:$B$306,"&lt;="&amp;DATE($B$3,8,11),'Leave log'!$C$7:$C$306,"&gt;="&amp;DATE($B$3,8,11),'Leave log'!$F$7:$F$306,"Approved")&gt;0,"A",""))="A","A",IF(OR(DATE($B$3,8,11)&gt;EOMONTH(DATE($B$3,8,1),0),NETWORKDAYS.INTL(DATE($B$3,8,11),DATE($B$3,8,11),1,'Non-working days'!$A$6:$A$45)=0),"",IF(COUNTIFS('Leave log'!$A$7:$A$306,Employees!$A$17,'Leave log'!$B$7:$B$306,"&lt;="&amp;DATE($B$3,8,11),'Leave log'!$C$7:$C$306,"&gt;="&amp;DATE($B$3,8,11),'Leave log'!$F$7:$F$306,"Pending")&gt;0,"P",""))))</f>
        <v/>
      </c>
      <c r="M256" s="23" t="str">
        <f>IF(A256="","",IF(IF(OR(DATE($B$3,8,12)&gt;EOMONTH(DATE($B$3,8,1),0),NETWORKDAYS.INTL(DATE($B$3,8,12),DATE($B$3,8,12),1,'Non-working days'!$A$6:$A$45)=0),"",IF(COUNTIFS('Leave log'!$A$7:$A$306,Employees!$A$17,'Leave log'!$B$7:$B$306,"&lt;="&amp;DATE($B$3,8,12),'Leave log'!$C$7:$C$306,"&gt;="&amp;DATE($B$3,8,12),'Leave log'!$F$7:$F$306,"Approved")&gt;0,"A",""))="A","A",IF(OR(DATE($B$3,8,12)&gt;EOMONTH(DATE($B$3,8,1),0),NETWORKDAYS.INTL(DATE($B$3,8,12),DATE($B$3,8,12),1,'Non-working days'!$A$6:$A$45)=0),"",IF(COUNTIFS('Leave log'!$A$7:$A$306,Employees!$A$17,'Leave log'!$B$7:$B$306,"&lt;="&amp;DATE($B$3,8,12),'Leave log'!$C$7:$C$306,"&gt;="&amp;DATE($B$3,8,12),'Leave log'!$F$7:$F$306,"Pending")&gt;0,"P",""))))</f>
        <v/>
      </c>
      <c r="N256" s="23" t="str">
        <f>IF(A256="","",IF(IF(OR(DATE($B$3,8,13)&gt;EOMONTH(DATE($B$3,8,1),0),NETWORKDAYS.INTL(DATE($B$3,8,13),DATE($B$3,8,13),1,'Non-working days'!$A$6:$A$45)=0),"",IF(COUNTIFS('Leave log'!$A$7:$A$306,Employees!$A$17,'Leave log'!$B$7:$B$306,"&lt;="&amp;DATE($B$3,8,13),'Leave log'!$C$7:$C$306,"&gt;="&amp;DATE($B$3,8,13),'Leave log'!$F$7:$F$306,"Approved")&gt;0,"A",""))="A","A",IF(OR(DATE($B$3,8,13)&gt;EOMONTH(DATE($B$3,8,1),0),NETWORKDAYS.INTL(DATE($B$3,8,13),DATE($B$3,8,13),1,'Non-working days'!$A$6:$A$45)=0),"",IF(COUNTIFS('Leave log'!$A$7:$A$306,Employees!$A$17,'Leave log'!$B$7:$B$306,"&lt;="&amp;DATE($B$3,8,13),'Leave log'!$C$7:$C$306,"&gt;="&amp;DATE($B$3,8,13),'Leave log'!$F$7:$F$306,"Pending")&gt;0,"P",""))))</f>
        <v/>
      </c>
      <c r="O256" s="23" t="str">
        <f>IF(A256="","",IF(IF(OR(DATE($B$3,8,14)&gt;EOMONTH(DATE($B$3,8,1),0),NETWORKDAYS.INTL(DATE($B$3,8,14),DATE($B$3,8,14),1,'Non-working days'!$A$6:$A$45)=0),"",IF(COUNTIFS('Leave log'!$A$7:$A$306,Employees!$A$17,'Leave log'!$B$7:$B$306,"&lt;="&amp;DATE($B$3,8,14),'Leave log'!$C$7:$C$306,"&gt;="&amp;DATE($B$3,8,14),'Leave log'!$F$7:$F$306,"Approved")&gt;0,"A",""))="A","A",IF(OR(DATE($B$3,8,14)&gt;EOMONTH(DATE($B$3,8,1),0),NETWORKDAYS.INTL(DATE($B$3,8,14),DATE($B$3,8,14),1,'Non-working days'!$A$6:$A$45)=0),"",IF(COUNTIFS('Leave log'!$A$7:$A$306,Employees!$A$17,'Leave log'!$B$7:$B$306,"&lt;="&amp;DATE($B$3,8,14),'Leave log'!$C$7:$C$306,"&gt;="&amp;DATE($B$3,8,14),'Leave log'!$F$7:$F$306,"Pending")&gt;0,"P",""))))</f>
        <v/>
      </c>
      <c r="P256" s="23" t="str">
        <f>IF(A256="","",IF(IF(OR(DATE($B$3,8,15)&gt;EOMONTH(DATE($B$3,8,1),0),NETWORKDAYS.INTL(DATE($B$3,8,15),DATE($B$3,8,15),1,'Non-working days'!$A$6:$A$45)=0),"",IF(COUNTIFS('Leave log'!$A$7:$A$306,Employees!$A$17,'Leave log'!$B$7:$B$306,"&lt;="&amp;DATE($B$3,8,15),'Leave log'!$C$7:$C$306,"&gt;="&amp;DATE($B$3,8,15),'Leave log'!$F$7:$F$306,"Approved")&gt;0,"A",""))="A","A",IF(OR(DATE($B$3,8,15)&gt;EOMONTH(DATE($B$3,8,1),0),NETWORKDAYS.INTL(DATE($B$3,8,15),DATE($B$3,8,15),1,'Non-working days'!$A$6:$A$45)=0),"",IF(COUNTIFS('Leave log'!$A$7:$A$306,Employees!$A$17,'Leave log'!$B$7:$B$306,"&lt;="&amp;DATE($B$3,8,15),'Leave log'!$C$7:$C$306,"&gt;="&amp;DATE($B$3,8,15),'Leave log'!$F$7:$F$306,"Pending")&gt;0,"P",""))))</f>
        <v/>
      </c>
      <c r="Q256" s="23" t="str">
        <f>IF(A256="","",IF(IF(OR(DATE($B$3,8,16)&gt;EOMONTH(DATE($B$3,8,1),0),NETWORKDAYS.INTL(DATE($B$3,8,16),DATE($B$3,8,16),1,'Non-working days'!$A$6:$A$45)=0),"",IF(COUNTIFS('Leave log'!$A$7:$A$306,Employees!$A$17,'Leave log'!$B$7:$B$306,"&lt;="&amp;DATE($B$3,8,16),'Leave log'!$C$7:$C$306,"&gt;="&amp;DATE($B$3,8,16),'Leave log'!$F$7:$F$306,"Approved")&gt;0,"A",""))="A","A",IF(OR(DATE($B$3,8,16)&gt;EOMONTH(DATE($B$3,8,1),0),NETWORKDAYS.INTL(DATE($B$3,8,16),DATE($B$3,8,16),1,'Non-working days'!$A$6:$A$45)=0),"",IF(COUNTIFS('Leave log'!$A$7:$A$306,Employees!$A$17,'Leave log'!$B$7:$B$306,"&lt;="&amp;DATE($B$3,8,16),'Leave log'!$C$7:$C$306,"&gt;="&amp;DATE($B$3,8,16),'Leave log'!$F$7:$F$306,"Pending")&gt;0,"P",""))))</f>
        <v/>
      </c>
      <c r="R256" s="23" t="str">
        <f>IF(A256="","",IF(IF(OR(DATE($B$3,8,17)&gt;EOMONTH(DATE($B$3,8,1),0),NETWORKDAYS.INTL(DATE($B$3,8,17),DATE($B$3,8,17),1,'Non-working days'!$A$6:$A$45)=0),"",IF(COUNTIFS('Leave log'!$A$7:$A$306,Employees!$A$17,'Leave log'!$B$7:$B$306,"&lt;="&amp;DATE($B$3,8,17),'Leave log'!$C$7:$C$306,"&gt;="&amp;DATE($B$3,8,17),'Leave log'!$F$7:$F$306,"Approved")&gt;0,"A",""))="A","A",IF(OR(DATE($B$3,8,17)&gt;EOMONTH(DATE($B$3,8,1),0),NETWORKDAYS.INTL(DATE($B$3,8,17),DATE($B$3,8,17),1,'Non-working days'!$A$6:$A$45)=0),"",IF(COUNTIFS('Leave log'!$A$7:$A$306,Employees!$A$17,'Leave log'!$B$7:$B$306,"&lt;="&amp;DATE($B$3,8,17),'Leave log'!$C$7:$C$306,"&gt;="&amp;DATE($B$3,8,17),'Leave log'!$F$7:$F$306,"Pending")&gt;0,"P",""))))</f>
        <v/>
      </c>
      <c r="S256" s="23" t="str">
        <f>IF(A256="","",IF(IF(OR(DATE($B$3,8,18)&gt;EOMONTH(DATE($B$3,8,1),0),NETWORKDAYS.INTL(DATE($B$3,8,18),DATE($B$3,8,18),1,'Non-working days'!$A$6:$A$45)=0),"",IF(COUNTIFS('Leave log'!$A$7:$A$306,Employees!$A$17,'Leave log'!$B$7:$B$306,"&lt;="&amp;DATE($B$3,8,18),'Leave log'!$C$7:$C$306,"&gt;="&amp;DATE($B$3,8,18),'Leave log'!$F$7:$F$306,"Approved")&gt;0,"A",""))="A","A",IF(OR(DATE($B$3,8,18)&gt;EOMONTH(DATE($B$3,8,1),0),NETWORKDAYS.INTL(DATE($B$3,8,18),DATE($B$3,8,18),1,'Non-working days'!$A$6:$A$45)=0),"",IF(COUNTIFS('Leave log'!$A$7:$A$306,Employees!$A$17,'Leave log'!$B$7:$B$306,"&lt;="&amp;DATE($B$3,8,18),'Leave log'!$C$7:$C$306,"&gt;="&amp;DATE($B$3,8,18),'Leave log'!$F$7:$F$306,"Pending")&gt;0,"P",""))))</f>
        <v/>
      </c>
      <c r="T256" s="23" t="str">
        <f>IF(A256="","",IF(IF(OR(DATE($B$3,8,19)&gt;EOMONTH(DATE($B$3,8,1),0),NETWORKDAYS.INTL(DATE($B$3,8,19),DATE($B$3,8,19),1,'Non-working days'!$A$6:$A$45)=0),"",IF(COUNTIFS('Leave log'!$A$7:$A$306,Employees!$A$17,'Leave log'!$B$7:$B$306,"&lt;="&amp;DATE($B$3,8,19),'Leave log'!$C$7:$C$306,"&gt;="&amp;DATE($B$3,8,19),'Leave log'!$F$7:$F$306,"Approved")&gt;0,"A",""))="A","A",IF(OR(DATE($B$3,8,19)&gt;EOMONTH(DATE($B$3,8,1),0),NETWORKDAYS.INTL(DATE($B$3,8,19),DATE($B$3,8,19),1,'Non-working days'!$A$6:$A$45)=0),"",IF(COUNTIFS('Leave log'!$A$7:$A$306,Employees!$A$17,'Leave log'!$B$7:$B$306,"&lt;="&amp;DATE($B$3,8,19),'Leave log'!$C$7:$C$306,"&gt;="&amp;DATE($B$3,8,19),'Leave log'!$F$7:$F$306,"Pending")&gt;0,"P",""))))</f>
        <v/>
      </c>
      <c r="U256" s="23" t="str">
        <f>IF(A256="","",IF(IF(OR(DATE($B$3,8,20)&gt;EOMONTH(DATE($B$3,8,1),0),NETWORKDAYS.INTL(DATE($B$3,8,20),DATE($B$3,8,20),1,'Non-working days'!$A$6:$A$45)=0),"",IF(COUNTIFS('Leave log'!$A$7:$A$306,Employees!$A$17,'Leave log'!$B$7:$B$306,"&lt;="&amp;DATE($B$3,8,20),'Leave log'!$C$7:$C$306,"&gt;="&amp;DATE($B$3,8,20),'Leave log'!$F$7:$F$306,"Approved")&gt;0,"A",""))="A","A",IF(OR(DATE($B$3,8,20)&gt;EOMONTH(DATE($B$3,8,1),0),NETWORKDAYS.INTL(DATE($B$3,8,20),DATE($B$3,8,20),1,'Non-working days'!$A$6:$A$45)=0),"",IF(COUNTIFS('Leave log'!$A$7:$A$306,Employees!$A$17,'Leave log'!$B$7:$B$306,"&lt;="&amp;DATE($B$3,8,20),'Leave log'!$C$7:$C$306,"&gt;="&amp;DATE($B$3,8,20),'Leave log'!$F$7:$F$306,"Pending")&gt;0,"P",""))))</f>
        <v/>
      </c>
      <c r="V256" s="23" t="str">
        <f>IF(A256="","",IF(IF(OR(DATE($B$3,8,21)&gt;EOMONTH(DATE($B$3,8,1),0),NETWORKDAYS.INTL(DATE($B$3,8,21),DATE($B$3,8,21),1,'Non-working days'!$A$6:$A$45)=0),"",IF(COUNTIFS('Leave log'!$A$7:$A$306,Employees!$A$17,'Leave log'!$B$7:$B$306,"&lt;="&amp;DATE($B$3,8,21),'Leave log'!$C$7:$C$306,"&gt;="&amp;DATE($B$3,8,21),'Leave log'!$F$7:$F$306,"Approved")&gt;0,"A",""))="A","A",IF(OR(DATE($B$3,8,21)&gt;EOMONTH(DATE($B$3,8,1),0),NETWORKDAYS.INTL(DATE($B$3,8,21),DATE($B$3,8,21),1,'Non-working days'!$A$6:$A$45)=0),"",IF(COUNTIFS('Leave log'!$A$7:$A$306,Employees!$A$17,'Leave log'!$B$7:$B$306,"&lt;="&amp;DATE($B$3,8,21),'Leave log'!$C$7:$C$306,"&gt;="&amp;DATE($B$3,8,21),'Leave log'!$F$7:$F$306,"Pending")&gt;0,"P",""))))</f>
        <v/>
      </c>
      <c r="W256" s="23" t="str">
        <f>IF(A256="","",IF(IF(OR(DATE($B$3,8,22)&gt;EOMONTH(DATE($B$3,8,1),0),NETWORKDAYS.INTL(DATE($B$3,8,22),DATE($B$3,8,22),1,'Non-working days'!$A$6:$A$45)=0),"",IF(COUNTIFS('Leave log'!$A$7:$A$306,Employees!$A$17,'Leave log'!$B$7:$B$306,"&lt;="&amp;DATE($B$3,8,22),'Leave log'!$C$7:$C$306,"&gt;="&amp;DATE($B$3,8,22),'Leave log'!$F$7:$F$306,"Approved")&gt;0,"A",""))="A","A",IF(OR(DATE($B$3,8,22)&gt;EOMONTH(DATE($B$3,8,1),0),NETWORKDAYS.INTL(DATE($B$3,8,22),DATE($B$3,8,22),1,'Non-working days'!$A$6:$A$45)=0),"",IF(COUNTIFS('Leave log'!$A$7:$A$306,Employees!$A$17,'Leave log'!$B$7:$B$306,"&lt;="&amp;DATE($B$3,8,22),'Leave log'!$C$7:$C$306,"&gt;="&amp;DATE($B$3,8,22),'Leave log'!$F$7:$F$306,"Pending")&gt;0,"P",""))))</f>
        <v/>
      </c>
      <c r="X256" s="23" t="str">
        <f>IF(A256="","",IF(IF(OR(DATE($B$3,8,23)&gt;EOMONTH(DATE($B$3,8,1),0),NETWORKDAYS.INTL(DATE($B$3,8,23),DATE($B$3,8,23),1,'Non-working days'!$A$6:$A$45)=0),"",IF(COUNTIFS('Leave log'!$A$7:$A$306,Employees!$A$17,'Leave log'!$B$7:$B$306,"&lt;="&amp;DATE($B$3,8,23),'Leave log'!$C$7:$C$306,"&gt;="&amp;DATE($B$3,8,23),'Leave log'!$F$7:$F$306,"Approved")&gt;0,"A",""))="A","A",IF(OR(DATE($B$3,8,23)&gt;EOMONTH(DATE($B$3,8,1),0),NETWORKDAYS.INTL(DATE($B$3,8,23),DATE($B$3,8,23),1,'Non-working days'!$A$6:$A$45)=0),"",IF(COUNTIFS('Leave log'!$A$7:$A$306,Employees!$A$17,'Leave log'!$B$7:$B$306,"&lt;="&amp;DATE($B$3,8,23),'Leave log'!$C$7:$C$306,"&gt;="&amp;DATE($B$3,8,23),'Leave log'!$F$7:$F$306,"Pending")&gt;0,"P",""))))</f>
        <v/>
      </c>
      <c r="Y256" s="23" t="str">
        <f>IF(A256="","",IF(IF(OR(DATE($B$3,8,24)&gt;EOMONTH(DATE($B$3,8,1),0),NETWORKDAYS.INTL(DATE($B$3,8,24),DATE($B$3,8,24),1,'Non-working days'!$A$6:$A$45)=0),"",IF(COUNTIFS('Leave log'!$A$7:$A$306,Employees!$A$17,'Leave log'!$B$7:$B$306,"&lt;="&amp;DATE($B$3,8,24),'Leave log'!$C$7:$C$306,"&gt;="&amp;DATE($B$3,8,24),'Leave log'!$F$7:$F$306,"Approved")&gt;0,"A",""))="A","A",IF(OR(DATE($B$3,8,24)&gt;EOMONTH(DATE($B$3,8,1),0),NETWORKDAYS.INTL(DATE($B$3,8,24),DATE($B$3,8,24),1,'Non-working days'!$A$6:$A$45)=0),"",IF(COUNTIFS('Leave log'!$A$7:$A$306,Employees!$A$17,'Leave log'!$B$7:$B$306,"&lt;="&amp;DATE($B$3,8,24),'Leave log'!$C$7:$C$306,"&gt;="&amp;DATE($B$3,8,24),'Leave log'!$F$7:$F$306,"Pending")&gt;0,"P",""))))</f>
        <v/>
      </c>
      <c r="Z256" s="23" t="str">
        <f>IF(A256="","",IF(IF(OR(DATE($B$3,8,25)&gt;EOMONTH(DATE($B$3,8,1),0),NETWORKDAYS.INTL(DATE($B$3,8,25),DATE($B$3,8,25),1,'Non-working days'!$A$6:$A$45)=0),"",IF(COUNTIFS('Leave log'!$A$7:$A$306,Employees!$A$17,'Leave log'!$B$7:$B$306,"&lt;="&amp;DATE($B$3,8,25),'Leave log'!$C$7:$C$306,"&gt;="&amp;DATE($B$3,8,25),'Leave log'!$F$7:$F$306,"Approved")&gt;0,"A",""))="A","A",IF(OR(DATE($B$3,8,25)&gt;EOMONTH(DATE($B$3,8,1),0),NETWORKDAYS.INTL(DATE($B$3,8,25),DATE($B$3,8,25),1,'Non-working days'!$A$6:$A$45)=0),"",IF(COUNTIFS('Leave log'!$A$7:$A$306,Employees!$A$17,'Leave log'!$B$7:$B$306,"&lt;="&amp;DATE($B$3,8,25),'Leave log'!$C$7:$C$306,"&gt;="&amp;DATE($B$3,8,25),'Leave log'!$F$7:$F$306,"Pending")&gt;0,"P",""))))</f>
        <v/>
      </c>
      <c r="AA256" s="23" t="str">
        <f>IF(A256="","",IF(IF(OR(DATE($B$3,8,26)&gt;EOMONTH(DATE($B$3,8,1),0),NETWORKDAYS.INTL(DATE($B$3,8,26),DATE($B$3,8,26),1,'Non-working days'!$A$6:$A$45)=0),"",IF(COUNTIFS('Leave log'!$A$7:$A$306,Employees!$A$17,'Leave log'!$B$7:$B$306,"&lt;="&amp;DATE($B$3,8,26),'Leave log'!$C$7:$C$306,"&gt;="&amp;DATE($B$3,8,26),'Leave log'!$F$7:$F$306,"Approved")&gt;0,"A",""))="A","A",IF(OR(DATE($B$3,8,26)&gt;EOMONTH(DATE($B$3,8,1),0),NETWORKDAYS.INTL(DATE($B$3,8,26),DATE($B$3,8,26),1,'Non-working days'!$A$6:$A$45)=0),"",IF(COUNTIFS('Leave log'!$A$7:$A$306,Employees!$A$17,'Leave log'!$B$7:$B$306,"&lt;="&amp;DATE($B$3,8,26),'Leave log'!$C$7:$C$306,"&gt;="&amp;DATE($B$3,8,26),'Leave log'!$F$7:$F$306,"Pending")&gt;0,"P",""))))</f>
        <v/>
      </c>
      <c r="AB256" s="23" t="str">
        <f>IF(A256="","",IF(IF(OR(DATE($B$3,8,27)&gt;EOMONTH(DATE($B$3,8,1),0),NETWORKDAYS.INTL(DATE($B$3,8,27),DATE($B$3,8,27),1,'Non-working days'!$A$6:$A$45)=0),"",IF(COUNTIFS('Leave log'!$A$7:$A$306,Employees!$A$17,'Leave log'!$B$7:$B$306,"&lt;="&amp;DATE($B$3,8,27),'Leave log'!$C$7:$C$306,"&gt;="&amp;DATE($B$3,8,27),'Leave log'!$F$7:$F$306,"Approved")&gt;0,"A",""))="A","A",IF(OR(DATE($B$3,8,27)&gt;EOMONTH(DATE($B$3,8,1),0),NETWORKDAYS.INTL(DATE($B$3,8,27),DATE($B$3,8,27),1,'Non-working days'!$A$6:$A$45)=0),"",IF(COUNTIFS('Leave log'!$A$7:$A$306,Employees!$A$17,'Leave log'!$B$7:$B$306,"&lt;="&amp;DATE($B$3,8,27),'Leave log'!$C$7:$C$306,"&gt;="&amp;DATE($B$3,8,27),'Leave log'!$F$7:$F$306,"Pending")&gt;0,"P",""))))</f>
        <v/>
      </c>
      <c r="AC256" s="23" t="str">
        <f>IF(A256="","",IF(IF(OR(DATE($B$3,8,28)&gt;EOMONTH(DATE($B$3,8,1),0),NETWORKDAYS.INTL(DATE($B$3,8,28),DATE($B$3,8,28),1,'Non-working days'!$A$6:$A$45)=0),"",IF(COUNTIFS('Leave log'!$A$7:$A$306,Employees!$A$17,'Leave log'!$B$7:$B$306,"&lt;="&amp;DATE($B$3,8,28),'Leave log'!$C$7:$C$306,"&gt;="&amp;DATE($B$3,8,28),'Leave log'!$F$7:$F$306,"Approved")&gt;0,"A",""))="A","A",IF(OR(DATE($B$3,8,28)&gt;EOMONTH(DATE($B$3,8,1),0),NETWORKDAYS.INTL(DATE($B$3,8,28),DATE($B$3,8,28),1,'Non-working days'!$A$6:$A$45)=0),"",IF(COUNTIFS('Leave log'!$A$7:$A$306,Employees!$A$17,'Leave log'!$B$7:$B$306,"&lt;="&amp;DATE($B$3,8,28),'Leave log'!$C$7:$C$306,"&gt;="&amp;DATE($B$3,8,28),'Leave log'!$F$7:$F$306,"Pending")&gt;0,"P",""))))</f>
        <v/>
      </c>
      <c r="AD256" s="23" t="str">
        <f>IF(A256="","",IF(IF(OR(DATE($B$3,8,29)&gt;EOMONTH(DATE($B$3,8,1),0),NETWORKDAYS.INTL(DATE($B$3,8,29),DATE($B$3,8,29),1,'Non-working days'!$A$6:$A$45)=0),"",IF(COUNTIFS('Leave log'!$A$7:$A$306,Employees!$A$17,'Leave log'!$B$7:$B$306,"&lt;="&amp;DATE($B$3,8,29),'Leave log'!$C$7:$C$306,"&gt;="&amp;DATE($B$3,8,29),'Leave log'!$F$7:$F$306,"Approved")&gt;0,"A",""))="A","A",IF(OR(DATE($B$3,8,29)&gt;EOMONTH(DATE($B$3,8,1),0),NETWORKDAYS.INTL(DATE($B$3,8,29),DATE($B$3,8,29),1,'Non-working days'!$A$6:$A$45)=0),"",IF(COUNTIFS('Leave log'!$A$7:$A$306,Employees!$A$17,'Leave log'!$B$7:$B$306,"&lt;="&amp;DATE($B$3,8,29),'Leave log'!$C$7:$C$306,"&gt;="&amp;DATE($B$3,8,29),'Leave log'!$F$7:$F$306,"Pending")&gt;0,"P",""))))</f>
        <v/>
      </c>
      <c r="AE256" s="23" t="str">
        <f>IF(A256="","",IF(IF(OR(DATE($B$3,8,30)&gt;EOMONTH(DATE($B$3,8,1),0),NETWORKDAYS.INTL(DATE($B$3,8,30),DATE($B$3,8,30),1,'Non-working days'!$A$6:$A$45)=0),"",IF(COUNTIFS('Leave log'!$A$7:$A$306,Employees!$A$17,'Leave log'!$B$7:$B$306,"&lt;="&amp;DATE($B$3,8,30),'Leave log'!$C$7:$C$306,"&gt;="&amp;DATE($B$3,8,30),'Leave log'!$F$7:$F$306,"Approved")&gt;0,"A",""))="A","A",IF(OR(DATE($B$3,8,30)&gt;EOMONTH(DATE($B$3,8,1),0),NETWORKDAYS.INTL(DATE($B$3,8,30),DATE($B$3,8,30),1,'Non-working days'!$A$6:$A$45)=0),"",IF(COUNTIFS('Leave log'!$A$7:$A$306,Employees!$A$17,'Leave log'!$B$7:$B$306,"&lt;="&amp;DATE($B$3,8,30),'Leave log'!$C$7:$C$306,"&gt;="&amp;DATE($B$3,8,30),'Leave log'!$F$7:$F$306,"Pending")&gt;0,"P",""))))</f>
        <v/>
      </c>
      <c r="AF256" s="23" t="str">
        <f>IF(A256="","",IF(IF(OR(DATE($B$3,8,31)&gt;EOMONTH(DATE($B$3,8,1),0),NETWORKDAYS.INTL(DATE($B$3,8,31),DATE($B$3,8,31),1,'Non-working days'!$A$6:$A$45)=0),"",IF(COUNTIFS('Leave log'!$A$7:$A$306,Employees!$A$17,'Leave log'!$B$7:$B$306,"&lt;="&amp;DATE($B$3,8,31),'Leave log'!$C$7:$C$306,"&gt;="&amp;DATE($B$3,8,31),'Leave log'!$F$7:$F$306,"Approved")&gt;0,"A",""))="A","A",IF(OR(DATE($B$3,8,31)&gt;EOMONTH(DATE($B$3,8,1),0),NETWORKDAYS.INTL(DATE($B$3,8,31),DATE($B$3,8,31),1,'Non-working days'!$A$6:$A$45)=0),"",IF(COUNTIFS('Leave log'!$A$7:$A$306,Employees!$A$17,'Leave log'!$B$7:$B$306,"&lt;="&amp;DATE($B$3,8,31),'Leave log'!$C$7:$C$306,"&gt;="&amp;DATE($B$3,8,31),'Leave log'!$F$7:$F$306,"Pending")&gt;0,"P",""))))</f>
        <v/>
      </c>
    </row>
    <row r="257" spans="1:32" ht="18" customHeight="1" x14ac:dyDescent="0.3">
      <c r="A257" s="22" t="str">
        <f>IF(Employees!F18="Yes",Employees!B18,"")</f>
        <v/>
      </c>
      <c r="B257" s="23" t="str">
        <f>IF(A257="","",IF(IF(OR(DATE($B$3,8,1)&gt;EOMONTH(DATE($B$3,8,1),0),NETWORKDAYS.INTL(DATE($B$3,8,1),DATE($B$3,8,1),1,'Non-working days'!$A$6:$A$45)=0),"",IF(COUNTIFS('Leave log'!$A$7:$A$306,Employees!$A$18,'Leave log'!$B$7:$B$306,"&lt;="&amp;DATE($B$3,8,1),'Leave log'!$C$7:$C$306,"&gt;="&amp;DATE($B$3,8,1),'Leave log'!$F$7:$F$306,"Approved")&gt;0,"A",""))="A","A",IF(OR(DATE($B$3,8,1)&gt;EOMONTH(DATE($B$3,8,1),0),NETWORKDAYS.INTL(DATE($B$3,8,1),DATE($B$3,8,1),1,'Non-working days'!$A$6:$A$45)=0),"",IF(COUNTIFS('Leave log'!$A$7:$A$306,Employees!$A$18,'Leave log'!$B$7:$B$306,"&lt;="&amp;DATE($B$3,8,1),'Leave log'!$C$7:$C$306,"&gt;="&amp;DATE($B$3,8,1),'Leave log'!$F$7:$F$306,"Pending")&gt;0,"P",""))))</f>
        <v/>
      </c>
      <c r="C257" s="23" t="str">
        <f>IF(A257="","",IF(IF(OR(DATE($B$3,8,2)&gt;EOMONTH(DATE($B$3,8,1),0),NETWORKDAYS.INTL(DATE($B$3,8,2),DATE($B$3,8,2),1,'Non-working days'!$A$6:$A$45)=0),"",IF(COUNTIFS('Leave log'!$A$7:$A$306,Employees!$A$18,'Leave log'!$B$7:$B$306,"&lt;="&amp;DATE($B$3,8,2),'Leave log'!$C$7:$C$306,"&gt;="&amp;DATE($B$3,8,2),'Leave log'!$F$7:$F$306,"Approved")&gt;0,"A",""))="A","A",IF(OR(DATE($B$3,8,2)&gt;EOMONTH(DATE($B$3,8,1),0),NETWORKDAYS.INTL(DATE($B$3,8,2),DATE($B$3,8,2),1,'Non-working days'!$A$6:$A$45)=0),"",IF(COUNTIFS('Leave log'!$A$7:$A$306,Employees!$A$18,'Leave log'!$B$7:$B$306,"&lt;="&amp;DATE($B$3,8,2),'Leave log'!$C$7:$C$306,"&gt;="&amp;DATE($B$3,8,2),'Leave log'!$F$7:$F$306,"Pending")&gt;0,"P",""))))</f>
        <v/>
      </c>
      <c r="D257" s="23" t="str">
        <f>IF(A257="","",IF(IF(OR(DATE($B$3,8,3)&gt;EOMONTH(DATE($B$3,8,1),0),NETWORKDAYS.INTL(DATE($B$3,8,3),DATE($B$3,8,3),1,'Non-working days'!$A$6:$A$45)=0),"",IF(COUNTIFS('Leave log'!$A$7:$A$306,Employees!$A$18,'Leave log'!$B$7:$B$306,"&lt;="&amp;DATE($B$3,8,3),'Leave log'!$C$7:$C$306,"&gt;="&amp;DATE($B$3,8,3),'Leave log'!$F$7:$F$306,"Approved")&gt;0,"A",""))="A","A",IF(OR(DATE($B$3,8,3)&gt;EOMONTH(DATE($B$3,8,1),0),NETWORKDAYS.INTL(DATE($B$3,8,3),DATE($B$3,8,3),1,'Non-working days'!$A$6:$A$45)=0),"",IF(COUNTIFS('Leave log'!$A$7:$A$306,Employees!$A$18,'Leave log'!$B$7:$B$306,"&lt;="&amp;DATE($B$3,8,3),'Leave log'!$C$7:$C$306,"&gt;="&amp;DATE($B$3,8,3),'Leave log'!$F$7:$F$306,"Pending")&gt;0,"P",""))))</f>
        <v/>
      </c>
      <c r="E257" s="23" t="str">
        <f>IF(A257="","",IF(IF(OR(DATE($B$3,8,4)&gt;EOMONTH(DATE($B$3,8,1),0),NETWORKDAYS.INTL(DATE($B$3,8,4),DATE($B$3,8,4),1,'Non-working days'!$A$6:$A$45)=0),"",IF(COUNTIFS('Leave log'!$A$7:$A$306,Employees!$A$18,'Leave log'!$B$7:$B$306,"&lt;="&amp;DATE($B$3,8,4),'Leave log'!$C$7:$C$306,"&gt;="&amp;DATE($B$3,8,4),'Leave log'!$F$7:$F$306,"Approved")&gt;0,"A",""))="A","A",IF(OR(DATE($B$3,8,4)&gt;EOMONTH(DATE($B$3,8,1),0),NETWORKDAYS.INTL(DATE($B$3,8,4),DATE($B$3,8,4),1,'Non-working days'!$A$6:$A$45)=0),"",IF(COUNTIFS('Leave log'!$A$7:$A$306,Employees!$A$18,'Leave log'!$B$7:$B$306,"&lt;="&amp;DATE($B$3,8,4),'Leave log'!$C$7:$C$306,"&gt;="&amp;DATE($B$3,8,4),'Leave log'!$F$7:$F$306,"Pending")&gt;0,"P",""))))</f>
        <v/>
      </c>
      <c r="F257" s="23" t="str">
        <f>IF(A257="","",IF(IF(OR(DATE($B$3,8,5)&gt;EOMONTH(DATE($B$3,8,1),0),NETWORKDAYS.INTL(DATE($B$3,8,5),DATE($B$3,8,5),1,'Non-working days'!$A$6:$A$45)=0),"",IF(COUNTIFS('Leave log'!$A$7:$A$306,Employees!$A$18,'Leave log'!$B$7:$B$306,"&lt;="&amp;DATE($B$3,8,5),'Leave log'!$C$7:$C$306,"&gt;="&amp;DATE($B$3,8,5),'Leave log'!$F$7:$F$306,"Approved")&gt;0,"A",""))="A","A",IF(OR(DATE($B$3,8,5)&gt;EOMONTH(DATE($B$3,8,1),0),NETWORKDAYS.INTL(DATE($B$3,8,5),DATE($B$3,8,5),1,'Non-working days'!$A$6:$A$45)=0),"",IF(COUNTIFS('Leave log'!$A$7:$A$306,Employees!$A$18,'Leave log'!$B$7:$B$306,"&lt;="&amp;DATE($B$3,8,5),'Leave log'!$C$7:$C$306,"&gt;="&amp;DATE($B$3,8,5),'Leave log'!$F$7:$F$306,"Pending")&gt;0,"P",""))))</f>
        <v/>
      </c>
      <c r="G257" s="23" t="str">
        <f>IF(A257="","",IF(IF(OR(DATE($B$3,8,6)&gt;EOMONTH(DATE($B$3,8,1),0),NETWORKDAYS.INTL(DATE($B$3,8,6),DATE($B$3,8,6),1,'Non-working days'!$A$6:$A$45)=0),"",IF(COUNTIFS('Leave log'!$A$7:$A$306,Employees!$A$18,'Leave log'!$B$7:$B$306,"&lt;="&amp;DATE($B$3,8,6),'Leave log'!$C$7:$C$306,"&gt;="&amp;DATE($B$3,8,6),'Leave log'!$F$7:$F$306,"Approved")&gt;0,"A",""))="A","A",IF(OR(DATE($B$3,8,6)&gt;EOMONTH(DATE($B$3,8,1),0),NETWORKDAYS.INTL(DATE($B$3,8,6),DATE($B$3,8,6),1,'Non-working days'!$A$6:$A$45)=0),"",IF(COUNTIFS('Leave log'!$A$7:$A$306,Employees!$A$18,'Leave log'!$B$7:$B$306,"&lt;="&amp;DATE($B$3,8,6),'Leave log'!$C$7:$C$306,"&gt;="&amp;DATE($B$3,8,6),'Leave log'!$F$7:$F$306,"Pending")&gt;0,"P",""))))</f>
        <v/>
      </c>
      <c r="H257" s="23" t="str">
        <f>IF(A257="","",IF(IF(OR(DATE($B$3,8,7)&gt;EOMONTH(DATE($B$3,8,1),0),NETWORKDAYS.INTL(DATE($B$3,8,7),DATE($B$3,8,7),1,'Non-working days'!$A$6:$A$45)=0),"",IF(COUNTIFS('Leave log'!$A$7:$A$306,Employees!$A$18,'Leave log'!$B$7:$B$306,"&lt;="&amp;DATE($B$3,8,7),'Leave log'!$C$7:$C$306,"&gt;="&amp;DATE($B$3,8,7),'Leave log'!$F$7:$F$306,"Approved")&gt;0,"A",""))="A","A",IF(OR(DATE($B$3,8,7)&gt;EOMONTH(DATE($B$3,8,1),0),NETWORKDAYS.INTL(DATE($B$3,8,7),DATE($B$3,8,7),1,'Non-working days'!$A$6:$A$45)=0),"",IF(COUNTIFS('Leave log'!$A$7:$A$306,Employees!$A$18,'Leave log'!$B$7:$B$306,"&lt;="&amp;DATE($B$3,8,7),'Leave log'!$C$7:$C$306,"&gt;="&amp;DATE($B$3,8,7),'Leave log'!$F$7:$F$306,"Pending")&gt;0,"P",""))))</f>
        <v/>
      </c>
      <c r="I257" s="23" t="str">
        <f>IF(A257="","",IF(IF(OR(DATE($B$3,8,8)&gt;EOMONTH(DATE($B$3,8,1),0),NETWORKDAYS.INTL(DATE($B$3,8,8),DATE($B$3,8,8),1,'Non-working days'!$A$6:$A$45)=0),"",IF(COUNTIFS('Leave log'!$A$7:$A$306,Employees!$A$18,'Leave log'!$B$7:$B$306,"&lt;="&amp;DATE($B$3,8,8),'Leave log'!$C$7:$C$306,"&gt;="&amp;DATE($B$3,8,8),'Leave log'!$F$7:$F$306,"Approved")&gt;0,"A",""))="A","A",IF(OR(DATE($B$3,8,8)&gt;EOMONTH(DATE($B$3,8,1),0),NETWORKDAYS.INTL(DATE($B$3,8,8),DATE($B$3,8,8),1,'Non-working days'!$A$6:$A$45)=0),"",IF(COUNTIFS('Leave log'!$A$7:$A$306,Employees!$A$18,'Leave log'!$B$7:$B$306,"&lt;="&amp;DATE($B$3,8,8),'Leave log'!$C$7:$C$306,"&gt;="&amp;DATE($B$3,8,8),'Leave log'!$F$7:$F$306,"Pending")&gt;0,"P",""))))</f>
        <v/>
      </c>
      <c r="J257" s="23" t="str">
        <f>IF(A257="","",IF(IF(OR(DATE($B$3,8,9)&gt;EOMONTH(DATE($B$3,8,1),0),NETWORKDAYS.INTL(DATE($B$3,8,9),DATE($B$3,8,9),1,'Non-working days'!$A$6:$A$45)=0),"",IF(COUNTIFS('Leave log'!$A$7:$A$306,Employees!$A$18,'Leave log'!$B$7:$B$306,"&lt;="&amp;DATE($B$3,8,9),'Leave log'!$C$7:$C$306,"&gt;="&amp;DATE($B$3,8,9),'Leave log'!$F$7:$F$306,"Approved")&gt;0,"A",""))="A","A",IF(OR(DATE($B$3,8,9)&gt;EOMONTH(DATE($B$3,8,1),0),NETWORKDAYS.INTL(DATE($B$3,8,9),DATE($B$3,8,9),1,'Non-working days'!$A$6:$A$45)=0),"",IF(COUNTIFS('Leave log'!$A$7:$A$306,Employees!$A$18,'Leave log'!$B$7:$B$306,"&lt;="&amp;DATE($B$3,8,9),'Leave log'!$C$7:$C$306,"&gt;="&amp;DATE($B$3,8,9),'Leave log'!$F$7:$F$306,"Pending")&gt;0,"P",""))))</f>
        <v/>
      </c>
      <c r="K257" s="23" t="str">
        <f>IF(A257="","",IF(IF(OR(DATE($B$3,8,10)&gt;EOMONTH(DATE($B$3,8,1),0),NETWORKDAYS.INTL(DATE($B$3,8,10),DATE($B$3,8,10),1,'Non-working days'!$A$6:$A$45)=0),"",IF(COUNTIFS('Leave log'!$A$7:$A$306,Employees!$A$18,'Leave log'!$B$7:$B$306,"&lt;="&amp;DATE($B$3,8,10),'Leave log'!$C$7:$C$306,"&gt;="&amp;DATE($B$3,8,10),'Leave log'!$F$7:$F$306,"Approved")&gt;0,"A",""))="A","A",IF(OR(DATE($B$3,8,10)&gt;EOMONTH(DATE($B$3,8,1),0),NETWORKDAYS.INTL(DATE($B$3,8,10),DATE($B$3,8,10),1,'Non-working days'!$A$6:$A$45)=0),"",IF(COUNTIFS('Leave log'!$A$7:$A$306,Employees!$A$18,'Leave log'!$B$7:$B$306,"&lt;="&amp;DATE($B$3,8,10),'Leave log'!$C$7:$C$306,"&gt;="&amp;DATE($B$3,8,10),'Leave log'!$F$7:$F$306,"Pending")&gt;0,"P",""))))</f>
        <v/>
      </c>
      <c r="L257" s="23" t="str">
        <f>IF(A257="","",IF(IF(OR(DATE($B$3,8,11)&gt;EOMONTH(DATE($B$3,8,1),0),NETWORKDAYS.INTL(DATE($B$3,8,11),DATE($B$3,8,11),1,'Non-working days'!$A$6:$A$45)=0),"",IF(COUNTIFS('Leave log'!$A$7:$A$306,Employees!$A$18,'Leave log'!$B$7:$B$306,"&lt;="&amp;DATE($B$3,8,11),'Leave log'!$C$7:$C$306,"&gt;="&amp;DATE($B$3,8,11),'Leave log'!$F$7:$F$306,"Approved")&gt;0,"A",""))="A","A",IF(OR(DATE($B$3,8,11)&gt;EOMONTH(DATE($B$3,8,1),0),NETWORKDAYS.INTL(DATE($B$3,8,11),DATE($B$3,8,11),1,'Non-working days'!$A$6:$A$45)=0),"",IF(COUNTIFS('Leave log'!$A$7:$A$306,Employees!$A$18,'Leave log'!$B$7:$B$306,"&lt;="&amp;DATE($B$3,8,11),'Leave log'!$C$7:$C$306,"&gt;="&amp;DATE($B$3,8,11),'Leave log'!$F$7:$F$306,"Pending")&gt;0,"P",""))))</f>
        <v/>
      </c>
      <c r="M257" s="23" t="str">
        <f>IF(A257="","",IF(IF(OR(DATE($B$3,8,12)&gt;EOMONTH(DATE($B$3,8,1),0),NETWORKDAYS.INTL(DATE($B$3,8,12),DATE($B$3,8,12),1,'Non-working days'!$A$6:$A$45)=0),"",IF(COUNTIFS('Leave log'!$A$7:$A$306,Employees!$A$18,'Leave log'!$B$7:$B$306,"&lt;="&amp;DATE($B$3,8,12),'Leave log'!$C$7:$C$306,"&gt;="&amp;DATE($B$3,8,12),'Leave log'!$F$7:$F$306,"Approved")&gt;0,"A",""))="A","A",IF(OR(DATE($B$3,8,12)&gt;EOMONTH(DATE($B$3,8,1),0),NETWORKDAYS.INTL(DATE($B$3,8,12),DATE($B$3,8,12),1,'Non-working days'!$A$6:$A$45)=0),"",IF(COUNTIFS('Leave log'!$A$7:$A$306,Employees!$A$18,'Leave log'!$B$7:$B$306,"&lt;="&amp;DATE($B$3,8,12),'Leave log'!$C$7:$C$306,"&gt;="&amp;DATE($B$3,8,12),'Leave log'!$F$7:$F$306,"Pending")&gt;0,"P",""))))</f>
        <v/>
      </c>
      <c r="N257" s="23" t="str">
        <f>IF(A257="","",IF(IF(OR(DATE($B$3,8,13)&gt;EOMONTH(DATE($B$3,8,1),0),NETWORKDAYS.INTL(DATE($B$3,8,13),DATE($B$3,8,13),1,'Non-working days'!$A$6:$A$45)=0),"",IF(COUNTIFS('Leave log'!$A$7:$A$306,Employees!$A$18,'Leave log'!$B$7:$B$306,"&lt;="&amp;DATE($B$3,8,13),'Leave log'!$C$7:$C$306,"&gt;="&amp;DATE($B$3,8,13),'Leave log'!$F$7:$F$306,"Approved")&gt;0,"A",""))="A","A",IF(OR(DATE($B$3,8,13)&gt;EOMONTH(DATE($B$3,8,1),0),NETWORKDAYS.INTL(DATE($B$3,8,13),DATE($B$3,8,13),1,'Non-working days'!$A$6:$A$45)=0),"",IF(COUNTIFS('Leave log'!$A$7:$A$306,Employees!$A$18,'Leave log'!$B$7:$B$306,"&lt;="&amp;DATE($B$3,8,13),'Leave log'!$C$7:$C$306,"&gt;="&amp;DATE($B$3,8,13),'Leave log'!$F$7:$F$306,"Pending")&gt;0,"P",""))))</f>
        <v/>
      </c>
      <c r="O257" s="23" t="str">
        <f>IF(A257="","",IF(IF(OR(DATE($B$3,8,14)&gt;EOMONTH(DATE($B$3,8,1),0),NETWORKDAYS.INTL(DATE($B$3,8,14),DATE($B$3,8,14),1,'Non-working days'!$A$6:$A$45)=0),"",IF(COUNTIFS('Leave log'!$A$7:$A$306,Employees!$A$18,'Leave log'!$B$7:$B$306,"&lt;="&amp;DATE($B$3,8,14),'Leave log'!$C$7:$C$306,"&gt;="&amp;DATE($B$3,8,14),'Leave log'!$F$7:$F$306,"Approved")&gt;0,"A",""))="A","A",IF(OR(DATE($B$3,8,14)&gt;EOMONTH(DATE($B$3,8,1),0),NETWORKDAYS.INTL(DATE($B$3,8,14),DATE($B$3,8,14),1,'Non-working days'!$A$6:$A$45)=0),"",IF(COUNTIFS('Leave log'!$A$7:$A$306,Employees!$A$18,'Leave log'!$B$7:$B$306,"&lt;="&amp;DATE($B$3,8,14),'Leave log'!$C$7:$C$306,"&gt;="&amp;DATE($B$3,8,14),'Leave log'!$F$7:$F$306,"Pending")&gt;0,"P",""))))</f>
        <v/>
      </c>
      <c r="P257" s="23" t="str">
        <f>IF(A257="","",IF(IF(OR(DATE($B$3,8,15)&gt;EOMONTH(DATE($B$3,8,1),0),NETWORKDAYS.INTL(DATE($B$3,8,15),DATE($B$3,8,15),1,'Non-working days'!$A$6:$A$45)=0),"",IF(COUNTIFS('Leave log'!$A$7:$A$306,Employees!$A$18,'Leave log'!$B$7:$B$306,"&lt;="&amp;DATE($B$3,8,15),'Leave log'!$C$7:$C$306,"&gt;="&amp;DATE($B$3,8,15),'Leave log'!$F$7:$F$306,"Approved")&gt;0,"A",""))="A","A",IF(OR(DATE($B$3,8,15)&gt;EOMONTH(DATE($B$3,8,1),0),NETWORKDAYS.INTL(DATE($B$3,8,15),DATE($B$3,8,15),1,'Non-working days'!$A$6:$A$45)=0),"",IF(COUNTIFS('Leave log'!$A$7:$A$306,Employees!$A$18,'Leave log'!$B$7:$B$306,"&lt;="&amp;DATE($B$3,8,15),'Leave log'!$C$7:$C$306,"&gt;="&amp;DATE($B$3,8,15),'Leave log'!$F$7:$F$306,"Pending")&gt;0,"P",""))))</f>
        <v/>
      </c>
      <c r="Q257" s="23" t="str">
        <f>IF(A257="","",IF(IF(OR(DATE($B$3,8,16)&gt;EOMONTH(DATE($B$3,8,1),0),NETWORKDAYS.INTL(DATE($B$3,8,16),DATE($B$3,8,16),1,'Non-working days'!$A$6:$A$45)=0),"",IF(COUNTIFS('Leave log'!$A$7:$A$306,Employees!$A$18,'Leave log'!$B$7:$B$306,"&lt;="&amp;DATE($B$3,8,16),'Leave log'!$C$7:$C$306,"&gt;="&amp;DATE($B$3,8,16),'Leave log'!$F$7:$F$306,"Approved")&gt;0,"A",""))="A","A",IF(OR(DATE($B$3,8,16)&gt;EOMONTH(DATE($B$3,8,1),0),NETWORKDAYS.INTL(DATE($B$3,8,16),DATE($B$3,8,16),1,'Non-working days'!$A$6:$A$45)=0),"",IF(COUNTIFS('Leave log'!$A$7:$A$306,Employees!$A$18,'Leave log'!$B$7:$B$306,"&lt;="&amp;DATE($B$3,8,16),'Leave log'!$C$7:$C$306,"&gt;="&amp;DATE($B$3,8,16),'Leave log'!$F$7:$F$306,"Pending")&gt;0,"P",""))))</f>
        <v/>
      </c>
      <c r="R257" s="23" t="str">
        <f>IF(A257="","",IF(IF(OR(DATE($B$3,8,17)&gt;EOMONTH(DATE($B$3,8,1),0),NETWORKDAYS.INTL(DATE($B$3,8,17),DATE($B$3,8,17),1,'Non-working days'!$A$6:$A$45)=0),"",IF(COUNTIFS('Leave log'!$A$7:$A$306,Employees!$A$18,'Leave log'!$B$7:$B$306,"&lt;="&amp;DATE($B$3,8,17),'Leave log'!$C$7:$C$306,"&gt;="&amp;DATE($B$3,8,17),'Leave log'!$F$7:$F$306,"Approved")&gt;0,"A",""))="A","A",IF(OR(DATE($B$3,8,17)&gt;EOMONTH(DATE($B$3,8,1),0),NETWORKDAYS.INTL(DATE($B$3,8,17),DATE($B$3,8,17),1,'Non-working days'!$A$6:$A$45)=0),"",IF(COUNTIFS('Leave log'!$A$7:$A$306,Employees!$A$18,'Leave log'!$B$7:$B$306,"&lt;="&amp;DATE($B$3,8,17),'Leave log'!$C$7:$C$306,"&gt;="&amp;DATE($B$3,8,17),'Leave log'!$F$7:$F$306,"Pending")&gt;0,"P",""))))</f>
        <v/>
      </c>
      <c r="S257" s="23" t="str">
        <f>IF(A257="","",IF(IF(OR(DATE($B$3,8,18)&gt;EOMONTH(DATE($B$3,8,1),0),NETWORKDAYS.INTL(DATE($B$3,8,18),DATE($B$3,8,18),1,'Non-working days'!$A$6:$A$45)=0),"",IF(COUNTIFS('Leave log'!$A$7:$A$306,Employees!$A$18,'Leave log'!$B$7:$B$306,"&lt;="&amp;DATE($B$3,8,18),'Leave log'!$C$7:$C$306,"&gt;="&amp;DATE($B$3,8,18),'Leave log'!$F$7:$F$306,"Approved")&gt;0,"A",""))="A","A",IF(OR(DATE($B$3,8,18)&gt;EOMONTH(DATE($B$3,8,1),0),NETWORKDAYS.INTL(DATE($B$3,8,18),DATE($B$3,8,18),1,'Non-working days'!$A$6:$A$45)=0),"",IF(COUNTIFS('Leave log'!$A$7:$A$306,Employees!$A$18,'Leave log'!$B$7:$B$306,"&lt;="&amp;DATE($B$3,8,18),'Leave log'!$C$7:$C$306,"&gt;="&amp;DATE($B$3,8,18),'Leave log'!$F$7:$F$306,"Pending")&gt;0,"P",""))))</f>
        <v/>
      </c>
      <c r="T257" s="23" t="str">
        <f>IF(A257="","",IF(IF(OR(DATE($B$3,8,19)&gt;EOMONTH(DATE($B$3,8,1),0),NETWORKDAYS.INTL(DATE($B$3,8,19),DATE($B$3,8,19),1,'Non-working days'!$A$6:$A$45)=0),"",IF(COUNTIFS('Leave log'!$A$7:$A$306,Employees!$A$18,'Leave log'!$B$7:$B$306,"&lt;="&amp;DATE($B$3,8,19),'Leave log'!$C$7:$C$306,"&gt;="&amp;DATE($B$3,8,19),'Leave log'!$F$7:$F$306,"Approved")&gt;0,"A",""))="A","A",IF(OR(DATE($B$3,8,19)&gt;EOMONTH(DATE($B$3,8,1),0),NETWORKDAYS.INTL(DATE($B$3,8,19),DATE($B$3,8,19),1,'Non-working days'!$A$6:$A$45)=0),"",IF(COUNTIFS('Leave log'!$A$7:$A$306,Employees!$A$18,'Leave log'!$B$7:$B$306,"&lt;="&amp;DATE($B$3,8,19),'Leave log'!$C$7:$C$306,"&gt;="&amp;DATE($B$3,8,19),'Leave log'!$F$7:$F$306,"Pending")&gt;0,"P",""))))</f>
        <v/>
      </c>
      <c r="U257" s="23" t="str">
        <f>IF(A257="","",IF(IF(OR(DATE($B$3,8,20)&gt;EOMONTH(DATE($B$3,8,1),0),NETWORKDAYS.INTL(DATE($B$3,8,20),DATE($B$3,8,20),1,'Non-working days'!$A$6:$A$45)=0),"",IF(COUNTIFS('Leave log'!$A$7:$A$306,Employees!$A$18,'Leave log'!$B$7:$B$306,"&lt;="&amp;DATE($B$3,8,20),'Leave log'!$C$7:$C$306,"&gt;="&amp;DATE($B$3,8,20),'Leave log'!$F$7:$F$306,"Approved")&gt;0,"A",""))="A","A",IF(OR(DATE($B$3,8,20)&gt;EOMONTH(DATE($B$3,8,1),0),NETWORKDAYS.INTL(DATE($B$3,8,20),DATE($B$3,8,20),1,'Non-working days'!$A$6:$A$45)=0),"",IF(COUNTIFS('Leave log'!$A$7:$A$306,Employees!$A$18,'Leave log'!$B$7:$B$306,"&lt;="&amp;DATE($B$3,8,20),'Leave log'!$C$7:$C$306,"&gt;="&amp;DATE($B$3,8,20),'Leave log'!$F$7:$F$306,"Pending")&gt;0,"P",""))))</f>
        <v/>
      </c>
      <c r="V257" s="23" t="str">
        <f>IF(A257="","",IF(IF(OR(DATE($B$3,8,21)&gt;EOMONTH(DATE($B$3,8,1),0),NETWORKDAYS.INTL(DATE($B$3,8,21),DATE($B$3,8,21),1,'Non-working days'!$A$6:$A$45)=0),"",IF(COUNTIFS('Leave log'!$A$7:$A$306,Employees!$A$18,'Leave log'!$B$7:$B$306,"&lt;="&amp;DATE($B$3,8,21),'Leave log'!$C$7:$C$306,"&gt;="&amp;DATE($B$3,8,21),'Leave log'!$F$7:$F$306,"Approved")&gt;0,"A",""))="A","A",IF(OR(DATE($B$3,8,21)&gt;EOMONTH(DATE($B$3,8,1),0),NETWORKDAYS.INTL(DATE($B$3,8,21),DATE($B$3,8,21),1,'Non-working days'!$A$6:$A$45)=0),"",IF(COUNTIFS('Leave log'!$A$7:$A$306,Employees!$A$18,'Leave log'!$B$7:$B$306,"&lt;="&amp;DATE($B$3,8,21),'Leave log'!$C$7:$C$306,"&gt;="&amp;DATE($B$3,8,21),'Leave log'!$F$7:$F$306,"Pending")&gt;0,"P",""))))</f>
        <v/>
      </c>
      <c r="W257" s="23" t="str">
        <f>IF(A257="","",IF(IF(OR(DATE($B$3,8,22)&gt;EOMONTH(DATE($B$3,8,1),0),NETWORKDAYS.INTL(DATE($B$3,8,22),DATE($B$3,8,22),1,'Non-working days'!$A$6:$A$45)=0),"",IF(COUNTIFS('Leave log'!$A$7:$A$306,Employees!$A$18,'Leave log'!$B$7:$B$306,"&lt;="&amp;DATE($B$3,8,22),'Leave log'!$C$7:$C$306,"&gt;="&amp;DATE($B$3,8,22),'Leave log'!$F$7:$F$306,"Approved")&gt;0,"A",""))="A","A",IF(OR(DATE($B$3,8,22)&gt;EOMONTH(DATE($B$3,8,1),0),NETWORKDAYS.INTL(DATE($B$3,8,22),DATE($B$3,8,22),1,'Non-working days'!$A$6:$A$45)=0),"",IF(COUNTIFS('Leave log'!$A$7:$A$306,Employees!$A$18,'Leave log'!$B$7:$B$306,"&lt;="&amp;DATE($B$3,8,22),'Leave log'!$C$7:$C$306,"&gt;="&amp;DATE($B$3,8,22),'Leave log'!$F$7:$F$306,"Pending")&gt;0,"P",""))))</f>
        <v/>
      </c>
      <c r="X257" s="23" t="str">
        <f>IF(A257="","",IF(IF(OR(DATE($B$3,8,23)&gt;EOMONTH(DATE($B$3,8,1),0),NETWORKDAYS.INTL(DATE($B$3,8,23),DATE($B$3,8,23),1,'Non-working days'!$A$6:$A$45)=0),"",IF(COUNTIFS('Leave log'!$A$7:$A$306,Employees!$A$18,'Leave log'!$B$7:$B$306,"&lt;="&amp;DATE($B$3,8,23),'Leave log'!$C$7:$C$306,"&gt;="&amp;DATE($B$3,8,23),'Leave log'!$F$7:$F$306,"Approved")&gt;0,"A",""))="A","A",IF(OR(DATE($B$3,8,23)&gt;EOMONTH(DATE($B$3,8,1),0),NETWORKDAYS.INTL(DATE($B$3,8,23),DATE($B$3,8,23),1,'Non-working days'!$A$6:$A$45)=0),"",IF(COUNTIFS('Leave log'!$A$7:$A$306,Employees!$A$18,'Leave log'!$B$7:$B$306,"&lt;="&amp;DATE($B$3,8,23),'Leave log'!$C$7:$C$306,"&gt;="&amp;DATE($B$3,8,23),'Leave log'!$F$7:$F$306,"Pending")&gt;0,"P",""))))</f>
        <v/>
      </c>
      <c r="Y257" s="23" t="str">
        <f>IF(A257="","",IF(IF(OR(DATE($B$3,8,24)&gt;EOMONTH(DATE($B$3,8,1),0),NETWORKDAYS.INTL(DATE($B$3,8,24),DATE($B$3,8,24),1,'Non-working days'!$A$6:$A$45)=0),"",IF(COUNTIFS('Leave log'!$A$7:$A$306,Employees!$A$18,'Leave log'!$B$7:$B$306,"&lt;="&amp;DATE($B$3,8,24),'Leave log'!$C$7:$C$306,"&gt;="&amp;DATE($B$3,8,24),'Leave log'!$F$7:$F$306,"Approved")&gt;0,"A",""))="A","A",IF(OR(DATE($B$3,8,24)&gt;EOMONTH(DATE($B$3,8,1),0),NETWORKDAYS.INTL(DATE($B$3,8,24),DATE($B$3,8,24),1,'Non-working days'!$A$6:$A$45)=0),"",IF(COUNTIFS('Leave log'!$A$7:$A$306,Employees!$A$18,'Leave log'!$B$7:$B$306,"&lt;="&amp;DATE($B$3,8,24),'Leave log'!$C$7:$C$306,"&gt;="&amp;DATE($B$3,8,24),'Leave log'!$F$7:$F$306,"Pending")&gt;0,"P",""))))</f>
        <v/>
      </c>
      <c r="Z257" s="23" t="str">
        <f>IF(A257="","",IF(IF(OR(DATE($B$3,8,25)&gt;EOMONTH(DATE($B$3,8,1),0),NETWORKDAYS.INTL(DATE($B$3,8,25),DATE($B$3,8,25),1,'Non-working days'!$A$6:$A$45)=0),"",IF(COUNTIFS('Leave log'!$A$7:$A$306,Employees!$A$18,'Leave log'!$B$7:$B$306,"&lt;="&amp;DATE($B$3,8,25),'Leave log'!$C$7:$C$306,"&gt;="&amp;DATE($B$3,8,25),'Leave log'!$F$7:$F$306,"Approved")&gt;0,"A",""))="A","A",IF(OR(DATE($B$3,8,25)&gt;EOMONTH(DATE($B$3,8,1),0),NETWORKDAYS.INTL(DATE($B$3,8,25),DATE($B$3,8,25),1,'Non-working days'!$A$6:$A$45)=0),"",IF(COUNTIFS('Leave log'!$A$7:$A$306,Employees!$A$18,'Leave log'!$B$7:$B$306,"&lt;="&amp;DATE($B$3,8,25),'Leave log'!$C$7:$C$306,"&gt;="&amp;DATE($B$3,8,25),'Leave log'!$F$7:$F$306,"Pending")&gt;0,"P",""))))</f>
        <v/>
      </c>
      <c r="AA257" s="23" t="str">
        <f>IF(A257="","",IF(IF(OR(DATE($B$3,8,26)&gt;EOMONTH(DATE($B$3,8,1),0),NETWORKDAYS.INTL(DATE($B$3,8,26),DATE($B$3,8,26),1,'Non-working days'!$A$6:$A$45)=0),"",IF(COUNTIFS('Leave log'!$A$7:$A$306,Employees!$A$18,'Leave log'!$B$7:$B$306,"&lt;="&amp;DATE($B$3,8,26),'Leave log'!$C$7:$C$306,"&gt;="&amp;DATE($B$3,8,26),'Leave log'!$F$7:$F$306,"Approved")&gt;0,"A",""))="A","A",IF(OR(DATE($B$3,8,26)&gt;EOMONTH(DATE($B$3,8,1),0),NETWORKDAYS.INTL(DATE($B$3,8,26),DATE($B$3,8,26),1,'Non-working days'!$A$6:$A$45)=0),"",IF(COUNTIFS('Leave log'!$A$7:$A$306,Employees!$A$18,'Leave log'!$B$7:$B$306,"&lt;="&amp;DATE($B$3,8,26),'Leave log'!$C$7:$C$306,"&gt;="&amp;DATE($B$3,8,26),'Leave log'!$F$7:$F$306,"Pending")&gt;0,"P",""))))</f>
        <v/>
      </c>
      <c r="AB257" s="23" t="str">
        <f>IF(A257="","",IF(IF(OR(DATE($B$3,8,27)&gt;EOMONTH(DATE($B$3,8,1),0),NETWORKDAYS.INTL(DATE($B$3,8,27),DATE($B$3,8,27),1,'Non-working days'!$A$6:$A$45)=0),"",IF(COUNTIFS('Leave log'!$A$7:$A$306,Employees!$A$18,'Leave log'!$B$7:$B$306,"&lt;="&amp;DATE($B$3,8,27),'Leave log'!$C$7:$C$306,"&gt;="&amp;DATE($B$3,8,27),'Leave log'!$F$7:$F$306,"Approved")&gt;0,"A",""))="A","A",IF(OR(DATE($B$3,8,27)&gt;EOMONTH(DATE($B$3,8,1),0),NETWORKDAYS.INTL(DATE($B$3,8,27),DATE($B$3,8,27),1,'Non-working days'!$A$6:$A$45)=0),"",IF(COUNTIFS('Leave log'!$A$7:$A$306,Employees!$A$18,'Leave log'!$B$7:$B$306,"&lt;="&amp;DATE($B$3,8,27),'Leave log'!$C$7:$C$306,"&gt;="&amp;DATE($B$3,8,27),'Leave log'!$F$7:$F$306,"Pending")&gt;0,"P",""))))</f>
        <v/>
      </c>
      <c r="AC257" s="23" t="str">
        <f>IF(A257="","",IF(IF(OR(DATE($B$3,8,28)&gt;EOMONTH(DATE($B$3,8,1),0),NETWORKDAYS.INTL(DATE($B$3,8,28),DATE($B$3,8,28),1,'Non-working days'!$A$6:$A$45)=0),"",IF(COUNTIFS('Leave log'!$A$7:$A$306,Employees!$A$18,'Leave log'!$B$7:$B$306,"&lt;="&amp;DATE($B$3,8,28),'Leave log'!$C$7:$C$306,"&gt;="&amp;DATE($B$3,8,28),'Leave log'!$F$7:$F$306,"Approved")&gt;0,"A",""))="A","A",IF(OR(DATE($B$3,8,28)&gt;EOMONTH(DATE($B$3,8,1),0),NETWORKDAYS.INTL(DATE($B$3,8,28),DATE($B$3,8,28),1,'Non-working days'!$A$6:$A$45)=0),"",IF(COUNTIFS('Leave log'!$A$7:$A$306,Employees!$A$18,'Leave log'!$B$7:$B$306,"&lt;="&amp;DATE($B$3,8,28),'Leave log'!$C$7:$C$306,"&gt;="&amp;DATE($B$3,8,28),'Leave log'!$F$7:$F$306,"Pending")&gt;0,"P",""))))</f>
        <v/>
      </c>
      <c r="AD257" s="23" t="str">
        <f>IF(A257="","",IF(IF(OR(DATE($B$3,8,29)&gt;EOMONTH(DATE($B$3,8,1),0),NETWORKDAYS.INTL(DATE($B$3,8,29),DATE($B$3,8,29),1,'Non-working days'!$A$6:$A$45)=0),"",IF(COUNTIFS('Leave log'!$A$7:$A$306,Employees!$A$18,'Leave log'!$B$7:$B$306,"&lt;="&amp;DATE($B$3,8,29),'Leave log'!$C$7:$C$306,"&gt;="&amp;DATE($B$3,8,29),'Leave log'!$F$7:$F$306,"Approved")&gt;0,"A",""))="A","A",IF(OR(DATE($B$3,8,29)&gt;EOMONTH(DATE($B$3,8,1),0),NETWORKDAYS.INTL(DATE($B$3,8,29),DATE($B$3,8,29),1,'Non-working days'!$A$6:$A$45)=0),"",IF(COUNTIFS('Leave log'!$A$7:$A$306,Employees!$A$18,'Leave log'!$B$7:$B$306,"&lt;="&amp;DATE($B$3,8,29),'Leave log'!$C$7:$C$306,"&gt;="&amp;DATE($B$3,8,29),'Leave log'!$F$7:$F$306,"Pending")&gt;0,"P",""))))</f>
        <v/>
      </c>
      <c r="AE257" s="23" t="str">
        <f>IF(A257="","",IF(IF(OR(DATE($B$3,8,30)&gt;EOMONTH(DATE($B$3,8,1),0),NETWORKDAYS.INTL(DATE($B$3,8,30),DATE($B$3,8,30),1,'Non-working days'!$A$6:$A$45)=0),"",IF(COUNTIFS('Leave log'!$A$7:$A$306,Employees!$A$18,'Leave log'!$B$7:$B$306,"&lt;="&amp;DATE($B$3,8,30),'Leave log'!$C$7:$C$306,"&gt;="&amp;DATE($B$3,8,30),'Leave log'!$F$7:$F$306,"Approved")&gt;0,"A",""))="A","A",IF(OR(DATE($B$3,8,30)&gt;EOMONTH(DATE($B$3,8,1),0),NETWORKDAYS.INTL(DATE($B$3,8,30),DATE($B$3,8,30),1,'Non-working days'!$A$6:$A$45)=0),"",IF(COUNTIFS('Leave log'!$A$7:$A$306,Employees!$A$18,'Leave log'!$B$7:$B$306,"&lt;="&amp;DATE($B$3,8,30),'Leave log'!$C$7:$C$306,"&gt;="&amp;DATE($B$3,8,30),'Leave log'!$F$7:$F$306,"Pending")&gt;0,"P",""))))</f>
        <v/>
      </c>
      <c r="AF257" s="23" t="str">
        <f>IF(A257="","",IF(IF(OR(DATE($B$3,8,31)&gt;EOMONTH(DATE($B$3,8,1),0),NETWORKDAYS.INTL(DATE($B$3,8,31),DATE($B$3,8,31),1,'Non-working days'!$A$6:$A$45)=0),"",IF(COUNTIFS('Leave log'!$A$7:$A$306,Employees!$A$18,'Leave log'!$B$7:$B$306,"&lt;="&amp;DATE($B$3,8,31),'Leave log'!$C$7:$C$306,"&gt;="&amp;DATE($B$3,8,31),'Leave log'!$F$7:$F$306,"Approved")&gt;0,"A",""))="A","A",IF(OR(DATE($B$3,8,31)&gt;EOMONTH(DATE($B$3,8,1),0),NETWORKDAYS.INTL(DATE($B$3,8,31),DATE($B$3,8,31),1,'Non-working days'!$A$6:$A$45)=0),"",IF(COUNTIFS('Leave log'!$A$7:$A$306,Employees!$A$18,'Leave log'!$B$7:$B$306,"&lt;="&amp;DATE($B$3,8,31),'Leave log'!$C$7:$C$306,"&gt;="&amp;DATE($B$3,8,31),'Leave log'!$F$7:$F$306,"Pending")&gt;0,"P",""))))</f>
        <v/>
      </c>
    </row>
    <row r="258" spans="1:32" ht="18" customHeight="1" x14ac:dyDescent="0.3">
      <c r="A258" s="22" t="str">
        <f>IF(Employees!F19="Yes",Employees!B19,"")</f>
        <v/>
      </c>
      <c r="B258" s="23" t="str">
        <f>IF(A258="","",IF(IF(OR(DATE($B$3,8,1)&gt;EOMONTH(DATE($B$3,8,1),0),NETWORKDAYS.INTL(DATE($B$3,8,1),DATE($B$3,8,1),1,'Non-working days'!$A$6:$A$45)=0),"",IF(COUNTIFS('Leave log'!$A$7:$A$306,Employees!$A$19,'Leave log'!$B$7:$B$306,"&lt;="&amp;DATE($B$3,8,1),'Leave log'!$C$7:$C$306,"&gt;="&amp;DATE($B$3,8,1),'Leave log'!$F$7:$F$306,"Approved")&gt;0,"A",""))="A","A",IF(OR(DATE($B$3,8,1)&gt;EOMONTH(DATE($B$3,8,1),0),NETWORKDAYS.INTL(DATE($B$3,8,1),DATE($B$3,8,1),1,'Non-working days'!$A$6:$A$45)=0),"",IF(COUNTIFS('Leave log'!$A$7:$A$306,Employees!$A$19,'Leave log'!$B$7:$B$306,"&lt;="&amp;DATE($B$3,8,1),'Leave log'!$C$7:$C$306,"&gt;="&amp;DATE($B$3,8,1),'Leave log'!$F$7:$F$306,"Pending")&gt;0,"P",""))))</f>
        <v/>
      </c>
      <c r="C258" s="23" t="str">
        <f>IF(A258="","",IF(IF(OR(DATE($B$3,8,2)&gt;EOMONTH(DATE($B$3,8,1),0),NETWORKDAYS.INTL(DATE($B$3,8,2),DATE($B$3,8,2),1,'Non-working days'!$A$6:$A$45)=0),"",IF(COUNTIFS('Leave log'!$A$7:$A$306,Employees!$A$19,'Leave log'!$B$7:$B$306,"&lt;="&amp;DATE($B$3,8,2),'Leave log'!$C$7:$C$306,"&gt;="&amp;DATE($B$3,8,2),'Leave log'!$F$7:$F$306,"Approved")&gt;0,"A",""))="A","A",IF(OR(DATE($B$3,8,2)&gt;EOMONTH(DATE($B$3,8,1),0),NETWORKDAYS.INTL(DATE($B$3,8,2),DATE($B$3,8,2),1,'Non-working days'!$A$6:$A$45)=0),"",IF(COUNTIFS('Leave log'!$A$7:$A$306,Employees!$A$19,'Leave log'!$B$7:$B$306,"&lt;="&amp;DATE($B$3,8,2),'Leave log'!$C$7:$C$306,"&gt;="&amp;DATE($B$3,8,2),'Leave log'!$F$7:$F$306,"Pending")&gt;0,"P",""))))</f>
        <v/>
      </c>
      <c r="D258" s="23" t="str">
        <f>IF(A258="","",IF(IF(OR(DATE($B$3,8,3)&gt;EOMONTH(DATE($B$3,8,1),0),NETWORKDAYS.INTL(DATE($B$3,8,3),DATE($B$3,8,3),1,'Non-working days'!$A$6:$A$45)=0),"",IF(COUNTIFS('Leave log'!$A$7:$A$306,Employees!$A$19,'Leave log'!$B$7:$B$306,"&lt;="&amp;DATE($B$3,8,3),'Leave log'!$C$7:$C$306,"&gt;="&amp;DATE($B$3,8,3),'Leave log'!$F$7:$F$306,"Approved")&gt;0,"A",""))="A","A",IF(OR(DATE($B$3,8,3)&gt;EOMONTH(DATE($B$3,8,1),0),NETWORKDAYS.INTL(DATE($B$3,8,3),DATE($B$3,8,3),1,'Non-working days'!$A$6:$A$45)=0),"",IF(COUNTIFS('Leave log'!$A$7:$A$306,Employees!$A$19,'Leave log'!$B$7:$B$306,"&lt;="&amp;DATE($B$3,8,3),'Leave log'!$C$7:$C$306,"&gt;="&amp;DATE($B$3,8,3),'Leave log'!$F$7:$F$306,"Pending")&gt;0,"P",""))))</f>
        <v/>
      </c>
      <c r="E258" s="23" t="str">
        <f>IF(A258="","",IF(IF(OR(DATE($B$3,8,4)&gt;EOMONTH(DATE($B$3,8,1),0),NETWORKDAYS.INTL(DATE($B$3,8,4),DATE($B$3,8,4),1,'Non-working days'!$A$6:$A$45)=0),"",IF(COUNTIFS('Leave log'!$A$7:$A$306,Employees!$A$19,'Leave log'!$B$7:$B$306,"&lt;="&amp;DATE($B$3,8,4),'Leave log'!$C$7:$C$306,"&gt;="&amp;DATE($B$3,8,4),'Leave log'!$F$7:$F$306,"Approved")&gt;0,"A",""))="A","A",IF(OR(DATE($B$3,8,4)&gt;EOMONTH(DATE($B$3,8,1),0),NETWORKDAYS.INTL(DATE($B$3,8,4),DATE($B$3,8,4),1,'Non-working days'!$A$6:$A$45)=0),"",IF(COUNTIFS('Leave log'!$A$7:$A$306,Employees!$A$19,'Leave log'!$B$7:$B$306,"&lt;="&amp;DATE($B$3,8,4),'Leave log'!$C$7:$C$306,"&gt;="&amp;DATE($B$3,8,4),'Leave log'!$F$7:$F$306,"Pending")&gt;0,"P",""))))</f>
        <v/>
      </c>
      <c r="F258" s="23" t="str">
        <f>IF(A258="","",IF(IF(OR(DATE($B$3,8,5)&gt;EOMONTH(DATE($B$3,8,1),0),NETWORKDAYS.INTL(DATE($B$3,8,5),DATE($B$3,8,5),1,'Non-working days'!$A$6:$A$45)=0),"",IF(COUNTIFS('Leave log'!$A$7:$A$306,Employees!$A$19,'Leave log'!$B$7:$B$306,"&lt;="&amp;DATE($B$3,8,5),'Leave log'!$C$7:$C$306,"&gt;="&amp;DATE($B$3,8,5),'Leave log'!$F$7:$F$306,"Approved")&gt;0,"A",""))="A","A",IF(OR(DATE($B$3,8,5)&gt;EOMONTH(DATE($B$3,8,1),0),NETWORKDAYS.INTL(DATE($B$3,8,5),DATE($B$3,8,5),1,'Non-working days'!$A$6:$A$45)=0),"",IF(COUNTIFS('Leave log'!$A$7:$A$306,Employees!$A$19,'Leave log'!$B$7:$B$306,"&lt;="&amp;DATE($B$3,8,5),'Leave log'!$C$7:$C$306,"&gt;="&amp;DATE($B$3,8,5),'Leave log'!$F$7:$F$306,"Pending")&gt;0,"P",""))))</f>
        <v/>
      </c>
      <c r="G258" s="23" t="str">
        <f>IF(A258="","",IF(IF(OR(DATE($B$3,8,6)&gt;EOMONTH(DATE($B$3,8,1),0),NETWORKDAYS.INTL(DATE($B$3,8,6),DATE($B$3,8,6),1,'Non-working days'!$A$6:$A$45)=0),"",IF(COUNTIFS('Leave log'!$A$7:$A$306,Employees!$A$19,'Leave log'!$B$7:$B$306,"&lt;="&amp;DATE($B$3,8,6),'Leave log'!$C$7:$C$306,"&gt;="&amp;DATE($B$3,8,6),'Leave log'!$F$7:$F$306,"Approved")&gt;0,"A",""))="A","A",IF(OR(DATE($B$3,8,6)&gt;EOMONTH(DATE($B$3,8,1),0),NETWORKDAYS.INTL(DATE($B$3,8,6),DATE($B$3,8,6),1,'Non-working days'!$A$6:$A$45)=0),"",IF(COUNTIFS('Leave log'!$A$7:$A$306,Employees!$A$19,'Leave log'!$B$7:$B$306,"&lt;="&amp;DATE($B$3,8,6),'Leave log'!$C$7:$C$306,"&gt;="&amp;DATE($B$3,8,6),'Leave log'!$F$7:$F$306,"Pending")&gt;0,"P",""))))</f>
        <v/>
      </c>
      <c r="H258" s="23" t="str">
        <f>IF(A258="","",IF(IF(OR(DATE($B$3,8,7)&gt;EOMONTH(DATE($B$3,8,1),0),NETWORKDAYS.INTL(DATE($B$3,8,7),DATE($B$3,8,7),1,'Non-working days'!$A$6:$A$45)=0),"",IF(COUNTIFS('Leave log'!$A$7:$A$306,Employees!$A$19,'Leave log'!$B$7:$B$306,"&lt;="&amp;DATE($B$3,8,7),'Leave log'!$C$7:$C$306,"&gt;="&amp;DATE($B$3,8,7),'Leave log'!$F$7:$F$306,"Approved")&gt;0,"A",""))="A","A",IF(OR(DATE($B$3,8,7)&gt;EOMONTH(DATE($B$3,8,1),0),NETWORKDAYS.INTL(DATE($B$3,8,7),DATE($B$3,8,7),1,'Non-working days'!$A$6:$A$45)=0),"",IF(COUNTIFS('Leave log'!$A$7:$A$306,Employees!$A$19,'Leave log'!$B$7:$B$306,"&lt;="&amp;DATE($B$3,8,7),'Leave log'!$C$7:$C$306,"&gt;="&amp;DATE($B$3,8,7),'Leave log'!$F$7:$F$306,"Pending")&gt;0,"P",""))))</f>
        <v/>
      </c>
      <c r="I258" s="23" t="str">
        <f>IF(A258="","",IF(IF(OR(DATE($B$3,8,8)&gt;EOMONTH(DATE($B$3,8,1),0),NETWORKDAYS.INTL(DATE($B$3,8,8),DATE($B$3,8,8),1,'Non-working days'!$A$6:$A$45)=0),"",IF(COUNTIFS('Leave log'!$A$7:$A$306,Employees!$A$19,'Leave log'!$B$7:$B$306,"&lt;="&amp;DATE($B$3,8,8),'Leave log'!$C$7:$C$306,"&gt;="&amp;DATE($B$3,8,8),'Leave log'!$F$7:$F$306,"Approved")&gt;0,"A",""))="A","A",IF(OR(DATE($B$3,8,8)&gt;EOMONTH(DATE($B$3,8,1),0),NETWORKDAYS.INTL(DATE($B$3,8,8),DATE($B$3,8,8),1,'Non-working days'!$A$6:$A$45)=0),"",IF(COUNTIFS('Leave log'!$A$7:$A$306,Employees!$A$19,'Leave log'!$B$7:$B$306,"&lt;="&amp;DATE($B$3,8,8),'Leave log'!$C$7:$C$306,"&gt;="&amp;DATE($B$3,8,8),'Leave log'!$F$7:$F$306,"Pending")&gt;0,"P",""))))</f>
        <v/>
      </c>
      <c r="J258" s="23" t="str">
        <f>IF(A258="","",IF(IF(OR(DATE($B$3,8,9)&gt;EOMONTH(DATE($B$3,8,1),0),NETWORKDAYS.INTL(DATE($B$3,8,9),DATE($B$3,8,9),1,'Non-working days'!$A$6:$A$45)=0),"",IF(COUNTIFS('Leave log'!$A$7:$A$306,Employees!$A$19,'Leave log'!$B$7:$B$306,"&lt;="&amp;DATE($B$3,8,9),'Leave log'!$C$7:$C$306,"&gt;="&amp;DATE($B$3,8,9),'Leave log'!$F$7:$F$306,"Approved")&gt;0,"A",""))="A","A",IF(OR(DATE($B$3,8,9)&gt;EOMONTH(DATE($B$3,8,1),0),NETWORKDAYS.INTL(DATE($B$3,8,9),DATE($B$3,8,9),1,'Non-working days'!$A$6:$A$45)=0),"",IF(COUNTIFS('Leave log'!$A$7:$A$306,Employees!$A$19,'Leave log'!$B$7:$B$306,"&lt;="&amp;DATE($B$3,8,9),'Leave log'!$C$7:$C$306,"&gt;="&amp;DATE($B$3,8,9),'Leave log'!$F$7:$F$306,"Pending")&gt;0,"P",""))))</f>
        <v/>
      </c>
      <c r="K258" s="23" t="str">
        <f>IF(A258="","",IF(IF(OR(DATE($B$3,8,10)&gt;EOMONTH(DATE($B$3,8,1),0),NETWORKDAYS.INTL(DATE($B$3,8,10),DATE($B$3,8,10),1,'Non-working days'!$A$6:$A$45)=0),"",IF(COUNTIFS('Leave log'!$A$7:$A$306,Employees!$A$19,'Leave log'!$B$7:$B$306,"&lt;="&amp;DATE($B$3,8,10),'Leave log'!$C$7:$C$306,"&gt;="&amp;DATE($B$3,8,10),'Leave log'!$F$7:$F$306,"Approved")&gt;0,"A",""))="A","A",IF(OR(DATE($B$3,8,10)&gt;EOMONTH(DATE($B$3,8,1),0),NETWORKDAYS.INTL(DATE($B$3,8,10),DATE($B$3,8,10),1,'Non-working days'!$A$6:$A$45)=0),"",IF(COUNTIFS('Leave log'!$A$7:$A$306,Employees!$A$19,'Leave log'!$B$7:$B$306,"&lt;="&amp;DATE($B$3,8,10),'Leave log'!$C$7:$C$306,"&gt;="&amp;DATE($B$3,8,10),'Leave log'!$F$7:$F$306,"Pending")&gt;0,"P",""))))</f>
        <v/>
      </c>
      <c r="L258" s="23" t="str">
        <f>IF(A258="","",IF(IF(OR(DATE($B$3,8,11)&gt;EOMONTH(DATE($B$3,8,1),0),NETWORKDAYS.INTL(DATE($B$3,8,11),DATE($B$3,8,11),1,'Non-working days'!$A$6:$A$45)=0),"",IF(COUNTIFS('Leave log'!$A$7:$A$306,Employees!$A$19,'Leave log'!$B$7:$B$306,"&lt;="&amp;DATE($B$3,8,11),'Leave log'!$C$7:$C$306,"&gt;="&amp;DATE($B$3,8,11),'Leave log'!$F$7:$F$306,"Approved")&gt;0,"A",""))="A","A",IF(OR(DATE($B$3,8,11)&gt;EOMONTH(DATE($B$3,8,1),0),NETWORKDAYS.INTL(DATE($B$3,8,11),DATE($B$3,8,11),1,'Non-working days'!$A$6:$A$45)=0),"",IF(COUNTIFS('Leave log'!$A$7:$A$306,Employees!$A$19,'Leave log'!$B$7:$B$306,"&lt;="&amp;DATE($B$3,8,11),'Leave log'!$C$7:$C$306,"&gt;="&amp;DATE($B$3,8,11),'Leave log'!$F$7:$F$306,"Pending")&gt;0,"P",""))))</f>
        <v/>
      </c>
      <c r="M258" s="23" t="str">
        <f>IF(A258="","",IF(IF(OR(DATE($B$3,8,12)&gt;EOMONTH(DATE($B$3,8,1),0),NETWORKDAYS.INTL(DATE($B$3,8,12),DATE($B$3,8,12),1,'Non-working days'!$A$6:$A$45)=0),"",IF(COUNTIFS('Leave log'!$A$7:$A$306,Employees!$A$19,'Leave log'!$B$7:$B$306,"&lt;="&amp;DATE($B$3,8,12),'Leave log'!$C$7:$C$306,"&gt;="&amp;DATE($B$3,8,12),'Leave log'!$F$7:$F$306,"Approved")&gt;0,"A",""))="A","A",IF(OR(DATE($B$3,8,12)&gt;EOMONTH(DATE($B$3,8,1),0),NETWORKDAYS.INTL(DATE($B$3,8,12),DATE($B$3,8,12),1,'Non-working days'!$A$6:$A$45)=0),"",IF(COUNTIFS('Leave log'!$A$7:$A$306,Employees!$A$19,'Leave log'!$B$7:$B$306,"&lt;="&amp;DATE($B$3,8,12),'Leave log'!$C$7:$C$306,"&gt;="&amp;DATE($B$3,8,12),'Leave log'!$F$7:$F$306,"Pending")&gt;0,"P",""))))</f>
        <v/>
      </c>
      <c r="N258" s="23" t="str">
        <f>IF(A258="","",IF(IF(OR(DATE($B$3,8,13)&gt;EOMONTH(DATE($B$3,8,1),0),NETWORKDAYS.INTL(DATE($B$3,8,13),DATE($B$3,8,13),1,'Non-working days'!$A$6:$A$45)=0),"",IF(COUNTIFS('Leave log'!$A$7:$A$306,Employees!$A$19,'Leave log'!$B$7:$B$306,"&lt;="&amp;DATE($B$3,8,13),'Leave log'!$C$7:$C$306,"&gt;="&amp;DATE($B$3,8,13),'Leave log'!$F$7:$F$306,"Approved")&gt;0,"A",""))="A","A",IF(OR(DATE($B$3,8,13)&gt;EOMONTH(DATE($B$3,8,1),0),NETWORKDAYS.INTL(DATE($B$3,8,13),DATE($B$3,8,13),1,'Non-working days'!$A$6:$A$45)=0),"",IF(COUNTIFS('Leave log'!$A$7:$A$306,Employees!$A$19,'Leave log'!$B$7:$B$306,"&lt;="&amp;DATE($B$3,8,13),'Leave log'!$C$7:$C$306,"&gt;="&amp;DATE($B$3,8,13),'Leave log'!$F$7:$F$306,"Pending")&gt;0,"P",""))))</f>
        <v/>
      </c>
      <c r="O258" s="23" t="str">
        <f>IF(A258="","",IF(IF(OR(DATE($B$3,8,14)&gt;EOMONTH(DATE($B$3,8,1),0),NETWORKDAYS.INTL(DATE($B$3,8,14),DATE($B$3,8,14),1,'Non-working days'!$A$6:$A$45)=0),"",IF(COUNTIFS('Leave log'!$A$7:$A$306,Employees!$A$19,'Leave log'!$B$7:$B$306,"&lt;="&amp;DATE($B$3,8,14),'Leave log'!$C$7:$C$306,"&gt;="&amp;DATE($B$3,8,14),'Leave log'!$F$7:$F$306,"Approved")&gt;0,"A",""))="A","A",IF(OR(DATE($B$3,8,14)&gt;EOMONTH(DATE($B$3,8,1),0),NETWORKDAYS.INTL(DATE($B$3,8,14),DATE($B$3,8,14),1,'Non-working days'!$A$6:$A$45)=0),"",IF(COUNTIFS('Leave log'!$A$7:$A$306,Employees!$A$19,'Leave log'!$B$7:$B$306,"&lt;="&amp;DATE($B$3,8,14),'Leave log'!$C$7:$C$306,"&gt;="&amp;DATE($B$3,8,14),'Leave log'!$F$7:$F$306,"Pending")&gt;0,"P",""))))</f>
        <v/>
      </c>
      <c r="P258" s="23" t="str">
        <f>IF(A258="","",IF(IF(OR(DATE($B$3,8,15)&gt;EOMONTH(DATE($B$3,8,1),0),NETWORKDAYS.INTL(DATE($B$3,8,15),DATE($B$3,8,15),1,'Non-working days'!$A$6:$A$45)=0),"",IF(COUNTIFS('Leave log'!$A$7:$A$306,Employees!$A$19,'Leave log'!$B$7:$B$306,"&lt;="&amp;DATE($B$3,8,15),'Leave log'!$C$7:$C$306,"&gt;="&amp;DATE($B$3,8,15),'Leave log'!$F$7:$F$306,"Approved")&gt;0,"A",""))="A","A",IF(OR(DATE($B$3,8,15)&gt;EOMONTH(DATE($B$3,8,1),0),NETWORKDAYS.INTL(DATE($B$3,8,15),DATE($B$3,8,15),1,'Non-working days'!$A$6:$A$45)=0),"",IF(COUNTIFS('Leave log'!$A$7:$A$306,Employees!$A$19,'Leave log'!$B$7:$B$306,"&lt;="&amp;DATE($B$3,8,15),'Leave log'!$C$7:$C$306,"&gt;="&amp;DATE($B$3,8,15),'Leave log'!$F$7:$F$306,"Pending")&gt;0,"P",""))))</f>
        <v/>
      </c>
      <c r="Q258" s="23" t="str">
        <f>IF(A258="","",IF(IF(OR(DATE($B$3,8,16)&gt;EOMONTH(DATE($B$3,8,1),0),NETWORKDAYS.INTL(DATE($B$3,8,16),DATE($B$3,8,16),1,'Non-working days'!$A$6:$A$45)=0),"",IF(COUNTIFS('Leave log'!$A$7:$A$306,Employees!$A$19,'Leave log'!$B$7:$B$306,"&lt;="&amp;DATE($B$3,8,16),'Leave log'!$C$7:$C$306,"&gt;="&amp;DATE($B$3,8,16),'Leave log'!$F$7:$F$306,"Approved")&gt;0,"A",""))="A","A",IF(OR(DATE($B$3,8,16)&gt;EOMONTH(DATE($B$3,8,1),0),NETWORKDAYS.INTL(DATE($B$3,8,16),DATE($B$3,8,16),1,'Non-working days'!$A$6:$A$45)=0),"",IF(COUNTIFS('Leave log'!$A$7:$A$306,Employees!$A$19,'Leave log'!$B$7:$B$306,"&lt;="&amp;DATE($B$3,8,16),'Leave log'!$C$7:$C$306,"&gt;="&amp;DATE($B$3,8,16),'Leave log'!$F$7:$F$306,"Pending")&gt;0,"P",""))))</f>
        <v/>
      </c>
      <c r="R258" s="23" t="str">
        <f>IF(A258="","",IF(IF(OR(DATE($B$3,8,17)&gt;EOMONTH(DATE($B$3,8,1),0),NETWORKDAYS.INTL(DATE($B$3,8,17),DATE($B$3,8,17),1,'Non-working days'!$A$6:$A$45)=0),"",IF(COUNTIFS('Leave log'!$A$7:$A$306,Employees!$A$19,'Leave log'!$B$7:$B$306,"&lt;="&amp;DATE($B$3,8,17),'Leave log'!$C$7:$C$306,"&gt;="&amp;DATE($B$3,8,17),'Leave log'!$F$7:$F$306,"Approved")&gt;0,"A",""))="A","A",IF(OR(DATE($B$3,8,17)&gt;EOMONTH(DATE($B$3,8,1),0),NETWORKDAYS.INTL(DATE($B$3,8,17),DATE($B$3,8,17),1,'Non-working days'!$A$6:$A$45)=0),"",IF(COUNTIFS('Leave log'!$A$7:$A$306,Employees!$A$19,'Leave log'!$B$7:$B$306,"&lt;="&amp;DATE($B$3,8,17),'Leave log'!$C$7:$C$306,"&gt;="&amp;DATE($B$3,8,17),'Leave log'!$F$7:$F$306,"Pending")&gt;0,"P",""))))</f>
        <v/>
      </c>
      <c r="S258" s="23" t="str">
        <f>IF(A258="","",IF(IF(OR(DATE($B$3,8,18)&gt;EOMONTH(DATE($B$3,8,1),0),NETWORKDAYS.INTL(DATE($B$3,8,18),DATE($B$3,8,18),1,'Non-working days'!$A$6:$A$45)=0),"",IF(COUNTIFS('Leave log'!$A$7:$A$306,Employees!$A$19,'Leave log'!$B$7:$B$306,"&lt;="&amp;DATE($B$3,8,18),'Leave log'!$C$7:$C$306,"&gt;="&amp;DATE($B$3,8,18),'Leave log'!$F$7:$F$306,"Approved")&gt;0,"A",""))="A","A",IF(OR(DATE($B$3,8,18)&gt;EOMONTH(DATE($B$3,8,1),0),NETWORKDAYS.INTL(DATE($B$3,8,18),DATE($B$3,8,18),1,'Non-working days'!$A$6:$A$45)=0),"",IF(COUNTIFS('Leave log'!$A$7:$A$306,Employees!$A$19,'Leave log'!$B$7:$B$306,"&lt;="&amp;DATE($B$3,8,18),'Leave log'!$C$7:$C$306,"&gt;="&amp;DATE($B$3,8,18),'Leave log'!$F$7:$F$306,"Pending")&gt;0,"P",""))))</f>
        <v/>
      </c>
      <c r="T258" s="23" t="str">
        <f>IF(A258="","",IF(IF(OR(DATE($B$3,8,19)&gt;EOMONTH(DATE($B$3,8,1),0),NETWORKDAYS.INTL(DATE($B$3,8,19),DATE($B$3,8,19),1,'Non-working days'!$A$6:$A$45)=0),"",IF(COUNTIFS('Leave log'!$A$7:$A$306,Employees!$A$19,'Leave log'!$B$7:$B$306,"&lt;="&amp;DATE($B$3,8,19),'Leave log'!$C$7:$C$306,"&gt;="&amp;DATE($B$3,8,19),'Leave log'!$F$7:$F$306,"Approved")&gt;0,"A",""))="A","A",IF(OR(DATE($B$3,8,19)&gt;EOMONTH(DATE($B$3,8,1),0),NETWORKDAYS.INTL(DATE($B$3,8,19),DATE($B$3,8,19),1,'Non-working days'!$A$6:$A$45)=0),"",IF(COUNTIFS('Leave log'!$A$7:$A$306,Employees!$A$19,'Leave log'!$B$7:$B$306,"&lt;="&amp;DATE($B$3,8,19),'Leave log'!$C$7:$C$306,"&gt;="&amp;DATE($B$3,8,19),'Leave log'!$F$7:$F$306,"Pending")&gt;0,"P",""))))</f>
        <v/>
      </c>
      <c r="U258" s="23" t="str">
        <f>IF(A258="","",IF(IF(OR(DATE($B$3,8,20)&gt;EOMONTH(DATE($B$3,8,1),0),NETWORKDAYS.INTL(DATE($B$3,8,20),DATE($B$3,8,20),1,'Non-working days'!$A$6:$A$45)=0),"",IF(COUNTIFS('Leave log'!$A$7:$A$306,Employees!$A$19,'Leave log'!$B$7:$B$306,"&lt;="&amp;DATE($B$3,8,20),'Leave log'!$C$7:$C$306,"&gt;="&amp;DATE($B$3,8,20),'Leave log'!$F$7:$F$306,"Approved")&gt;0,"A",""))="A","A",IF(OR(DATE($B$3,8,20)&gt;EOMONTH(DATE($B$3,8,1),0),NETWORKDAYS.INTL(DATE($B$3,8,20),DATE($B$3,8,20),1,'Non-working days'!$A$6:$A$45)=0),"",IF(COUNTIFS('Leave log'!$A$7:$A$306,Employees!$A$19,'Leave log'!$B$7:$B$306,"&lt;="&amp;DATE($B$3,8,20),'Leave log'!$C$7:$C$306,"&gt;="&amp;DATE($B$3,8,20),'Leave log'!$F$7:$F$306,"Pending")&gt;0,"P",""))))</f>
        <v/>
      </c>
      <c r="V258" s="23" t="str">
        <f>IF(A258="","",IF(IF(OR(DATE($B$3,8,21)&gt;EOMONTH(DATE($B$3,8,1),0),NETWORKDAYS.INTL(DATE($B$3,8,21),DATE($B$3,8,21),1,'Non-working days'!$A$6:$A$45)=0),"",IF(COUNTIFS('Leave log'!$A$7:$A$306,Employees!$A$19,'Leave log'!$B$7:$B$306,"&lt;="&amp;DATE($B$3,8,21),'Leave log'!$C$7:$C$306,"&gt;="&amp;DATE($B$3,8,21),'Leave log'!$F$7:$F$306,"Approved")&gt;0,"A",""))="A","A",IF(OR(DATE($B$3,8,21)&gt;EOMONTH(DATE($B$3,8,1),0),NETWORKDAYS.INTL(DATE($B$3,8,21),DATE($B$3,8,21),1,'Non-working days'!$A$6:$A$45)=0),"",IF(COUNTIFS('Leave log'!$A$7:$A$306,Employees!$A$19,'Leave log'!$B$7:$B$306,"&lt;="&amp;DATE($B$3,8,21),'Leave log'!$C$7:$C$306,"&gt;="&amp;DATE($B$3,8,21),'Leave log'!$F$7:$F$306,"Pending")&gt;0,"P",""))))</f>
        <v/>
      </c>
      <c r="W258" s="23" t="str">
        <f>IF(A258="","",IF(IF(OR(DATE($B$3,8,22)&gt;EOMONTH(DATE($B$3,8,1),0),NETWORKDAYS.INTL(DATE($B$3,8,22),DATE($B$3,8,22),1,'Non-working days'!$A$6:$A$45)=0),"",IF(COUNTIFS('Leave log'!$A$7:$A$306,Employees!$A$19,'Leave log'!$B$7:$B$306,"&lt;="&amp;DATE($B$3,8,22),'Leave log'!$C$7:$C$306,"&gt;="&amp;DATE($B$3,8,22),'Leave log'!$F$7:$F$306,"Approved")&gt;0,"A",""))="A","A",IF(OR(DATE($B$3,8,22)&gt;EOMONTH(DATE($B$3,8,1),0),NETWORKDAYS.INTL(DATE($B$3,8,22),DATE($B$3,8,22),1,'Non-working days'!$A$6:$A$45)=0),"",IF(COUNTIFS('Leave log'!$A$7:$A$306,Employees!$A$19,'Leave log'!$B$7:$B$306,"&lt;="&amp;DATE($B$3,8,22),'Leave log'!$C$7:$C$306,"&gt;="&amp;DATE($B$3,8,22),'Leave log'!$F$7:$F$306,"Pending")&gt;0,"P",""))))</f>
        <v/>
      </c>
      <c r="X258" s="23" t="str">
        <f>IF(A258="","",IF(IF(OR(DATE($B$3,8,23)&gt;EOMONTH(DATE($B$3,8,1),0),NETWORKDAYS.INTL(DATE($B$3,8,23),DATE($B$3,8,23),1,'Non-working days'!$A$6:$A$45)=0),"",IF(COUNTIFS('Leave log'!$A$7:$A$306,Employees!$A$19,'Leave log'!$B$7:$B$306,"&lt;="&amp;DATE($B$3,8,23),'Leave log'!$C$7:$C$306,"&gt;="&amp;DATE($B$3,8,23),'Leave log'!$F$7:$F$306,"Approved")&gt;0,"A",""))="A","A",IF(OR(DATE($B$3,8,23)&gt;EOMONTH(DATE($B$3,8,1),0),NETWORKDAYS.INTL(DATE($B$3,8,23),DATE($B$3,8,23),1,'Non-working days'!$A$6:$A$45)=0),"",IF(COUNTIFS('Leave log'!$A$7:$A$306,Employees!$A$19,'Leave log'!$B$7:$B$306,"&lt;="&amp;DATE($B$3,8,23),'Leave log'!$C$7:$C$306,"&gt;="&amp;DATE($B$3,8,23),'Leave log'!$F$7:$F$306,"Pending")&gt;0,"P",""))))</f>
        <v/>
      </c>
      <c r="Y258" s="23" t="str">
        <f>IF(A258="","",IF(IF(OR(DATE($B$3,8,24)&gt;EOMONTH(DATE($B$3,8,1),0),NETWORKDAYS.INTL(DATE($B$3,8,24),DATE($B$3,8,24),1,'Non-working days'!$A$6:$A$45)=0),"",IF(COUNTIFS('Leave log'!$A$7:$A$306,Employees!$A$19,'Leave log'!$B$7:$B$306,"&lt;="&amp;DATE($B$3,8,24),'Leave log'!$C$7:$C$306,"&gt;="&amp;DATE($B$3,8,24),'Leave log'!$F$7:$F$306,"Approved")&gt;0,"A",""))="A","A",IF(OR(DATE($B$3,8,24)&gt;EOMONTH(DATE($B$3,8,1),0),NETWORKDAYS.INTL(DATE($B$3,8,24),DATE($B$3,8,24),1,'Non-working days'!$A$6:$A$45)=0),"",IF(COUNTIFS('Leave log'!$A$7:$A$306,Employees!$A$19,'Leave log'!$B$7:$B$306,"&lt;="&amp;DATE($B$3,8,24),'Leave log'!$C$7:$C$306,"&gt;="&amp;DATE($B$3,8,24),'Leave log'!$F$7:$F$306,"Pending")&gt;0,"P",""))))</f>
        <v/>
      </c>
      <c r="Z258" s="23" t="str">
        <f>IF(A258="","",IF(IF(OR(DATE($B$3,8,25)&gt;EOMONTH(DATE($B$3,8,1),0),NETWORKDAYS.INTL(DATE($B$3,8,25),DATE($B$3,8,25),1,'Non-working days'!$A$6:$A$45)=0),"",IF(COUNTIFS('Leave log'!$A$7:$A$306,Employees!$A$19,'Leave log'!$B$7:$B$306,"&lt;="&amp;DATE($B$3,8,25),'Leave log'!$C$7:$C$306,"&gt;="&amp;DATE($B$3,8,25),'Leave log'!$F$7:$F$306,"Approved")&gt;0,"A",""))="A","A",IF(OR(DATE($B$3,8,25)&gt;EOMONTH(DATE($B$3,8,1),0),NETWORKDAYS.INTL(DATE($B$3,8,25),DATE($B$3,8,25),1,'Non-working days'!$A$6:$A$45)=0),"",IF(COUNTIFS('Leave log'!$A$7:$A$306,Employees!$A$19,'Leave log'!$B$7:$B$306,"&lt;="&amp;DATE($B$3,8,25),'Leave log'!$C$7:$C$306,"&gt;="&amp;DATE($B$3,8,25),'Leave log'!$F$7:$F$306,"Pending")&gt;0,"P",""))))</f>
        <v/>
      </c>
      <c r="AA258" s="23" t="str">
        <f>IF(A258="","",IF(IF(OR(DATE($B$3,8,26)&gt;EOMONTH(DATE($B$3,8,1),0),NETWORKDAYS.INTL(DATE($B$3,8,26),DATE($B$3,8,26),1,'Non-working days'!$A$6:$A$45)=0),"",IF(COUNTIFS('Leave log'!$A$7:$A$306,Employees!$A$19,'Leave log'!$B$7:$B$306,"&lt;="&amp;DATE($B$3,8,26),'Leave log'!$C$7:$C$306,"&gt;="&amp;DATE($B$3,8,26),'Leave log'!$F$7:$F$306,"Approved")&gt;0,"A",""))="A","A",IF(OR(DATE($B$3,8,26)&gt;EOMONTH(DATE($B$3,8,1),0),NETWORKDAYS.INTL(DATE($B$3,8,26),DATE($B$3,8,26),1,'Non-working days'!$A$6:$A$45)=0),"",IF(COUNTIFS('Leave log'!$A$7:$A$306,Employees!$A$19,'Leave log'!$B$7:$B$306,"&lt;="&amp;DATE($B$3,8,26),'Leave log'!$C$7:$C$306,"&gt;="&amp;DATE($B$3,8,26),'Leave log'!$F$7:$F$306,"Pending")&gt;0,"P",""))))</f>
        <v/>
      </c>
      <c r="AB258" s="23" t="str">
        <f>IF(A258="","",IF(IF(OR(DATE($B$3,8,27)&gt;EOMONTH(DATE($B$3,8,1),0),NETWORKDAYS.INTL(DATE($B$3,8,27),DATE($B$3,8,27),1,'Non-working days'!$A$6:$A$45)=0),"",IF(COUNTIFS('Leave log'!$A$7:$A$306,Employees!$A$19,'Leave log'!$B$7:$B$306,"&lt;="&amp;DATE($B$3,8,27),'Leave log'!$C$7:$C$306,"&gt;="&amp;DATE($B$3,8,27),'Leave log'!$F$7:$F$306,"Approved")&gt;0,"A",""))="A","A",IF(OR(DATE($B$3,8,27)&gt;EOMONTH(DATE($B$3,8,1),0),NETWORKDAYS.INTL(DATE($B$3,8,27),DATE($B$3,8,27),1,'Non-working days'!$A$6:$A$45)=0),"",IF(COUNTIFS('Leave log'!$A$7:$A$306,Employees!$A$19,'Leave log'!$B$7:$B$306,"&lt;="&amp;DATE($B$3,8,27),'Leave log'!$C$7:$C$306,"&gt;="&amp;DATE($B$3,8,27),'Leave log'!$F$7:$F$306,"Pending")&gt;0,"P",""))))</f>
        <v/>
      </c>
      <c r="AC258" s="23" t="str">
        <f>IF(A258="","",IF(IF(OR(DATE($B$3,8,28)&gt;EOMONTH(DATE($B$3,8,1),0),NETWORKDAYS.INTL(DATE($B$3,8,28),DATE($B$3,8,28),1,'Non-working days'!$A$6:$A$45)=0),"",IF(COUNTIFS('Leave log'!$A$7:$A$306,Employees!$A$19,'Leave log'!$B$7:$B$306,"&lt;="&amp;DATE($B$3,8,28),'Leave log'!$C$7:$C$306,"&gt;="&amp;DATE($B$3,8,28),'Leave log'!$F$7:$F$306,"Approved")&gt;0,"A",""))="A","A",IF(OR(DATE($B$3,8,28)&gt;EOMONTH(DATE($B$3,8,1),0),NETWORKDAYS.INTL(DATE($B$3,8,28),DATE($B$3,8,28),1,'Non-working days'!$A$6:$A$45)=0),"",IF(COUNTIFS('Leave log'!$A$7:$A$306,Employees!$A$19,'Leave log'!$B$7:$B$306,"&lt;="&amp;DATE($B$3,8,28),'Leave log'!$C$7:$C$306,"&gt;="&amp;DATE($B$3,8,28),'Leave log'!$F$7:$F$306,"Pending")&gt;0,"P",""))))</f>
        <v/>
      </c>
      <c r="AD258" s="23" t="str">
        <f>IF(A258="","",IF(IF(OR(DATE($B$3,8,29)&gt;EOMONTH(DATE($B$3,8,1),0),NETWORKDAYS.INTL(DATE($B$3,8,29),DATE($B$3,8,29),1,'Non-working days'!$A$6:$A$45)=0),"",IF(COUNTIFS('Leave log'!$A$7:$A$306,Employees!$A$19,'Leave log'!$B$7:$B$306,"&lt;="&amp;DATE($B$3,8,29),'Leave log'!$C$7:$C$306,"&gt;="&amp;DATE($B$3,8,29),'Leave log'!$F$7:$F$306,"Approved")&gt;0,"A",""))="A","A",IF(OR(DATE($B$3,8,29)&gt;EOMONTH(DATE($B$3,8,1),0),NETWORKDAYS.INTL(DATE($B$3,8,29),DATE($B$3,8,29),1,'Non-working days'!$A$6:$A$45)=0),"",IF(COUNTIFS('Leave log'!$A$7:$A$306,Employees!$A$19,'Leave log'!$B$7:$B$306,"&lt;="&amp;DATE($B$3,8,29),'Leave log'!$C$7:$C$306,"&gt;="&amp;DATE($B$3,8,29),'Leave log'!$F$7:$F$306,"Pending")&gt;0,"P",""))))</f>
        <v/>
      </c>
      <c r="AE258" s="23" t="str">
        <f>IF(A258="","",IF(IF(OR(DATE($B$3,8,30)&gt;EOMONTH(DATE($B$3,8,1),0),NETWORKDAYS.INTL(DATE($B$3,8,30),DATE($B$3,8,30),1,'Non-working days'!$A$6:$A$45)=0),"",IF(COUNTIFS('Leave log'!$A$7:$A$306,Employees!$A$19,'Leave log'!$B$7:$B$306,"&lt;="&amp;DATE($B$3,8,30),'Leave log'!$C$7:$C$306,"&gt;="&amp;DATE($B$3,8,30),'Leave log'!$F$7:$F$306,"Approved")&gt;0,"A",""))="A","A",IF(OR(DATE($B$3,8,30)&gt;EOMONTH(DATE($B$3,8,1),0),NETWORKDAYS.INTL(DATE($B$3,8,30),DATE($B$3,8,30),1,'Non-working days'!$A$6:$A$45)=0),"",IF(COUNTIFS('Leave log'!$A$7:$A$306,Employees!$A$19,'Leave log'!$B$7:$B$306,"&lt;="&amp;DATE($B$3,8,30),'Leave log'!$C$7:$C$306,"&gt;="&amp;DATE($B$3,8,30),'Leave log'!$F$7:$F$306,"Pending")&gt;0,"P",""))))</f>
        <v/>
      </c>
      <c r="AF258" s="23" t="str">
        <f>IF(A258="","",IF(IF(OR(DATE($B$3,8,31)&gt;EOMONTH(DATE($B$3,8,1),0),NETWORKDAYS.INTL(DATE($B$3,8,31),DATE($B$3,8,31),1,'Non-working days'!$A$6:$A$45)=0),"",IF(COUNTIFS('Leave log'!$A$7:$A$306,Employees!$A$19,'Leave log'!$B$7:$B$306,"&lt;="&amp;DATE($B$3,8,31),'Leave log'!$C$7:$C$306,"&gt;="&amp;DATE($B$3,8,31),'Leave log'!$F$7:$F$306,"Approved")&gt;0,"A",""))="A","A",IF(OR(DATE($B$3,8,31)&gt;EOMONTH(DATE($B$3,8,1),0),NETWORKDAYS.INTL(DATE($B$3,8,31),DATE($B$3,8,31),1,'Non-working days'!$A$6:$A$45)=0),"",IF(COUNTIFS('Leave log'!$A$7:$A$306,Employees!$A$19,'Leave log'!$B$7:$B$306,"&lt;="&amp;DATE($B$3,8,31),'Leave log'!$C$7:$C$306,"&gt;="&amp;DATE($B$3,8,31),'Leave log'!$F$7:$F$306,"Pending")&gt;0,"P",""))))</f>
        <v/>
      </c>
    </row>
    <row r="259" spans="1:32" ht="18" customHeight="1" x14ac:dyDescent="0.3">
      <c r="A259" s="22" t="str">
        <f>IF(Employees!F20="Yes",Employees!B20,"")</f>
        <v/>
      </c>
      <c r="B259" s="23" t="str">
        <f>IF(A259="","",IF(IF(OR(DATE($B$3,8,1)&gt;EOMONTH(DATE($B$3,8,1),0),NETWORKDAYS.INTL(DATE($B$3,8,1),DATE($B$3,8,1),1,'Non-working days'!$A$6:$A$45)=0),"",IF(COUNTIFS('Leave log'!$A$7:$A$306,Employees!$A$20,'Leave log'!$B$7:$B$306,"&lt;="&amp;DATE($B$3,8,1),'Leave log'!$C$7:$C$306,"&gt;="&amp;DATE($B$3,8,1),'Leave log'!$F$7:$F$306,"Approved")&gt;0,"A",""))="A","A",IF(OR(DATE($B$3,8,1)&gt;EOMONTH(DATE($B$3,8,1),0),NETWORKDAYS.INTL(DATE($B$3,8,1),DATE($B$3,8,1),1,'Non-working days'!$A$6:$A$45)=0),"",IF(COUNTIFS('Leave log'!$A$7:$A$306,Employees!$A$20,'Leave log'!$B$7:$B$306,"&lt;="&amp;DATE($B$3,8,1),'Leave log'!$C$7:$C$306,"&gt;="&amp;DATE($B$3,8,1),'Leave log'!$F$7:$F$306,"Pending")&gt;0,"P",""))))</f>
        <v/>
      </c>
      <c r="C259" s="23" t="str">
        <f>IF(A259="","",IF(IF(OR(DATE($B$3,8,2)&gt;EOMONTH(DATE($B$3,8,1),0),NETWORKDAYS.INTL(DATE($B$3,8,2),DATE($B$3,8,2),1,'Non-working days'!$A$6:$A$45)=0),"",IF(COUNTIFS('Leave log'!$A$7:$A$306,Employees!$A$20,'Leave log'!$B$7:$B$306,"&lt;="&amp;DATE($B$3,8,2),'Leave log'!$C$7:$C$306,"&gt;="&amp;DATE($B$3,8,2),'Leave log'!$F$7:$F$306,"Approved")&gt;0,"A",""))="A","A",IF(OR(DATE($B$3,8,2)&gt;EOMONTH(DATE($B$3,8,1),0),NETWORKDAYS.INTL(DATE($B$3,8,2),DATE($B$3,8,2),1,'Non-working days'!$A$6:$A$45)=0),"",IF(COUNTIFS('Leave log'!$A$7:$A$306,Employees!$A$20,'Leave log'!$B$7:$B$306,"&lt;="&amp;DATE($B$3,8,2),'Leave log'!$C$7:$C$306,"&gt;="&amp;DATE($B$3,8,2),'Leave log'!$F$7:$F$306,"Pending")&gt;0,"P",""))))</f>
        <v/>
      </c>
      <c r="D259" s="23" t="str">
        <f>IF(A259="","",IF(IF(OR(DATE($B$3,8,3)&gt;EOMONTH(DATE($B$3,8,1),0),NETWORKDAYS.INTL(DATE($B$3,8,3),DATE($B$3,8,3),1,'Non-working days'!$A$6:$A$45)=0),"",IF(COUNTIFS('Leave log'!$A$7:$A$306,Employees!$A$20,'Leave log'!$B$7:$B$306,"&lt;="&amp;DATE($B$3,8,3),'Leave log'!$C$7:$C$306,"&gt;="&amp;DATE($B$3,8,3),'Leave log'!$F$7:$F$306,"Approved")&gt;0,"A",""))="A","A",IF(OR(DATE($B$3,8,3)&gt;EOMONTH(DATE($B$3,8,1),0),NETWORKDAYS.INTL(DATE($B$3,8,3),DATE($B$3,8,3),1,'Non-working days'!$A$6:$A$45)=0),"",IF(COUNTIFS('Leave log'!$A$7:$A$306,Employees!$A$20,'Leave log'!$B$7:$B$306,"&lt;="&amp;DATE($B$3,8,3),'Leave log'!$C$7:$C$306,"&gt;="&amp;DATE($B$3,8,3),'Leave log'!$F$7:$F$306,"Pending")&gt;0,"P",""))))</f>
        <v/>
      </c>
      <c r="E259" s="23" t="str">
        <f>IF(A259="","",IF(IF(OR(DATE($B$3,8,4)&gt;EOMONTH(DATE($B$3,8,1),0),NETWORKDAYS.INTL(DATE($B$3,8,4),DATE($B$3,8,4),1,'Non-working days'!$A$6:$A$45)=0),"",IF(COUNTIFS('Leave log'!$A$7:$A$306,Employees!$A$20,'Leave log'!$B$7:$B$306,"&lt;="&amp;DATE($B$3,8,4),'Leave log'!$C$7:$C$306,"&gt;="&amp;DATE($B$3,8,4),'Leave log'!$F$7:$F$306,"Approved")&gt;0,"A",""))="A","A",IF(OR(DATE($B$3,8,4)&gt;EOMONTH(DATE($B$3,8,1),0),NETWORKDAYS.INTL(DATE($B$3,8,4),DATE($B$3,8,4),1,'Non-working days'!$A$6:$A$45)=0),"",IF(COUNTIFS('Leave log'!$A$7:$A$306,Employees!$A$20,'Leave log'!$B$7:$B$306,"&lt;="&amp;DATE($B$3,8,4),'Leave log'!$C$7:$C$306,"&gt;="&amp;DATE($B$3,8,4),'Leave log'!$F$7:$F$306,"Pending")&gt;0,"P",""))))</f>
        <v/>
      </c>
      <c r="F259" s="23" t="str">
        <f>IF(A259="","",IF(IF(OR(DATE($B$3,8,5)&gt;EOMONTH(DATE($B$3,8,1),0),NETWORKDAYS.INTL(DATE($B$3,8,5),DATE($B$3,8,5),1,'Non-working days'!$A$6:$A$45)=0),"",IF(COUNTIFS('Leave log'!$A$7:$A$306,Employees!$A$20,'Leave log'!$B$7:$B$306,"&lt;="&amp;DATE($B$3,8,5),'Leave log'!$C$7:$C$306,"&gt;="&amp;DATE($B$3,8,5),'Leave log'!$F$7:$F$306,"Approved")&gt;0,"A",""))="A","A",IF(OR(DATE($B$3,8,5)&gt;EOMONTH(DATE($B$3,8,1),0),NETWORKDAYS.INTL(DATE($B$3,8,5),DATE($B$3,8,5),1,'Non-working days'!$A$6:$A$45)=0),"",IF(COUNTIFS('Leave log'!$A$7:$A$306,Employees!$A$20,'Leave log'!$B$7:$B$306,"&lt;="&amp;DATE($B$3,8,5),'Leave log'!$C$7:$C$306,"&gt;="&amp;DATE($B$3,8,5),'Leave log'!$F$7:$F$306,"Pending")&gt;0,"P",""))))</f>
        <v/>
      </c>
      <c r="G259" s="23" t="str">
        <f>IF(A259="","",IF(IF(OR(DATE($B$3,8,6)&gt;EOMONTH(DATE($B$3,8,1),0),NETWORKDAYS.INTL(DATE($B$3,8,6),DATE($B$3,8,6),1,'Non-working days'!$A$6:$A$45)=0),"",IF(COUNTIFS('Leave log'!$A$7:$A$306,Employees!$A$20,'Leave log'!$B$7:$B$306,"&lt;="&amp;DATE($B$3,8,6),'Leave log'!$C$7:$C$306,"&gt;="&amp;DATE($B$3,8,6),'Leave log'!$F$7:$F$306,"Approved")&gt;0,"A",""))="A","A",IF(OR(DATE($B$3,8,6)&gt;EOMONTH(DATE($B$3,8,1),0),NETWORKDAYS.INTL(DATE($B$3,8,6),DATE($B$3,8,6),1,'Non-working days'!$A$6:$A$45)=0),"",IF(COUNTIFS('Leave log'!$A$7:$A$306,Employees!$A$20,'Leave log'!$B$7:$B$306,"&lt;="&amp;DATE($B$3,8,6),'Leave log'!$C$7:$C$306,"&gt;="&amp;DATE($B$3,8,6),'Leave log'!$F$7:$F$306,"Pending")&gt;0,"P",""))))</f>
        <v/>
      </c>
      <c r="H259" s="23" t="str">
        <f>IF(A259="","",IF(IF(OR(DATE($B$3,8,7)&gt;EOMONTH(DATE($B$3,8,1),0),NETWORKDAYS.INTL(DATE($B$3,8,7),DATE($B$3,8,7),1,'Non-working days'!$A$6:$A$45)=0),"",IF(COUNTIFS('Leave log'!$A$7:$A$306,Employees!$A$20,'Leave log'!$B$7:$B$306,"&lt;="&amp;DATE($B$3,8,7),'Leave log'!$C$7:$C$306,"&gt;="&amp;DATE($B$3,8,7),'Leave log'!$F$7:$F$306,"Approved")&gt;0,"A",""))="A","A",IF(OR(DATE($B$3,8,7)&gt;EOMONTH(DATE($B$3,8,1),0),NETWORKDAYS.INTL(DATE($B$3,8,7),DATE($B$3,8,7),1,'Non-working days'!$A$6:$A$45)=0),"",IF(COUNTIFS('Leave log'!$A$7:$A$306,Employees!$A$20,'Leave log'!$B$7:$B$306,"&lt;="&amp;DATE($B$3,8,7),'Leave log'!$C$7:$C$306,"&gt;="&amp;DATE($B$3,8,7),'Leave log'!$F$7:$F$306,"Pending")&gt;0,"P",""))))</f>
        <v/>
      </c>
      <c r="I259" s="23" t="str">
        <f>IF(A259="","",IF(IF(OR(DATE($B$3,8,8)&gt;EOMONTH(DATE($B$3,8,1),0),NETWORKDAYS.INTL(DATE($B$3,8,8),DATE($B$3,8,8),1,'Non-working days'!$A$6:$A$45)=0),"",IF(COUNTIFS('Leave log'!$A$7:$A$306,Employees!$A$20,'Leave log'!$B$7:$B$306,"&lt;="&amp;DATE($B$3,8,8),'Leave log'!$C$7:$C$306,"&gt;="&amp;DATE($B$3,8,8),'Leave log'!$F$7:$F$306,"Approved")&gt;0,"A",""))="A","A",IF(OR(DATE($B$3,8,8)&gt;EOMONTH(DATE($B$3,8,1),0),NETWORKDAYS.INTL(DATE($B$3,8,8),DATE($B$3,8,8),1,'Non-working days'!$A$6:$A$45)=0),"",IF(COUNTIFS('Leave log'!$A$7:$A$306,Employees!$A$20,'Leave log'!$B$7:$B$306,"&lt;="&amp;DATE($B$3,8,8),'Leave log'!$C$7:$C$306,"&gt;="&amp;DATE($B$3,8,8),'Leave log'!$F$7:$F$306,"Pending")&gt;0,"P",""))))</f>
        <v/>
      </c>
      <c r="J259" s="23" t="str">
        <f>IF(A259="","",IF(IF(OR(DATE($B$3,8,9)&gt;EOMONTH(DATE($B$3,8,1),0),NETWORKDAYS.INTL(DATE($B$3,8,9),DATE($B$3,8,9),1,'Non-working days'!$A$6:$A$45)=0),"",IF(COUNTIFS('Leave log'!$A$7:$A$306,Employees!$A$20,'Leave log'!$B$7:$B$306,"&lt;="&amp;DATE($B$3,8,9),'Leave log'!$C$7:$C$306,"&gt;="&amp;DATE($B$3,8,9),'Leave log'!$F$7:$F$306,"Approved")&gt;0,"A",""))="A","A",IF(OR(DATE($B$3,8,9)&gt;EOMONTH(DATE($B$3,8,1),0),NETWORKDAYS.INTL(DATE($B$3,8,9),DATE($B$3,8,9),1,'Non-working days'!$A$6:$A$45)=0),"",IF(COUNTIFS('Leave log'!$A$7:$A$306,Employees!$A$20,'Leave log'!$B$7:$B$306,"&lt;="&amp;DATE($B$3,8,9),'Leave log'!$C$7:$C$306,"&gt;="&amp;DATE($B$3,8,9),'Leave log'!$F$7:$F$306,"Pending")&gt;0,"P",""))))</f>
        <v/>
      </c>
      <c r="K259" s="23" t="str">
        <f>IF(A259="","",IF(IF(OR(DATE($B$3,8,10)&gt;EOMONTH(DATE($B$3,8,1),0),NETWORKDAYS.INTL(DATE($B$3,8,10),DATE($B$3,8,10),1,'Non-working days'!$A$6:$A$45)=0),"",IF(COUNTIFS('Leave log'!$A$7:$A$306,Employees!$A$20,'Leave log'!$B$7:$B$306,"&lt;="&amp;DATE($B$3,8,10),'Leave log'!$C$7:$C$306,"&gt;="&amp;DATE($B$3,8,10),'Leave log'!$F$7:$F$306,"Approved")&gt;0,"A",""))="A","A",IF(OR(DATE($B$3,8,10)&gt;EOMONTH(DATE($B$3,8,1),0),NETWORKDAYS.INTL(DATE($B$3,8,10),DATE($B$3,8,10),1,'Non-working days'!$A$6:$A$45)=0),"",IF(COUNTIFS('Leave log'!$A$7:$A$306,Employees!$A$20,'Leave log'!$B$7:$B$306,"&lt;="&amp;DATE($B$3,8,10),'Leave log'!$C$7:$C$306,"&gt;="&amp;DATE($B$3,8,10),'Leave log'!$F$7:$F$306,"Pending")&gt;0,"P",""))))</f>
        <v/>
      </c>
      <c r="L259" s="23" t="str">
        <f>IF(A259="","",IF(IF(OR(DATE($B$3,8,11)&gt;EOMONTH(DATE($B$3,8,1),0),NETWORKDAYS.INTL(DATE($B$3,8,11),DATE($B$3,8,11),1,'Non-working days'!$A$6:$A$45)=0),"",IF(COUNTIFS('Leave log'!$A$7:$A$306,Employees!$A$20,'Leave log'!$B$7:$B$306,"&lt;="&amp;DATE($B$3,8,11),'Leave log'!$C$7:$C$306,"&gt;="&amp;DATE($B$3,8,11),'Leave log'!$F$7:$F$306,"Approved")&gt;0,"A",""))="A","A",IF(OR(DATE($B$3,8,11)&gt;EOMONTH(DATE($B$3,8,1),0),NETWORKDAYS.INTL(DATE($B$3,8,11),DATE($B$3,8,11),1,'Non-working days'!$A$6:$A$45)=0),"",IF(COUNTIFS('Leave log'!$A$7:$A$306,Employees!$A$20,'Leave log'!$B$7:$B$306,"&lt;="&amp;DATE($B$3,8,11),'Leave log'!$C$7:$C$306,"&gt;="&amp;DATE($B$3,8,11),'Leave log'!$F$7:$F$306,"Pending")&gt;0,"P",""))))</f>
        <v/>
      </c>
      <c r="M259" s="23" t="str">
        <f>IF(A259="","",IF(IF(OR(DATE($B$3,8,12)&gt;EOMONTH(DATE($B$3,8,1),0),NETWORKDAYS.INTL(DATE($B$3,8,12),DATE($B$3,8,12),1,'Non-working days'!$A$6:$A$45)=0),"",IF(COUNTIFS('Leave log'!$A$7:$A$306,Employees!$A$20,'Leave log'!$B$7:$B$306,"&lt;="&amp;DATE($B$3,8,12),'Leave log'!$C$7:$C$306,"&gt;="&amp;DATE($B$3,8,12),'Leave log'!$F$7:$F$306,"Approved")&gt;0,"A",""))="A","A",IF(OR(DATE($B$3,8,12)&gt;EOMONTH(DATE($B$3,8,1),0),NETWORKDAYS.INTL(DATE($B$3,8,12),DATE($B$3,8,12),1,'Non-working days'!$A$6:$A$45)=0),"",IF(COUNTIFS('Leave log'!$A$7:$A$306,Employees!$A$20,'Leave log'!$B$7:$B$306,"&lt;="&amp;DATE($B$3,8,12),'Leave log'!$C$7:$C$306,"&gt;="&amp;DATE($B$3,8,12),'Leave log'!$F$7:$F$306,"Pending")&gt;0,"P",""))))</f>
        <v/>
      </c>
      <c r="N259" s="23" t="str">
        <f>IF(A259="","",IF(IF(OR(DATE($B$3,8,13)&gt;EOMONTH(DATE($B$3,8,1),0),NETWORKDAYS.INTL(DATE($B$3,8,13),DATE($B$3,8,13),1,'Non-working days'!$A$6:$A$45)=0),"",IF(COUNTIFS('Leave log'!$A$7:$A$306,Employees!$A$20,'Leave log'!$B$7:$B$306,"&lt;="&amp;DATE($B$3,8,13),'Leave log'!$C$7:$C$306,"&gt;="&amp;DATE($B$3,8,13),'Leave log'!$F$7:$F$306,"Approved")&gt;0,"A",""))="A","A",IF(OR(DATE($B$3,8,13)&gt;EOMONTH(DATE($B$3,8,1),0),NETWORKDAYS.INTL(DATE($B$3,8,13),DATE($B$3,8,13),1,'Non-working days'!$A$6:$A$45)=0),"",IF(COUNTIFS('Leave log'!$A$7:$A$306,Employees!$A$20,'Leave log'!$B$7:$B$306,"&lt;="&amp;DATE($B$3,8,13),'Leave log'!$C$7:$C$306,"&gt;="&amp;DATE($B$3,8,13),'Leave log'!$F$7:$F$306,"Pending")&gt;0,"P",""))))</f>
        <v/>
      </c>
      <c r="O259" s="23" t="str">
        <f>IF(A259="","",IF(IF(OR(DATE($B$3,8,14)&gt;EOMONTH(DATE($B$3,8,1),0),NETWORKDAYS.INTL(DATE($B$3,8,14),DATE($B$3,8,14),1,'Non-working days'!$A$6:$A$45)=0),"",IF(COUNTIFS('Leave log'!$A$7:$A$306,Employees!$A$20,'Leave log'!$B$7:$B$306,"&lt;="&amp;DATE($B$3,8,14),'Leave log'!$C$7:$C$306,"&gt;="&amp;DATE($B$3,8,14),'Leave log'!$F$7:$F$306,"Approved")&gt;0,"A",""))="A","A",IF(OR(DATE($B$3,8,14)&gt;EOMONTH(DATE($B$3,8,1),0),NETWORKDAYS.INTL(DATE($B$3,8,14),DATE($B$3,8,14),1,'Non-working days'!$A$6:$A$45)=0),"",IF(COUNTIFS('Leave log'!$A$7:$A$306,Employees!$A$20,'Leave log'!$B$7:$B$306,"&lt;="&amp;DATE($B$3,8,14),'Leave log'!$C$7:$C$306,"&gt;="&amp;DATE($B$3,8,14),'Leave log'!$F$7:$F$306,"Pending")&gt;0,"P",""))))</f>
        <v/>
      </c>
      <c r="P259" s="23" t="str">
        <f>IF(A259="","",IF(IF(OR(DATE($B$3,8,15)&gt;EOMONTH(DATE($B$3,8,1),0),NETWORKDAYS.INTL(DATE($B$3,8,15),DATE($B$3,8,15),1,'Non-working days'!$A$6:$A$45)=0),"",IF(COUNTIFS('Leave log'!$A$7:$A$306,Employees!$A$20,'Leave log'!$B$7:$B$306,"&lt;="&amp;DATE($B$3,8,15),'Leave log'!$C$7:$C$306,"&gt;="&amp;DATE($B$3,8,15),'Leave log'!$F$7:$F$306,"Approved")&gt;0,"A",""))="A","A",IF(OR(DATE($B$3,8,15)&gt;EOMONTH(DATE($B$3,8,1),0),NETWORKDAYS.INTL(DATE($B$3,8,15),DATE($B$3,8,15),1,'Non-working days'!$A$6:$A$45)=0),"",IF(COUNTIFS('Leave log'!$A$7:$A$306,Employees!$A$20,'Leave log'!$B$7:$B$306,"&lt;="&amp;DATE($B$3,8,15),'Leave log'!$C$7:$C$306,"&gt;="&amp;DATE($B$3,8,15),'Leave log'!$F$7:$F$306,"Pending")&gt;0,"P",""))))</f>
        <v/>
      </c>
      <c r="Q259" s="23" t="str">
        <f>IF(A259="","",IF(IF(OR(DATE($B$3,8,16)&gt;EOMONTH(DATE($B$3,8,1),0),NETWORKDAYS.INTL(DATE($B$3,8,16),DATE($B$3,8,16),1,'Non-working days'!$A$6:$A$45)=0),"",IF(COUNTIFS('Leave log'!$A$7:$A$306,Employees!$A$20,'Leave log'!$B$7:$B$306,"&lt;="&amp;DATE($B$3,8,16),'Leave log'!$C$7:$C$306,"&gt;="&amp;DATE($B$3,8,16),'Leave log'!$F$7:$F$306,"Approved")&gt;0,"A",""))="A","A",IF(OR(DATE($B$3,8,16)&gt;EOMONTH(DATE($B$3,8,1),0),NETWORKDAYS.INTL(DATE($B$3,8,16),DATE($B$3,8,16),1,'Non-working days'!$A$6:$A$45)=0),"",IF(COUNTIFS('Leave log'!$A$7:$A$306,Employees!$A$20,'Leave log'!$B$7:$B$306,"&lt;="&amp;DATE($B$3,8,16),'Leave log'!$C$7:$C$306,"&gt;="&amp;DATE($B$3,8,16),'Leave log'!$F$7:$F$306,"Pending")&gt;0,"P",""))))</f>
        <v/>
      </c>
      <c r="R259" s="23" t="str">
        <f>IF(A259="","",IF(IF(OR(DATE($B$3,8,17)&gt;EOMONTH(DATE($B$3,8,1),0),NETWORKDAYS.INTL(DATE($B$3,8,17),DATE($B$3,8,17),1,'Non-working days'!$A$6:$A$45)=0),"",IF(COUNTIFS('Leave log'!$A$7:$A$306,Employees!$A$20,'Leave log'!$B$7:$B$306,"&lt;="&amp;DATE($B$3,8,17),'Leave log'!$C$7:$C$306,"&gt;="&amp;DATE($B$3,8,17),'Leave log'!$F$7:$F$306,"Approved")&gt;0,"A",""))="A","A",IF(OR(DATE($B$3,8,17)&gt;EOMONTH(DATE($B$3,8,1),0),NETWORKDAYS.INTL(DATE($B$3,8,17),DATE($B$3,8,17),1,'Non-working days'!$A$6:$A$45)=0),"",IF(COUNTIFS('Leave log'!$A$7:$A$306,Employees!$A$20,'Leave log'!$B$7:$B$306,"&lt;="&amp;DATE($B$3,8,17),'Leave log'!$C$7:$C$306,"&gt;="&amp;DATE($B$3,8,17),'Leave log'!$F$7:$F$306,"Pending")&gt;0,"P",""))))</f>
        <v/>
      </c>
      <c r="S259" s="23" t="str">
        <f>IF(A259="","",IF(IF(OR(DATE($B$3,8,18)&gt;EOMONTH(DATE($B$3,8,1),0),NETWORKDAYS.INTL(DATE($B$3,8,18),DATE($B$3,8,18),1,'Non-working days'!$A$6:$A$45)=0),"",IF(COUNTIFS('Leave log'!$A$7:$A$306,Employees!$A$20,'Leave log'!$B$7:$B$306,"&lt;="&amp;DATE($B$3,8,18),'Leave log'!$C$7:$C$306,"&gt;="&amp;DATE($B$3,8,18),'Leave log'!$F$7:$F$306,"Approved")&gt;0,"A",""))="A","A",IF(OR(DATE($B$3,8,18)&gt;EOMONTH(DATE($B$3,8,1),0),NETWORKDAYS.INTL(DATE($B$3,8,18),DATE($B$3,8,18),1,'Non-working days'!$A$6:$A$45)=0),"",IF(COUNTIFS('Leave log'!$A$7:$A$306,Employees!$A$20,'Leave log'!$B$7:$B$306,"&lt;="&amp;DATE($B$3,8,18),'Leave log'!$C$7:$C$306,"&gt;="&amp;DATE($B$3,8,18),'Leave log'!$F$7:$F$306,"Pending")&gt;0,"P",""))))</f>
        <v/>
      </c>
      <c r="T259" s="23" t="str">
        <f>IF(A259="","",IF(IF(OR(DATE($B$3,8,19)&gt;EOMONTH(DATE($B$3,8,1),0),NETWORKDAYS.INTL(DATE($B$3,8,19),DATE($B$3,8,19),1,'Non-working days'!$A$6:$A$45)=0),"",IF(COUNTIFS('Leave log'!$A$7:$A$306,Employees!$A$20,'Leave log'!$B$7:$B$306,"&lt;="&amp;DATE($B$3,8,19),'Leave log'!$C$7:$C$306,"&gt;="&amp;DATE($B$3,8,19),'Leave log'!$F$7:$F$306,"Approved")&gt;0,"A",""))="A","A",IF(OR(DATE($B$3,8,19)&gt;EOMONTH(DATE($B$3,8,1),0),NETWORKDAYS.INTL(DATE($B$3,8,19),DATE($B$3,8,19),1,'Non-working days'!$A$6:$A$45)=0),"",IF(COUNTIFS('Leave log'!$A$7:$A$306,Employees!$A$20,'Leave log'!$B$7:$B$306,"&lt;="&amp;DATE($B$3,8,19),'Leave log'!$C$7:$C$306,"&gt;="&amp;DATE($B$3,8,19),'Leave log'!$F$7:$F$306,"Pending")&gt;0,"P",""))))</f>
        <v/>
      </c>
      <c r="U259" s="23" t="str">
        <f>IF(A259="","",IF(IF(OR(DATE($B$3,8,20)&gt;EOMONTH(DATE($B$3,8,1),0),NETWORKDAYS.INTL(DATE($B$3,8,20),DATE($B$3,8,20),1,'Non-working days'!$A$6:$A$45)=0),"",IF(COUNTIFS('Leave log'!$A$7:$A$306,Employees!$A$20,'Leave log'!$B$7:$B$306,"&lt;="&amp;DATE($B$3,8,20),'Leave log'!$C$7:$C$306,"&gt;="&amp;DATE($B$3,8,20),'Leave log'!$F$7:$F$306,"Approved")&gt;0,"A",""))="A","A",IF(OR(DATE($B$3,8,20)&gt;EOMONTH(DATE($B$3,8,1),0),NETWORKDAYS.INTL(DATE($B$3,8,20),DATE($B$3,8,20),1,'Non-working days'!$A$6:$A$45)=0),"",IF(COUNTIFS('Leave log'!$A$7:$A$306,Employees!$A$20,'Leave log'!$B$7:$B$306,"&lt;="&amp;DATE($B$3,8,20),'Leave log'!$C$7:$C$306,"&gt;="&amp;DATE($B$3,8,20),'Leave log'!$F$7:$F$306,"Pending")&gt;0,"P",""))))</f>
        <v/>
      </c>
      <c r="V259" s="23" t="str">
        <f>IF(A259="","",IF(IF(OR(DATE($B$3,8,21)&gt;EOMONTH(DATE($B$3,8,1),0),NETWORKDAYS.INTL(DATE($B$3,8,21),DATE($B$3,8,21),1,'Non-working days'!$A$6:$A$45)=0),"",IF(COUNTIFS('Leave log'!$A$7:$A$306,Employees!$A$20,'Leave log'!$B$7:$B$306,"&lt;="&amp;DATE($B$3,8,21),'Leave log'!$C$7:$C$306,"&gt;="&amp;DATE($B$3,8,21),'Leave log'!$F$7:$F$306,"Approved")&gt;0,"A",""))="A","A",IF(OR(DATE($B$3,8,21)&gt;EOMONTH(DATE($B$3,8,1),0),NETWORKDAYS.INTL(DATE($B$3,8,21),DATE($B$3,8,21),1,'Non-working days'!$A$6:$A$45)=0),"",IF(COUNTIFS('Leave log'!$A$7:$A$306,Employees!$A$20,'Leave log'!$B$7:$B$306,"&lt;="&amp;DATE($B$3,8,21),'Leave log'!$C$7:$C$306,"&gt;="&amp;DATE($B$3,8,21),'Leave log'!$F$7:$F$306,"Pending")&gt;0,"P",""))))</f>
        <v/>
      </c>
      <c r="W259" s="23" t="str">
        <f>IF(A259="","",IF(IF(OR(DATE($B$3,8,22)&gt;EOMONTH(DATE($B$3,8,1),0),NETWORKDAYS.INTL(DATE($B$3,8,22),DATE($B$3,8,22),1,'Non-working days'!$A$6:$A$45)=0),"",IF(COUNTIFS('Leave log'!$A$7:$A$306,Employees!$A$20,'Leave log'!$B$7:$B$306,"&lt;="&amp;DATE($B$3,8,22),'Leave log'!$C$7:$C$306,"&gt;="&amp;DATE($B$3,8,22),'Leave log'!$F$7:$F$306,"Approved")&gt;0,"A",""))="A","A",IF(OR(DATE($B$3,8,22)&gt;EOMONTH(DATE($B$3,8,1),0),NETWORKDAYS.INTL(DATE($B$3,8,22),DATE($B$3,8,22),1,'Non-working days'!$A$6:$A$45)=0),"",IF(COUNTIFS('Leave log'!$A$7:$A$306,Employees!$A$20,'Leave log'!$B$7:$B$306,"&lt;="&amp;DATE($B$3,8,22),'Leave log'!$C$7:$C$306,"&gt;="&amp;DATE($B$3,8,22),'Leave log'!$F$7:$F$306,"Pending")&gt;0,"P",""))))</f>
        <v/>
      </c>
      <c r="X259" s="23" t="str">
        <f>IF(A259="","",IF(IF(OR(DATE($B$3,8,23)&gt;EOMONTH(DATE($B$3,8,1),0),NETWORKDAYS.INTL(DATE($B$3,8,23),DATE($B$3,8,23),1,'Non-working days'!$A$6:$A$45)=0),"",IF(COUNTIFS('Leave log'!$A$7:$A$306,Employees!$A$20,'Leave log'!$B$7:$B$306,"&lt;="&amp;DATE($B$3,8,23),'Leave log'!$C$7:$C$306,"&gt;="&amp;DATE($B$3,8,23),'Leave log'!$F$7:$F$306,"Approved")&gt;0,"A",""))="A","A",IF(OR(DATE($B$3,8,23)&gt;EOMONTH(DATE($B$3,8,1),0),NETWORKDAYS.INTL(DATE($B$3,8,23),DATE($B$3,8,23),1,'Non-working days'!$A$6:$A$45)=0),"",IF(COUNTIFS('Leave log'!$A$7:$A$306,Employees!$A$20,'Leave log'!$B$7:$B$306,"&lt;="&amp;DATE($B$3,8,23),'Leave log'!$C$7:$C$306,"&gt;="&amp;DATE($B$3,8,23),'Leave log'!$F$7:$F$306,"Pending")&gt;0,"P",""))))</f>
        <v/>
      </c>
      <c r="Y259" s="23" t="str">
        <f>IF(A259="","",IF(IF(OR(DATE($B$3,8,24)&gt;EOMONTH(DATE($B$3,8,1),0),NETWORKDAYS.INTL(DATE($B$3,8,24),DATE($B$3,8,24),1,'Non-working days'!$A$6:$A$45)=0),"",IF(COUNTIFS('Leave log'!$A$7:$A$306,Employees!$A$20,'Leave log'!$B$7:$B$306,"&lt;="&amp;DATE($B$3,8,24),'Leave log'!$C$7:$C$306,"&gt;="&amp;DATE($B$3,8,24),'Leave log'!$F$7:$F$306,"Approved")&gt;0,"A",""))="A","A",IF(OR(DATE($B$3,8,24)&gt;EOMONTH(DATE($B$3,8,1),0),NETWORKDAYS.INTL(DATE($B$3,8,24),DATE($B$3,8,24),1,'Non-working days'!$A$6:$A$45)=0),"",IF(COUNTIFS('Leave log'!$A$7:$A$306,Employees!$A$20,'Leave log'!$B$7:$B$306,"&lt;="&amp;DATE($B$3,8,24),'Leave log'!$C$7:$C$306,"&gt;="&amp;DATE($B$3,8,24),'Leave log'!$F$7:$F$306,"Pending")&gt;0,"P",""))))</f>
        <v/>
      </c>
      <c r="Z259" s="23" t="str">
        <f>IF(A259="","",IF(IF(OR(DATE($B$3,8,25)&gt;EOMONTH(DATE($B$3,8,1),0),NETWORKDAYS.INTL(DATE($B$3,8,25),DATE($B$3,8,25),1,'Non-working days'!$A$6:$A$45)=0),"",IF(COUNTIFS('Leave log'!$A$7:$A$306,Employees!$A$20,'Leave log'!$B$7:$B$306,"&lt;="&amp;DATE($B$3,8,25),'Leave log'!$C$7:$C$306,"&gt;="&amp;DATE($B$3,8,25),'Leave log'!$F$7:$F$306,"Approved")&gt;0,"A",""))="A","A",IF(OR(DATE($B$3,8,25)&gt;EOMONTH(DATE($B$3,8,1),0),NETWORKDAYS.INTL(DATE($B$3,8,25),DATE($B$3,8,25),1,'Non-working days'!$A$6:$A$45)=0),"",IF(COUNTIFS('Leave log'!$A$7:$A$306,Employees!$A$20,'Leave log'!$B$7:$B$306,"&lt;="&amp;DATE($B$3,8,25),'Leave log'!$C$7:$C$306,"&gt;="&amp;DATE($B$3,8,25),'Leave log'!$F$7:$F$306,"Pending")&gt;0,"P",""))))</f>
        <v/>
      </c>
      <c r="AA259" s="23" t="str">
        <f>IF(A259="","",IF(IF(OR(DATE($B$3,8,26)&gt;EOMONTH(DATE($B$3,8,1),0),NETWORKDAYS.INTL(DATE($B$3,8,26),DATE($B$3,8,26),1,'Non-working days'!$A$6:$A$45)=0),"",IF(COUNTIFS('Leave log'!$A$7:$A$306,Employees!$A$20,'Leave log'!$B$7:$B$306,"&lt;="&amp;DATE($B$3,8,26),'Leave log'!$C$7:$C$306,"&gt;="&amp;DATE($B$3,8,26),'Leave log'!$F$7:$F$306,"Approved")&gt;0,"A",""))="A","A",IF(OR(DATE($B$3,8,26)&gt;EOMONTH(DATE($B$3,8,1),0),NETWORKDAYS.INTL(DATE($B$3,8,26),DATE($B$3,8,26),1,'Non-working days'!$A$6:$A$45)=0),"",IF(COUNTIFS('Leave log'!$A$7:$A$306,Employees!$A$20,'Leave log'!$B$7:$B$306,"&lt;="&amp;DATE($B$3,8,26),'Leave log'!$C$7:$C$306,"&gt;="&amp;DATE($B$3,8,26),'Leave log'!$F$7:$F$306,"Pending")&gt;0,"P",""))))</f>
        <v/>
      </c>
      <c r="AB259" s="23" t="str">
        <f>IF(A259="","",IF(IF(OR(DATE($B$3,8,27)&gt;EOMONTH(DATE($B$3,8,1),0),NETWORKDAYS.INTL(DATE($B$3,8,27),DATE($B$3,8,27),1,'Non-working days'!$A$6:$A$45)=0),"",IF(COUNTIFS('Leave log'!$A$7:$A$306,Employees!$A$20,'Leave log'!$B$7:$B$306,"&lt;="&amp;DATE($B$3,8,27),'Leave log'!$C$7:$C$306,"&gt;="&amp;DATE($B$3,8,27),'Leave log'!$F$7:$F$306,"Approved")&gt;0,"A",""))="A","A",IF(OR(DATE($B$3,8,27)&gt;EOMONTH(DATE($B$3,8,1),0),NETWORKDAYS.INTL(DATE($B$3,8,27),DATE($B$3,8,27),1,'Non-working days'!$A$6:$A$45)=0),"",IF(COUNTIFS('Leave log'!$A$7:$A$306,Employees!$A$20,'Leave log'!$B$7:$B$306,"&lt;="&amp;DATE($B$3,8,27),'Leave log'!$C$7:$C$306,"&gt;="&amp;DATE($B$3,8,27),'Leave log'!$F$7:$F$306,"Pending")&gt;0,"P",""))))</f>
        <v/>
      </c>
      <c r="AC259" s="23" t="str">
        <f>IF(A259="","",IF(IF(OR(DATE($B$3,8,28)&gt;EOMONTH(DATE($B$3,8,1),0),NETWORKDAYS.INTL(DATE($B$3,8,28),DATE($B$3,8,28),1,'Non-working days'!$A$6:$A$45)=0),"",IF(COUNTIFS('Leave log'!$A$7:$A$306,Employees!$A$20,'Leave log'!$B$7:$B$306,"&lt;="&amp;DATE($B$3,8,28),'Leave log'!$C$7:$C$306,"&gt;="&amp;DATE($B$3,8,28),'Leave log'!$F$7:$F$306,"Approved")&gt;0,"A",""))="A","A",IF(OR(DATE($B$3,8,28)&gt;EOMONTH(DATE($B$3,8,1),0),NETWORKDAYS.INTL(DATE($B$3,8,28),DATE($B$3,8,28),1,'Non-working days'!$A$6:$A$45)=0),"",IF(COUNTIFS('Leave log'!$A$7:$A$306,Employees!$A$20,'Leave log'!$B$7:$B$306,"&lt;="&amp;DATE($B$3,8,28),'Leave log'!$C$7:$C$306,"&gt;="&amp;DATE($B$3,8,28),'Leave log'!$F$7:$F$306,"Pending")&gt;0,"P",""))))</f>
        <v/>
      </c>
      <c r="AD259" s="23" t="str">
        <f>IF(A259="","",IF(IF(OR(DATE($B$3,8,29)&gt;EOMONTH(DATE($B$3,8,1),0),NETWORKDAYS.INTL(DATE($B$3,8,29),DATE($B$3,8,29),1,'Non-working days'!$A$6:$A$45)=0),"",IF(COUNTIFS('Leave log'!$A$7:$A$306,Employees!$A$20,'Leave log'!$B$7:$B$306,"&lt;="&amp;DATE($B$3,8,29),'Leave log'!$C$7:$C$306,"&gt;="&amp;DATE($B$3,8,29),'Leave log'!$F$7:$F$306,"Approved")&gt;0,"A",""))="A","A",IF(OR(DATE($B$3,8,29)&gt;EOMONTH(DATE($B$3,8,1),0),NETWORKDAYS.INTL(DATE($B$3,8,29),DATE($B$3,8,29),1,'Non-working days'!$A$6:$A$45)=0),"",IF(COUNTIFS('Leave log'!$A$7:$A$306,Employees!$A$20,'Leave log'!$B$7:$B$306,"&lt;="&amp;DATE($B$3,8,29),'Leave log'!$C$7:$C$306,"&gt;="&amp;DATE($B$3,8,29),'Leave log'!$F$7:$F$306,"Pending")&gt;0,"P",""))))</f>
        <v/>
      </c>
      <c r="AE259" s="23" t="str">
        <f>IF(A259="","",IF(IF(OR(DATE($B$3,8,30)&gt;EOMONTH(DATE($B$3,8,1),0),NETWORKDAYS.INTL(DATE($B$3,8,30),DATE($B$3,8,30),1,'Non-working days'!$A$6:$A$45)=0),"",IF(COUNTIFS('Leave log'!$A$7:$A$306,Employees!$A$20,'Leave log'!$B$7:$B$306,"&lt;="&amp;DATE($B$3,8,30),'Leave log'!$C$7:$C$306,"&gt;="&amp;DATE($B$3,8,30),'Leave log'!$F$7:$F$306,"Approved")&gt;0,"A",""))="A","A",IF(OR(DATE($B$3,8,30)&gt;EOMONTH(DATE($B$3,8,1),0),NETWORKDAYS.INTL(DATE($B$3,8,30),DATE($B$3,8,30),1,'Non-working days'!$A$6:$A$45)=0),"",IF(COUNTIFS('Leave log'!$A$7:$A$306,Employees!$A$20,'Leave log'!$B$7:$B$306,"&lt;="&amp;DATE($B$3,8,30),'Leave log'!$C$7:$C$306,"&gt;="&amp;DATE($B$3,8,30),'Leave log'!$F$7:$F$306,"Pending")&gt;0,"P",""))))</f>
        <v/>
      </c>
      <c r="AF259" s="23" t="str">
        <f>IF(A259="","",IF(IF(OR(DATE($B$3,8,31)&gt;EOMONTH(DATE($B$3,8,1),0),NETWORKDAYS.INTL(DATE($B$3,8,31),DATE($B$3,8,31),1,'Non-working days'!$A$6:$A$45)=0),"",IF(COUNTIFS('Leave log'!$A$7:$A$306,Employees!$A$20,'Leave log'!$B$7:$B$306,"&lt;="&amp;DATE($B$3,8,31),'Leave log'!$C$7:$C$306,"&gt;="&amp;DATE($B$3,8,31),'Leave log'!$F$7:$F$306,"Approved")&gt;0,"A",""))="A","A",IF(OR(DATE($B$3,8,31)&gt;EOMONTH(DATE($B$3,8,1),0),NETWORKDAYS.INTL(DATE($B$3,8,31),DATE($B$3,8,31),1,'Non-working days'!$A$6:$A$45)=0),"",IF(COUNTIFS('Leave log'!$A$7:$A$306,Employees!$A$20,'Leave log'!$B$7:$B$306,"&lt;="&amp;DATE($B$3,8,31),'Leave log'!$C$7:$C$306,"&gt;="&amp;DATE($B$3,8,31),'Leave log'!$F$7:$F$306,"Pending")&gt;0,"P",""))))</f>
        <v/>
      </c>
    </row>
    <row r="260" spans="1:32" ht="18" customHeight="1" x14ac:dyDescent="0.3">
      <c r="A260" s="22" t="str">
        <f>IF(Employees!F21="Yes",Employees!B21,"")</f>
        <v/>
      </c>
      <c r="B260" s="23" t="str">
        <f>IF(A260="","",IF(IF(OR(DATE($B$3,8,1)&gt;EOMONTH(DATE($B$3,8,1),0),NETWORKDAYS.INTL(DATE($B$3,8,1),DATE($B$3,8,1),1,'Non-working days'!$A$6:$A$45)=0),"",IF(COUNTIFS('Leave log'!$A$7:$A$306,Employees!$A$21,'Leave log'!$B$7:$B$306,"&lt;="&amp;DATE($B$3,8,1),'Leave log'!$C$7:$C$306,"&gt;="&amp;DATE($B$3,8,1),'Leave log'!$F$7:$F$306,"Approved")&gt;0,"A",""))="A","A",IF(OR(DATE($B$3,8,1)&gt;EOMONTH(DATE($B$3,8,1),0),NETWORKDAYS.INTL(DATE($B$3,8,1),DATE($B$3,8,1),1,'Non-working days'!$A$6:$A$45)=0),"",IF(COUNTIFS('Leave log'!$A$7:$A$306,Employees!$A$21,'Leave log'!$B$7:$B$306,"&lt;="&amp;DATE($B$3,8,1),'Leave log'!$C$7:$C$306,"&gt;="&amp;DATE($B$3,8,1),'Leave log'!$F$7:$F$306,"Pending")&gt;0,"P",""))))</f>
        <v/>
      </c>
      <c r="C260" s="23" t="str">
        <f>IF(A260="","",IF(IF(OR(DATE($B$3,8,2)&gt;EOMONTH(DATE($B$3,8,1),0),NETWORKDAYS.INTL(DATE($B$3,8,2),DATE($B$3,8,2),1,'Non-working days'!$A$6:$A$45)=0),"",IF(COUNTIFS('Leave log'!$A$7:$A$306,Employees!$A$21,'Leave log'!$B$7:$B$306,"&lt;="&amp;DATE($B$3,8,2),'Leave log'!$C$7:$C$306,"&gt;="&amp;DATE($B$3,8,2),'Leave log'!$F$7:$F$306,"Approved")&gt;0,"A",""))="A","A",IF(OR(DATE($B$3,8,2)&gt;EOMONTH(DATE($B$3,8,1),0),NETWORKDAYS.INTL(DATE($B$3,8,2),DATE($B$3,8,2),1,'Non-working days'!$A$6:$A$45)=0),"",IF(COUNTIFS('Leave log'!$A$7:$A$306,Employees!$A$21,'Leave log'!$B$7:$B$306,"&lt;="&amp;DATE($B$3,8,2),'Leave log'!$C$7:$C$306,"&gt;="&amp;DATE($B$3,8,2),'Leave log'!$F$7:$F$306,"Pending")&gt;0,"P",""))))</f>
        <v/>
      </c>
      <c r="D260" s="23" t="str">
        <f>IF(A260="","",IF(IF(OR(DATE($B$3,8,3)&gt;EOMONTH(DATE($B$3,8,1),0),NETWORKDAYS.INTL(DATE($B$3,8,3),DATE($B$3,8,3),1,'Non-working days'!$A$6:$A$45)=0),"",IF(COUNTIFS('Leave log'!$A$7:$A$306,Employees!$A$21,'Leave log'!$B$7:$B$306,"&lt;="&amp;DATE($B$3,8,3),'Leave log'!$C$7:$C$306,"&gt;="&amp;DATE($B$3,8,3),'Leave log'!$F$7:$F$306,"Approved")&gt;0,"A",""))="A","A",IF(OR(DATE($B$3,8,3)&gt;EOMONTH(DATE($B$3,8,1),0),NETWORKDAYS.INTL(DATE($B$3,8,3),DATE($B$3,8,3),1,'Non-working days'!$A$6:$A$45)=0),"",IF(COUNTIFS('Leave log'!$A$7:$A$306,Employees!$A$21,'Leave log'!$B$7:$B$306,"&lt;="&amp;DATE($B$3,8,3),'Leave log'!$C$7:$C$306,"&gt;="&amp;DATE($B$3,8,3),'Leave log'!$F$7:$F$306,"Pending")&gt;0,"P",""))))</f>
        <v/>
      </c>
      <c r="E260" s="23" t="str">
        <f>IF(A260="","",IF(IF(OR(DATE($B$3,8,4)&gt;EOMONTH(DATE($B$3,8,1),0),NETWORKDAYS.INTL(DATE($B$3,8,4),DATE($B$3,8,4),1,'Non-working days'!$A$6:$A$45)=0),"",IF(COUNTIFS('Leave log'!$A$7:$A$306,Employees!$A$21,'Leave log'!$B$7:$B$306,"&lt;="&amp;DATE($B$3,8,4),'Leave log'!$C$7:$C$306,"&gt;="&amp;DATE($B$3,8,4),'Leave log'!$F$7:$F$306,"Approved")&gt;0,"A",""))="A","A",IF(OR(DATE($B$3,8,4)&gt;EOMONTH(DATE($B$3,8,1),0),NETWORKDAYS.INTL(DATE($B$3,8,4),DATE($B$3,8,4),1,'Non-working days'!$A$6:$A$45)=0),"",IF(COUNTIFS('Leave log'!$A$7:$A$306,Employees!$A$21,'Leave log'!$B$7:$B$306,"&lt;="&amp;DATE($B$3,8,4),'Leave log'!$C$7:$C$306,"&gt;="&amp;DATE($B$3,8,4),'Leave log'!$F$7:$F$306,"Pending")&gt;0,"P",""))))</f>
        <v/>
      </c>
      <c r="F260" s="23" t="str">
        <f>IF(A260="","",IF(IF(OR(DATE($B$3,8,5)&gt;EOMONTH(DATE($B$3,8,1),0),NETWORKDAYS.INTL(DATE($B$3,8,5),DATE($B$3,8,5),1,'Non-working days'!$A$6:$A$45)=0),"",IF(COUNTIFS('Leave log'!$A$7:$A$306,Employees!$A$21,'Leave log'!$B$7:$B$306,"&lt;="&amp;DATE($B$3,8,5),'Leave log'!$C$7:$C$306,"&gt;="&amp;DATE($B$3,8,5),'Leave log'!$F$7:$F$306,"Approved")&gt;0,"A",""))="A","A",IF(OR(DATE($B$3,8,5)&gt;EOMONTH(DATE($B$3,8,1),0),NETWORKDAYS.INTL(DATE($B$3,8,5),DATE($B$3,8,5),1,'Non-working days'!$A$6:$A$45)=0),"",IF(COUNTIFS('Leave log'!$A$7:$A$306,Employees!$A$21,'Leave log'!$B$7:$B$306,"&lt;="&amp;DATE($B$3,8,5),'Leave log'!$C$7:$C$306,"&gt;="&amp;DATE($B$3,8,5),'Leave log'!$F$7:$F$306,"Pending")&gt;0,"P",""))))</f>
        <v/>
      </c>
      <c r="G260" s="23" t="str">
        <f>IF(A260="","",IF(IF(OR(DATE($B$3,8,6)&gt;EOMONTH(DATE($B$3,8,1),0),NETWORKDAYS.INTL(DATE($B$3,8,6),DATE($B$3,8,6),1,'Non-working days'!$A$6:$A$45)=0),"",IF(COUNTIFS('Leave log'!$A$7:$A$306,Employees!$A$21,'Leave log'!$B$7:$B$306,"&lt;="&amp;DATE($B$3,8,6),'Leave log'!$C$7:$C$306,"&gt;="&amp;DATE($B$3,8,6),'Leave log'!$F$7:$F$306,"Approved")&gt;0,"A",""))="A","A",IF(OR(DATE($B$3,8,6)&gt;EOMONTH(DATE($B$3,8,1),0),NETWORKDAYS.INTL(DATE($B$3,8,6),DATE($B$3,8,6),1,'Non-working days'!$A$6:$A$45)=0),"",IF(COUNTIFS('Leave log'!$A$7:$A$306,Employees!$A$21,'Leave log'!$B$7:$B$306,"&lt;="&amp;DATE($B$3,8,6),'Leave log'!$C$7:$C$306,"&gt;="&amp;DATE($B$3,8,6),'Leave log'!$F$7:$F$306,"Pending")&gt;0,"P",""))))</f>
        <v/>
      </c>
      <c r="H260" s="23" t="str">
        <f>IF(A260="","",IF(IF(OR(DATE($B$3,8,7)&gt;EOMONTH(DATE($B$3,8,1),0),NETWORKDAYS.INTL(DATE($B$3,8,7),DATE($B$3,8,7),1,'Non-working days'!$A$6:$A$45)=0),"",IF(COUNTIFS('Leave log'!$A$7:$A$306,Employees!$A$21,'Leave log'!$B$7:$B$306,"&lt;="&amp;DATE($B$3,8,7),'Leave log'!$C$7:$C$306,"&gt;="&amp;DATE($B$3,8,7),'Leave log'!$F$7:$F$306,"Approved")&gt;0,"A",""))="A","A",IF(OR(DATE($B$3,8,7)&gt;EOMONTH(DATE($B$3,8,1),0),NETWORKDAYS.INTL(DATE($B$3,8,7),DATE($B$3,8,7),1,'Non-working days'!$A$6:$A$45)=0),"",IF(COUNTIFS('Leave log'!$A$7:$A$306,Employees!$A$21,'Leave log'!$B$7:$B$306,"&lt;="&amp;DATE($B$3,8,7),'Leave log'!$C$7:$C$306,"&gt;="&amp;DATE($B$3,8,7),'Leave log'!$F$7:$F$306,"Pending")&gt;0,"P",""))))</f>
        <v/>
      </c>
      <c r="I260" s="23" t="str">
        <f>IF(A260="","",IF(IF(OR(DATE($B$3,8,8)&gt;EOMONTH(DATE($B$3,8,1),0),NETWORKDAYS.INTL(DATE($B$3,8,8),DATE($B$3,8,8),1,'Non-working days'!$A$6:$A$45)=0),"",IF(COUNTIFS('Leave log'!$A$7:$A$306,Employees!$A$21,'Leave log'!$B$7:$B$306,"&lt;="&amp;DATE($B$3,8,8),'Leave log'!$C$7:$C$306,"&gt;="&amp;DATE($B$3,8,8),'Leave log'!$F$7:$F$306,"Approved")&gt;0,"A",""))="A","A",IF(OR(DATE($B$3,8,8)&gt;EOMONTH(DATE($B$3,8,1),0),NETWORKDAYS.INTL(DATE($B$3,8,8),DATE($B$3,8,8),1,'Non-working days'!$A$6:$A$45)=0),"",IF(COUNTIFS('Leave log'!$A$7:$A$306,Employees!$A$21,'Leave log'!$B$7:$B$306,"&lt;="&amp;DATE($B$3,8,8),'Leave log'!$C$7:$C$306,"&gt;="&amp;DATE($B$3,8,8),'Leave log'!$F$7:$F$306,"Pending")&gt;0,"P",""))))</f>
        <v/>
      </c>
      <c r="J260" s="23" t="str">
        <f>IF(A260="","",IF(IF(OR(DATE($B$3,8,9)&gt;EOMONTH(DATE($B$3,8,1),0),NETWORKDAYS.INTL(DATE($B$3,8,9),DATE($B$3,8,9),1,'Non-working days'!$A$6:$A$45)=0),"",IF(COUNTIFS('Leave log'!$A$7:$A$306,Employees!$A$21,'Leave log'!$B$7:$B$306,"&lt;="&amp;DATE($B$3,8,9),'Leave log'!$C$7:$C$306,"&gt;="&amp;DATE($B$3,8,9),'Leave log'!$F$7:$F$306,"Approved")&gt;0,"A",""))="A","A",IF(OR(DATE($B$3,8,9)&gt;EOMONTH(DATE($B$3,8,1),0),NETWORKDAYS.INTL(DATE($B$3,8,9),DATE($B$3,8,9),1,'Non-working days'!$A$6:$A$45)=0),"",IF(COUNTIFS('Leave log'!$A$7:$A$306,Employees!$A$21,'Leave log'!$B$7:$B$306,"&lt;="&amp;DATE($B$3,8,9),'Leave log'!$C$7:$C$306,"&gt;="&amp;DATE($B$3,8,9),'Leave log'!$F$7:$F$306,"Pending")&gt;0,"P",""))))</f>
        <v/>
      </c>
      <c r="K260" s="23" t="str">
        <f>IF(A260="","",IF(IF(OR(DATE($B$3,8,10)&gt;EOMONTH(DATE($B$3,8,1),0),NETWORKDAYS.INTL(DATE($B$3,8,10),DATE($B$3,8,10),1,'Non-working days'!$A$6:$A$45)=0),"",IF(COUNTIFS('Leave log'!$A$7:$A$306,Employees!$A$21,'Leave log'!$B$7:$B$306,"&lt;="&amp;DATE($B$3,8,10),'Leave log'!$C$7:$C$306,"&gt;="&amp;DATE($B$3,8,10),'Leave log'!$F$7:$F$306,"Approved")&gt;0,"A",""))="A","A",IF(OR(DATE($B$3,8,10)&gt;EOMONTH(DATE($B$3,8,1),0),NETWORKDAYS.INTL(DATE($B$3,8,10),DATE($B$3,8,10),1,'Non-working days'!$A$6:$A$45)=0),"",IF(COUNTIFS('Leave log'!$A$7:$A$306,Employees!$A$21,'Leave log'!$B$7:$B$306,"&lt;="&amp;DATE($B$3,8,10),'Leave log'!$C$7:$C$306,"&gt;="&amp;DATE($B$3,8,10),'Leave log'!$F$7:$F$306,"Pending")&gt;0,"P",""))))</f>
        <v/>
      </c>
      <c r="L260" s="23" t="str">
        <f>IF(A260="","",IF(IF(OR(DATE($B$3,8,11)&gt;EOMONTH(DATE($B$3,8,1),0),NETWORKDAYS.INTL(DATE($B$3,8,11),DATE($B$3,8,11),1,'Non-working days'!$A$6:$A$45)=0),"",IF(COUNTIFS('Leave log'!$A$7:$A$306,Employees!$A$21,'Leave log'!$B$7:$B$306,"&lt;="&amp;DATE($B$3,8,11),'Leave log'!$C$7:$C$306,"&gt;="&amp;DATE($B$3,8,11),'Leave log'!$F$7:$F$306,"Approved")&gt;0,"A",""))="A","A",IF(OR(DATE($B$3,8,11)&gt;EOMONTH(DATE($B$3,8,1),0),NETWORKDAYS.INTL(DATE($B$3,8,11),DATE($B$3,8,11),1,'Non-working days'!$A$6:$A$45)=0),"",IF(COUNTIFS('Leave log'!$A$7:$A$306,Employees!$A$21,'Leave log'!$B$7:$B$306,"&lt;="&amp;DATE($B$3,8,11),'Leave log'!$C$7:$C$306,"&gt;="&amp;DATE($B$3,8,11),'Leave log'!$F$7:$F$306,"Pending")&gt;0,"P",""))))</f>
        <v/>
      </c>
      <c r="M260" s="23" t="str">
        <f>IF(A260="","",IF(IF(OR(DATE($B$3,8,12)&gt;EOMONTH(DATE($B$3,8,1),0),NETWORKDAYS.INTL(DATE($B$3,8,12),DATE($B$3,8,12),1,'Non-working days'!$A$6:$A$45)=0),"",IF(COUNTIFS('Leave log'!$A$7:$A$306,Employees!$A$21,'Leave log'!$B$7:$B$306,"&lt;="&amp;DATE($B$3,8,12),'Leave log'!$C$7:$C$306,"&gt;="&amp;DATE($B$3,8,12),'Leave log'!$F$7:$F$306,"Approved")&gt;0,"A",""))="A","A",IF(OR(DATE($B$3,8,12)&gt;EOMONTH(DATE($B$3,8,1),0),NETWORKDAYS.INTL(DATE($B$3,8,12),DATE($B$3,8,12),1,'Non-working days'!$A$6:$A$45)=0),"",IF(COUNTIFS('Leave log'!$A$7:$A$306,Employees!$A$21,'Leave log'!$B$7:$B$306,"&lt;="&amp;DATE($B$3,8,12),'Leave log'!$C$7:$C$306,"&gt;="&amp;DATE($B$3,8,12),'Leave log'!$F$7:$F$306,"Pending")&gt;0,"P",""))))</f>
        <v/>
      </c>
      <c r="N260" s="23" t="str">
        <f>IF(A260="","",IF(IF(OR(DATE($B$3,8,13)&gt;EOMONTH(DATE($B$3,8,1),0),NETWORKDAYS.INTL(DATE($B$3,8,13),DATE($B$3,8,13),1,'Non-working days'!$A$6:$A$45)=0),"",IF(COUNTIFS('Leave log'!$A$7:$A$306,Employees!$A$21,'Leave log'!$B$7:$B$306,"&lt;="&amp;DATE($B$3,8,13),'Leave log'!$C$7:$C$306,"&gt;="&amp;DATE($B$3,8,13),'Leave log'!$F$7:$F$306,"Approved")&gt;0,"A",""))="A","A",IF(OR(DATE($B$3,8,13)&gt;EOMONTH(DATE($B$3,8,1),0),NETWORKDAYS.INTL(DATE($B$3,8,13),DATE($B$3,8,13),1,'Non-working days'!$A$6:$A$45)=0),"",IF(COUNTIFS('Leave log'!$A$7:$A$306,Employees!$A$21,'Leave log'!$B$7:$B$306,"&lt;="&amp;DATE($B$3,8,13),'Leave log'!$C$7:$C$306,"&gt;="&amp;DATE($B$3,8,13),'Leave log'!$F$7:$F$306,"Pending")&gt;0,"P",""))))</f>
        <v/>
      </c>
      <c r="O260" s="23" t="str">
        <f>IF(A260="","",IF(IF(OR(DATE($B$3,8,14)&gt;EOMONTH(DATE($B$3,8,1),0),NETWORKDAYS.INTL(DATE($B$3,8,14),DATE($B$3,8,14),1,'Non-working days'!$A$6:$A$45)=0),"",IF(COUNTIFS('Leave log'!$A$7:$A$306,Employees!$A$21,'Leave log'!$B$7:$B$306,"&lt;="&amp;DATE($B$3,8,14),'Leave log'!$C$7:$C$306,"&gt;="&amp;DATE($B$3,8,14),'Leave log'!$F$7:$F$306,"Approved")&gt;0,"A",""))="A","A",IF(OR(DATE($B$3,8,14)&gt;EOMONTH(DATE($B$3,8,1),0),NETWORKDAYS.INTL(DATE($B$3,8,14),DATE($B$3,8,14),1,'Non-working days'!$A$6:$A$45)=0),"",IF(COUNTIFS('Leave log'!$A$7:$A$306,Employees!$A$21,'Leave log'!$B$7:$B$306,"&lt;="&amp;DATE($B$3,8,14),'Leave log'!$C$7:$C$306,"&gt;="&amp;DATE($B$3,8,14),'Leave log'!$F$7:$F$306,"Pending")&gt;0,"P",""))))</f>
        <v/>
      </c>
      <c r="P260" s="23" t="str">
        <f>IF(A260="","",IF(IF(OR(DATE($B$3,8,15)&gt;EOMONTH(DATE($B$3,8,1),0),NETWORKDAYS.INTL(DATE($B$3,8,15),DATE($B$3,8,15),1,'Non-working days'!$A$6:$A$45)=0),"",IF(COUNTIFS('Leave log'!$A$7:$A$306,Employees!$A$21,'Leave log'!$B$7:$B$306,"&lt;="&amp;DATE($B$3,8,15),'Leave log'!$C$7:$C$306,"&gt;="&amp;DATE($B$3,8,15),'Leave log'!$F$7:$F$306,"Approved")&gt;0,"A",""))="A","A",IF(OR(DATE($B$3,8,15)&gt;EOMONTH(DATE($B$3,8,1),0),NETWORKDAYS.INTL(DATE($B$3,8,15),DATE($B$3,8,15),1,'Non-working days'!$A$6:$A$45)=0),"",IF(COUNTIFS('Leave log'!$A$7:$A$306,Employees!$A$21,'Leave log'!$B$7:$B$306,"&lt;="&amp;DATE($B$3,8,15),'Leave log'!$C$7:$C$306,"&gt;="&amp;DATE($B$3,8,15),'Leave log'!$F$7:$F$306,"Pending")&gt;0,"P",""))))</f>
        <v/>
      </c>
      <c r="Q260" s="23" t="str">
        <f>IF(A260="","",IF(IF(OR(DATE($B$3,8,16)&gt;EOMONTH(DATE($B$3,8,1),0),NETWORKDAYS.INTL(DATE($B$3,8,16),DATE($B$3,8,16),1,'Non-working days'!$A$6:$A$45)=0),"",IF(COUNTIFS('Leave log'!$A$7:$A$306,Employees!$A$21,'Leave log'!$B$7:$B$306,"&lt;="&amp;DATE($B$3,8,16),'Leave log'!$C$7:$C$306,"&gt;="&amp;DATE($B$3,8,16),'Leave log'!$F$7:$F$306,"Approved")&gt;0,"A",""))="A","A",IF(OR(DATE($B$3,8,16)&gt;EOMONTH(DATE($B$3,8,1),0),NETWORKDAYS.INTL(DATE($B$3,8,16),DATE($B$3,8,16),1,'Non-working days'!$A$6:$A$45)=0),"",IF(COUNTIFS('Leave log'!$A$7:$A$306,Employees!$A$21,'Leave log'!$B$7:$B$306,"&lt;="&amp;DATE($B$3,8,16),'Leave log'!$C$7:$C$306,"&gt;="&amp;DATE($B$3,8,16),'Leave log'!$F$7:$F$306,"Pending")&gt;0,"P",""))))</f>
        <v/>
      </c>
      <c r="R260" s="23" t="str">
        <f>IF(A260="","",IF(IF(OR(DATE($B$3,8,17)&gt;EOMONTH(DATE($B$3,8,1),0),NETWORKDAYS.INTL(DATE($B$3,8,17),DATE($B$3,8,17),1,'Non-working days'!$A$6:$A$45)=0),"",IF(COUNTIFS('Leave log'!$A$7:$A$306,Employees!$A$21,'Leave log'!$B$7:$B$306,"&lt;="&amp;DATE($B$3,8,17),'Leave log'!$C$7:$C$306,"&gt;="&amp;DATE($B$3,8,17),'Leave log'!$F$7:$F$306,"Approved")&gt;0,"A",""))="A","A",IF(OR(DATE($B$3,8,17)&gt;EOMONTH(DATE($B$3,8,1),0),NETWORKDAYS.INTL(DATE($B$3,8,17),DATE($B$3,8,17),1,'Non-working days'!$A$6:$A$45)=0),"",IF(COUNTIFS('Leave log'!$A$7:$A$306,Employees!$A$21,'Leave log'!$B$7:$B$306,"&lt;="&amp;DATE($B$3,8,17),'Leave log'!$C$7:$C$306,"&gt;="&amp;DATE($B$3,8,17),'Leave log'!$F$7:$F$306,"Pending")&gt;0,"P",""))))</f>
        <v/>
      </c>
      <c r="S260" s="23" t="str">
        <f>IF(A260="","",IF(IF(OR(DATE($B$3,8,18)&gt;EOMONTH(DATE($B$3,8,1),0),NETWORKDAYS.INTL(DATE($B$3,8,18),DATE($B$3,8,18),1,'Non-working days'!$A$6:$A$45)=0),"",IF(COUNTIFS('Leave log'!$A$7:$A$306,Employees!$A$21,'Leave log'!$B$7:$B$306,"&lt;="&amp;DATE($B$3,8,18),'Leave log'!$C$7:$C$306,"&gt;="&amp;DATE($B$3,8,18),'Leave log'!$F$7:$F$306,"Approved")&gt;0,"A",""))="A","A",IF(OR(DATE($B$3,8,18)&gt;EOMONTH(DATE($B$3,8,1),0),NETWORKDAYS.INTL(DATE($B$3,8,18),DATE($B$3,8,18),1,'Non-working days'!$A$6:$A$45)=0),"",IF(COUNTIFS('Leave log'!$A$7:$A$306,Employees!$A$21,'Leave log'!$B$7:$B$306,"&lt;="&amp;DATE($B$3,8,18),'Leave log'!$C$7:$C$306,"&gt;="&amp;DATE($B$3,8,18),'Leave log'!$F$7:$F$306,"Pending")&gt;0,"P",""))))</f>
        <v/>
      </c>
      <c r="T260" s="23" t="str">
        <f>IF(A260="","",IF(IF(OR(DATE($B$3,8,19)&gt;EOMONTH(DATE($B$3,8,1),0),NETWORKDAYS.INTL(DATE($B$3,8,19),DATE($B$3,8,19),1,'Non-working days'!$A$6:$A$45)=0),"",IF(COUNTIFS('Leave log'!$A$7:$A$306,Employees!$A$21,'Leave log'!$B$7:$B$306,"&lt;="&amp;DATE($B$3,8,19),'Leave log'!$C$7:$C$306,"&gt;="&amp;DATE($B$3,8,19),'Leave log'!$F$7:$F$306,"Approved")&gt;0,"A",""))="A","A",IF(OR(DATE($B$3,8,19)&gt;EOMONTH(DATE($B$3,8,1),0),NETWORKDAYS.INTL(DATE($B$3,8,19),DATE($B$3,8,19),1,'Non-working days'!$A$6:$A$45)=0),"",IF(COUNTIFS('Leave log'!$A$7:$A$306,Employees!$A$21,'Leave log'!$B$7:$B$306,"&lt;="&amp;DATE($B$3,8,19),'Leave log'!$C$7:$C$306,"&gt;="&amp;DATE($B$3,8,19),'Leave log'!$F$7:$F$306,"Pending")&gt;0,"P",""))))</f>
        <v/>
      </c>
      <c r="U260" s="23" t="str">
        <f>IF(A260="","",IF(IF(OR(DATE($B$3,8,20)&gt;EOMONTH(DATE($B$3,8,1),0),NETWORKDAYS.INTL(DATE($B$3,8,20),DATE($B$3,8,20),1,'Non-working days'!$A$6:$A$45)=0),"",IF(COUNTIFS('Leave log'!$A$7:$A$306,Employees!$A$21,'Leave log'!$B$7:$B$306,"&lt;="&amp;DATE($B$3,8,20),'Leave log'!$C$7:$C$306,"&gt;="&amp;DATE($B$3,8,20),'Leave log'!$F$7:$F$306,"Approved")&gt;0,"A",""))="A","A",IF(OR(DATE($B$3,8,20)&gt;EOMONTH(DATE($B$3,8,1),0),NETWORKDAYS.INTL(DATE($B$3,8,20),DATE($B$3,8,20),1,'Non-working days'!$A$6:$A$45)=0),"",IF(COUNTIFS('Leave log'!$A$7:$A$306,Employees!$A$21,'Leave log'!$B$7:$B$306,"&lt;="&amp;DATE($B$3,8,20),'Leave log'!$C$7:$C$306,"&gt;="&amp;DATE($B$3,8,20),'Leave log'!$F$7:$F$306,"Pending")&gt;0,"P",""))))</f>
        <v/>
      </c>
      <c r="V260" s="23" t="str">
        <f>IF(A260="","",IF(IF(OR(DATE($B$3,8,21)&gt;EOMONTH(DATE($B$3,8,1),0),NETWORKDAYS.INTL(DATE($B$3,8,21),DATE($B$3,8,21),1,'Non-working days'!$A$6:$A$45)=0),"",IF(COUNTIFS('Leave log'!$A$7:$A$306,Employees!$A$21,'Leave log'!$B$7:$B$306,"&lt;="&amp;DATE($B$3,8,21),'Leave log'!$C$7:$C$306,"&gt;="&amp;DATE($B$3,8,21),'Leave log'!$F$7:$F$306,"Approved")&gt;0,"A",""))="A","A",IF(OR(DATE($B$3,8,21)&gt;EOMONTH(DATE($B$3,8,1),0),NETWORKDAYS.INTL(DATE($B$3,8,21),DATE($B$3,8,21),1,'Non-working days'!$A$6:$A$45)=0),"",IF(COUNTIFS('Leave log'!$A$7:$A$306,Employees!$A$21,'Leave log'!$B$7:$B$306,"&lt;="&amp;DATE($B$3,8,21),'Leave log'!$C$7:$C$306,"&gt;="&amp;DATE($B$3,8,21),'Leave log'!$F$7:$F$306,"Pending")&gt;0,"P",""))))</f>
        <v/>
      </c>
      <c r="W260" s="23" t="str">
        <f>IF(A260="","",IF(IF(OR(DATE($B$3,8,22)&gt;EOMONTH(DATE($B$3,8,1),0),NETWORKDAYS.INTL(DATE($B$3,8,22),DATE($B$3,8,22),1,'Non-working days'!$A$6:$A$45)=0),"",IF(COUNTIFS('Leave log'!$A$7:$A$306,Employees!$A$21,'Leave log'!$B$7:$B$306,"&lt;="&amp;DATE($B$3,8,22),'Leave log'!$C$7:$C$306,"&gt;="&amp;DATE($B$3,8,22),'Leave log'!$F$7:$F$306,"Approved")&gt;0,"A",""))="A","A",IF(OR(DATE($B$3,8,22)&gt;EOMONTH(DATE($B$3,8,1),0),NETWORKDAYS.INTL(DATE($B$3,8,22),DATE($B$3,8,22),1,'Non-working days'!$A$6:$A$45)=0),"",IF(COUNTIFS('Leave log'!$A$7:$A$306,Employees!$A$21,'Leave log'!$B$7:$B$306,"&lt;="&amp;DATE($B$3,8,22),'Leave log'!$C$7:$C$306,"&gt;="&amp;DATE($B$3,8,22),'Leave log'!$F$7:$F$306,"Pending")&gt;0,"P",""))))</f>
        <v/>
      </c>
      <c r="X260" s="23" t="str">
        <f>IF(A260="","",IF(IF(OR(DATE($B$3,8,23)&gt;EOMONTH(DATE($B$3,8,1),0),NETWORKDAYS.INTL(DATE($B$3,8,23),DATE($B$3,8,23),1,'Non-working days'!$A$6:$A$45)=0),"",IF(COUNTIFS('Leave log'!$A$7:$A$306,Employees!$A$21,'Leave log'!$B$7:$B$306,"&lt;="&amp;DATE($B$3,8,23),'Leave log'!$C$7:$C$306,"&gt;="&amp;DATE($B$3,8,23),'Leave log'!$F$7:$F$306,"Approved")&gt;0,"A",""))="A","A",IF(OR(DATE($B$3,8,23)&gt;EOMONTH(DATE($B$3,8,1),0),NETWORKDAYS.INTL(DATE($B$3,8,23),DATE($B$3,8,23),1,'Non-working days'!$A$6:$A$45)=0),"",IF(COUNTIFS('Leave log'!$A$7:$A$306,Employees!$A$21,'Leave log'!$B$7:$B$306,"&lt;="&amp;DATE($B$3,8,23),'Leave log'!$C$7:$C$306,"&gt;="&amp;DATE($B$3,8,23),'Leave log'!$F$7:$F$306,"Pending")&gt;0,"P",""))))</f>
        <v/>
      </c>
      <c r="Y260" s="23" t="str">
        <f>IF(A260="","",IF(IF(OR(DATE($B$3,8,24)&gt;EOMONTH(DATE($B$3,8,1),0),NETWORKDAYS.INTL(DATE($B$3,8,24),DATE($B$3,8,24),1,'Non-working days'!$A$6:$A$45)=0),"",IF(COUNTIFS('Leave log'!$A$7:$A$306,Employees!$A$21,'Leave log'!$B$7:$B$306,"&lt;="&amp;DATE($B$3,8,24),'Leave log'!$C$7:$C$306,"&gt;="&amp;DATE($B$3,8,24),'Leave log'!$F$7:$F$306,"Approved")&gt;0,"A",""))="A","A",IF(OR(DATE($B$3,8,24)&gt;EOMONTH(DATE($B$3,8,1),0),NETWORKDAYS.INTL(DATE($B$3,8,24),DATE($B$3,8,24),1,'Non-working days'!$A$6:$A$45)=0),"",IF(COUNTIFS('Leave log'!$A$7:$A$306,Employees!$A$21,'Leave log'!$B$7:$B$306,"&lt;="&amp;DATE($B$3,8,24),'Leave log'!$C$7:$C$306,"&gt;="&amp;DATE($B$3,8,24),'Leave log'!$F$7:$F$306,"Pending")&gt;0,"P",""))))</f>
        <v/>
      </c>
      <c r="Z260" s="23" t="str">
        <f>IF(A260="","",IF(IF(OR(DATE($B$3,8,25)&gt;EOMONTH(DATE($B$3,8,1),0),NETWORKDAYS.INTL(DATE($B$3,8,25),DATE($B$3,8,25),1,'Non-working days'!$A$6:$A$45)=0),"",IF(COUNTIFS('Leave log'!$A$7:$A$306,Employees!$A$21,'Leave log'!$B$7:$B$306,"&lt;="&amp;DATE($B$3,8,25),'Leave log'!$C$7:$C$306,"&gt;="&amp;DATE($B$3,8,25),'Leave log'!$F$7:$F$306,"Approved")&gt;0,"A",""))="A","A",IF(OR(DATE($B$3,8,25)&gt;EOMONTH(DATE($B$3,8,1),0),NETWORKDAYS.INTL(DATE($B$3,8,25),DATE($B$3,8,25),1,'Non-working days'!$A$6:$A$45)=0),"",IF(COUNTIFS('Leave log'!$A$7:$A$306,Employees!$A$21,'Leave log'!$B$7:$B$306,"&lt;="&amp;DATE($B$3,8,25),'Leave log'!$C$7:$C$306,"&gt;="&amp;DATE($B$3,8,25),'Leave log'!$F$7:$F$306,"Pending")&gt;0,"P",""))))</f>
        <v/>
      </c>
      <c r="AA260" s="23" t="str">
        <f>IF(A260="","",IF(IF(OR(DATE($B$3,8,26)&gt;EOMONTH(DATE($B$3,8,1),0),NETWORKDAYS.INTL(DATE($B$3,8,26),DATE($B$3,8,26),1,'Non-working days'!$A$6:$A$45)=0),"",IF(COUNTIFS('Leave log'!$A$7:$A$306,Employees!$A$21,'Leave log'!$B$7:$B$306,"&lt;="&amp;DATE($B$3,8,26),'Leave log'!$C$7:$C$306,"&gt;="&amp;DATE($B$3,8,26),'Leave log'!$F$7:$F$306,"Approved")&gt;0,"A",""))="A","A",IF(OR(DATE($B$3,8,26)&gt;EOMONTH(DATE($B$3,8,1),0),NETWORKDAYS.INTL(DATE($B$3,8,26),DATE($B$3,8,26),1,'Non-working days'!$A$6:$A$45)=0),"",IF(COUNTIFS('Leave log'!$A$7:$A$306,Employees!$A$21,'Leave log'!$B$7:$B$306,"&lt;="&amp;DATE($B$3,8,26),'Leave log'!$C$7:$C$306,"&gt;="&amp;DATE($B$3,8,26),'Leave log'!$F$7:$F$306,"Pending")&gt;0,"P",""))))</f>
        <v/>
      </c>
      <c r="AB260" s="23" t="str">
        <f>IF(A260="","",IF(IF(OR(DATE($B$3,8,27)&gt;EOMONTH(DATE($B$3,8,1),0),NETWORKDAYS.INTL(DATE($B$3,8,27),DATE($B$3,8,27),1,'Non-working days'!$A$6:$A$45)=0),"",IF(COUNTIFS('Leave log'!$A$7:$A$306,Employees!$A$21,'Leave log'!$B$7:$B$306,"&lt;="&amp;DATE($B$3,8,27),'Leave log'!$C$7:$C$306,"&gt;="&amp;DATE($B$3,8,27),'Leave log'!$F$7:$F$306,"Approved")&gt;0,"A",""))="A","A",IF(OR(DATE($B$3,8,27)&gt;EOMONTH(DATE($B$3,8,1),0),NETWORKDAYS.INTL(DATE($B$3,8,27),DATE($B$3,8,27),1,'Non-working days'!$A$6:$A$45)=0),"",IF(COUNTIFS('Leave log'!$A$7:$A$306,Employees!$A$21,'Leave log'!$B$7:$B$306,"&lt;="&amp;DATE($B$3,8,27),'Leave log'!$C$7:$C$306,"&gt;="&amp;DATE($B$3,8,27),'Leave log'!$F$7:$F$306,"Pending")&gt;0,"P",""))))</f>
        <v/>
      </c>
      <c r="AC260" s="23" t="str">
        <f>IF(A260="","",IF(IF(OR(DATE($B$3,8,28)&gt;EOMONTH(DATE($B$3,8,1),0),NETWORKDAYS.INTL(DATE($B$3,8,28),DATE($B$3,8,28),1,'Non-working days'!$A$6:$A$45)=0),"",IF(COUNTIFS('Leave log'!$A$7:$A$306,Employees!$A$21,'Leave log'!$B$7:$B$306,"&lt;="&amp;DATE($B$3,8,28),'Leave log'!$C$7:$C$306,"&gt;="&amp;DATE($B$3,8,28),'Leave log'!$F$7:$F$306,"Approved")&gt;0,"A",""))="A","A",IF(OR(DATE($B$3,8,28)&gt;EOMONTH(DATE($B$3,8,1),0),NETWORKDAYS.INTL(DATE($B$3,8,28),DATE($B$3,8,28),1,'Non-working days'!$A$6:$A$45)=0),"",IF(COUNTIFS('Leave log'!$A$7:$A$306,Employees!$A$21,'Leave log'!$B$7:$B$306,"&lt;="&amp;DATE($B$3,8,28),'Leave log'!$C$7:$C$306,"&gt;="&amp;DATE($B$3,8,28),'Leave log'!$F$7:$F$306,"Pending")&gt;0,"P",""))))</f>
        <v/>
      </c>
      <c r="AD260" s="23" t="str">
        <f>IF(A260="","",IF(IF(OR(DATE($B$3,8,29)&gt;EOMONTH(DATE($B$3,8,1),0),NETWORKDAYS.INTL(DATE($B$3,8,29),DATE($B$3,8,29),1,'Non-working days'!$A$6:$A$45)=0),"",IF(COUNTIFS('Leave log'!$A$7:$A$306,Employees!$A$21,'Leave log'!$B$7:$B$306,"&lt;="&amp;DATE($B$3,8,29),'Leave log'!$C$7:$C$306,"&gt;="&amp;DATE($B$3,8,29),'Leave log'!$F$7:$F$306,"Approved")&gt;0,"A",""))="A","A",IF(OR(DATE($B$3,8,29)&gt;EOMONTH(DATE($B$3,8,1),0),NETWORKDAYS.INTL(DATE($B$3,8,29),DATE($B$3,8,29),1,'Non-working days'!$A$6:$A$45)=0),"",IF(COUNTIFS('Leave log'!$A$7:$A$306,Employees!$A$21,'Leave log'!$B$7:$B$306,"&lt;="&amp;DATE($B$3,8,29),'Leave log'!$C$7:$C$306,"&gt;="&amp;DATE($B$3,8,29),'Leave log'!$F$7:$F$306,"Pending")&gt;0,"P",""))))</f>
        <v/>
      </c>
      <c r="AE260" s="23" t="str">
        <f>IF(A260="","",IF(IF(OR(DATE($B$3,8,30)&gt;EOMONTH(DATE($B$3,8,1),0),NETWORKDAYS.INTL(DATE($B$3,8,30),DATE($B$3,8,30),1,'Non-working days'!$A$6:$A$45)=0),"",IF(COUNTIFS('Leave log'!$A$7:$A$306,Employees!$A$21,'Leave log'!$B$7:$B$306,"&lt;="&amp;DATE($B$3,8,30),'Leave log'!$C$7:$C$306,"&gt;="&amp;DATE($B$3,8,30),'Leave log'!$F$7:$F$306,"Approved")&gt;0,"A",""))="A","A",IF(OR(DATE($B$3,8,30)&gt;EOMONTH(DATE($B$3,8,1),0),NETWORKDAYS.INTL(DATE($B$3,8,30),DATE($B$3,8,30),1,'Non-working days'!$A$6:$A$45)=0),"",IF(COUNTIFS('Leave log'!$A$7:$A$306,Employees!$A$21,'Leave log'!$B$7:$B$306,"&lt;="&amp;DATE($B$3,8,30),'Leave log'!$C$7:$C$306,"&gt;="&amp;DATE($B$3,8,30),'Leave log'!$F$7:$F$306,"Pending")&gt;0,"P",""))))</f>
        <v/>
      </c>
      <c r="AF260" s="23" t="str">
        <f>IF(A260="","",IF(IF(OR(DATE($B$3,8,31)&gt;EOMONTH(DATE($B$3,8,1),0),NETWORKDAYS.INTL(DATE($B$3,8,31),DATE($B$3,8,31),1,'Non-working days'!$A$6:$A$45)=0),"",IF(COUNTIFS('Leave log'!$A$7:$A$306,Employees!$A$21,'Leave log'!$B$7:$B$306,"&lt;="&amp;DATE($B$3,8,31),'Leave log'!$C$7:$C$306,"&gt;="&amp;DATE($B$3,8,31),'Leave log'!$F$7:$F$306,"Approved")&gt;0,"A",""))="A","A",IF(OR(DATE($B$3,8,31)&gt;EOMONTH(DATE($B$3,8,1),0),NETWORKDAYS.INTL(DATE($B$3,8,31),DATE($B$3,8,31),1,'Non-working days'!$A$6:$A$45)=0),"",IF(COUNTIFS('Leave log'!$A$7:$A$306,Employees!$A$21,'Leave log'!$B$7:$B$306,"&lt;="&amp;DATE($B$3,8,31),'Leave log'!$C$7:$C$306,"&gt;="&amp;DATE($B$3,8,31),'Leave log'!$F$7:$F$306,"Pending")&gt;0,"P",""))))</f>
        <v/>
      </c>
    </row>
    <row r="261" spans="1:32" ht="18" customHeight="1" x14ac:dyDescent="0.3">
      <c r="A261" s="22" t="str">
        <f>IF(Employees!F22="Yes",Employees!B22,"")</f>
        <v/>
      </c>
      <c r="B261" s="23" t="str">
        <f>IF(A261="","",IF(IF(OR(DATE($B$3,8,1)&gt;EOMONTH(DATE($B$3,8,1),0),NETWORKDAYS.INTL(DATE($B$3,8,1),DATE($B$3,8,1),1,'Non-working days'!$A$6:$A$45)=0),"",IF(COUNTIFS('Leave log'!$A$7:$A$306,Employees!$A$22,'Leave log'!$B$7:$B$306,"&lt;="&amp;DATE($B$3,8,1),'Leave log'!$C$7:$C$306,"&gt;="&amp;DATE($B$3,8,1),'Leave log'!$F$7:$F$306,"Approved")&gt;0,"A",""))="A","A",IF(OR(DATE($B$3,8,1)&gt;EOMONTH(DATE($B$3,8,1),0),NETWORKDAYS.INTL(DATE($B$3,8,1),DATE($B$3,8,1),1,'Non-working days'!$A$6:$A$45)=0),"",IF(COUNTIFS('Leave log'!$A$7:$A$306,Employees!$A$22,'Leave log'!$B$7:$B$306,"&lt;="&amp;DATE($B$3,8,1),'Leave log'!$C$7:$C$306,"&gt;="&amp;DATE($B$3,8,1),'Leave log'!$F$7:$F$306,"Pending")&gt;0,"P",""))))</f>
        <v/>
      </c>
      <c r="C261" s="23" t="str">
        <f>IF(A261="","",IF(IF(OR(DATE($B$3,8,2)&gt;EOMONTH(DATE($B$3,8,1),0),NETWORKDAYS.INTL(DATE($B$3,8,2),DATE($B$3,8,2),1,'Non-working days'!$A$6:$A$45)=0),"",IF(COUNTIFS('Leave log'!$A$7:$A$306,Employees!$A$22,'Leave log'!$B$7:$B$306,"&lt;="&amp;DATE($B$3,8,2),'Leave log'!$C$7:$C$306,"&gt;="&amp;DATE($B$3,8,2),'Leave log'!$F$7:$F$306,"Approved")&gt;0,"A",""))="A","A",IF(OR(DATE($B$3,8,2)&gt;EOMONTH(DATE($B$3,8,1),0),NETWORKDAYS.INTL(DATE($B$3,8,2),DATE($B$3,8,2),1,'Non-working days'!$A$6:$A$45)=0),"",IF(COUNTIFS('Leave log'!$A$7:$A$306,Employees!$A$22,'Leave log'!$B$7:$B$306,"&lt;="&amp;DATE($B$3,8,2),'Leave log'!$C$7:$C$306,"&gt;="&amp;DATE($B$3,8,2),'Leave log'!$F$7:$F$306,"Pending")&gt;0,"P",""))))</f>
        <v/>
      </c>
      <c r="D261" s="23" t="str">
        <f>IF(A261="","",IF(IF(OR(DATE($B$3,8,3)&gt;EOMONTH(DATE($B$3,8,1),0),NETWORKDAYS.INTL(DATE($B$3,8,3),DATE($B$3,8,3),1,'Non-working days'!$A$6:$A$45)=0),"",IF(COUNTIFS('Leave log'!$A$7:$A$306,Employees!$A$22,'Leave log'!$B$7:$B$306,"&lt;="&amp;DATE($B$3,8,3),'Leave log'!$C$7:$C$306,"&gt;="&amp;DATE($B$3,8,3),'Leave log'!$F$7:$F$306,"Approved")&gt;0,"A",""))="A","A",IF(OR(DATE($B$3,8,3)&gt;EOMONTH(DATE($B$3,8,1),0),NETWORKDAYS.INTL(DATE($B$3,8,3),DATE($B$3,8,3),1,'Non-working days'!$A$6:$A$45)=0),"",IF(COUNTIFS('Leave log'!$A$7:$A$306,Employees!$A$22,'Leave log'!$B$7:$B$306,"&lt;="&amp;DATE($B$3,8,3),'Leave log'!$C$7:$C$306,"&gt;="&amp;DATE($B$3,8,3),'Leave log'!$F$7:$F$306,"Pending")&gt;0,"P",""))))</f>
        <v/>
      </c>
      <c r="E261" s="23" t="str">
        <f>IF(A261="","",IF(IF(OR(DATE($B$3,8,4)&gt;EOMONTH(DATE($B$3,8,1),0),NETWORKDAYS.INTL(DATE($B$3,8,4),DATE($B$3,8,4),1,'Non-working days'!$A$6:$A$45)=0),"",IF(COUNTIFS('Leave log'!$A$7:$A$306,Employees!$A$22,'Leave log'!$B$7:$B$306,"&lt;="&amp;DATE($B$3,8,4),'Leave log'!$C$7:$C$306,"&gt;="&amp;DATE($B$3,8,4),'Leave log'!$F$7:$F$306,"Approved")&gt;0,"A",""))="A","A",IF(OR(DATE($B$3,8,4)&gt;EOMONTH(DATE($B$3,8,1),0),NETWORKDAYS.INTL(DATE($B$3,8,4),DATE($B$3,8,4),1,'Non-working days'!$A$6:$A$45)=0),"",IF(COUNTIFS('Leave log'!$A$7:$A$306,Employees!$A$22,'Leave log'!$B$7:$B$306,"&lt;="&amp;DATE($B$3,8,4),'Leave log'!$C$7:$C$306,"&gt;="&amp;DATE($B$3,8,4),'Leave log'!$F$7:$F$306,"Pending")&gt;0,"P",""))))</f>
        <v/>
      </c>
      <c r="F261" s="23" t="str">
        <f>IF(A261="","",IF(IF(OR(DATE($B$3,8,5)&gt;EOMONTH(DATE($B$3,8,1),0),NETWORKDAYS.INTL(DATE($B$3,8,5),DATE($B$3,8,5),1,'Non-working days'!$A$6:$A$45)=0),"",IF(COUNTIFS('Leave log'!$A$7:$A$306,Employees!$A$22,'Leave log'!$B$7:$B$306,"&lt;="&amp;DATE($B$3,8,5),'Leave log'!$C$7:$C$306,"&gt;="&amp;DATE($B$3,8,5),'Leave log'!$F$7:$F$306,"Approved")&gt;0,"A",""))="A","A",IF(OR(DATE($B$3,8,5)&gt;EOMONTH(DATE($B$3,8,1),0),NETWORKDAYS.INTL(DATE($B$3,8,5),DATE($B$3,8,5),1,'Non-working days'!$A$6:$A$45)=0),"",IF(COUNTIFS('Leave log'!$A$7:$A$306,Employees!$A$22,'Leave log'!$B$7:$B$306,"&lt;="&amp;DATE($B$3,8,5),'Leave log'!$C$7:$C$306,"&gt;="&amp;DATE($B$3,8,5),'Leave log'!$F$7:$F$306,"Pending")&gt;0,"P",""))))</f>
        <v/>
      </c>
      <c r="G261" s="23" t="str">
        <f>IF(A261="","",IF(IF(OR(DATE($B$3,8,6)&gt;EOMONTH(DATE($B$3,8,1),0),NETWORKDAYS.INTL(DATE($B$3,8,6),DATE($B$3,8,6),1,'Non-working days'!$A$6:$A$45)=0),"",IF(COUNTIFS('Leave log'!$A$7:$A$306,Employees!$A$22,'Leave log'!$B$7:$B$306,"&lt;="&amp;DATE($B$3,8,6),'Leave log'!$C$7:$C$306,"&gt;="&amp;DATE($B$3,8,6),'Leave log'!$F$7:$F$306,"Approved")&gt;0,"A",""))="A","A",IF(OR(DATE($B$3,8,6)&gt;EOMONTH(DATE($B$3,8,1),0),NETWORKDAYS.INTL(DATE($B$3,8,6),DATE($B$3,8,6),1,'Non-working days'!$A$6:$A$45)=0),"",IF(COUNTIFS('Leave log'!$A$7:$A$306,Employees!$A$22,'Leave log'!$B$7:$B$306,"&lt;="&amp;DATE($B$3,8,6),'Leave log'!$C$7:$C$306,"&gt;="&amp;DATE($B$3,8,6),'Leave log'!$F$7:$F$306,"Pending")&gt;0,"P",""))))</f>
        <v/>
      </c>
      <c r="H261" s="23" t="str">
        <f>IF(A261="","",IF(IF(OR(DATE($B$3,8,7)&gt;EOMONTH(DATE($B$3,8,1),0),NETWORKDAYS.INTL(DATE($B$3,8,7),DATE($B$3,8,7),1,'Non-working days'!$A$6:$A$45)=0),"",IF(COUNTIFS('Leave log'!$A$7:$A$306,Employees!$A$22,'Leave log'!$B$7:$B$306,"&lt;="&amp;DATE($B$3,8,7),'Leave log'!$C$7:$C$306,"&gt;="&amp;DATE($B$3,8,7),'Leave log'!$F$7:$F$306,"Approved")&gt;0,"A",""))="A","A",IF(OR(DATE($B$3,8,7)&gt;EOMONTH(DATE($B$3,8,1),0),NETWORKDAYS.INTL(DATE($B$3,8,7),DATE($B$3,8,7),1,'Non-working days'!$A$6:$A$45)=0),"",IF(COUNTIFS('Leave log'!$A$7:$A$306,Employees!$A$22,'Leave log'!$B$7:$B$306,"&lt;="&amp;DATE($B$3,8,7),'Leave log'!$C$7:$C$306,"&gt;="&amp;DATE($B$3,8,7),'Leave log'!$F$7:$F$306,"Pending")&gt;0,"P",""))))</f>
        <v/>
      </c>
      <c r="I261" s="23" t="str">
        <f>IF(A261="","",IF(IF(OR(DATE($B$3,8,8)&gt;EOMONTH(DATE($B$3,8,1),0),NETWORKDAYS.INTL(DATE($B$3,8,8),DATE($B$3,8,8),1,'Non-working days'!$A$6:$A$45)=0),"",IF(COUNTIFS('Leave log'!$A$7:$A$306,Employees!$A$22,'Leave log'!$B$7:$B$306,"&lt;="&amp;DATE($B$3,8,8),'Leave log'!$C$7:$C$306,"&gt;="&amp;DATE($B$3,8,8),'Leave log'!$F$7:$F$306,"Approved")&gt;0,"A",""))="A","A",IF(OR(DATE($B$3,8,8)&gt;EOMONTH(DATE($B$3,8,1),0),NETWORKDAYS.INTL(DATE($B$3,8,8),DATE($B$3,8,8),1,'Non-working days'!$A$6:$A$45)=0),"",IF(COUNTIFS('Leave log'!$A$7:$A$306,Employees!$A$22,'Leave log'!$B$7:$B$306,"&lt;="&amp;DATE($B$3,8,8),'Leave log'!$C$7:$C$306,"&gt;="&amp;DATE($B$3,8,8),'Leave log'!$F$7:$F$306,"Pending")&gt;0,"P",""))))</f>
        <v/>
      </c>
      <c r="J261" s="23" t="str">
        <f>IF(A261="","",IF(IF(OR(DATE($B$3,8,9)&gt;EOMONTH(DATE($B$3,8,1),0),NETWORKDAYS.INTL(DATE($B$3,8,9),DATE($B$3,8,9),1,'Non-working days'!$A$6:$A$45)=0),"",IF(COUNTIFS('Leave log'!$A$7:$A$306,Employees!$A$22,'Leave log'!$B$7:$B$306,"&lt;="&amp;DATE($B$3,8,9),'Leave log'!$C$7:$C$306,"&gt;="&amp;DATE($B$3,8,9),'Leave log'!$F$7:$F$306,"Approved")&gt;0,"A",""))="A","A",IF(OR(DATE($B$3,8,9)&gt;EOMONTH(DATE($B$3,8,1),0),NETWORKDAYS.INTL(DATE($B$3,8,9),DATE($B$3,8,9),1,'Non-working days'!$A$6:$A$45)=0),"",IF(COUNTIFS('Leave log'!$A$7:$A$306,Employees!$A$22,'Leave log'!$B$7:$B$306,"&lt;="&amp;DATE($B$3,8,9),'Leave log'!$C$7:$C$306,"&gt;="&amp;DATE($B$3,8,9),'Leave log'!$F$7:$F$306,"Pending")&gt;0,"P",""))))</f>
        <v/>
      </c>
      <c r="K261" s="23" t="str">
        <f>IF(A261="","",IF(IF(OR(DATE($B$3,8,10)&gt;EOMONTH(DATE($B$3,8,1),0),NETWORKDAYS.INTL(DATE($B$3,8,10),DATE($B$3,8,10),1,'Non-working days'!$A$6:$A$45)=0),"",IF(COUNTIFS('Leave log'!$A$7:$A$306,Employees!$A$22,'Leave log'!$B$7:$B$306,"&lt;="&amp;DATE($B$3,8,10),'Leave log'!$C$7:$C$306,"&gt;="&amp;DATE($B$3,8,10),'Leave log'!$F$7:$F$306,"Approved")&gt;0,"A",""))="A","A",IF(OR(DATE($B$3,8,10)&gt;EOMONTH(DATE($B$3,8,1),0),NETWORKDAYS.INTL(DATE($B$3,8,10),DATE($B$3,8,10),1,'Non-working days'!$A$6:$A$45)=0),"",IF(COUNTIFS('Leave log'!$A$7:$A$306,Employees!$A$22,'Leave log'!$B$7:$B$306,"&lt;="&amp;DATE($B$3,8,10),'Leave log'!$C$7:$C$306,"&gt;="&amp;DATE($B$3,8,10),'Leave log'!$F$7:$F$306,"Pending")&gt;0,"P",""))))</f>
        <v/>
      </c>
      <c r="L261" s="23" t="str">
        <f>IF(A261="","",IF(IF(OR(DATE($B$3,8,11)&gt;EOMONTH(DATE($B$3,8,1),0),NETWORKDAYS.INTL(DATE($B$3,8,11),DATE($B$3,8,11),1,'Non-working days'!$A$6:$A$45)=0),"",IF(COUNTIFS('Leave log'!$A$7:$A$306,Employees!$A$22,'Leave log'!$B$7:$B$306,"&lt;="&amp;DATE($B$3,8,11),'Leave log'!$C$7:$C$306,"&gt;="&amp;DATE($B$3,8,11),'Leave log'!$F$7:$F$306,"Approved")&gt;0,"A",""))="A","A",IF(OR(DATE($B$3,8,11)&gt;EOMONTH(DATE($B$3,8,1),0),NETWORKDAYS.INTL(DATE($B$3,8,11),DATE($B$3,8,11),1,'Non-working days'!$A$6:$A$45)=0),"",IF(COUNTIFS('Leave log'!$A$7:$A$306,Employees!$A$22,'Leave log'!$B$7:$B$306,"&lt;="&amp;DATE($B$3,8,11),'Leave log'!$C$7:$C$306,"&gt;="&amp;DATE($B$3,8,11),'Leave log'!$F$7:$F$306,"Pending")&gt;0,"P",""))))</f>
        <v/>
      </c>
      <c r="M261" s="23" t="str">
        <f>IF(A261="","",IF(IF(OR(DATE($B$3,8,12)&gt;EOMONTH(DATE($B$3,8,1),0),NETWORKDAYS.INTL(DATE($B$3,8,12),DATE($B$3,8,12),1,'Non-working days'!$A$6:$A$45)=0),"",IF(COUNTIFS('Leave log'!$A$7:$A$306,Employees!$A$22,'Leave log'!$B$7:$B$306,"&lt;="&amp;DATE($B$3,8,12),'Leave log'!$C$7:$C$306,"&gt;="&amp;DATE($B$3,8,12),'Leave log'!$F$7:$F$306,"Approved")&gt;0,"A",""))="A","A",IF(OR(DATE($B$3,8,12)&gt;EOMONTH(DATE($B$3,8,1),0),NETWORKDAYS.INTL(DATE($B$3,8,12),DATE($B$3,8,12),1,'Non-working days'!$A$6:$A$45)=0),"",IF(COUNTIFS('Leave log'!$A$7:$A$306,Employees!$A$22,'Leave log'!$B$7:$B$306,"&lt;="&amp;DATE($B$3,8,12),'Leave log'!$C$7:$C$306,"&gt;="&amp;DATE($B$3,8,12),'Leave log'!$F$7:$F$306,"Pending")&gt;0,"P",""))))</f>
        <v/>
      </c>
      <c r="N261" s="23" t="str">
        <f>IF(A261="","",IF(IF(OR(DATE($B$3,8,13)&gt;EOMONTH(DATE($B$3,8,1),0),NETWORKDAYS.INTL(DATE($B$3,8,13),DATE($B$3,8,13),1,'Non-working days'!$A$6:$A$45)=0),"",IF(COUNTIFS('Leave log'!$A$7:$A$306,Employees!$A$22,'Leave log'!$B$7:$B$306,"&lt;="&amp;DATE($B$3,8,13),'Leave log'!$C$7:$C$306,"&gt;="&amp;DATE($B$3,8,13),'Leave log'!$F$7:$F$306,"Approved")&gt;0,"A",""))="A","A",IF(OR(DATE($B$3,8,13)&gt;EOMONTH(DATE($B$3,8,1),0),NETWORKDAYS.INTL(DATE($B$3,8,13),DATE($B$3,8,13),1,'Non-working days'!$A$6:$A$45)=0),"",IF(COUNTIFS('Leave log'!$A$7:$A$306,Employees!$A$22,'Leave log'!$B$7:$B$306,"&lt;="&amp;DATE($B$3,8,13),'Leave log'!$C$7:$C$306,"&gt;="&amp;DATE($B$3,8,13),'Leave log'!$F$7:$F$306,"Pending")&gt;0,"P",""))))</f>
        <v/>
      </c>
      <c r="O261" s="23" t="str">
        <f>IF(A261="","",IF(IF(OR(DATE($B$3,8,14)&gt;EOMONTH(DATE($B$3,8,1),0),NETWORKDAYS.INTL(DATE($B$3,8,14),DATE($B$3,8,14),1,'Non-working days'!$A$6:$A$45)=0),"",IF(COUNTIFS('Leave log'!$A$7:$A$306,Employees!$A$22,'Leave log'!$B$7:$B$306,"&lt;="&amp;DATE($B$3,8,14),'Leave log'!$C$7:$C$306,"&gt;="&amp;DATE($B$3,8,14),'Leave log'!$F$7:$F$306,"Approved")&gt;0,"A",""))="A","A",IF(OR(DATE($B$3,8,14)&gt;EOMONTH(DATE($B$3,8,1),0),NETWORKDAYS.INTL(DATE($B$3,8,14),DATE($B$3,8,14),1,'Non-working days'!$A$6:$A$45)=0),"",IF(COUNTIFS('Leave log'!$A$7:$A$306,Employees!$A$22,'Leave log'!$B$7:$B$306,"&lt;="&amp;DATE($B$3,8,14),'Leave log'!$C$7:$C$306,"&gt;="&amp;DATE($B$3,8,14),'Leave log'!$F$7:$F$306,"Pending")&gt;0,"P",""))))</f>
        <v/>
      </c>
      <c r="P261" s="23" t="str">
        <f>IF(A261="","",IF(IF(OR(DATE($B$3,8,15)&gt;EOMONTH(DATE($B$3,8,1),0),NETWORKDAYS.INTL(DATE($B$3,8,15),DATE($B$3,8,15),1,'Non-working days'!$A$6:$A$45)=0),"",IF(COUNTIFS('Leave log'!$A$7:$A$306,Employees!$A$22,'Leave log'!$B$7:$B$306,"&lt;="&amp;DATE($B$3,8,15),'Leave log'!$C$7:$C$306,"&gt;="&amp;DATE($B$3,8,15),'Leave log'!$F$7:$F$306,"Approved")&gt;0,"A",""))="A","A",IF(OR(DATE($B$3,8,15)&gt;EOMONTH(DATE($B$3,8,1),0),NETWORKDAYS.INTL(DATE($B$3,8,15),DATE($B$3,8,15),1,'Non-working days'!$A$6:$A$45)=0),"",IF(COUNTIFS('Leave log'!$A$7:$A$306,Employees!$A$22,'Leave log'!$B$7:$B$306,"&lt;="&amp;DATE($B$3,8,15),'Leave log'!$C$7:$C$306,"&gt;="&amp;DATE($B$3,8,15),'Leave log'!$F$7:$F$306,"Pending")&gt;0,"P",""))))</f>
        <v/>
      </c>
      <c r="Q261" s="23" t="str">
        <f>IF(A261="","",IF(IF(OR(DATE($B$3,8,16)&gt;EOMONTH(DATE($B$3,8,1),0),NETWORKDAYS.INTL(DATE($B$3,8,16),DATE($B$3,8,16),1,'Non-working days'!$A$6:$A$45)=0),"",IF(COUNTIFS('Leave log'!$A$7:$A$306,Employees!$A$22,'Leave log'!$B$7:$B$306,"&lt;="&amp;DATE($B$3,8,16),'Leave log'!$C$7:$C$306,"&gt;="&amp;DATE($B$3,8,16),'Leave log'!$F$7:$F$306,"Approved")&gt;0,"A",""))="A","A",IF(OR(DATE($B$3,8,16)&gt;EOMONTH(DATE($B$3,8,1),0),NETWORKDAYS.INTL(DATE($B$3,8,16),DATE($B$3,8,16),1,'Non-working days'!$A$6:$A$45)=0),"",IF(COUNTIFS('Leave log'!$A$7:$A$306,Employees!$A$22,'Leave log'!$B$7:$B$306,"&lt;="&amp;DATE($B$3,8,16),'Leave log'!$C$7:$C$306,"&gt;="&amp;DATE($B$3,8,16),'Leave log'!$F$7:$F$306,"Pending")&gt;0,"P",""))))</f>
        <v/>
      </c>
      <c r="R261" s="23" t="str">
        <f>IF(A261="","",IF(IF(OR(DATE($B$3,8,17)&gt;EOMONTH(DATE($B$3,8,1),0),NETWORKDAYS.INTL(DATE($B$3,8,17),DATE($B$3,8,17),1,'Non-working days'!$A$6:$A$45)=0),"",IF(COUNTIFS('Leave log'!$A$7:$A$306,Employees!$A$22,'Leave log'!$B$7:$B$306,"&lt;="&amp;DATE($B$3,8,17),'Leave log'!$C$7:$C$306,"&gt;="&amp;DATE($B$3,8,17),'Leave log'!$F$7:$F$306,"Approved")&gt;0,"A",""))="A","A",IF(OR(DATE($B$3,8,17)&gt;EOMONTH(DATE($B$3,8,1),0),NETWORKDAYS.INTL(DATE($B$3,8,17),DATE($B$3,8,17),1,'Non-working days'!$A$6:$A$45)=0),"",IF(COUNTIFS('Leave log'!$A$7:$A$306,Employees!$A$22,'Leave log'!$B$7:$B$306,"&lt;="&amp;DATE($B$3,8,17),'Leave log'!$C$7:$C$306,"&gt;="&amp;DATE($B$3,8,17),'Leave log'!$F$7:$F$306,"Pending")&gt;0,"P",""))))</f>
        <v/>
      </c>
      <c r="S261" s="23" t="str">
        <f>IF(A261="","",IF(IF(OR(DATE($B$3,8,18)&gt;EOMONTH(DATE($B$3,8,1),0),NETWORKDAYS.INTL(DATE($B$3,8,18),DATE($B$3,8,18),1,'Non-working days'!$A$6:$A$45)=0),"",IF(COUNTIFS('Leave log'!$A$7:$A$306,Employees!$A$22,'Leave log'!$B$7:$B$306,"&lt;="&amp;DATE($B$3,8,18),'Leave log'!$C$7:$C$306,"&gt;="&amp;DATE($B$3,8,18),'Leave log'!$F$7:$F$306,"Approved")&gt;0,"A",""))="A","A",IF(OR(DATE($B$3,8,18)&gt;EOMONTH(DATE($B$3,8,1),0),NETWORKDAYS.INTL(DATE($B$3,8,18),DATE($B$3,8,18),1,'Non-working days'!$A$6:$A$45)=0),"",IF(COUNTIFS('Leave log'!$A$7:$A$306,Employees!$A$22,'Leave log'!$B$7:$B$306,"&lt;="&amp;DATE($B$3,8,18),'Leave log'!$C$7:$C$306,"&gt;="&amp;DATE($B$3,8,18),'Leave log'!$F$7:$F$306,"Pending")&gt;0,"P",""))))</f>
        <v/>
      </c>
      <c r="T261" s="23" t="str">
        <f>IF(A261="","",IF(IF(OR(DATE($B$3,8,19)&gt;EOMONTH(DATE($B$3,8,1),0),NETWORKDAYS.INTL(DATE($B$3,8,19),DATE($B$3,8,19),1,'Non-working days'!$A$6:$A$45)=0),"",IF(COUNTIFS('Leave log'!$A$7:$A$306,Employees!$A$22,'Leave log'!$B$7:$B$306,"&lt;="&amp;DATE($B$3,8,19),'Leave log'!$C$7:$C$306,"&gt;="&amp;DATE($B$3,8,19),'Leave log'!$F$7:$F$306,"Approved")&gt;0,"A",""))="A","A",IF(OR(DATE($B$3,8,19)&gt;EOMONTH(DATE($B$3,8,1),0),NETWORKDAYS.INTL(DATE($B$3,8,19),DATE($B$3,8,19),1,'Non-working days'!$A$6:$A$45)=0),"",IF(COUNTIFS('Leave log'!$A$7:$A$306,Employees!$A$22,'Leave log'!$B$7:$B$306,"&lt;="&amp;DATE($B$3,8,19),'Leave log'!$C$7:$C$306,"&gt;="&amp;DATE($B$3,8,19),'Leave log'!$F$7:$F$306,"Pending")&gt;0,"P",""))))</f>
        <v/>
      </c>
      <c r="U261" s="23" t="str">
        <f>IF(A261="","",IF(IF(OR(DATE($B$3,8,20)&gt;EOMONTH(DATE($B$3,8,1),0),NETWORKDAYS.INTL(DATE($B$3,8,20),DATE($B$3,8,20),1,'Non-working days'!$A$6:$A$45)=0),"",IF(COUNTIFS('Leave log'!$A$7:$A$306,Employees!$A$22,'Leave log'!$B$7:$B$306,"&lt;="&amp;DATE($B$3,8,20),'Leave log'!$C$7:$C$306,"&gt;="&amp;DATE($B$3,8,20),'Leave log'!$F$7:$F$306,"Approved")&gt;0,"A",""))="A","A",IF(OR(DATE($B$3,8,20)&gt;EOMONTH(DATE($B$3,8,1),0),NETWORKDAYS.INTL(DATE($B$3,8,20),DATE($B$3,8,20),1,'Non-working days'!$A$6:$A$45)=0),"",IF(COUNTIFS('Leave log'!$A$7:$A$306,Employees!$A$22,'Leave log'!$B$7:$B$306,"&lt;="&amp;DATE($B$3,8,20),'Leave log'!$C$7:$C$306,"&gt;="&amp;DATE($B$3,8,20),'Leave log'!$F$7:$F$306,"Pending")&gt;0,"P",""))))</f>
        <v/>
      </c>
      <c r="V261" s="23" t="str">
        <f>IF(A261="","",IF(IF(OR(DATE($B$3,8,21)&gt;EOMONTH(DATE($B$3,8,1),0),NETWORKDAYS.INTL(DATE($B$3,8,21),DATE($B$3,8,21),1,'Non-working days'!$A$6:$A$45)=0),"",IF(COUNTIFS('Leave log'!$A$7:$A$306,Employees!$A$22,'Leave log'!$B$7:$B$306,"&lt;="&amp;DATE($B$3,8,21),'Leave log'!$C$7:$C$306,"&gt;="&amp;DATE($B$3,8,21),'Leave log'!$F$7:$F$306,"Approved")&gt;0,"A",""))="A","A",IF(OR(DATE($B$3,8,21)&gt;EOMONTH(DATE($B$3,8,1),0),NETWORKDAYS.INTL(DATE($B$3,8,21),DATE($B$3,8,21),1,'Non-working days'!$A$6:$A$45)=0),"",IF(COUNTIFS('Leave log'!$A$7:$A$306,Employees!$A$22,'Leave log'!$B$7:$B$306,"&lt;="&amp;DATE($B$3,8,21),'Leave log'!$C$7:$C$306,"&gt;="&amp;DATE($B$3,8,21),'Leave log'!$F$7:$F$306,"Pending")&gt;0,"P",""))))</f>
        <v/>
      </c>
      <c r="W261" s="23" t="str">
        <f>IF(A261="","",IF(IF(OR(DATE($B$3,8,22)&gt;EOMONTH(DATE($B$3,8,1),0),NETWORKDAYS.INTL(DATE($B$3,8,22),DATE($B$3,8,22),1,'Non-working days'!$A$6:$A$45)=0),"",IF(COUNTIFS('Leave log'!$A$7:$A$306,Employees!$A$22,'Leave log'!$B$7:$B$306,"&lt;="&amp;DATE($B$3,8,22),'Leave log'!$C$7:$C$306,"&gt;="&amp;DATE($B$3,8,22),'Leave log'!$F$7:$F$306,"Approved")&gt;0,"A",""))="A","A",IF(OR(DATE($B$3,8,22)&gt;EOMONTH(DATE($B$3,8,1),0),NETWORKDAYS.INTL(DATE($B$3,8,22),DATE($B$3,8,22),1,'Non-working days'!$A$6:$A$45)=0),"",IF(COUNTIFS('Leave log'!$A$7:$A$306,Employees!$A$22,'Leave log'!$B$7:$B$306,"&lt;="&amp;DATE($B$3,8,22),'Leave log'!$C$7:$C$306,"&gt;="&amp;DATE($B$3,8,22),'Leave log'!$F$7:$F$306,"Pending")&gt;0,"P",""))))</f>
        <v/>
      </c>
      <c r="X261" s="23" t="str">
        <f>IF(A261="","",IF(IF(OR(DATE($B$3,8,23)&gt;EOMONTH(DATE($B$3,8,1),0),NETWORKDAYS.INTL(DATE($B$3,8,23),DATE($B$3,8,23),1,'Non-working days'!$A$6:$A$45)=0),"",IF(COUNTIFS('Leave log'!$A$7:$A$306,Employees!$A$22,'Leave log'!$B$7:$B$306,"&lt;="&amp;DATE($B$3,8,23),'Leave log'!$C$7:$C$306,"&gt;="&amp;DATE($B$3,8,23),'Leave log'!$F$7:$F$306,"Approved")&gt;0,"A",""))="A","A",IF(OR(DATE($B$3,8,23)&gt;EOMONTH(DATE($B$3,8,1),0),NETWORKDAYS.INTL(DATE($B$3,8,23),DATE($B$3,8,23),1,'Non-working days'!$A$6:$A$45)=0),"",IF(COUNTIFS('Leave log'!$A$7:$A$306,Employees!$A$22,'Leave log'!$B$7:$B$306,"&lt;="&amp;DATE($B$3,8,23),'Leave log'!$C$7:$C$306,"&gt;="&amp;DATE($B$3,8,23),'Leave log'!$F$7:$F$306,"Pending")&gt;0,"P",""))))</f>
        <v/>
      </c>
      <c r="Y261" s="23" t="str">
        <f>IF(A261="","",IF(IF(OR(DATE($B$3,8,24)&gt;EOMONTH(DATE($B$3,8,1),0),NETWORKDAYS.INTL(DATE($B$3,8,24),DATE($B$3,8,24),1,'Non-working days'!$A$6:$A$45)=0),"",IF(COUNTIFS('Leave log'!$A$7:$A$306,Employees!$A$22,'Leave log'!$B$7:$B$306,"&lt;="&amp;DATE($B$3,8,24),'Leave log'!$C$7:$C$306,"&gt;="&amp;DATE($B$3,8,24),'Leave log'!$F$7:$F$306,"Approved")&gt;0,"A",""))="A","A",IF(OR(DATE($B$3,8,24)&gt;EOMONTH(DATE($B$3,8,1),0),NETWORKDAYS.INTL(DATE($B$3,8,24),DATE($B$3,8,24),1,'Non-working days'!$A$6:$A$45)=0),"",IF(COUNTIFS('Leave log'!$A$7:$A$306,Employees!$A$22,'Leave log'!$B$7:$B$306,"&lt;="&amp;DATE($B$3,8,24),'Leave log'!$C$7:$C$306,"&gt;="&amp;DATE($B$3,8,24),'Leave log'!$F$7:$F$306,"Pending")&gt;0,"P",""))))</f>
        <v/>
      </c>
      <c r="Z261" s="23" t="str">
        <f>IF(A261="","",IF(IF(OR(DATE($B$3,8,25)&gt;EOMONTH(DATE($B$3,8,1),0),NETWORKDAYS.INTL(DATE($B$3,8,25),DATE($B$3,8,25),1,'Non-working days'!$A$6:$A$45)=0),"",IF(COUNTIFS('Leave log'!$A$7:$A$306,Employees!$A$22,'Leave log'!$B$7:$B$306,"&lt;="&amp;DATE($B$3,8,25),'Leave log'!$C$7:$C$306,"&gt;="&amp;DATE($B$3,8,25),'Leave log'!$F$7:$F$306,"Approved")&gt;0,"A",""))="A","A",IF(OR(DATE($B$3,8,25)&gt;EOMONTH(DATE($B$3,8,1),0),NETWORKDAYS.INTL(DATE($B$3,8,25),DATE($B$3,8,25),1,'Non-working days'!$A$6:$A$45)=0),"",IF(COUNTIFS('Leave log'!$A$7:$A$306,Employees!$A$22,'Leave log'!$B$7:$B$306,"&lt;="&amp;DATE($B$3,8,25),'Leave log'!$C$7:$C$306,"&gt;="&amp;DATE($B$3,8,25),'Leave log'!$F$7:$F$306,"Pending")&gt;0,"P",""))))</f>
        <v/>
      </c>
      <c r="AA261" s="23" t="str">
        <f>IF(A261="","",IF(IF(OR(DATE($B$3,8,26)&gt;EOMONTH(DATE($B$3,8,1),0),NETWORKDAYS.INTL(DATE($B$3,8,26),DATE($B$3,8,26),1,'Non-working days'!$A$6:$A$45)=0),"",IF(COUNTIFS('Leave log'!$A$7:$A$306,Employees!$A$22,'Leave log'!$B$7:$B$306,"&lt;="&amp;DATE($B$3,8,26),'Leave log'!$C$7:$C$306,"&gt;="&amp;DATE($B$3,8,26),'Leave log'!$F$7:$F$306,"Approved")&gt;0,"A",""))="A","A",IF(OR(DATE($B$3,8,26)&gt;EOMONTH(DATE($B$3,8,1),0),NETWORKDAYS.INTL(DATE($B$3,8,26),DATE($B$3,8,26),1,'Non-working days'!$A$6:$A$45)=0),"",IF(COUNTIFS('Leave log'!$A$7:$A$306,Employees!$A$22,'Leave log'!$B$7:$B$306,"&lt;="&amp;DATE($B$3,8,26),'Leave log'!$C$7:$C$306,"&gt;="&amp;DATE($B$3,8,26),'Leave log'!$F$7:$F$306,"Pending")&gt;0,"P",""))))</f>
        <v/>
      </c>
      <c r="AB261" s="23" t="str">
        <f>IF(A261="","",IF(IF(OR(DATE($B$3,8,27)&gt;EOMONTH(DATE($B$3,8,1),0),NETWORKDAYS.INTL(DATE($B$3,8,27),DATE($B$3,8,27),1,'Non-working days'!$A$6:$A$45)=0),"",IF(COUNTIFS('Leave log'!$A$7:$A$306,Employees!$A$22,'Leave log'!$B$7:$B$306,"&lt;="&amp;DATE($B$3,8,27),'Leave log'!$C$7:$C$306,"&gt;="&amp;DATE($B$3,8,27),'Leave log'!$F$7:$F$306,"Approved")&gt;0,"A",""))="A","A",IF(OR(DATE($B$3,8,27)&gt;EOMONTH(DATE($B$3,8,1),0),NETWORKDAYS.INTL(DATE($B$3,8,27),DATE($B$3,8,27),1,'Non-working days'!$A$6:$A$45)=0),"",IF(COUNTIFS('Leave log'!$A$7:$A$306,Employees!$A$22,'Leave log'!$B$7:$B$306,"&lt;="&amp;DATE($B$3,8,27),'Leave log'!$C$7:$C$306,"&gt;="&amp;DATE($B$3,8,27),'Leave log'!$F$7:$F$306,"Pending")&gt;0,"P",""))))</f>
        <v/>
      </c>
      <c r="AC261" s="23" t="str">
        <f>IF(A261="","",IF(IF(OR(DATE($B$3,8,28)&gt;EOMONTH(DATE($B$3,8,1),0),NETWORKDAYS.INTL(DATE($B$3,8,28),DATE($B$3,8,28),1,'Non-working days'!$A$6:$A$45)=0),"",IF(COUNTIFS('Leave log'!$A$7:$A$306,Employees!$A$22,'Leave log'!$B$7:$B$306,"&lt;="&amp;DATE($B$3,8,28),'Leave log'!$C$7:$C$306,"&gt;="&amp;DATE($B$3,8,28),'Leave log'!$F$7:$F$306,"Approved")&gt;0,"A",""))="A","A",IF(OR(DATE($B$3,8,28)&gt;EOMONTH(DATE($B$3,8,1),0),NETWORKDAYS.INTL(DATE($B$3,8,28),DATE($B$3,8,28),1,'Non-working days'!$A$6:$A$45)=0),"",IF(COUNTIFS('Leave log'!$A$7:$A$306,Employees!$A$22,'Leave log'!$B$7:$B$306,"&lt;="&amp;DATE($B$3,8,28),'Leave log'!$C$7:$C$306,"&gt;="&amp;DATE($B$3,8,28),'Leave log'!$F$7:$F$306,"Pending")&gt;0,"P",""))))</f>
        <v/>
      </c>
      <c r="AD261" s="23" t="str">
        <f>IF(A261="","",IF(IF(OR(DATE($B$3,8,29)&gt;EOMONTH(DATE($B$3,8,1),0),NETWORKDAYS.INTL(DATE($B$3,8,29),DATE($B$3,8,29),1,'Non-working days'!$A$6:$A$45)=0),"",IF(COUNTIFS('Leave log'!$A$7:$A$306,Employees!$A$22,'Leave log'!$B$7:$B$306,"&lt;="&amp;DATE($B$3,8,29),'Leave log'!$C$7:$C$306,"&gt;="&amp;DATE($B$3,8,29),'Leave log'!$F$7:$F$306,"Approved")&gt;0,"A",""))="A","A",IF(OR(DATE($B$3,8,29)&gt;EOMONTH(DATE($B$3,8,1),0),NETWORKDAYS.INTL(DATE($B$3,8,29),DATE($B$3,8,29),1,'Non-working days'!$A$6:$A$45)=0),"",IF(COUNTIFS('Leave log'!$A$7:$A$306,Employees!$A$22,'Leave log'!$B$7:$B$306,"&lt;="&amp;DATE($B$3,8,29),'Leave log'!$C$7:$C$306,"&gt;="&amp;DATE($B$3,8,29),'Leave log'!$F$7:$F$306,"Pending")&gt;0,"P",""))))</f>
        <v/>
      </c>
      <c r="AE261" s="23" t="str">
        <f>IF(A261="","",IF(IF(OR(DATE($B$3,8,30)&gt;EOMONTH(DATE($B$3,8,1),0),NETWORKDAYS.INTL(DATE($B$3,8,30),DATE($B$3,8,30),1,'Non-working days'!$A$6:$A$45)=0),"",IF(COUNTIFS('Leave log'!$A$7:$A$306,Employees!$A$22,'Leave log'!$B$7:$B$306,"&lt;="&amp;DATE($B$3,8,30),'Leave log'!$C$7:$C$306,"&gt;="&amp;DATE($B$3,8,30),'Leave log'!$F$7:$F$306,"Approved")&gt;0,"A",""))="A","A",IF(OR(DATE($B$3,8,30)&gt;EOMONTH(DATE($B$3,8,1),0),NETWORKDAYS.INTL(DATE($B$3,8,30),DATE($B$3,8,30),1,'Non-working days'!$A$6:$A$45)=0),"",IF(COUNTIFS('Leave log'!$A$7:$A$306,Employees!$A$22,'Leave log'!$B$7:$B$306,"&lt;="&amp;DATE($B$3,8,30),'Leave log'!$C$7:$C$306,"&gt;="&amp;DATE($B$3,8,30),'Leave log'!$F$7:$F$306,"Pending")&gt;0,"P",""))))</f>
        <v/>
      </c>
      <c r="AF261" s="23" t="str">
        <f>IF(A261="","",IF(IF(OR(DATE($B$3,8,31)&gt;EOMONTH(DATE($B$3,8,1),0),NETWORKDAYS.INTL(DATE($B$3,8,31),DATE($B$3,8,31),1,'Non-working days'!$A$6:$A$45)=0),"",IF(COUNTIFS('Leave log'!$A$7:$A$306,Employees!$A$22,'Leave log'!$B$7:$B$306,"&lt;="&amp;DATE($B$3,8,31),'Leave log'!$C$7:$C$306,"&gt;="&amp;DATE($B$3,8,31),'Leave log'!$F$7:$F$306,"Approved")&gt;0,"A",""))="A","A",IF(OR(DATE($B$3,8,31)&gt;EOMONTH(DATE($B$3,8,1),0),NETWORKDAYS.INTL(DATE($B$3,8,31),DATE($B$3,8,31),1,'Non-working days'!$A$6:$A$45)=0),"",IF(COUNTIFS('Leave log'!$A$7:$A$306,Employees!$A$22,'Leave log'!$B$7:$B$306,"&lt;="&amp;DATE($B$3,8,31),'Leave log'!$C$7:$C$306,"&gt;="&amp;DATE($B$3,8,31),'Leave log'!$F$7:$F$306,"Pending")&gt;0,"P",""))))</f>
        <v/>
      </c>
    </row>
    <row r="262" spans="1:32" ht="18" customHeight="1" x14ac:dyDescent="0.3">
      <c r="A262" s="22" t="str">
        <f>IF(Employees!F23="Yes",Employees!B23,"")</f>
        <v/>
      </c>
      <c r="B262" s="23" t="str">
        <f>IF(A262="","",IF(IF(OR(DATE($B$3,8,1)&gt;EOMONTH(DATE($B$3,8,1),0),NETWORKDAYS.INTL(DATE($B$3,8,1),DATE($B$3,8,1),1,'Non-working days'!$A$6:$A$45)=0),"",IF(COUNTIFS('Leave log'!$A$7:$A$306,Employees!$A$23,'Leave log'!$B$7:$B$306,"&lt;="&amp;DATE($B$3,8,1),'Leave log'!$C$7:$C$306,"&gt;="&amp;DATE($B$3,8,1),'Leave log'!$F$7:$F$306,"Approved")&gt;0,"A",""))="A","A",IF(OR(DATE($B$3,8,1)&gt;EOMONTH(DATE($B$3,8,1),0),NETWORKDAYS.INTL(DATE($B$3,8,1),DATE($B$3,8,1),1,'Non-working days'!$A$6:$A$45)=0),"",IF(COUNTIFS('Leave log'!$A$7:$A$306,Employees!$A$23,'Leave log'!$B$7:$B$306,"&lt;="&amp;DATE($B$3,8,1),'Leave log'!$C$7:$C$306,"&gt;="&amp;DATE($B$3,8,1),'Leave log'!$F$7:$F$306,"Pending")&gt;0,"P",""))))</f>
        <v/>
      </c>
      <c r="C262" s="23" t="str">
        <f>IF(A262="","",IF(IF(OR(DATE($B$3,8,2)&gt;EOMONTH(DATE($B$3,8,1),0),NETWORKDAYS.INTL(DATE($B$3,8,2),DATE($B$3,8,2),1,'Non-working days'!$A$6:$A$45)=0),"",IF(COUNTIFS('Leave log'!$A$7:$A$306,Employees!$A$23,'Leave log'!$B$7:$B$306,"&lt;="&amp;DATE($B$3,8,2),'Leave log'!$C$7:$C$306,"&gt;="&amp;DATE($B$3,8,2),'Leave log'!$F$7:$F$306,"Approved")&gt;0,"A",""))="A","A",IF(OR(DATE($B$3,8,2)&gt;EOMONTH(DATE($B$3,8,1),0),NETWORKDAYS.INTL(DATE($B$3,8,2),DATE($B$3,8,2),1,'Non-working days'!$A$6:$A$45)=0),"",IF(COUNTIFS('Leave log'!$A$7:$A$306,Employees!$A$23,'Leave log'!$B$7:$B$306,"&lt;="&amp;DATE($B$3,8,2),'Leave log'!$C$7:$C$306,"&gt;="&amp;DATE($B$3,8,2),'Leave log'!$F$7:$F$306,"Pending")&gt;0,"P",""))))</f>
        <v/>
      </c>
      <c r="D262" s="23" t="str">
        <f>IF(A262="","",IF(IF(OR(DATE($B$3,8,3)&gt;EOMONTH(DATE($B$3,8,1),0),NETWORKDAYS.INTL(DATE($B$3,8,3),DATE($B$3,8,3),1,'Non-working days'!$A$6:$A$45)=0),"",IF(COUNTIFS('Leave log'!$A$7:$A$306,Employees!$A$23,'Leave log'!$B$7:$B$306,"&lt;="&amp;DATE($B$3,8,3),'Leave log'!$C$7:$C$306,"&gt;="&amp;DATE($B$3,8,3),'Leave log'!$F$7:$F$306,"Approved")&gt;0,"A",""))="A","A",IF(OR(DATE($B$3,8,3)&gt;EOMONTH(DATE($B$3,8,1),0),NETWORKDAYS.INTL(DATE($B$3,8,3),DATE($B$3,8,3),1,'Non-working days'!$A$6:$A$45)=0),"",IF(COUNTIFS('Leave log'!$A$7:$A$306,Employees!$A$23,'Leave log'!$B$7:$B$306,"&lt;="&amp;DATE($B$3,8,3),'Leave log'!$C$7:$C$306,"&gt;="&amp;DATE($B$3,8,3),'Leave log'!$F$7:$F$306,"Pending")&gt;0,"P",""))))</f>
        <v/>
      </c>
      <c r="E262" s="23" t="str">
        <f>IF(A262="","",IF(IF(OR(DATE($B$3,8,4)&gt;EOMONTH(DATE($B$3,8,1),0),NETWORKDAYS.INTL(DATE($B$3,8,4),DATE($B$3,8,4),1,'Non-working days'!$A$6:$A$45)=0),"",IF(COUNTIFS('Leave log'!$A$7:$A$306,Employees!$A$23,'Leave log'!$B$7:$B$306,"&lt;="&amp;DATE($B$3,8,4),'Leave log'!$C$7:$C$306,"&gt;="&amp;DATE($B$3,8,4),'Leave log'!$F$7:$F$306,"Approved")&gt;0,"A",""))="A","A",IF(OR(DATE($B$3,8,4)&gt;EOMONTH(DATE($B$3,8,1),0),NETWORKDAYS.INTL(DATE($B$3,8,4),DATE($B$3,8,4),1,'Non-working days'!$A$6:$A$45)=0),"",IF(COUNTIFS('Leave log'!$A$7:$A$306,Employees!$A$23,'Leave log'!$B$7:$B$306,"&lt;="&amp;DATE($B$3,8,4),'Leave log'!$C$7:$C$306,"&gt;="&amp;DATE($B$3,8,4),'Leave log'!$F$7:$F$306,"Pending")&gt;0,"P",""))))</f>
        <v/>
      </c>
      <c r="F262" s="23" t="str">
        <f>IF(A262="","",IF(IF(OR(DATE($B$3,8,5)&gt;EOMONTH(DATE($B$3,8,1),0),NETWORKDAYS.INTL(DATE($B$3,8,5),DATE($B$3,8,5),1,'Non-working days'!$A$6:$A$45)=0),"",IF(COUNTIFS('Leave log'!$A$7:$A$306,Employees!$A$23,'Leave log'!$B$7:$B$306,"&lt;="&amp;DATE($B$3,8,5),'Leave log'!$C$7:$C$306,"&gt;="&amp;DATE($B$3,8,5),'Leave log'!$F$7:$F$306,"Approved")&gt;0,"A",""))="A","A",IF(OR(DATE($B$3,8,5)&gt;EOMONTH(DATE($B$3,8,1),0),NETWORKDAYS.INTL(DATE($B$3,8,5),DATE($B$3,8,5),1,'Non-working days'!$A$6:$A$45)=0),"",IF(COUNTIFS('Leave log'!$A$7:$A$306,Employees!$A$23,'Leave log'!$B$7:$B$306,"&lt;="&amp;DATE($B$3,8,5),'Leave log'!$C$7:$C$306,"&gt;="&amp;DATE($B$3,8,5),'Leave log'!$F$7:$F$306,"Pending")&gt;0,"P",""))))</f>
        <v/>
      </c>
      <c r="G262" s="23" t="str">
        <f>IF(A262="","",IF(IF(OR(DATE($B$3,8,6)&gt;EOMONTH(DATE($B$3,8,1),0),NETWORKDAYS.INTL(DATE($B$3,8,6),DATE($B$3,8,6),1,'Non-working days'!$A$6:$A$45)=0),"",IF(COUNTIFS('Leave log'!$A$7:$A$306,Employees!$A$23,'Leave log'!$B$7:$B$306,"&lt;="&amp;DATE($B$3,8,6),'Leave log'!$C$7:$C$306,"&gt;="&amp;DATE($B$3,8,6),'Leave log'!$F$7:$F$306,"Approved")&gt;0,"A",""))="A","A",IF(OR(DATE($B$3,8,6)&gt;EOMONTH(DATE($B$3,8,1),0),NETWORKDAYS.INTL(DATE($B$3,8,6),DATE($B$3,8,6),1,'Non-working days'!$A$6:$A$45)=0),"",IF(COUNTIFS('Leave log'!$A$7:$A$306,Employees!$A$23,'Leave log'!$B$7:$B$306,"&lt;="&amp;DATE($B$3,8,6),'Leave log'!$C$7:$C$306,"&gt;="&amp;DATE($B$3,8,6),'Leave log'!$F$7:$F$306,"Pending")&gt;0,"P",""))))</f>
        <v/>
      </c>
      <c r="H262" s="23" t="str">
        <f>IF(A262="","",IF(IF(OR(DATE($B$3,8,7)&gt;EOMONTH(DATE($B$3,8,1),0),NETWORKDAYS.INTL(DATE($B$3,8,7),DATE($B$3,8,7),1,'Non-working days'!$A$6:$A$45)=0),"",IF(COUNTIFS('Leave log'!$A$7:$A$306,Employees!$A$23,'Leave log'!$B$7:$B$306,"&lt;="&amp;DATE($B$3,8,7),'Leave log'!$C$7:$C$306,"&gt;="&amp;DATE($B$3,8,7),'Leave log'!$F$7:$F$306,"Approved")&gt;0,"A",""))="A","A",IF(OR(DATE($B$3,8,7)&gt;EOMONTH(DATE($B$3,8,1),0),NETWORKDAYS.INTL(DATE($B$3,8,7),DATE($B$3,8,7),1,'Non-working days'!$A$6:$A$45)=0),"",IF(COUNTIFS('Leave log'!$A$7:$A$306,Employees!$A$23,'Leave log'!$B$7:$B$306,"&lt;="&amp;DATE($B$3,8,7),'Leave log'!$C$7:$C$306,"&gt;="&amp;DATE($B$3,8,7),'Leave log'!$F$7:$F$306,"Pending")&gt;0,"P",""))))</f>
        <v/>
      </c>
      <c r="I262" s="23" t="str">
        <f>IF(A262="","",IF(IF(OR(DATE($B$3,8,8)&gt;EOMONTH(DATE($B$3,8,1),0),NETWORKDAYS.INTL(DATE($B$3,8,8),DATE($B$3,8,8),1,'Non-working days'!$A$6:$A$45)=0),"",IF(COUNTIFS('Leave log'!$A$7:$A$306,Employees!$A$23,'Leave log'!$B$7:$B$306,"&lt;="&amp;DATE($B$3,8,8),'Leave log'!$C$7:$C$306,"&gt;="&amp;DATE($B$3,8,8),'Leave log'!$F$7:$F$306,"Approved")&gt;0,"A",""))="A","A",IF(OR(DATE($B$3,8,8)&gt;EOMONTH(DATE($B$3,8,1),0),NETWORKDAYS.INTL(DATE($B$3,8,8),DATE($B$3,8,8),1,'Non-working days'!$A$6:$A$45)=0),"",IF(COUNTIFS('Leave log'!$A$7:$A$306,Employees!$A$23,'Leave log'!$B$7:$B$306,"&lt;="&amp;DATE($B$3,8,8),'Leave log'!$C$7:$C$306,"&gt;="&amp;DATE($B$3,8,8),'Leave log'!$F$7:$F$306,"Pending")&gt;0,"P",""))))</f>
        <v/>
      </c>
      <c r="J262" s="23" t="str">
        <f>IF(A262="","",IF(IF(OR(DATE($B$3,8,9)&gt;EOMONTH(DATE($B$3,8,1),0),NETWORKDAYS.INTL(DATE($B$3,8,9),DATE($B$3,8,9),1,'Non-working days'!$A$6:$A$45)=0),"",IF(COUNTIFS('Leave log'!$A$7:$A$306,Employees!$A$23,'Leave log'!$B$7:$B$306,"&lt;="&amp;DATE($B$3,8,9),'Leave log'!$C$7:$C$306,"&gt;="&amp;DATE($B$3,8,9),'Leave log'!$F$7:$F$306,"Approved")&gt;0,"A",""))="A","A",IF(OR(DATE($B$3,8,9)&gt;EOMONTH(DATE($B$3,8,1),0),NETWORKDAYS.INTL(DATE($B$3,8,9),DATE($B$3,8,9),1,'Non-working days'!$A$6:$A$45)=0),"",IF(COUNTIFS('Leave log'!$A$7:$A$306,Employees!$A$23,'Leave log'!$B$7:$B$306,"&lt;="&amp;DATE($B$3,8,9),'Leave log'!$C$7:$C$306,"&gt;="&amp;DATE($B$3,8,9),'Leave log'!$F$7:$F$306,"Pending")&gt;0,"P",""))))</f>
        <v/>
      </c>
      <c r="K262" s="23" t="str">
        <f>IF(A262="","",IF(IF(OR(DATE($B$3,8,10)&gt;EOMONTH(DATE($B$3,8,1),0),NETWORKDAYS.INTL(DATE($B$3,8,10),DATE($B$3,8,10),1,'Non-working days'!$A$6:$A$45)=0),"",IF(COUNTIFS('Leave log'!$A$7:$A$306,Employees!$A$23,'Leave log'!$B$7:$B$306,"&lt;="&amp;DATE($B$3,8,10),'Leave log'!$C$7:$C$306,"&gt;="&amp;DATE($B$3,8,10),'Leave log'!$F$7:$F$306,"Approved")&gt;0,"A",""))="A","A",IF(OR(DATE($B$3,8,10)&gt;EOMONTH(DATE($B$3,8,1),0),NETWORKDAYS.INTL(DATE($B$3,8,10),DATE($B$3,8,10),1,'Non-working days'!$A$6:$A$45)=0),"",IF(COUNTIFS('Leave log'!$A$7:$A$306,Employees!$A$23,'Leave log'!$B$7:$B$306,"&lt;="&amp;DATE($B$3,8,10),'Leave log'!$C$7:$C$306,"&gt;="&amp;DATE($B$3,8,10),'Leave log'!$F$7:$F$306,"Pending")&gt;0,"P",""))))</f>
        <v/>
      </c>
      <c r="L262" s="23" t="str">
        <f>IF(A262="","",IF(IF(OR(DATE($B$3,8,11)&gt;EOMONTH(DATE($B$3,8,1),0),NETWORKDAYS.INTL(DATE($B$3,8,11),DATE($B$3,8,11),1,'Non-working days'!$A$6:$A$45)=0),"",IF(COUNTIFS('Leave log'!$A$7:$A$306,Employees!$A$23,'Leave log'!$B$7:$B$306,"&lt;="&amp;DATE($B$3,8,11),'Leave log'!$C$7:$C$306,"&gt;="&amp;DATE($B$3,8,11),'Leave log'!$F$7:$F$306,"Approved")&gt;0,"A",""))="A","A",IF(OR(DATE($B$3,8,11)&gt;EOMONTH(DATE($B$3,8,1),0),NETWORKDAYS.INTL(DATE($B$3,8,11),DATE($B$3,8,11),1,'Non-working days'!$A$6:$A$45)=0),"",IF(COUNTIFS('Leave log'!$A$7:$A$306,Employees!$A$23,'Leave log'!$B$7:$B$306,"&lt;="&amp;DATE($B$3,8,11),'Leave log'!$C$7:$C$306,"&gt;="&amp;DATE($B$3,8,11),'Leave log'!$F$7:$F$306,"Pending")&gt;0,"P",""))))</f>
        <v/>
      </c>
      <c r="M262" s="23" t="str">
        <f>IF(A262="","",IF(IF(OR(DATE($B$3,8,12)&gt;EOMONTH(DATE($B$3,8,1),0),NETWORKDAYS.INTL(DATE($B$3,8,12),DATE($B$3,8,12),1,'Non-working days'!$A$6:$A$45)=0),"",IF(COUNTIFS('Leave log'!$A$7:$A$306,Employees!$A$23,'Leave log'!$B$7:$B$306,"&lt;="&amp;DATE($B$3,8,12),'Leave log'!$C$7:$C$306,"&gt;="&amp;DATE($B$3,8,12),'Leave log'!$F$7:$F$306,"Approved")&gt;0,"A",""))="A","A",IF(OR(DATE($B$3,8,12)&gt;EOMONTH(DATE($B$3,8,1),0),NETWORKDAYS.INTL(DATE($B$3,8,12),DATE($B$3,8,12),1,'Non-working days'!$A$6:$A$45)=0),"",IF(COUNTIFS('Leave log'!$A$7:$A$306,Employees!$A$23,'Leave log'!$B$7:$B$306,"&lt;="&amp;DATE($B$3,8,12),'Leave log'!$C$7:$C$306,"&gt;="&amp;DATE($B$3,8,12),'Leave log'!$F$7:$F$306,"Pending")&gt;0,"P",""))))</f>
        <v/>
      </c>
      <c r="N262" s="23" t="str">
        <f>IF(A262="","",IF(IF(OR(DATE($B$3,8,13)&gt;EOMONTH(DATE($B$3,8,1),0),NETWORKDAYS.INTL(DATE($B$3,8,13),DATE($B$3,8,13),1,'Non-working days'!$A$6:$A$45)=0),"",IF(COUNTIFS('Leave log'!$A$7:$A$306,Employees!$A$23,'Leave log'!$B$7:$B$306,"&lt;="&amp;DATE($B$3,8,13),'Leave log'!$C$7:$C$306,"&gt;="&amp;DATE($B$3,8,13),'Leave log'!$F$7:$F$306,"Approved")&gt;0,"A",""))="A","A",IF(OR(DATE($B$3,8,13)&gt;EOMONTH(DATE($B$3,8,1),0),NETWORKDAYS.INTL(DATE($B$3,8,13),DATE($B$3,8,13),1,'Non-working days'!$A$6:$A$45)=0),"",IF(COUNTIFS('Leave log'!$A$7:$A$306,Employees!$A$23,'Leave log'!$B$7:$B$306,"&lt;="&amp;DATE($B$3,8,13),'Leave log'!$C$7:$C$306,"&gt;="&amp;DATE($B$3,8,13),'Leave log'!$F$7:$F$306,"Pending")&gt;0,"P",""))))</f>
        <v/>
      </c>
      <c r="O262" s="23" t="str">
        <f>IF(A262="","",IF(IF(OR(DATE($B$3,8,14)&gt;EOMONTH(DATE($B$3,8,1),0),NETWORKDAYS.INTL(DATE($B$3,8,14),DATE($B$3,8,14),1,'Non-working days'!$A$6:$A$45)=0),"",IF(COUNTIFS('Leave log'!$A$7:$A$306,Employees!$A$23,'Leave log'!$B$7:$B$306,"&lt;="&amp;DATE($B$3,8,14),'Leave log'!$C$7:$C$306,"&gt;="&amp;DATE($B$3,8,14),'Leave log'!$F$7:$F$306,"Approved")&gt;0,"A",""))="A","A",IF(OR(DATE($B$3,8,14)&gt;EOMONTH(DATE($B$3,8,1),0),NETWORKDAYS.INTL(DATE($B$3,8,14),DATE($B$3,8,14),1,'Non-working days'!$A$6:$A$45)=0),"",IF(COUNTIFS('Leave log'!$A$7:$A$306,Employees!$A$23,'Leave log'!$B$7:$B$306,"&lt;="&amp;DATE($B$3,8,14),'Leave log'!$C$7:$C$306,"&gt;="&amp;DATE($B$3,8,14),'Leave log'!$F$7:$F$306,"Pending")&gt;0,"P",""))))</f>
        <v/>
      </c>
      <c r="P262" s="23" t="str">
        <f>IF(A262="","",IF(IF(OR(DATE($B$3,8,15)&gt;EOMONTH(DATE($B$3,8,1),0),NETWORKDAYS.INTL(DATE($B$3,8,15),DATE($B$3,8,15),1,'Non-working days'!$A$6:$A$45)=0),"",IF(COUNTIFS('Leave log'!$A$7:$A$306,Employees!$A$23,'Leave log'!$B$7:$B$306,"&lt;="&amp;DATE($B$3,8,15),'Leave log'!$C$7:$C$306,"&gt;="&amp;DATE($B$3,8,15),'Leave log'!$F$7:$F$306,"Approved")&gt;0,"A",""))="A","A",IF(OR(DATE($B$3,8,15)&gt;EOMONTH(DATE($B$3,8,1),0),NETWORKDAYS.INTL(DATE($B$3,8,15),DATE($B$3,8,15),1,'Non-working days'!$A$6:$A$45)=0),"",IF(COUNTIFS('Leave log'!$A$7:$A$306,Employees!$A$23,'Leave log'!$B$7:$B$306,"&lt;="&amp;DATE($B$3,8,15),'Leave log'!$C$7:$C$306,"&gt;="&amp;DATE($B$3,8,15),'Leave log'!$F$7:$F$306,"Pending")&gt;0,"P",""))))</f>
        <v/>
      </c>
      <c r="Q262" s="23" t="str">
        <f>IF(A262="","",IF(IF(OR(DATE($B$3,8,16)&gt;EOMONTH(DATE($B$3,8,1),0),NETWORKDAYS.INTL(DATE($B$3,8,16),DATE($B$3,8,16),1,'Non-working days'!$A$6:$A$45)=0),"",IF(COUNTIFS('Leave log'!$A$7:$A$306,Employees!$A$23,'Leave log'!$B$7:$B$306,"&lt;="&amp;DATE($B$3,8,16),'Leave log'!$C$7:$C$306,"&gt;="&amp;DATE($B$3,8,16),'Leave log'!$F$7:$F$306,"Approved")&gt;0,"A",""))="A","A",IF(OR(DATE($B$3,8,16)&gt;EOMONTH(DATE($B$3,8,1),0),NETWORKDAYS.INTL(DATE($B$3,8,16),DATE($B$3,8,16),1,'Non-working days'!$A$6:$A$45)=0),"",IF(COUNTIFS('Leave log'!$A$7:$A$306,Employees!$A$23,'Leave log'!$B$7:$B$306,"&lt;="&amp;DATE($B$3,8,16),'Leave log'!$C$7:$C$306,"&gt;="&amp;DATE($B$3,8,16),'Leave log'!$F$7:$F$306,"Pending")&gt;0,"P",""))))</f>
        <v/>
      </c>
      <c r="R262" s="23" t="str">
        <f>IF(A262="","",IF(IF(OR(DATE($B$3,8,17)&gt;EOMONTH(DATE($B$3,8,1),0),NETWORKDAYS.INTL(DATE($B$3,8,17),DATE($B$3,8,17),1,'Non-working days'!$A$6:$A$45)=0),"",IF(COUNTIFS('Leave log'!$A$7:$A$306,Employees!$A$23,'Leave log'!$B$7:$B$306,"&lt;="&amp;DATE($B$3,8,17),'Leave log'!$C$7:$C$306,"&gt;="&amp;DATE($B$3,8,17),'Leave log'!$F$7:$F$306,"Approved")&gt;0,"A",""))="A","A",IF(OR(DATE($B$3,8,17)&gt;EOMONTH(DATE($B$3,8,1),0),NETWORKDAYS.INTL(DATE($B$3,8,17),DATE($B$3,8,17),1,'Non-working days'!$A$6:$A$45)=0),"",IF(COUNTIFS('Leave log'!$A$7:$A$306,Employees!$A$23,'Leave log'!$B$7:$B$306,"&lt;="&amp;DATE($B$3,8,17),'Leave log'!$C$7:$C$306,"&gt;="&amp;DATE($B$3,8,17),'Leave log'!$F$7:$F$306,"Pending")&gt;0,"P",""))))</f>
        <v/>
      </c>
      <c r="S262" s="23" t="str">
        <f>IF(A262="","",IF(IF(OR(DATE($B$3,8,18)&gt;EOMONTH(DATE($B$3,8,1),0),NETWORKDAYS.INTL(DATE($B$3,8,18),DATE($B$3,8,18),1,'Non-working days'!$A$6:$A$45)=0),"",IF(COUNTIFS('Leave log'!$A$7:$A$306,Employees!$A$23,'Leave log'!$B$7:$B$306,"&lt;="&amp;DATE($B$3,8,18),'Leave log'!$C$7:$C$306,"&gt;="&amp;DATE($B$3,8,18),'Leave log'!$F$7:$F$306,"Approved")&gt;0,"A",""))="A","A",IF(OR(DATE($B$3,8,18)&gt;EOMONTH(DATE($B$3,8,1),0),NETWORKDAYS.INTL(DATE($B$3,8,18),DATE($B$3,8,18),1,'Non-working days'!$A$6:$A$45)=0),"",IF(COUNTIFS('Leave log'!$A$7:$A$306,Employees!$A$23,'Leave log'!$B$7:$B$306,"&lt;="&amp;DATE($B$3,8,18),'Leave log'!$C$7:$C$306,"&gt;="&amp;DATE($B$3,8,18),'Leave log'!$F$7:$F$306,"Pending")&gt;0,"P",""))))</f>
        <v/>
      </c>
      <c r="T262" s="23" t="str">
        <f>IF(A262="","",IF(IF(OR(DATE($B$3,8,19)&gt;EOMONTH(DATE($B$3,8,1),0),NETWORKDAYS.INTL(DATE($B$3,8,19),DATE($B$3,8,19),1,'Non-working days'!$A$6:$A$45)=0),"",IF(COUNTIFS('Leave log'!$A$7:$A$306,Employees!$A$23,'Leave log'!$B$7:$B$306,"&lt;="&amp;DATE($B$3,8,19),'Leave log'!$C$7:$C$306,"&gt;="&amp;DATE($B$3,8,19),'Leave log'!$F$7:$F$306,"Approved")&gt;0,"A",""))="A","A",IF(OR(DATE($B$3,8,19)&gt;EOMONTH(DATE($B$3,8,1),0),NETWORKDAYS.INTL(DATE($B$3,8,19),DATE($B$3,8,19),1,'Non-working days'!$A$6:$A$45)=0),"",IF(COUNTIFS('Leave log'!$A$7:$A$306,Employees!$A$23,'Leave log'!$B$7:$B$306,"&lt;="&amp;DATE($B$3,8,19),'Leave log'!$C$7:$C$306,"&gt;="&amp;DATE($B$3,8,19),'Leave log'!$F$7:$F$306,"Pending")&gt;0,"P",""))))</f>
        <v/>
      </c>
      <c r="U262" s="23" t="str">
        <f>IF(A262="","",IF(IF(OR(DATE($B$3,8,20)&gt;EOMONTH(DATE($B$3,8,1),0),NETWORKDAYS.INTL(DATE($B$3,8,20),DATE($B$3,8,20),1,'Non-working days'!$A$6:$A$45)=0),"",IF(COUNTIFS('Leave log'!$A$7:$A$306,Employees!$A$23,'Leave log'!$B$7:$B$306,"&lt;="&amp;DATE($B$3,8,20),'Leave log'!$C$7:$C$306,"&gt;="&amp;DATE($B$3,8,20),'Leave log'!$F$7:$F$306,"Approved")&gt;0,"A",""))="A","A",IF(OR(DATE($B$3,8,20)&gt;EOMONTH(DATE($B$3,8,1),0),NETWORKDAYS.INTL(DATE($B$3,8,20),DATE($B$3,8,20),1,'Non-working days'!$A$6:$A$45)=0),"",IF(COUNTIFS('Leave log'!$A$7:$A$306,Employees!$A$23,'Leave log'!$B$7:$B$306,"&lt;="&amp;DATE($B$3,8,20),'Leave log'!$C$7:$C$306,"&gt;="&amp;DATE($B$3,8,20),'Leave log'!$F$7:$F$306,"Pending")&gt;0,"P",""))))</f>
        <v/>
      </c>
      <c r="V262" s="23" t="str">
        <f>IF(A262="","",IF(IF(OR(DATE($B$3,8,21)&gt;EOMONTH(DATE($B$3,8,1),0),NETWORKDAYS.INTL(DATE($B$3,8,21),DATE($B$3,8,21),1,'Non-working days'!$A$6:$A$45)=0),"",IF(COUNTIFS('Leave log'!$A$7:$A$306,Employees!$A$23,'Leave log'!$B$7:$B$306,"&lt;="&amp;DATE($B$3,8,21),'Leave log'!$C$7:$C$306,"&gt;="&amp;DATE($B$3,8,21),'Leave log'!$F$7:$F$306,"Approved")&gt;0,"A",""))="A","A",IF(OR(DATE($B$3,8,21)&gt;EOMONTH(DATE($B$3,8,1),0),NETWORKDAYS.INTL(DATE($B$3,8,21),DATE($B$3,8,21),1,'Non-working days'!$A$6:$A$45)=0),"",IF(COUNTIFS('Leave log'!$A$7:$A$306,Employees!$A$23,'Leave log'!$B$7:$B$306,"&lt;="&amp;DATE($B$3,8,21),'Leave log'!$C$7:$C$306,"&gt;="&amp;DATE($B$3,8,21),'Leave log'!$F$7:$F$306,"Pending")&gt;0,"P",""))))</f>
        <v/>
      </c>
      <c r="W262" s="23" t="str">
        <f>IF(A262="","",IF(IF(OR(DATE($B$3,8,22)&gt;EOMONTH(DATE($B$3,8,1),0),NETWORKDAYS.INTL(DATE($B$3,8,22),DATE($B$3,8,22),1,'Non-working days'!$A$6:$A$45)=0),"",IF(COUNTIFS('Leave log'!$A$7:$A$306,Employees!$A$23,'Leave log'!$B$7:$B$306,"&lt;="&amp;DATE($B$3,8,22),'Leave log'!$C$7:$C$306,"&gt;="&amp;DATE($B$3,8,22),'Leave log'!$F$7:$F$306,"Approved")&gt;0,"A",""))="A","A",IF(OR(DATE($B$3,8,22)&gt;EOMONTH(DATE($B$3,8,1),0),NETWORKDAYS.INTL(DATE($B$3,8,22),DATE($B$3,8,22),1,'Non-working days'!$A$6:$A$45)=0),"",IF(COUNTIFS('Leave log'!$A$7:$A$306,Employees!$A$23,'Leave log'!$B$7:$B$306,"&lt;="&amp;DATE($B$3,8,22),'Leave log'!$C$7:$C$306,"&gt;="&amp;DATE($B$3,8,22),'Leave log'!$F$7:$F$306,"Pending")&gt;0,"P",""))))</f>
        <v/>
      </c>
      <c r="X262" s="23" t="str">
        <f>IF(A262="","",IF(IF(OR(DATE($B$3,8,23)&gt;EOMONTH(DATE($B$3,8,1),0),NETWORKDAYS.INTL(DATE($B$3,8,23),DATE($B$3,8,23),1,'Non-working days'!$A$6:$A$45)=0),"",IF(COUNTIFS('Leave log'!$A$7:$A$306,Employees!$A$23,'Leave log'!$B$7:$B$306,"&lt;="&amp;DATE($B$3,8,23),'Leave log'!$C$7:$C$306,"&gt;="&amp;DATE($B$3,8,23),'Leave log'!$F$7:$F$306,"Approved")&gt;0,"A",""))="A","A",IF(OR(DATE($B$3,8,23)&gt;EOMONTH(DATE($B$3,8,1),0),NETWORKDAYS.INTL(DATE($B$3,8,23),DATE($B$3,8,23),1,'Non-working days'!$A$6:$A$45)=0),"",IF(COUNTIFS('Leave log'!$A$7:$A$306,Employees!$A$23,'Leave log'!$B$7:$B$306,"&lt;="&amp;DATE($B$3,8,23),'Leave log'!$C$7:$C$306,"&gt;="&amp;DATE($B$3,8,23),'Leave log'!$F$7:$F$306,"Pending")&gt;0,"P",""))))</f>
        <v/>
      </c>
      <c r="Y262" s="23" t="str">
        <f>IF(A262="","",IF(IF(OR(DATE($B$3,8,24)&gt;EOMONTH(DATE($B$3,8,1),0),NETWORKDAYS.INTL(DATE($B$3,8,24),DATE($B$3,8,24),1,'Non-working days'!$A$6:$A$45)=0),"",IF(COUNTIFS('Leave log'!$A$7:$A$306,Employees!$A$23,'Leave log'!$B$7:$B$306,"&lt;="&amp;DATE($B$3,8,24),'Leave log'!$C$7:$C$306,"&gt;="&amp;DATE($B$3,8,24),'Leave log'!$F$7:$F$306,"Approved")&gt;0,"A",""))="A","A",IF(OR(DATE($B$3,8,24)&gt;EOMONTH(DATE($B$3,8,1),0),NETWORKDAYS.INTL(DATE($B$3,8,24),DATE($B$3,8,24),1,'Non-working days'!$A$6:$A$45)=0),"",IF(COUNTIFS('Leave log'!$A$7:$A$306,Employees!$A$23,'Leave log'!$B$7:$B$306,"&lt;="&amp;DATE($B$3,8,24),'Leave log'!$C$7:$C$306,"&gt;="&amp;DATE($B$3,8,24),'Leave log'!$F$7:$F$306,"Pending")&gt;0,"P",""))))</f>
        <v/>
      </c>
      <c r="Z262" s="23" t="str">
        <f>IF(A262="","",IF(IF(OR(DATE($B$3,8,25)&gt;EOMONTH(DATE($B$3,8,1),0),NETWORKDAYS.INTL(DATE($B$3,8,25),DATE($B$3,8,25),1,'Non-working days'!$A$6:$A$45)=0),"",IF(COUNTIFS('Leave log'!$A$7:$A$306,Employees!$A$23,'Leave log'!$B$7:$B$306,"&lt;="&amp;DATE($B$3,8,25),'Leave log'!$C$7:$C$306,"&gt;="&amp;DATE($B$3,8,25),'Leave log'!$F$7:$F$306,"Approved")&gt;0,"A",""))="A","A",IF(OR(DATE($B$3,8,25)&gt;EOMONTH(DATE($B$3,8,1),0),NETWORKDAYS.INTL(DATE($B$3,8,25),DATE($B$3,8,25),1,'Non-working days'!$A$6:$A$45)=0),"",IF(COUNTIFS('Leave log'!$A$7:$A$306,Employees!$A$23,'Leave log'!$B$7:$B$306,"&lt;="&amp;DATE($B$3,8,25),'Leave log'!$C$7:$C$306,"&gt;="&amp;DATE($B$3,8,25),'Leave log'!$F$7:$F$306,"Pending")&gt;0,"P",""))))</f>
        <v/>
      </c>
      <c r="AA262" s="23" t="str">
        <f>IF(A262="","",IF(IF(OR(DATE($B$3,8,26)&gt;EOMONTH(DATE($B$3,8,1),0),NETWORKDAYS.INTL(DATE($B$3,8,26),DATE($B$3,8,26),1,'Non-working days'!$A$6:$A$45)=0),"",IF(COUNTIFS('Leave log'!$A$7:$A$306,Employees!$A$23,'Leave log'!$B$7:$B$306,"&lt;="&amp;DATE($B$3,8,26),'Leave log'!$C$7:$C$306,"&gt;="&amp;DATE($B$3,8,26),'Leave log'!$F$7:$F$306,"Approved")&gt;0,"A",""))="A","A",IF(OR(DATE($B$3,8,26)&gt;EOMONTH(DATE($B$3,8,1),0),NETWORKDAYS.INTL(DATE($B$3,8,26),DATE($B$3,8,26),1,'Non-working days'!$A$6:$A$45)=0),"",IF(COUNTIFS('Leave log'!$A$7:$A$306,Employees!$A$23,'Leave log'!$B$7:$B$306,"&lt;="&amp;DATE($B$3,8,26),'Leave log'!$C$7:$C$306,"&gt;="&amp;DATE($B$3,8,26),'Leave log'!$F$7:$F$306,"Pending")&gt;0,"P",""))))</f>
        <v/>
      </c>
      <c r="AB262" s="23" t="str">
        <f>IF(A262="","",IF(IF(OR(DATE($B$3,8,27)&gt;EOMONTH(DATE($B$3,8,1),0),NETWORKDAYS.INTL(DATE($B$3,8,27),DATE($B$3,8,27),1,'Non-working days'!$A$6:$A$45)=0),"",IF(COUNTIFS('Leave log'!$A$7:$A$306,Employees!$A$23,'Leave log'!$B$7:$B$306,"&lt;="&amp;DATE($B$3,8,27),'Leave log'!$C$7:$C$306,"&gt;="&amp;DATE($B$3,8,27),'Leave log'!$F$7:$F$306,"Approved")&gt;0,"A",""))="A","A",IF(OR(DATE($B$3,8,27)&gt;EOMONTH(DATE($B$3,8,1),0),NETWORKDAYS.INTL(DATE($B$3,8,27),DATE($B$3,8,27),1,'Non-working days'!$A$6:$A$45)=0),"",IF(COUNTIFS('Leave log'!$A$7:$A$306,Employees!$A$23,'Leave log'!$B$7:$B$306,"&lt;="&amp;DATE($B$3,8,27),'Leave log'!$C$7:$C$306,"&gt;="&amp;DATE($B$3,8,27),'Leave log'!$F$7:$F$306,"Pending")&gt;0,"P",""))))</f>
        <v/>
      </c>
      <c r="AC262" s="23" t="str">
        <f>IF(A262="","",IF(IF(OR(DATE($B$3,8,28)&gt;EOMONTH(DATE($B$3,8,1),0),NETWORKDAYS.INTL(DATE($B$3,8,28),DATE($B$3,8,28),1,'Non-working days'!$A$6:$A$45)=0),"",IF(COUNTIFS('Leave log'!$A$7:$A$306,Employees!$A$23,'Leave log'!$B$7:$B$306,"&lt;="&amp;DATE($B$3,8,28),'Leave log'!$C$7:$C$306,"&gt;="&amp;DATE($B$3,8,28),'Leave log'!$F$7:$F$306,"Approved")&gt;0,"A",""))="A","A",IF(OR(DATE($B$3,8,28)&gt;EOMONTH(DATE($B$3,8,1),0),NETWORKDAYS.INTL(DATE($B$3,8,28),DATE($B$3,8,28),1,'Non-working days'!$A$6:$A$45)=0),"",IF(COUNTIFS('Leave log'!$A$7:$A$306,Employees!$A$23,'Leave log'!$B$7:$B$306,"&lt;="&amp;DATE($B$3,8,28),'Leave log'!$C$7:$C$306,"&gt;="&amp;DATE($B$3,8,28),'Leave log'!$F$7:$F$306,"Pending")&gt;0,"P",""))))</f>
        <v/>
      </c>
      <c r="AD262" s="23" t="str">
        <f>IF(A262="","",IF(IF(OR(DATE($B$3,8,29)&gt;EOMONTH(DATE($B$3,8,1),0),NETWORKDAYS.INTL(DATE($B$3,8,29),DATE($B$3,8,29),1,'Non-working days'!$A$6:$A$45)=0),"",IF(COUNTIFS('Leave log'!$A$7:$A$306,Employees!$A$23,'Leave log'!$B$7:$B$306,"&lt;="&amp;DATE($B$3,8,29),'Leave log'!$C$7:$C$306,"&gt;="&amp;DATE($B$3,8,29),'Leave log'!$F$7:$F$306,"Approved")&gt;0,"A",""))="A","A",IF(OR(DATE($B$3,8,29)&gt;EOMONTH(DATE($B$3,8,1),0),NETWORKDAYS.INTL(DATE($B$3,8,29),DATE($B$3,8,29),1,'Non-working days'!$A$6:$A$45)=0),"",IF(COUNTIFS('Leave log'!$A$7:$A$306,Employees!$A$23,'Leave log'!$B$7:$B$306,"&lt;="&amp;DATE($B$3,8,29),'Leave log'!$C$7:$C$306,"&gt;="&amp;DATE($B$3,8,29),'Leave log'!$F$7:$F$306,"Pending")&gt;0,"P",""))))</f>
        <v/>
      </c>
      <c r="AE262" s="23" t="str">
        <f>IF(A262="","",IF(IF(OR(DATE($B$3,8,30)&gt;EOMONTH(DATE($B$3,8,1),0),NETWORKDAYS.INTL(DATE($B$3,8,30),DATE($B$3,8,30),1,'Non-working days'!$A$6:$A$45)=0),"",IF(COUNTIFS('Leave log'!$A$7:$A$306,Employees!$A$23,'Leave log'!$B$7:$B$306,"&lt;="&amp;DATE($B$3,8,30),'Leave log'!$C$7:$C$306,"&gt;="&amp;DATE($B$3,8,30),'Leave log'!$F$7:$F$306,"Approved")&gt;0,"A",""))="A","A",IF(OR(DATE($B$3,8,30)&gt;EOMONTH(DATE($B$3,8,1),0),NETWORKDAYS.INTL(DATE($B$3,8,30),DATE($B$3,8,30),1,'Non-working days'!$A$6:$A$45)=0),"",IF(COUNTIFS('Leave log'!$A$7:$A$306,Employees!$A$23,'Leave log'!$B$7:$B$306,"&lt;="&amp;DATE($B$3,8,30),'Leave log'!$C$7:$C$306,"&gt;="&amp;DATE($B$3,8,30),'Leave log'!$F$7:$F$306,"Pending")&gt;0,"P",""))))</f>
        <v/>
      </c>
      <c r="AF262" s="23" t="str">
        <f>IF(A262="","",IF(IF(OR(DATE($B$3,8,31)&gt;EOMONTH(DATE($B$3,8,1),0),NETWORKDAYS.INTL(DATE($B$3,8,31),DATE($B$3,8,31),1,'Non-working days'!$A$6:$A$45)=0),"",IF(COUNTIFS('Leave log'!$A$7:$A$306,Employees!$A$23,'Leave log'!$B$7:$B$306,"&lt;="&amp;DATE($B$3,8,31),'Leave log'!$C$7:$C$306,"&gt;="&amp;DATE($B$3,8,31),'Leave log'!$F$7:$F$306,"Approved")&gt;0,"A",""))="A","A",IF(OR(DATE($B$3,8,31)&gt;EOMONTH(DATE($B$3,8,1),0),NETWORKDAYS.INTL(DATE($B$3,8,31),DATE($B$3,8,31),1,'Non-working days'!$A$6:$A$45)=0),"",IF(COUNTIFS('Leave log'!$A$7:$A$306,Employees!$A$23,'Leave log'!$B$7:$B$306,"&lt;="&amp;DATE($B$3,8,31),'Leave log'!$C$7:$C$306,"&gt;="&amp;DATE($B$3,8,31),'Leave log'!$F$7:$F$306,"Pending")&gt;0,"P",""))))</f>
        <v/>
      </c>
    </row>
    <row r="263" spans="1:32" ht="18" customHeight="1" x14ac:dyDescent="0.3">
      <c r="A263" s="22" t="str">
        <f>IF(Employees!F24="Yes",Employees!B24,"")</f>
        <v/>
      </c>
      <c r="B263" s="23" t="str">
        <f>IF(A263="","",IF(IF(OR(DATE($B$3,8,1)&gt;EOMONTH(DATE($B$3,8,1),0),NETWORKDAYS.INTL(DATE($B$3,8,1),DATE($B$3,8,1),1,'Non-working days'!$A$6:$A$45)=0),"",IF(COUNTIFS('Leave log'!$A$7:$A$306,Employees!$A$24,'Leave log'!$B$7:$B$306,"&lt;="&amp;DATE($B$3,8,1),'Leave log'!$C$7:$C$306,"&gt;="&amp;DATE($B$3,8,1),'Leave log'!$F$7:$F$306,"Approved")&gt;0,"A",""))="A","A",IF(OR(DATE($B$3,8,1)&gt;EOMONTH(DATE($B$3,8,1),0),NETWORKDAYS.INTL(DATE($B$3,8,1),DATE($B$3,8,1),1,'Non-working days'!$A$6:$A$45)=0),"",IF(COUNTIFS('Leave log'!$A$7:$A$306,Employees!$A$24,'Leave log'!$B$7:$B$306,"&lt;="&amp;DATE($B$3,8,1),'Leave log'!$C$7:$C$306,"&gt;="&amp;DATE($B$3,8,1),'Leave log'!$F$7:$F$306,"Pending")&gt;0,"P",""))))</f>
        <v/>
      </c>
      <c r="C263" s="23" t="str">
        <f>IF(A263="","",IF(IF(OR(DATE($B$3,8,2)&gt;EOMONTH(DATE($B$3,8,1),0),NETWORKDAYS.INTL(DATE($B$3,8,2),DATE($B$3,8,2),1,'Non-working days'!$A$6:$A$45)=0),"",IF(COUNTIFS('Leave log'!$A$7:$A$306,Employees!$A$24,'Leave log'!$B$7:$B$306,"&lt;="&amp;DATE($B$3,8,2),'Leave log'!$C$7:$C$306,"&gt;="&amp;DATE($B$3,8,2),'Leave log'!$F$7:$F$306,"Approved")&gt;0,"A",""))="A","A",IF(OR(DATE($B$3,8,2)&gt;EOMONTH(DATE($B$3,8,1),0),NETWORKDAYS.INTL(DATE($B$3,8,2),DATE($B$3,8,2),1,'Non-working days'!$A$6:$A$45)=0),"",IF(COUNTIFS('Leave log'!$A$7:$A$306,Employees!$A$24,'Leave log'!$B$7:$B$306,"&lt;="&amp;DATE($B$3,8,2),'Leave log'!$C$7:$C$306,"&gt;="&amp;DATE($B$3,8,2),'Leave log'!$F$7:$F$306,"Pending")&gt;0,"P",""))))</f>
        <v/>
      </c>
      <c r="D263" s="23" t="str">
        <f>IF(A263="","",IF(IF(OR(DATE($B$3,8,3)&gt;EOMONTH(DATE($B$3,8,1),0),NETWORKDAYS.INTL(DATE($B$3,8,3),DATE($B$3,8,3),1,'Non-working days'!$A$6:$A$45)=0),"",IF(COUNTIFS('Leave log'!$A$7:$A$306,Employees!$A$24,'Leave log'!$B$7:$B$306,"&lt;="&amp;DATE($B$3,8,3),'Leave log'!$C$7:$C$306,"&gt;="&amp;DATE($B$3,8,3),'Leave log'!$F$7:$F$306,"Approved")&gt;0,"A",""))="A","A",IF(OR(DATE($B$3,8,3)&gt;EOMONTH(DATE($B$3,8,1),0),NETWORKDAYS.INTL(DATE($B$3,8,3),DATE($B$3,8,3),1,'Non-working days'!$A$6:$A$45)=0),"",IF(COUNTIFS('Leave log'!$A$7:$A$306,Employees!$A$24,'Leave log'!$B$7:$B$306,"&lt;="&amp;DATE($B$3,8,3),'Leave log'!$C$7:$C$306,"&gt;="&amp;DATE($B$3,8,3),'Leave log'!$F$7:$F$306,"Pending")&gt;0,"P",""))))</f>
        <v/>
      </c>
      <c r="E263" s="23" t="str">
        <f>IF(A263="","",IF(IF(OR(DATE($B$3,8,4)&gt;EOMONTH(DATE($B$3,8,1),0),NETWORKDAYS.INTL(DATE($B$3,8,4),DATE($B$3,8,4),1,'Non-working days'!$A$6:$A$45)=0),"",IF(COUNTIFS('Leave log'!$A$7:$A$306,Employees!$A$24,'Leave log'!$B$7:$B$306,"&lt;="&amp;DATE($B$3,8,4),'Leave log'!$C$7:$C$306,"&gt;="&amp;DATE($B$3,8,4),'Leave log'!$F$7:$F$306,"Approved")&gt;0,"A",""))="A","A",IF(OR(DATE($B$3,8,4)&gt;EOMONTH(DATE($B$3,8,1),0),NETWORKDAYS.INTL(DATE($B$3,8,4),DATE($B$3,8,4),1,'Non-working days'!$A$6:$A$45)=0),"",IF(COUNTIFS('Leave log'!$A$7:$A$306,Employees!$A$24,'Leave log'!$B$7:$B$306,"&lt;="&amp;DATE($B$3,8,4),'Leave log'!$C$7:$C$306,"&gt;="&amp;DATE($B$3,8,4),'Leave log'!$F$7:$F$306,"Pending")&gt;0,"P",""))))</f>
        <v/>
      </c>
      <c r="F263" s="23" t="str">
        <f>IF(A263="","",IF(IF(OR(DATE($B$3,8,5)&gt;EOMONTH(DATE($B$3,8,1),0),NETWORKDAYS.INTL(DATE($B$3,8,5),DATE($B$3,8,5),1,'Non-working days'!$A$6:$A$45)=0),"",IF(COUNTIFS('Leave log'!$A$7:$A$306,Employees!$A$24,'Leave log'!$B$7:$B$306,"&lt;="&amp;DATE($B$3,8,5),'Leave log'!$C$7:$C$306,"&gt;="&amp;DATE($B$3,8,5),'Leave log'!$F$7:$F$306,"Approved")&gt;0,"A",""))="A","A",IF(OR(DATE($B$3,8,5)&gt;EOMONTH(DATE($B$3,8,1),0),NETWORKDAYS.INTL(DATE($B$3,8,5),DATE($B$3,8,5),1,'Non-working days'!$A$6:$A$45)=0),"",IF(COUNTIFS('Leave log'!$A$7:$A$306,Employees!$A$24,'Leave log'!$B$7:$B$306,"&lt;="&amp;DATE($B$3,8,5),'Leave log'!$C$7:$C$306,"&gt;="&amp;DATE($B$3,8,5),'Leave log'!$F$7:$F$306,"Pending")&gt;0,"P",""))))</f>
        <v/>
      </c>
      <c r="G263" s="23" t="str">
        <f>IF(A263="","",IF(IF(OR(DATE($B$3,8,6)&gt;EOMONTH(DATE($B$3,8,1),0),NETWORKDAYS.INTL(DATE($B$3,8,6),DATE($B$3,8,6),1,'Non-working days'!$A$6:$A$45)=0),"",IF(COUNTIFS('Leave log'!$A$7:$A$306,Employees!$A$24,'Leave log'!$B$7:$B$306,"&lt;="&amp;DATE($B$3,8,6),'Leave log'!$C$7:$C$306,"&gt;="&amp;DATE($B$3,8,6),'Leave log'!$F$7:$F$306,"Approved")&gt;0,"A",""))="A","A",IF(OR(DATE($B$3,8,6)&gt;EOMONTH(DATE($B$3,8,1),0),NETWORKDAYS.INTL(DATE($B$3,8,6),DATE($B$3,8,6),1,'Non-working days'!$A$6:$A$45)=0),"",IF(COUNTIFS('Leave log'!$A$7:$A$306,Employees!$A$24,'Leave log'!$B$7:$B$306,"&lt;="&amp;DATE($B$3,8,6),'Leave log'!$C$7:$C$306,"&gt;="&amp;DATE($B$3,8,6),'Leave log'!$F$7:$F$306,"Pending")&gt;0,"P",""))))</f>
        <v/>
      </c>
      <c r="H263" s="23" t="str">
        <f>IF(A263="","",IF(IF(OR(DATE($B$3,8,7)&gt;EOMONTH(DATE($B$3,8,1),0),NETWORKDAYS.INTL(DATE($B$3,8,7),DATE($B$3,8,7),1,'Non-working days'!$A$6:$A$45)=0),"",IF(COUNTIFS('Leave log'!$A$7:$A$306,Employees!$A$24,'Leave log'!$B$7:$B$306,"&lt;="&amp;DATE($B$3,8,7),'Leave log'!$C$7:$C$306,"&gt;="&amp;DATE($B$3,8,7),'Leave log'!$F$7:$F$306,"Approved")&gt;0,"A",""))="A","A",IF(OR(DATE($B$3,8,7)&gt;EOMONTH(DATE($B$3,8,1),0),NETWORKDAYS.INTL(DATE($B$3,8,7),DATE($B$3,8,7),1,'Non-working days'!$A$6:$A$45)=0),"",IF(COUNTIFS('Leave log'!$A$7:$A$306,Employees!$A$24,'Leave log'!$B$7:$B$306,"&lt;="&amp;DATE($B$3,8,7),'Leave log'!$C$7:$C$306,"&gt;="&amp;DATE($B$3,8,7),'Leave log'!$F$7:$F$306,"Pending")&gt;0,"P",""))))</f>
        <v/>
      </c>
      <c r="I263" s="23" t="str">
        <f>IF(A263="","",IF(IF(OR(DATE($B$3,8,8)&gt;EOMONTH(DATE($B$3,8,1),0),NETWORKDAYS.INTL(DATE($B$3,8,8),DATE($B$3,8,8),1,'Non-working days'!$A$6:$A$45)=0),"",IF(COUNTIFS('Leave log'!$A$7:$A$306,Employees!$A$24,'Leave log'!$B$7:$B$306,"&lt;="&amp;DATE($B$3,8,8),'Leave log'!$C$7:$C$306,"&gt;="&amp;DATE($B$3,8,8),'Leave log'!$F$7:$F$306,"Approved")&gt;0,"A",""))="A","A",IF(OR(DATE($B$3,8,8)&gt;EOMONTH(DATE($B$3,8,1),0),NETWORKDAYS.INTL(DATE($B$3,8,8),DATE($B$3,8,8),1,'Non-working days'!$A$6:$A$45)=0),"",IF(COUNTIFS('Leave log'!$A$7:$A$306,Employees!$A$24,'Leave log'!$B$7:$B$306,"&lt;="&amp;DATE($B$3,8,8),'Leave log'!$C$7:$C$306,"&gt;="&amp;DATE($B$3,8,8),'Leave log'!$F$7:$F$306,"Pending")&gt;0,"P",""))))</f>
        <v/>
      </c>
      <c r="J263" s="23" t="str">
        <f>IF(A263="","",IF(IF(OR(DATE($B$3,8,9)&gt;EOMONTH(DATE($B$3,8,1),0),NETWORKDAYS.INTL(DATE($B$3,8,9),DATE($B$3,8,9),1,'Non-working days'!$A$6:$A$45)=0),"",IF(COUNTIFS('Leave log'!$A$7:$A$306,Employees!$A$24,'Leave log'!$B$7:$B$306,"&lt;="&amp;DATE($B$3,8,9),'Leave log'!$C$7:$C$306,"&gt;="&amp;DATE($B$3,8,9),'Leave log'!$F$7:$F$306,"Approved")&gt;0,"A",""))="A","A",IF(OR(DATE($B$3,8,9)&gt;EOMONTH(DATE($B$3,8,1),0),NETWORKDAYS.INTL(DATE($B$3,8,9),DATE($B$3,8,9),1,'Non-working days'!$A$6:$A$45)=0),"",IF(COUNTIFS('Leave log'!$A$7:$A$306,Employees!$A$24,'Leave log'!$B$7:$B$306,"&lt;="&amp;DATE($B$3,8,9),'Leave log'!$C$7:$C$306,"&gt;="&amp;DATE($B$3,8,9),'Leave log'!$F$7:$F$306,"Pending")&gt;0,"P",""))))</f>
        <v/>
      </c>
      <c r="K263" s="23" t="str">
        <f>IF(A263="","",IF(IF(OR(DATE($B$3,8,10)&gt;EOMONTH(DATE($B$3,8,1),0),NETWORKDAYS.INTL(DATE($B$3,8,10),DATE($B$3,8,10),1,'Non-working days'!$A$6:$A$45)=0),"",IF(COUNTIFS('Leave log'!$A$7:$A$306,Employees!$A$24,'Leave log'!$B$7:$B$306,"&lt;="&amp;DATE($B$3,8,10),'Leave log'!$C$7:$C$306,"&gt;="&amp;DATE($B$3,8,10),'Leave log'!$F$7:$F$306,"Approved")&gt;0,"A",""))="A","A",IF(OR(DATE($B$3,8,10)&gt;EOMONTH(DATE($B$3,8,1),0),NETWORKDAYS.INTL(DATE($B$3,8,10),DATE($B$3,8,10),1,'Non-working days'!$A$6:$A$45)=0),"",IF(COUNTIFS('Leave log'!$A$7:$A$306,Employees!$A$24,'Leave log'!$B$7:$B$306,"&lt;="&amp;DATE($B$3,8,10),'Leave log'!$C$7:$C$306,"&gt;="&amp;DATE($B$3,8,10),'Leave log'!$F$7:$F$306,"Pending")&gt;0,"P",""))))</f>
        <v/>
      </c>
      <c r="L263" s="23" t="str">
        <f>IF(A263="","",IF(IF(OR(DATE($B$3,8,11)&gt;EOMONTH(DATE($B$3,8,1),0),NETWORKDAYS.INTL(DATE($B$3,8,11),DATE($B$3,8,11),1,'Non-working days'!$A$6:$A$45)=0),"",IF(COUNTIFS('Leave log'!$A$7:$A$306,Employees!$A$24,'Leave log'!$B$7:$B$306,"&lt;="&amp;DATE($B$3,8,11),'Leave log'!$C$7:$C$306,"&gt;="&amp;DATE($B$3,8,11),'Leave log'!$F$7:$F$306,"Approved")&gt;0,"A",""))="A","A",IF(OR(DATE($B$3,8,11)&gt;EOMONTH(DATE($B$3,8,1),0),NETWORKDAYS.INTL(DATE($B$3,8,11),DATE($B$3,8,11),1,'Non-working days'!$A$6:$A$45)=0),"",IF(COUNTIFS('Leave log'!$A$7:$A$306,Employees!$A$24,'Leave log'!$B$7:$B$306,"&lt;="&amp;DATE($B$3,8,11),'Leave log'!$C$7:$C$306,"&gt;="&amp;DATE($B$3,8,11),'Leave log'!$F$7:$F$306,"Pending")&gt;0,"P",""))))</f>
        <v/>
      </c>
      <c r="M263" s="23" t="str">
        <f>IF(A263="","",IF(IF(OR(DATE($B$3,8,12)&gt;EOMONTH(DATE($B$3,8,1),0),NETWORKDAYS.INTL(DATE($B$3,8,12),DATE($B$3,8,12),1,'Non-working days'!$A$6:$A$45)=0),"",IF(COUNTIFS('Leave log'!$A$7:$A$306,Employees!$A$24,'Leave log'!$B$7:$B$306,"&lt;="&amp;DATE($B$3,8,12),'Leave log'!$C$7:$C$306,"&gt;="&amp;DATE($B$3,8,12),'Leave log'!$F$7:$F$306,"Approved")&gt;0,"A",""))="A","A",IF(OR(DATE($B$3,8,12)&gt;EOMONTH(DATE($B$3,8,1),0),NETWORKDAYS.INTL(DATE($B$3,8,12),DATE($B$3,8,12),1,'Non-working days'!$A$6:$A$45)=0),"",IF(COUNTIFS('Leave log'!$A$7:$A$306,Employees!$A$24,'Leave log'!$B$7:$B$306,"&lt;="&amp;DATE($B$3,8,12),'Leave log'!$C$7:$C$306,"&gt;="&amp;DATE($B$3,8,12),'Leave log'!$F$7:$F$306,"Pending")&gt;0,"P",""))))</f>
        <v/>
      </c>
      <c r="N263" s="23" t="str">
        <f>IF(A263="","",IF(IF(OR(DATE($B$3,8,13)&gt;EOMONTH(DATE($B$3,8,1),0),NETWORKDAYS.INTL(DATE($B$3,8,13),DATE($B$3,8,13),1,'Non-working days'!$A$6:$A$45)=0),"",IF(COUNTIFS('Leave log'!$A$7:$A$306,Employees!$A$24,'Leave log'!$B$7:$B$306,"&lt;="&amp;DATE($B$3,8,13),'Leave log'!$C$7:$C$306,"&gt;="&amp;DATE($B$3,8,13),'Leave log'!$F$7:$F$306,"Approved")&gt;0,"A",""))="A","A",IF(OR(DATE($B$3,8,13)&gt;EOMONTH(DATE($B$3,8,1),0),NETWORKDAYS.INTL(DATE($B$3,8,13),DATE($B$3,8,13),1,'Non-working days'!$A$6:$A$45)=0),"",IF(COUNTIFS('Leave log'!$A$7:$A$306,Employees!$A$24,'Leave log'!$B$7:$B$306,"&lt;="&amp;DATE($B$3,8,13),'Leave log'!$C$7:$C$306,"&gt;="&amp;DATE($B$3,8,13),'Leave log'!$F$7:$F$306,"Pending")&gt;0,"P",""))))</f>
        <v/>
      </c>
      <c r="O263" s="23" t="str">
        <f>IF(A263="","",IF(IF(OR(DATE($B$3,8,14)&gt;EOMONTH(DATE($B$3,8,1),0),NETWORKDAYS.INTL(DATE($B$3,8,14),DATE($B$3,8,14),1,'Non-working days'!$A$6:$A$45)=0),"",IF(COUNTIFS('Leave log'!$A$7:$A$306,Employees!$A$24,'Leave log'!$B$7:$B$306,"&lt;="&amp;DATE($B$3,8,14),'Leave log'!$C$7:$C$306,"&gt;="&amp;DATE($B$3,8,14),'Leave log'!$F$7:$F$306,"Approved")&gt;0,"A",""))="A","A",IF(OR(DATE($B$3,8,14)&gt;EOMONTH(DATE($B$3,8,1),0),NETWORKDAYS.INTL(DATE($B$3,8,14),DATE($B$3,8,14),1,'Non-working days'!$A$6:$A$45)=0),"",IF(COUNTIFS('Leave log'!$A$7:$A$306,Employees!$A$24,'Leave log'!$B$7:$B$306,"&lt;="&amp;DATE($B$3,8,14),'Leave log'!$C$7:$C$306,"&gt;="&amp;DATE($B$3,8,14),'Leave log'!$F$7:$F$306,"Pending")&gt;0,"P",""))))</f>
        <v/>
      </c>
      <c r="P263" s="23" t="str">
        <f>IF(A263="","",IF(IF(OR(DATE($B$3,8,15)&gt;EOMONTH(DATE($B$3,8,1),0),NETWORKDAYS.INTL(DATE($B$3,8,15),DATE($B$3,8,15),1,'Non-working days'!$A$6:$A$45)=0),"",IF(COUNTIFS('Leave log'!$A$7:$A$306,Employees!$A$24,'Leave log'!$B$7:$B$306,"&lt;="&amp;DATE($B$3,8,15),'Leave log'!$C$7:$C$306,"&gt;="&amp;DATE($B$3,8,15),'Leave log'!$F$7:$F$306,"Approved")&gt;0,"A",""))="A","A",IF(OR(DATE($B$3,8,15)&gt;EOMONTH(DATE($B$3,8,1),0),NETWORKDAYS.INTL(DATE($B$3,8,15),DATE($B$3,8,15),1,'Non-working days'!$A$6:$A$45)=0),"",IF(COUNTIFS('Leave log'!$A$7:$A$306,Employees!$A$24,'Leave log'!$B$7:$B$306,"&lt;="&amp;DATE($B$3,8,15),'Leave log'!$C$7:$C$306,"&gt;="&amp;DATE($B$3,8,15),'Leave log'!$F$7:$F$306,"Pending")&gt;0,"P",""))))</f>
        <v/>
      </c>
      <c r="Q263" s="23" t="str">
        <f>IF(A263="","",IF(IF(OR(DATE($B$3,8,16)&gt;EOMONTH(DATE($B$3,8,1),0),NETWORKDAYS.INTL(DATE($B$3,8,16),DATE($B$3,8,16),1,'Non-working days'!$A$6:$A$45)=0),"",IF(COUNTIFS('Leave log'!$A$7:$A$306,Employees!$A$24,'Leave log'!$B$7:$B$306,"&lt;="&amp;DATE($B$3,8,16),'Leave log'!$C$7:$C$306,"&gt;="&amp;DATE($B$3,8,16),'Leave log'!$F$7:$F$306,"Approved")&gt;0,"A",""))="A","A",IF(OR(DATE($B$3,8,16)&gt;EOMONTH(DATE($B$3,8,1),0),NETWORKDAYS.INTL(DATE($B$3,8,16),DATE($B$3,8,16),1,'Non-working days'!$A$6:$A$45)=0),"",IF(COUNTIFS('Leave log'!$A$7:$A$306,Employees!$A$24,'Leave log'!$B$7:$B$306,"&lt;="&amp;DATE($B$3,8,16),'Leave log'!$C$7:$C$306,"&gt;="&amp;DATE($B$3,8,16),'Leave log'!$F$7:$F$306,"Pending")&gt;0,"P",""))))</f>
        <v/>
      </c>
      <c r="R263" s="23" t="str">
        <f>IF(A263="","",IF(IF(OR(DATE($B$3,8,17)&gt;EOMONTH(DATE($B$3,8,1),0),NETWORKDAYS.INTL(DATE($B$3,8,17),DATE($B$3,8,17),1,'Non-working days'!$A$6:$A$45)=0),"",IF(COUNTIFS('Leave log'!$A$7:$A$306,Employees!$A$24,'Leave log'!$B$7:$B$306,"&lt;="&amp;DATE($B$3,8,17),'Leave log'!$C$7:$C$306,"&gt;="&amp;DATE($B$3,8,17),'Leave log'!$F$7:$F$306,"Approved")&gt;0,"A",""))="A","A",IF(OR(DATE($B$3,8,17)&gt;EOMONTH(DATE($B$3,8,1),0),NETWORKDAYS.INTL(DATE($B$3,8,17),DATE($B$3,8,17),1,'Non-working days'!$A$6:$A$45)=0),"",IF(COUNTIFS('Leave log'!$A$7:$A$306,Employees!$A$24,'Leave log'!$B$7:$B$306,"&lt;="&amp;DATE($B$3,8,17),'Leave log'!$C$7:$C$306,"&gt;="&amp;DATE($B$3,8,17),'Leave log'!$F$7:$F$306,"Pending")&gt;0,"P",""))))</f>
        <v/>
      </c>
      <c r="S263" s="23" t="str">
        <f>IF(A263="","",IF(IF(OR(DATE($B$3,8,18)&gt;EOMONTH(DATE($B$3,8,1),0),NETWORKDAYS.INTL(DATE($B$3,8,18),DATE($B$3,8,18),1,'Non-working days'!$A$6:$A$45)=0),"",IF(COUNTIFS('Leave log'!$A$7:$A$306,Employees!$A$24,'Leave log'!$B$7:$B$306,"&lt;="&amp;DATE($B$3,8,18),'Leave log'!$C$7:$C$306,"&gt;="&amp;DATE($B$3,8,18),'Leave log'!$F$7:$F$306,"Approved")&gt;0,"A",""))="A","A",IF(OR(DATE($B$3,8,18)&gt;EOMONTH(DATE($B$3,8,1),0),NETWORKDAYS.INTL(DATE($B$3,8,18),DATE($B$3,8,18),1,'Non-working days'!$A$6:$A$45)=0),"",IF(COUNTIFS('Leave log'!$A$7:$A$306,Employees!$A$24,'Leave log'!$B$7:$B$306,"&lt;="&amp;DATE($B$3,8,18),'Leave log'!$C$7:$C$306,"&gt;="&amp;DATE($B$3,8,18),'Leave log'!$F$7:$F$306,"Pending")&gt;0,"P",""))))</f>
        <v/>
      </c>
      <c r="T263" s="23" t="str">
        <f>IF(A263="","",IF(IF(OR(DATE($B$3,8,19)&gt;EOMONTH(DATE($B$3,8,1),0),NETWORKDAYS.INTL(DATE($B$3,8,19),DATE($B$3,8,19),1,'Non-working days'!$A$6:$A$45)=0),"",IF(COUNTIFS('Leave log'!$A$7:$A$306,Employees!$A$24,'Leave log'!$B$7:$B$306,"&lt;="&amp;DATE($B$3,8,19),'Leave log'!$C$7:$C$306,"&gt;="&amp;DATE($B$3,8,19),'Leave log'!$F$7:$F$306,"Approved")&gt;0,"A",""))="A","A",IF(OR(DATE($B$3,8,19)&gt;EOMONTH(DATE($B$3,8,1),0),NETWORKDAYS.INTL(DATE($B$3,8,19),DATE($B$3,8,19),1,'Non-working days'!$A$6:$A$45)=0),"",IF(COUNTIFS('Leave log'!$A$7:$A$306,Employees!$A$24,'Leave log'!$B$7:$B$306,"&lt;="&amp;DATE($B$3,8,19),'Leave log'!$C$7:$C$306,"&gt;="&amp;DATE($B$3,8,19),'Leave log'!$F$7:$F$306,"Pending")&gt;0,"P",""))))</f>
        <v/>
      </c>
      <c r="U263" s="23" t="str">
        <f>IF(A263="","",IF(IF(OR(DATE($B$3,8,20)&gt;EOMONTH(DATE($B$3,8,1),0),NETWORKDAYS.INTL(DATE($B$3,8,20),DATE($B$3,8,20),1,'Non-working days'!$A$6:$A$45)=0),"",IF(COUNTIFS('Leave log'!$A$7:$A$306,Employees!$A$24,'Leave log'!$B$7:$B$306,"&lt;="&amp;DATE($B$3,8,20),'Leave log'!$C$7:$C$306,"&gt;="&amp;DATE($B$3,8,20),'Leave log'!$F$7:$F$306,"Approved")&gt;0,"A",""))="A","A",IF(OR(DATE($B$3,8,20)&gt;EOMONTH(DATE($B$3,8,1),0),NETWORKDAYS.INTL(DATE($B$3,8,20),DATE($B$3,8,20),1,'Non-working days'!$A$6:$A$45)=0),"",IF(COUNTIFS('Leave log'!$A$7:$A$306,Employees!$A$24,'Leave log'!$B$7:$B$306,"&lt;="&amp;DATE($B$3,8,20),'Leave log'!$C$7:$C$306,"&gt;="&amp;DATE($B$3,8,20),'Leave log'!$F$7:$F$306,"Pending")&gt;0,"P",""))))</f>
        <v/>
      </c>
      <c r="V263" s="23" t="str">
        <f>IF(A263="","",IF(IF(OR(DATE($B$3,8,21)&gt;EOMONTH(DATE($B$3,8,1),0),NETWORKDAYS.INTL(DATE($B$3,8,21),DATE($B$3,8,21),1,'Non-working days'!$A$6:$A$45)=0),"",IF(COUNTIFS('Leave log'!$A$7:$A$306,Employees!$A$24,'Leave log'!$B$7:$B$306,"&lt;="&amp;DATE($B$3,8,21),'Leave log'!$C$7:$C$306,"&gt;="&amp;DATE($B$3,8,21),'Leave log'!$F$7:$F$306,"Approved")&gt;0,"A",""))="A","A",IF(OR(DATE($B$3,8,21)&gt;EOMONTH(DATE($B$3,8,1),0),NETWORKDAYS.INTL(DATE($B$3,8,21),DATE($B$3,8,21),1,'Non-working days'!$A$6:$A$45)=0),"",IF(COUNTIFS('Leave log'!$A$7:$A$306,Employees!$A$24,'Leave log'!$B$7:$B$306,"&lt;="&amp;DATE($B$3,8,21),'Leave log'!$C$7:$C$306,"&gt;="&amp;DATE($B$3,8,21),'Leave log'!$F$7:$F$306,"Pending")&gt;0,"P",""))))</f>
        <v/>
      </c>
      <c r="W263" s="23" t="str">
        <f>IF(A263="","",IF(IF(OR(DATE($B$3,8,22)&gt;EOMONTH(DATE($B$3,8,1),0),NETWORKDAYS.INTL(DATE($B$3,8,22),DATE($B$3,8,22),1,'Non-working days'!$A$6:$A$45)=0),"",IF(COUNTIFS('Leave log'!$A$7:$A$306,Employees!$A$24,'Leave log'!$B$7:$B$306,"&lt;="&amp;DATE($B$3,8,22),'Leave log'!$C$7:$C$306,"&gt;="&amp;DATE($B$3,8,22),'Leave log'!$F$7:$F$306,"Approved")&gt;0,"A",""))="A","A",IF(OR(DATE($B$3,8,22)&gt;EOMONTH(DATE($B$3,8,1),0),NETWORKDAYS.INTL(DATE($B$3,8,22),DATE($B$3,8,22),1,'Non-working days'!$A$6:$A$45)=0),"",IF(COUNTIFS('Leave log'!$A$7:$A$306,Employees!$A$24,'Leave log'!$B$7:$B$306,"&lt;="&amp;DATE($B$3,8,22),'Leave log'!$C$7:$C$306,"&gt;="&amp;DATE($B$3,8,22),'Leave log'!$F$7:$F$306,"Pending")&gt;0,"P",""))))</f>
        <v/>
      </c>
      <c r="X263" s="23" t="str">
        <f>IF(A263="","",IF(IF(OR(DATE($B$3,8,23)&gt;EOMONTH(DATE($B$3,8,1),0),NETWORKDAYS.INTL(DATE($B$3,8,23),DATE($B$3,8,23),1,'Non-working days'!$A$6:$A$45)=0),"",IF(COUNTIFS('Leave log'!$A$7:$A$306,Employees!$A$24,'Leave log'!$B$7:$B$306,"&lt;="&amp;DATE($B$3,8,23),'Leave log'!$C$7:$C$306,"&gt;="&amp;DATE($B$3,8,23),'Leave log'!$F$7:$F$306,"Approved")&gt;0,"A",""))="A","A",IF(OR(DATE($B$3,8,23)&gt;EOMONTH(DATE($B$3,8,1),0),NETWORKDAYS.INTL(DATE($B$3,8,23),DATE($B$3,8,23),1,'Non-working days'!$A$6:$A$45)=0),"",IF(COUNTIFS('Leave log'!$A$7:$A$306,Employees!$A$24,'Leave log'!$B$7:$B$306,"&lt;="&amp;DATE($B$3,8,23),'Leave log'!$C$7:$C$306,"&gt;="&amp;DATE($B$3,8,23),'Leave log'!$F$7:$F$306,"Pending")&gt;0,"P",""))))</f>
        <v/>
      </c>
      <c r="Y263" s="23" t="str">
        <f>IF(A263="","",IF(IF(OR(DATE($B$3,8,24)&gt;EOMONTH(DATE($B$3,8,1),0),NETWORKDAYS.INTL(DATE($B$3,8,24),DATE($B$3,8,24),1,'Non-working days'!$A$6:$A$45)=0),"",IF(COUNTIFS('Leave log'!$A$7:$A$306,Employees!$A$24,'Leave log'!$B$7:$B$306,"&lt;="&amp;DATE($B$3,8,24),'Leave log'!$C$7:$C$306,"&gt;="&amp;DATE($B$3,8,24),'Leave log'!$F$7:$F$306,"Approved")&gt;0,"A",""))="A","A",IF(OR(DATE($B$3,8,24)&gt;EOMONTH(DATE($B$3,8,1),0),NETWORKDAYS.INTL(DATE($B$3,8,24),DATE($B$3,8,24),1,'Non-working days'!$A$6:$A$45)=0),"",IF(COUNTIFS('Leave log'!$A$7:$A$306,Employees!$A$24,'Leave log'!$B$7:$B$306,"&lt;="&amp;DATE($B$3,8,24),'Leave log'!$C$7:$C$306,"&gt;="&amp;DATE($B$3,8,24),'Leave log'!$F$7:$F$306,"Pending")&gt;0,"P",""))))</f>
        <v/>
      </c>
      <c r="Z263" s="23" t="str">
        <f>IF(A263="","",IF(IF(OR(DATE($B$3,8,25)&gt;EOMONTH(DATE($B$3,8,1),0),NETWORKDAYS.INTL(DATE($B$3,8,25),DATE($B$3,8,25),1,'Non-working days'!$A$6:$A$45)=0),"",IF(COUNTIFS('Leave log'!$A$7:$A$306,Employees!$A$24,'Leave log'!$B$7:$B$306,"&lt;="&amp;DATE($B$3,8,25),'Leave log'!$C$7:$C$306,"&gt;="&amp;DATE($B$3,8,25),'Leave log'!$F$7:$F$306,"Approved")&gt;0,"A",""))="A","A",IF(OR(DATE($B$3,8,25)&gt;EOMONTH(DATE($B$3,8,1),0),NETWORKDAYS.INTL(DATE($B$3,8,25),DATE($B$3,8,25),1,'Non-working days'!$A$6:$A$45)=0),"",IF(COUNTIFS('Leave log'!$A$7:$A$306,Employees!$A$24,'Leave log'!$B$7:$B$306,"&lt;="&amp;DATE($B$3,8,25),'Leave log'!$C$7:$C$306,"&gt;="&amp;DATE($B$3,8,25),'Leave log'!$F$7:$F$306,"Pending")&gt;0,"P",""))))</f>
        <v/>
      </c>
      <c r="AA263" s="23" t="str">
        <f>IF(A263="","",IF(IF(OR(DATE($B$3,8,26)&gt;EOMONTH(DATE($B$3,8,1),0),NETWORKDAYS.INTL(DATE($B$3,8,26),DATE($B$3,8,26),1,'Non-working days'!$A$6:$A$45)=0),"",IF(COUNTIFS('Leave log'!$A$7:$A$306,Employees!$A$24,'Leave log'!$B$7:$B$306,"&lt;="&amp;DATE($B$3,8,26),'Leave log'!$C$7:$C$306,"&gt;="&amp;DATE($B$3,8,26),'Leave log'!$F$7:$F$306,"Approved")&gt;0,"A",""))="A","A",IF(OR(DATE($B$3,8,26)&gt;EOMONTH(DATE($B$3,8,1),0),NETWORKDAYS.INTL(DATE($B$3,8,26),DATE($B$3,8,26),1,'Non-working days'!$A$6:$A$45)=0),"",IF(COUNTIFS('Leave log'!$A$7:$A$306,Employees!$A$24,'Leave log'!$B$7:$B$306,"&lt;="&amp;DATE($B$3,8,26),'Leave log'!$C$7:$C$306,"&gt;="&amp;DATE($B$3,8,26),'Leave log'!$F$7:$F$306,"Pending")&gt;0,"P",""))))</f>
        <v/>
      </c>
      <c r="AB263" s="23" t="str">
        <f>IF(A263="","",IF(IF(OR(DATE($B$3,8,27)&gt;EOMONTH(DATE($B$3,8,1),0),NETWORKDAYS.INTL(DATE($B$3,8,27),DATE($B$3,8,27),1,'Non-working days'!$A$6:$A$45)=0),"",IF(COUNTIFS('Leave log'!$A$7:$A$306,Employees!$A$24,'Leave log'!$B$7:$B$306,"&lt;="&amp;DATE($B$3,8,27),'Leave log'!$C$7:$C$306,"&gt;="&amp;DATE($B$3,8,27),'Leave log'!$F$7:$F$306,"Approved")&gt;0,"A",""))="A","A",IF(OR(DATE($B$3,8,27)&gt;EOMONTH(DATE($B$3,8,1),0),NETWORKDAYS.INTL(DATE($B$3,8,27),DATE($B$3,8,27),1,'Non-working days'!$A$6:$A$45)=0),"",IF(COUNTIFS('Leave log'!$A$7:$A$306,Employees!$A$24,'Leave log'!$B$7:$B$306,"&lt;="&amp;DATE($B$3,8,27),'Leave log'!$C$7:$C$306,"&gt;="&amp;DATE($B$3,8,27),'Leave log'!$F$7:$F$306,"Pending")&gt;0,"P",""))))</f>
        <v/>
      </c>
      <c r="AC263" s="23" t="str">
        <f>IF(A263="","",IF(IF(OR(DATE($B$3,8,28)&gt;EOMONTH(DATE($B$3,8,1),0),NETWORKDAYS.INTL(DATE($B$3,8,28),DATE($B$3,8,28),1,'Non-working days'!$A$6:$A$45)=0),"",IF(COUNTIFS('Leave log'!$A$7:$A$306,Employees!$A$24,'Leave log'!$B$7:$B$306,"&lt;="&amp;DATE($B$3,8,28),'Leave log'!$C$7:$C$306,"&gt;="&amp;DATE($B$3,8,28),'Leave log'!$F$7:$F$306,"Approved")&gt;0,"A",""))="A","A",IF(OR(DATE($B$3,8,28)&gt;EOMONTH(DATE($B$3,8,1),0),NETWORKDAYS.INTL(DATE($B$3,8,28),DATE($B$3,8,28),1,'Non-working days'!$A$6:$A$45)=0),"",IF(COUNTIFS('Leave log'!$A$7:$A$306,Employees!$A$24,'Leave log'!$B$7:$B$306,"&lt;="&amp;DATE($B$3,8,28),'Leave log'!$C$7:$C$306,"&gt;="&amp;DATE($B$3,8,28),'Leave log'!$F$7:$F$306,"Pending")&gt;0,"P",""))))</f>
        <v/>
      </c>
      <c r="AD263" s="23" t="str">
        <f>IF(A263="","",IF(IF(OR(DATE($B$3,8,29)&gt;EOMONTH(DATE($B$3,8,1),0),NETWORKDAYS.INTL(DATE($B$3,8,29),DATE($B$3,8,29),1,'Non-working days'!$A$6:$A$45)=0),"",IF(COUNTIFS('Leave log'!$A$7:$A$306,Employees!$A$24,'Leave log'!$B$7:$B$306,"&lt;="&amp;DATE($B$3,8,29),'Leave log'!$C$7:$C$306,"&gt;="&amp;DATE($B$3,8,29),'Leave log'!$F$7:$F$306,"Approved")&gt;0,"A",""))="A","A",IF(OR(DATE($B$3,8,29)&gt;EOMONTH(DATE($B$3,8,1),0),NETWORKDAYS.INTL(DATE($B$3,8,29),DATE($B$3,8,29),1,'Non-working days'!$A$6:$A$45)=0),"",IF(COUNTIFS('Leave log'!$A$7:$A$306,Employees!$A$24,'Leave log'!$B$7:$B$306,"&lt;="&amp;DATE($B$3,8,29),'Leave log'!$C$7:$C$306,"&gt;="&amp;DATE($B$3,8,29),'Leave log'!$F$7:$F$306,"Pending")&gt;0,"P",""))))</f>
        <v/>
      </c>
      <c r="AE263" s="23" t="str">
        <f>IF(A263="","",IF(IF(OR(DATE($B$3,8,30)&gt;EOMONTH(DATE($B$3,8,1),0),NETWORKDAYS.INTL(DATE($B$3,8,30),DATE($B$3,8,30),1,'Non-working days'!$A$6:$A$45)=0),"",IF(COUNTIFS('Leave log'!$A$7:$A$306,Employees!$A$24,'Leave log'!$B$7:$B$306,"&lt;="&amp;DATE($B$3,8,30),'Leave log'!$C$7:$C$306,"&gt;="&amp;DATE($B$3,8,30),'Leave log'!$F$7:$F$306,"Approved")&gt;0,"A",""))="A","A",IF(OR(DATE($B$3,8,30)&gt;EOMONTH(DATE($B$3,8,1),0),NETWORKDAYS.INTL(DATE($B$3,8,30),DATE($B$3,8,30),1,'Non-working days'!$A$6:$A$45)=0),"",IF(COUNTIFS('Leave log'!$A$7:$A$306,Employees!$A$24,'Leave log'!$B$7:$B$306,"&lt;="&amp;DATE($B$3,8,30),'Leave log'!$C$7:$C$306,"&gt;="&amp;DATE($B$3,8,30),'Leave log'!$F$7:$F$306,"Pending")&gt;0,"P",""))))</f>
        <v/>
      </c>
      <c r="AF263" s="23" t="str">
        <f>IF(A263="","",IF(IF(OR(DATE($B$3,8,31)&gt;EOMONTH(DATE($B$3,8,1),0),NETWORKDAYS.INTL(DATE($B$3,8,31),DATE($B$3,8,31),1,'Non-working days'!$A$6:$A$45)=0),"",IF(COUNTIFS('Leave log'!$A$7:$A$306,Employees!$A$24,'Leave log'!$B$7:$B$306,"&lt;="&amp;DATE($B$3,8,31),'Leave log'!$C$7:$C$306,"&gt;="&amp;DATE($B$3,8,31),'Leave log'!$F$7:$F$306,"Approved")&gt;0,"A",""))="A","A",IF(OR(DATE($B$3,8,31)&gt;EOMONTH(DATE($B$3,8,1),0),NETWORKDAYS.INTL(DATE($B$3,8,31),DATE($B$3,8,31),1,'Non-working days'!$A$6:$A$45)=0),"",IF(COUNTIFS('Leave log'!$A$7:$A$306,Employees!$A$24,'Leave log'!$B$7:$B$306,"&lt;="&amp;DATE($B$3,8,31),'Leave log'!$C$7:$C$306,"&gt;="&amp;DATE($B$3,8,31),'Leave log'!$F$7:$F$306,"Pending")&gt;0,"P",""))))</f>
        <v/>
      </c>
    </row>
    <row r="264" spans="1:32" ht="18" customHeight="1" x14ac:dyDescent="0.3">
      <c r="A264" s="22" t="str">
        <f>IF(Employees!F25="Yes",Employees!B25,"")</f>
        <v/>
      </c>
      <c r="B264" s="23" t="str">
        <f>IF(A264="","",IF(IF(OR(DATE($B$3,8,1)&gt;EOMONTH(DATE($B$3,8,1),0),NETWORKDAYS.INTL(DATE($B$3,8,1),DATE($B$3,8,1),1,'Non-working days'!$A$6:$A$45)=0),"",IF(COUNTIFS('Leave log'!$A$7:$A$306,Employees!$A$25,'Leave log'!$B$7:$B$306,"&lt;="&amp;DATE($B$3,8,1),'Leave log'!$C$7:$C$306,"&gt;="&amp;DATE($B$3,8,1),'Leave log'!$F$7:$F$306,"Approved")&gt;0,"A",""))="A","A",IF(OR(DATE($B$3,8,1)&gt;EOMONTH(DATE($B$3,8,1),0),NETWORKDAYS.INTL(DATE($B$3,8,1),DATE($B$3,8,1),1,'Non-working days'!$A$6:$A$45)=0),"",IF(COUNTIFS('Leave log'!$A$7:$A$306,Employees!$A$25,'Leave log'!$B$7:$B$306,"&lt;="&amp;DATE($B$3,8,1),'Leave log'!$C$7:$C$306,"&gt;="&amp;DATE($B$3,8,1),'Leave log'!$F$7:$F$306,"Pending")&gt;0,"P",""))))</f>
        <v/>
      </c>
      <c r="C264" s="23" t="str">
        <f>IF(A264="","",IF(IF(OR(DATE($B$3,8,2)&gt;EOMONTH(DATE($B$3,8,1),0),NETWORKDAYS.INTL(DATE($B$3,8,2),DATE($B$3,8,2),1,'Non-working days'!$A$6:$A$45)=0),"",IF(COUNTIFS('Leave log'!$A$7:$A$306,Employees!$A$25,'Leave log'!$B$7:$B$306,"&lt;="&amp;DATE($B$3,8,2),'Leave log'!$C$7:$C$306,"&gt;="&amp;DATE($B$3,8,2),'Leave log'!$F$7:$F$306,"Approved")&gt;0,"A",""))="A","A",IF(OR(DATE($B$3,8,2)&gt;EOMONTH(DATE($B$3,8,1),0),NETWORKDAYS.INTL(DATE($B$3,8,2),DATE($B$3,8,2),1,'Non-working days'!$A$6:$A$45)=0),"",IF(COUNTIFS('Leave log'!$A$7:$A$306,Employees!$A$25,'Leave log'!$B$7:$B$306,"&lt;="&amp;DATE($B$3,8,2),'Leave log'!$C$7:$C$306,"&gt;="&amp;DATE($B$3,8,2),'Leave log'!$F$7:$F$306,"Pending")&gt;0,"P",""))))</f>
        <v/>
      </c>
      <c r="D264" s="23" t="str">
        <f>IF(A264="","",IF(IF(OR(DATE($B$3,8,3)&gt;EOMONTH(DATE($B$3,8,1),0),NETWORKDAYS.INTL(DATE($B$3,8,3),DATE($B$3,8,3),1,'Non-working days'!$A$6:$A$45)=0),"",IF(COUNTIFS('Leave log'!$A$7:$A$306,Employees!$A$25,'Leave log'!$B$7:$B$306,"&lt;="&amp;DATE($B$3,8,3),'Leave log'!$C$7:$C$306,"&gt;="&amp;DATE($B$3,8,3),'Leave log'!$F$7:$F$306,"Approved")&gt;0,"A",""))="A","A",IF(OR(DATE($B$3,8,3)&gt;EOMONTH(DATE($B$3,8,1),0),NETWORKDAYS.INTL(DATE($B$3,8,3),DATE($B$3,8,3),1,'Non-working days'!$A$6:$A$45)=0),"",IF(COUNTIFS('Leave log'!$A$7:$A$306,Employees!$A$25,'Leave log'!$B$7:$B$306,"&lt;="&amp;DATE($B$3,8,3),'Leave log'!$C$7:$C$306,"&gt;="&amp;DATE($B$3,8,3),'Leave log'!$F$7:$F$306,"Pending")&gt;0,"P",""))))</f>
        <v/>
      </c>
      <c r="E264" s="23" t="str">
        <f>IF(A264="","",IF(IF(OR(DATE($B$3,8,4)&gt;EOMONTH(DATE($B$3,8,1),0),NETWORKDAYS.INTL(DATE($B$3,8,4),DATE($B$3,8,4),1,'Non-working days'!$A$6:$A$45)=0),"",IF(COUNTIFS('Leave log'!$A$7:$A$306,Employees!$A$25,'Leave log'!$B$7:$B$306,"&lt;="&amp;DATE($B$3,8,4),'Leave log'!$C$7:$C$306,"&gt;="&amp;DATE($B$3,8,4),'Leave log'!$F$7:$F$306,"Approved")&gt;0,"A",""))="A","A",IF(OR(DATE($B$3,8,4)&gt;EOMONTH(DATE($B$3,8,1),0),NETWORKDAYS.INTL(DATE($B$3,8,4),DATE($B$3,8,4),1,'Non-working days'!$A$6:$A$45)=0),"",IF(COUNTIFS('Leave log'!$A$7:$A$306,Employees!$A$25,'Leave log'!$B$7:$B$306,"&lt;="&amp;DATE($B$3,8,4),'Leave log'!$C$7:$C$306,"&gt;="&amp;DATE($B$3,8,4),'Leave log'!$F$7:$F$306,"Pending")&gt;0,"P",""))))</f>
        <v/>
      </c>
      <c r="F264" s="23" t="str">
        <f>IF(A264="","",IF(IF(OR(DATE($B$3,8,5)&gt;EOMONTH(DATE($B$3,8,1),0),NETWORKDAYS.INTL(DATE($B$3,8,5),DATE($B$3,8,5),1,'Non-working days'!$A$6:$A$45)=0),"",IF(COUNTIFS('Leave log'!$A$7:$A$306,Employees!$A$25,'Leave log'!$B$7:$B$306,"&lt;="&amp;DATE($B$3,8,5),'Leave log'!$C$7:$C$306,"&gt;="&amp;DATE($B$3,8,5),'Leave log'!$F$7:$F$306,"Approved")&gt;0,"A",""))="A","A",IF(OR(DATE($B$3,8,5)&gt;EOMONTH(DATE($B$3,8,1),0),NETWORKDAYS.INTL(DATE($B$3,8,5),DATE($B$3,8,5),1,'Non-working days'!$A$6:$A$45)=0),"",IF(COUNTIFS('Leave log'!$A$7:$A$306,Employees!$A$25,'Leave log'!$B$7:$B$306,"&lt;="&amp;DATE($B$3,8,5),'Leave log'!$C$7:$C$306,"&gt;="&amp;DATE($B$3,8,5),'Leave log'!$F$7:$F$306,"Pending")&gt;0,"P",""))))</f>
        <v/>
      </c>
      <c r="G264" s="23" t="str">
        <f>IF(A264="","",IF(IF(OR(DATE($B$3,8,6)&gt;EOMONTH(DATE($B$3,8,1),0),NETWORKDAYS.INTL(DATE($B$3,8,6),DATE($B$3,8,6),1,'Non-working days'!$A$6:$A$45)=0),"",IF(COUNTIFS('Leave log'!$A$7:$A$306,Employees!$A$25,'Leave log'!$B$7:$B$306,"&lt;="&amp;DATE($B$3,8,6),'Leave log'!$C$7:$C$306,"&gt;="&amp;DATE($B$3,8,6),'Leave log'!$F$7:$F$306,"Approved")&gt;0,"A",""))="A","A",IF(OR(DATE($B$3,8,6)&gt;EOMONTH(DATE($B$3,8,1),0),NETWORKDAYS.INTL(DATE($B$3,8,6),DATE($B$3,8,6),1,'Non-working days'!$A$6:$A$45)=0),"",IF(COUNTIFS('Leave log'!$A$7:$A$306,Employees!$A$25,'Leave log'!$B$7:$B$306,"&lt;="&amp;DATE($B$3,8,6),'Leave log'!$C$7:$C$306,"&gt;="&amp;DATE($B$3,8,6),'Leave log'!$F$7:$F$306,"Pending")&gt;0,"P",""))))</f>
        <v/>
      </c>
      <c r="H264" s="23" t="str">
        <f>IF(A264="","",IF(IF(OR(DATE($B$3,8,7)&gt;EOMONTH(DATE($B$3,8,1),0),NETWORKDAYS.INTL(DATE($B$3,8,7),DATE($B$3,8,7),1,'Non-working days'!$A$6:$A$45)=0),"",IF(COUNTIFS('Leave log'!$A$7:$A$306,Employees!$A$25,'Leave log'!$B$7:$B$306,"&lt;="&amp;DATE($B$3,8,7),'Leave log'!$C$7:$C$306,"&gt;="&amp;DATE($B$3,8,7),'Leave log'!$F$7:$F$306,"Approved")&gt;0,"A",""))="A","A",IF(OR(DATE($B$3,8,7)&gt;EOMONTH(DATE($B$3,8,1),0),NETWORKDAYS.INTL(DATE($B$3,8,7),DATE($B$3,8,7),1,'Non-working days'!$A$6:$A$45)=0),"",IF(COUNTIFS('Leave log'!$A$7:$A$306,Employees!$A$25,'Leave log'!$B$7:$B$306,"&lt;="&amp;DATE($B$3,8,7),'Leave log'!$C$7:$C$306,"&gt;="&amp;DATE($B$3,8,7),'Leave log'!$F$7:$F$306,"Pending")&gt;0,"P",""))))</f>
        <v/>
      </c>
      <c r="I264" s="23" t="str">
        <f>IF(A264="","",IF(IF(OR(DATE($B$3,8,8)&gt;EOMONTH(DATE($B$3,8,1),0),NETWORKDAYS.INTL(DATE($B$3,8,8),DATE($B$3,8,8),1,'Non-working days'!$A$6:$A$45)=0),"",IF(COUNTIFS('Leave log'!$A$7:$A$306,Employees!$A$25,'Leave log'!$B$7:$B$306,"&lt;="&amp;DATE($B$3,8,8),'Leave log'!$C$7:$C$306,"&gt;="&amp;DATE($B$3,8,8),'Leave log'!$F$7:$F$306,"Approved")&gt;0,"A",""))="A","A",IF(OR(DATE($B$3,8,8)&gt;EOMONTH(DATE($B$3,8,1),0),NETWORKDAYS.INTL(DATE($B$3,8,8),DATE($B$3,8,8),1,'Non-working days'!$A$6:$A$45)=0),"",IF(COUNTIFS('Leave log'!$A$7:$A$306,Employees!$A$25,'Leave log'!$B$7:$B$306,"&lt;="&amp;DATE($B$3,8,8),'Leave log'!$C$7:$C$306,"&gt;="&amp;DATE($B$3,8,8),'Leave log'!$F$7:$F$306,"Pending")&gt;0,"P",""))))</f>
        <v/>
      </c>
      <c r="J264" s="23" t="str">
        <f>IF(A264="","",IF(IF(OR(DATE($B$3,8,9)&gt;EOMONTH(DATE($B$3,8,1),0),NETWORKDAYS.INTL(DATE($B$3,8,9),DATE($B$3,8,9),1,'Non-working days'!$A$6:$A$45)=0),"",IF(COUNTIFS('Leave log'!$A$7:$A$306,Employees!$A$25,'Leave log'!$B$7:$B$306,"&lt;="&amp;DATE($B$3,8,9),'Leave log'!$C$7:$C$306,"&gt;="&amp;DATE($B$3,8,9),'Leave log'!$F$7:$F$306,"Approved")&gt;0,"A",""))="A","A",IF(OR(DATE($B$3,8,9)&gt;EOMONTH(DATE($B$3,8,1),0),NETWORKDAYS.INTL(DATE($B$3,8,9),DATE($B$3,8,9),1,'Non-working days'!$A$6:$A$45)=0),"",IF(COUNTIFS('Leave log'!$A$7:$A$306,Employees!$A$25,'Leave log'!$B$7:$B$306,"&lt;="&amp;DATE($B$3,8,9),'Leave log'!$C$7:$C$306,"&gt;="&amp;DATE($B$3,8,9),'Leave log'!$F$7:$F$306,"Pending")&gt;0,"P",""))))</f>
        <v/>
      </c>
      <c r="K264" s="23" t="str">
        <f>IF(A264="","",IF(IF(OR(DATE($B$3,8,10)&gt;EOMONTH(DATE($B$3,8,1),0),NETWORKDAYS.INTL(DATE($B$3,8,10),DATE($B$3,8,10),1,'Non-working days'!$A$6:$A$45)=0),"",IF(COUNTIFS('Leave log'!$A$7:$A$306,Employees!$A$25,'Leave log'!$B$7:$B$306,"&lt;="&amp;DATE($B$3,8,10),'Leave log'!$C$7:$C$306,"&gt;="&amp;DATE($B$3,8,10),'Leave log'!$F$7:$F$306,"Approved")&gt;0,"A",""))="A","A",IF(OR(DATE($B$3,8,10)&gt;EOMONTH(DATE($B$3,8,1),0),NETWORKDAYS.INTL(DATE($B$3,8,10),DATE($B$3,8,10),1,'Non-working days'!$A$6:$A$45)=0),"",IF(COUNTIFS('Leave log'!$A$7:$A$306,Employees!$A$25,'Leave log'!$B$7:$B$306,"&lt;="&amp;DATE($B$3,8,10),'Leave log'!$C$7:$C$306,"&gt;="&amp;DATE($B$3,8,10),'Leave log'!$F$7:$F$306,"Pending")&gt;0,"P",""))))</f>
        <v/>
      </c>
      <c r="L264" s="23" t="str">
        <f>IF(A264="","",IF(IF(OR(DATE($B$3,8,11)&gt;EOMONTH(DATE($B$3,8,1),0),NETWORKDAYS.INTL(DATE($B$3,8,11),DATE($B$3,8,11),1,'Non-working days'!$A$6:$A$45)=0),"",IF(COUNTIFS('Leave log'!$A$7:$A$306,Employees!$A$25,'Leave log'!$B$7:$B$306,"&lt;="&amp;DATE($B$3,8,11),'Leave log'!$C$7:$C$306,"&gt;="&amp;DATE($B$3,8,11),'Leave log'!$F$7:$F$306,"Approved")&gt;0,"A",""))="A","A",IF(OR(DATE($B$3,8,11)&gt;EOMONTH(DATE($B$3,8,1),0),NETWORKDAYS.INTL(DATE($B$3,8,11),DATE($B$3,8,11),1,'Non-working days'!$A$6:$A$45)=0),"",IF(COUNTIFS('Leave log'!$A$7:$A$306,Employees!$A$25,'Leave log'!$B$7:$B$306,"&lt;="&amp;DATE($B$3,8,11),'Leave log'!$C$7:$C$306,"&gt;="&amp;DATE($B$3,8,11),'Leave log'!$F$7:$F$306,"Pending")&gt;0,"P",""))))</f>
        <v/>
      </c>
      <c r="M264" s="23" t="str">
        <f>IF(A264="","",IF(IF(OR(DATE($B$3,8,12)&gt;EOMONTH(DATE($B$3,8,1),0),NETWORKDAYS.INTL(DATE($B$3,8,12),DATE($B$3,8,12),1,'Non-working days'!$A$6:$A$45)=0),"",IF(COUNTIFS('Leave log'!$A$7:$A$306,Employees!$A$25,'Leave log'!$B$7:$B$306,"&lt;="&amp;DATE($B$3,8,12),'Leave log'!$C$7:$C$306,"&gt;="&amp;DATE($B$3,8,12),'Leave log'!$F$7:$F$306,"Approved")&gt;0,"A",""))="A","A",IF(OR(DATE($B$3,8,12)&gt;EOMONTH(DATE($B$3,8,1),0),NETWORKDAYS.INTL(DATE($B$3,8,12),DATE($B$3,8,12),1,'Non-working days'!$A$6:$A$45)=0),"",IF(COUNTIFS('Leave log'!$A$7:$A$306,Employees!$A$25,'Leave log'!$B$7:$B$306,"&lt;="&amp;DATE($B$3,8,12),'Leave log'!$C$7:$C$306,"&gt;="&amp;DATE($B$3,8,12),'Leave log'!$F$7:$F$306,"Pending")&gt;0,"P",""))))</f>
        <v/>
      </c>
      <c r="N264" s="23" t="str">
        <f>IF(A264="","",IF(IF(OR(DATE($B$3,8,13)&gt;EOMONTH(DATE($B$3,8,1),0),NETWORKDAYS.INTL(DATE($B$3,8,13),DATE($B$3,8,13),1,'Non-working days'!$A$6:$A$45)=0),"",IF(COUNTIFS('Leave log'!$A$7:$A$306,Employees!$A$25,'Leave log'!$B$7:$B$306,"&lt;="&amp;DATE($B$3,8,13),'Leave log'!$C$7:$C$306,"&gt;="&amp;DATE($B$3,8,13),'Leave log'!$F$7:$F$306,"Approved")&gt;0,"A",""))="A","A",IF(OR(DATE($B$3,8,13)&gt;EOMONTH(DATE($B$3,8,1),0),NETWORKDAYS.INTL(DATE($B$3,8,13),DATE($B$3,8,13),1,'Non-working days'!$A$6:$A$45)=0),"",IF(COUNTIFS('Leave log'!$A$7:$A$306,Employees!$A$25,'Leave log'!$B$7:$B$306,"&lt;="&amp;DATE($B$3,8,13),'Leave log'!$C$7:$C$306,"&gt;="&amp;DATE($B$3,8,13),'Leave log'!$F$7:$F$306,"Pending")&gt;0,"P",""))))</f>
        <v/>
      </c>
      <c r="O264" s="23" t="str">
        <f>IF(A264="","",IF(IF(OR(DATE($B$3,8,14)&gt;EOMONTH(DATE($B$3,8,1),0),NETWORKDAYS.INTL(DATE($B$3,8,14),DATE($B$3,8,14),1,'Non-working days'!$A$6:$A$45)=0),"",IF(COUNTIFS('Leave log'!$A$7:$A$306,Employees!$A$25,'Leave log'!$B$7:$B$306,"&lt;="&amp;DATE($B$3,8,14),'Leave log'!$C$7:$C$306,"&gt;="&amp;DATE($B$3,8,14),'Leave log'!$F$7:$F$306,"Approved")&gt;0,"A",""))="A","A",IF(OR(DATE($B$3,8,14)&gt;EOMONTH(DATE($B$3,8,1),0),NETWORKDAYS.INTL(DATE($B$3,8,14),DATE($B$3,8,14),1,'Non-working days'!$A$6:$A$45)=0),"",IF(COUNTIFS('Leave log'!$A$7:$A$306,Employees!$A$25,'Leave log'!$B$7:$B$306,"&lt;="&amp;DATE($B$3,8,14),'Leave log'!$C$7:$C$306,"&gt;="&amp;DATE($B$3,8,14),'Leave log'!$F$7:$F$306,"Pending")&gt;0,"P",""))))</f>
        <v/>
      </c>
      <c r="P264" s="23" t="str">
        <f>IF(A264="","",IF(IF(OR(DATE($B$3,8,15)&gt;EOMONTH(DATE($B$3,8,1),0),NETWORKDAYS.INTL(DATE($B$3,8,15),DATE($B$3,8,15),1,'Non-working days'!$A$6:$A$45)=0),"",IF(COUNTIFS('Leave log'!$A$7:$A$306,Employees!$A$25,'Leave log'!$B$7:$B$306,"&lt;="&amp;DATE($B$3,8,15),'Leave log'!$C$7:$C$306,"&gt;="&amp;DATE($B$3,8,15),'Leave log'!$F$7:$F$306,"Approved")&gt;0,"A",""))="A","A",IF(OR(DATE($B$3,8,15)&gt;EOMONTH(DATE($B$3,8,1),0),NETWORKDAYS.INTL(DATE($B$3,8,15),DATE($B$3,8,15),1,'Non-working days'!$A$6:$A$45)=0),"",IF(COUNTIFS('Leave log'!$A$7:$A$306,Employees!$A$25,'Leave log'!$B$7:$B$306,"&lt;="&amp;DATE($B$3,8,15),'Leave log'!$C$7:$C$306,"&gt;="&amp;DATE($B$3,8,15),'Leave log'!$F$7:$F$306,"Pending")&gt;0,"P",""))))</f>
        <v/>
      </c>
      <c r="Q264" s="23" t="str">
        <f>IF(A264="","",IF(IF(OR(DATE($B$3,8,16)&gt;EOMONTH(DATE($B$3,8,1),0),NETWORKDAYS.INTL(DATE($B$3,8,16),DATE($B$3,8,16),1,'Non-working days'!$A$6:$A$45)=0),"",IF(COUNTIFS('Leave log'!$A$7:$A$306,Employees!$A$25,'Leave log'!$B$7:$B$306,"&lt;="&amp;DATE($B$3,8,16),'Leave log'!$C$7:$C$306,"&gt;="&amp;DATE($B$3,8,16),'Leave log'!$F$7:$F$306,"Approved")&gt;0,"A",""))="A","A",IF(OR(DATE($B$3,8,16)&gt;EOMONTH(DATE($B$3,8,1),0),NETWORKDAYS.INTL(DATE($B$3,8,16),DATE($B$3,8,16),1,'Non-working days'!$A$6:$A$45)=0),"",IF(COUNTIFS('Leave log'!$A$7:$A$306,Employees!$A$25,'Leave log'!$B$7:$B$306,"&lt;="&amp;DATE($B$3,8,16),'Leave log'!$C$7:$C$306,"&gt;="&amp;DATE($B$3,8,16),'Leave log'!$F$7:$F$306,"Pending")&gt;0,"P",""))))</f>
        <v/>
      </c>
      <c r="R264" s="23" t="str">
        <f>IF(A264="","",IF(IF(OR(DATE($B$3,8,17)&gt;EOMONTH(DATE($B$3,8,1),0),NETWORKDAYS.INTL(DATE($B$3,8,17),DATE($B$3,8,17),1,'Non-working days'!$A$6:$A$45)=0),"",IF(COUNTIFS('Leave log'!$A$7:$A$306,Employees!$A$25,'Leave log'!$B$7:$B$306,"&lt;="&amp;DATE($B$3,8,17),'Leave log'!$C$7:$C$306,"&gt;="&amp;DATE($B$3,8,17),'Leave log'!$F$7:$F$306,"Approved")&gt;0,"A",""))="A","A",IF(OR(DATE($B$3,8,17)&gt;EOMONTH(DATE($B$3,8,1),0),NETWORKDAYS.INTL(DATE($B$3,8,17),DATE($B$3,8,17),1,'Non-working days'!$A$6:$A$45)=0),"",IF(COUNTIFS('Leave log'!$A$7:$A$306,Employees!$A$25,'Leave log'!$B$7:$B$306,"&lt;="&amp;DATE($B$3,8,17),'Leave log'!$C$7:$C$306,"&gt;="&amp;DATE($B$3,8,17),'Leave log'!$F$7:$F$306,"Pending")&gt;0,"P",""))))</f>
        <v/>
      </c>
      <c r="S264" s="23" t="str">
        <f>IF(A264="","",IF(IF(OR(DATE($B$3,8,18)&gt;EOMONTH(DATE($B$3,8,1),0),NETWORKDAYS.INTL(DATE($B$3,8,18),DATE($B$3,8,18),1,'Non-working days'!$A$6:$A$45)=0),"",IF(COUNTIFS('Leave log'!$A$7:$A$306,Employees!$A$25,'Leave log'!$B$7:$B$306,"&lt;="&amp;DATE($B$3,8,18),'Leave log'!$C$7:$C$306,"&gt;="&amp;DATE($B$3,8,18),'Leave log'!$F$7:$F$306,"Approved")&gt;0,"A",""))="A","A",IF(OR(DATE($B$3,8,18)&gt;EOMONTH(DATE($B$3,8,1),0),NETWORKDAYS.INTL(DATE($B$3,8,18),DATE($B$3,8,18),1,'Non-working days'!$A$6:$A$45)=0),"",IF(COUNTIFS('Leave log'!$A$7:$A$306,Employees!$A$25,'Leave log'!$B$7:$B$306,"&lt;="&amp;DATE($B$3,8,18),'Leave log'!$C$7:$C$306,"&gt;="&amp;DATE($B$3,8,18),'Leave log'!$F$7:$F$306,"Pending")&gt;0,"P",""))))</f>
        <v/>
      </c>
      <c r="T264" s="23" t="str">
        <f>IF(A264="","",IF(IF(OR(DATE($B$3,8,19)&gt;EOMONTH(DATE($B$3,8,1),0),NETWORKDAYS.INTL(DATE($B$3,8,19),DATE($B$3,8,19),1,'Non-working days'!$A$6:$A$45)=0),"",IF(COUNTIFS('Leave log'!$A$7:$A$306,Employees!$A$25,'Leave log'!$B$7:$B$306,"&lt;="&amp;DATE($B$3,8,19),'Leave log'!$C$7:$C$306,"&gt;="&amp;DATE($B$3,8,19),'Leave log'!$F$7:$F$306,"Approved")&gt;0,"A",""))="A","A",IF(OR(DATE($B$3,8,19)&gt;EOMONTH(DATE($B$3,8,1),0),NETWORKDAYS.INTL(DATE($B$3,8,19),DATE($B$3,8,19),1,'Non-working days'!$A$6:$A$45)=0),"",IF(COUNTIFS('Leave log'!$A$7:$A$306,Employees!$A$25,'Leave log'!$B$7:$B$306,"&lt;="&amp;DATE($B$3,8,19),'Leave log'!$C$7:$C$306,"&gt;="&amp;DATE($B$3,8,19),'Leave log'!$F$7:$F$306,"Pending")&gt;0,"P",""))))</f>
        <v/>
      </c>
      <c r="U264" s="23" t="str">
        <f>IF(A264="","",IF(IF(OR(DATE($B$3,8,20)&gt;EOMONTH(DATE($B$3,8,1),0),NETWORKDAYS.INTL(DATE($B$3,8,20),DATE($B$3,8,20),1,'Non-working days'!$A$6:$A$45)=0),"",IF(COUNTIFS('Leave log'!$A$7:$A$306,Employees!$A$25,'Leave log'!$B$7:$B$306,"&lt;="&amp;DATE($B$3,8,20),'Leave log'!$C$7:$C$306,"&gt;="&amp;DATE($B$3,8,20),'Leave log'!$F$7:$F$306,"Approved")&gt;0,"A",""))="A","A",IF(OR(DATE($B$3,8,20)&gt;EOMONTH(DATE($B$3,8,1),0),NETWORKDAYS.INTL(DATE($B$3,8,20),DATE($B$3,8,20),1,'Non-working days'!$A$6:$A$45)=0),"",IF(COUNTIFS('Leave log'!$A$7:$A$306,Employees!$A$25,'Leave log'!$B$7:$B$306,"&lt;="&amp;DATE($B$3,8,20),'Leave log'!$C$7:$C$306,"&gt;="&amp;DATE($B$3,8,20),'Leave log'!$F$7:$F$306,"Pending")&gt;0,"P",""))))</f>
        <v/>
      </c>
      <c r="V264" s="23" t="str">
        <f>IF(A264="","",IF(IF(OR(DATE($B$3,8,21)&gt;EOMONTH(DATE($B$3,8,1),0),NETWORKDAYS.INTL(DATE($B$3,8,21),DATE($B$3,8,21),1,'Non-working days'!$A$6:$A$45)=0),"",IF(COUNTIFS('Leave log'!$A$7:$A$306,Employees!$A$25,'Leave log'!$B$7:$B$306,"&lt;="&amp;DATE($B$3,8,21),'Leave log'!$C$7:$C$306,"&gt;="&amp;DATE($B$3,8,21),'Leave log'!$F$7:$F$306,"Approved")&gt;0,"A",""))="A","A",IF(OR(DATE($B$3,8,21)&gt;EOMONTH(DATE($B$3,8,1),0),NETWORKDAYS.INTL(DATE($B$3,8,21),DATE($B$3,8,21),1,'Non-working days'!$A$6:$A$45)=0),"",IF(COUNTIFS('Leave log'!$A$7:$A$306,Employees!$A$25,'Leave log'!$B$7:$B$306,"&lt;="&amp;DATE($B$3,8,21),'Leave log'!$C$7:$C$306,"&gt;="&amp;DATE($B$3,8,21),'Leave log'!$F$7:$F$306,"Pending")&gt;0,"P",""))))</f>
        <v/>
      </c>
      <c r="W264" s="23" t="str">
        <f>IF(A264="","",IF(IF(OR(DATE($B$3,8,22)&gt;EOMONTH(DATE($B$3,8,1),0),NETWORKDAYS.INTL(DATE($B$3,8,22),DATE($B$3,8,22),1,'Non-working days'!$A$6:$A$45)=0),"",IF(COUNTIFS('Leave log'!$A$7:$A$306,Employees!$A$25,'Leave log'!$B$7:$B$306,"&lt;="&amp;DATE($B$3,8,22),'Leave log'!$C$7:$C$306,"&gt;="&amp;DATE($B$3,8,22),'Leave log'!$F$7:$F$306,"Approved")&gt;0,"A",""))="A","A",IF(OR(DATE($B$3,8,22)&gt;EOMONTH(DATE($B$3,8,1),0),NETWORKDAYS.INTL(DATE($B$3,8,22),DATE($B$3,8,22),1,'Non-working days'!$A$6:$A$45)=0),"",IF(COUNTIFS('Leave log'!$A$7:$A$306,Employees!$A$25,'Leave log'!$B$7:$B$306,"&lt;="&amp;DATE($B$3,8,22),'Leave log'!$C$7:$C$306,"&gt;="&amp;DATE($B$3,8,22),'Leave log'!$F$7:$F$306,"Pending")&gt;0,"P",""))))</f>
        <v/>
      </c>
      <c r="X264" s="23" t="str">
        <f>IF(A264="","",IF(IF(OR(DATE($B$3,8,23)&gt;EOMONTH(DATE($B$3,8,1),0),NETWORKDAYS.INTL(DATE($B$3,8,23),DATE($B$3,8,23),1,'Non-working days'!$A$6:$A$45)=0),"",IF(COUNTIFS('Leave log'!$A$7:$A$306,Employees!$A$25,'Leave log'!$B$7:$B$306,"&lt;="&amp;DATE($B$3,8,23),'Leave log'!$C$7:$C$306,"&gt;="&amp;DATE($B$3,8,23),'Leave log'!$F$7:$F$306,"Approved")&gt;0,"A",""))="A","A",IF(OR(DATE($B$3,8,23)&gt;EOMONTH(DATE($B$3,8,1),0),NETWORKDAYS.INTL(DATE($B$3,8,23),DATE($B$3,8,23),1,'Non-working days'!$A$6:$A$45)=0),"",IF(COUNTIFS('Leave log'!$A$7:$A$306,Employees!$A$25,'Leave log'!$B$7:$B$306,"&lt;="&amp;DATE($B$3,8,23),'Leave log'!$C$7:$C$306,"&gt;="&amp;DATE($B$3,8,23),'Leave log'!$F$7:$F$306,"Pending")&gt;0,"P",""))))</f>
        <v/>
      </c>
      <c r="Y264" s="23" t="str">
        <f>IF(A264="","",IF(IF(OR(DATE($B$3,8,24)&gt;EOMONTH(DATE($B$3,8,1),0),NETWORKDAYS.INTL(DATE($B$3,8,24),DATE($B$3,8,24),1,'Non-working days'!$A$6:$A$45)=0),"",IF(COUNTIFS('Leave log'!$A$7:$A$306,Employees!$A$25,'Leave log'!$B$7:$B$306,"&lt;="&amp;DATE($B$3,8,24),'Leave log'!$C$7:$C$306,"&gt;="&amp;DATE($B$3,8,24),'Leave log'!$F$7:$F$306,"Approved")&gt;0,"A",""))="A","A",IF(OR(DATE($B$3,8,24)&gt;EOMONTH(DATE($B$3,8,1),0),NETWORKDAYS.INTL(DATE($B$3,8,24),DATE($B$3,8,24),1,'Non-working days'!$A$6:$A$45)=0),"",IF(COUNTIFS('Leave log'!$A$7:$A$306,Employees!$A$25,'Leave log'!$B$7:$B$306,"&lt;="&amp;DATE($B$3,8,24),'Leave log'!$C$7:$C$306,"&gt;="&amp;DATE($B$3,8,24),'Leave log'!$F$7:$F$306,"Pending")&gt;0,"P",""))))</f>
        <v/>
      </c>
      <c r="Z264" s="23" t="str">
        <f>IF(A264="","",IF(IF(OR(DATE($B$3,8,25)&gt;EOMONTH(DATE($B$3,8,1),0),NETWORKDAYS.INTL(DATE($B$3,8,25),DATE($B$3,8,25),1,'Non-working days'!$A$6:$A$45)=0),"",IF(COUNTIFS('Leave log'!$A$7:$A$306,Employees!$A$25,'Leave log'!$B$7:$B$306,"&lt;="&amp;DATE($B$3,8,25),'Leave log'!$C$7:$C$306,"&gt;="&amp;DATE($B$3,8,25),'Leave log'!$F$7:$F$306,"Approved")&gt;0,"A",""))="A","A",IF(OR(DATE($B$3,8,25)&gt;EOMONTH(DATE($B$3,8,1),0),NETWORKDAYS.INTL(DATE($B$3,8,25),DATE($B$3,8,25),1,'Non-working days'!$A$6:$A$45)=0),"",IF(COUNTIFS('Leave log'!$A$7:$A$306,Employees!$A$25,'Leave log'!$B$7:$B$306,"&lt;="&amp;DATE($B$3,8,25),'Leave log'!$C$7:$C$306,"&gt;="&amp;DATE($B$3,8,25),'Leave log'!$F$7:$F$306,"Pending")&gt;0,"P",""))))</f>
        <v/>
      </c>
      <c r="AA264" s="23" t="str">
        <f>IF(A264="","",IF(IF(OR(DATE($B$3,8,26)&gt;EOMONTH(DATE($B$3,8,1),0),NETWORKDAYS.INTL(DATE($B$3,8,26),DATE($B$3,8,26),1,'Non-working days'!$A$6:$A$45)=0),"",IF(COUNTIFS('Leave log'!$A$7:$A$306,Employees!$A$25,'Leave log'!$B$7:$B$306,"&lt;="&amp;DATE($B$3,8,26),'Leave log'!$C$7:$C$306,"&gt;="&amp;DATE($B$3,8,26),'Leave log'!$F$7:$F$306,"Approved")&gt;0,"A",""))="A","A",IF(OR(DATE($B$3,8,26)&gt;EOMONTH(DATE($B$3,8,1),0),NETWORKDAYS.INTL(DATE($B$3,8,26),DATE($B$3,8,26),1,'Non-working days'!$A$6:$A$45)=0),"",IF(COUNTIFS('Leave log'!$A$7:$A$306,Employees!$A$25,'Leave log'!$B$7:$B$306,"&lt;="&amp;DATE($B$3,8,26),'Leave log'!$C$7:$C$306,"&gt;="&amp;DATE($B$3,8,26),'Leave log'!$F$7:$F$306,"Pending")&gt;0,"P",""))))</f>
        <v/>
      </c>
      <c r="AB264" s="23" t="str">
        <f>IF(A264="","",IF(IF(OR(DATE($B$3,8,27)&gt;EOMONTH(DATE($B$3,8,1),0),NETWORKDAYS.INTL(DATE($B$3,8,27),DATE($B$3,8,27),1,'Non-working days'!$A$6:$A$45)=0),"",IF(COUNTIFS('Leave log'!$A$7:$A$306,Employees!$A$25,'Leave log'!$B$7:$B$306,"&lt;="&amp;DATE($B$3,8,27),'Leave log'!$C$7:$C$306,"&gt;="&amp;DATE($B$3,8,27),'Leave log'!$F$7:$F$306,"Approved")&gt;0,"A",""))="A","A",IF(OR(DATE($B$3,8,27)&gt;EOMONTH(DATE($B$3,8,1),0),NETWORKDAYS.INTL(DATE($B$3,8,27),DATE($B$3,8,27),1,'Non-working days'!$A$6:$A$45)=0),"",IF(COUNTIFS('Leave log'!$A$7:$A$306,Employees!$A$25,'Leave log'!$B$7:$B$306,"&lt;="&amp;DATE($B$3,8,27),'Leave log'!$C$7:$C$306,"&gt;="&amp;DATE($B$3,8,27),'Leave log'!$F$7:$F$306,"Pending")&gt;0,"P",""))))</f>
        <v/>
      </c>
      <c r="AC264" s="23" t="str">
        <f>IF(A264="","",IF(IF(OR(DATE($B$3,8,28)&gt;EOMONTH(DATE($B$3,8,1),0),NETWORKDAYS.INTL(DATE($B$3,8,28),DATE($B$3,8,28),1,'Non-working days'!$A$6:$A$45)=0),"",IF(COUNTIFS('Leave log'!$A$7:$A$306,Employees!$A$25,'Leave log'!$B$7:$B$306,"&lt;="&amp;DATE($B$3,8,28),'Leave log'!$C$7:$C$306,"&gt;="&amp;DATE($B$3,8,28),'Leave log'!$F$7:$F$306,"Approved")&gt;0,"A",""))="A","A",IF(OR(DATE($B$3,8,28)&gt;EOMONTH(DATE($B$3,8,1),0),NETWORKDAYS.INTL(DATE($B$3,8,28),DATE($B$3,8,28),1,'Non-working days'!$A$6:$A$45)=0),"",IF(COUNTIFS('Leave log'!$A$7:$A$306,Employees!$A$25,'Leave log'!$B$7:$B$306,"&lt;="&amp;DATE($B$3,8,28),'Leave log'!$C$7:$C$306,"&gt;="&amp;DATE($B$3,8,28),'Leave log'!$F$7:$F$306,"Pending")&gt;0,"P",""))))</f>
        <v/>
      </c>
      <c r="AD264" s="23" t="str">
        <f>IF(A264="","",IF(IF(OR(DATE($B$3,8,29)&gt;EOMONTH(DATE($B$3,8,1),0),NETWORKDAYS.INTL(DATE($B$3,8,29),DATE($B$3,8,29),1,'Non-working days'!$A$6:$A$45)=0),"",IF(COUNTIFS('Leave log'!$A$7:$A$306,Employees!$A$25,'Leave log'!$B$7:$B$306,"&lt;="&amp;DATE($B$3,8,29),'Leave log'!$C$7:$C$306,"&gt;="&amp;DATE($B$3,8,29),'Leave log'!$F$7:$F$306,"Approved")&gt;0,"A",""))="A","A",IF(OR(DATE($B$3,8,29)&gt;EOMONTH(DATE($B$3,8,1),0),NETWORKDAYS.INTL(DATE($B$3,8,29),DATE($B$3,8,29),1,'Non-working days'!$A$6:$A$45)=0),"",IF(COUNTIFS('Leave log'!$A$7:$A$306,Employees!$A$25,'Leave log'!$B$7:$B$306,"&lt;="&amp;DATE($B$3,8,29),'Leave log'!$C$7:$C$306,"&gt;="&amp;DATE($B$3,8,29),'Leave log'!$F$7:$F$306,"Pending")&gt;0,"P",""))))</f>
        <v/>
      </c>
      <c r="AE264" s="23" t="str">
        <f>IF(A264="","",IF(IF(OR(DATE($B$3,8,30)&gt;EOMONTH(DATE($B$3,8,1),0),NETWORKDAYS.INTL(DATE($B$3,8,30),DATE($B$3,8,30),1,'Non-working days'!$A$6:$A$45)=0),"",IF(COUNTIFS('Leave log'!$A$7:$A$306,Employees!$A$25,'Leave log'!$B$7:$B$306,"&lt;="&amp;DATE($B$3,8,30),'Leave log'!$C$7:$C$306,"&gt;="&amp;DATE($B$3,8,30),'Leave log'!$F$7:$F$306,"Approved")&gt;0,"A",""))="A","A",IF(OR(DATE($B$3,8,30)&gt;EOMONTH(DATE($B$3,8,1),0),NETWORKDAYS.INTL(DATE($B$3,8,30),DATE($B$3,8,30),1,'Non-working days'!$A$6:$A$45)=0),"",IF(COUNTIFS('Leave log'!$A$7:$A$306,Employees!$A$25,'Leave log'!$B$7:$B$306,"&lt;="&amp;DATE($B$3,8,30),'Leave log'!$C$7:$C$306,"&gt;="&amp;DATE($B$3,8,30),'Leave log'!$F$7:$F$306,"Pending")&gt;0,"P",""))))</f>
        <v/>
      </c>
      <c r="AF264" s="23" t="str">
        <f>IF(A264="","",IF(IF(OR(DATE($B$3,8,31)&gt;EOMONTH(DATE($B$3,8,1),0),NETWORKDAYS.INTL(DATE($B$3,8,31),DATE($B$3,8,31),1,'Non-working days'!$A$6:$A$45)=0),"",IF(COUNTIFS('Leave log'!$A$7:$A$306,Employees!$A$25,'Leave log'!$B$7:$B$306,"&lt;="&amp;DATE($B$3,8,31),'Leave log'!$C$7:$C$306,"&gt;="&amp;DATE($B$3,8,31),'Leave log'!$F$7:$F$306,"Approved")&gt;0,"A",""))="A","A",IF(OR(DATE($B$3,8,31)&gt;EOMONTH(DATE($B$3,8,1),0),NETWORKDAYS.INTL(DATE($B$3,8,31),DATE($B$3,8,31),1,'Non-working days'!$A$6:$A$45)=0),"",IF(COUNTIFS('Leave log'!$A$7:$A$306,Employees!$A$25,'Leave log'!$B$7:$B$306,"&lt;="&amp;DATE($B$3,8,31),'Leave log'!$C$7:$C$306,"&gt;="&amp;DATE($B$3,8,31),'Leave log'!$F$7:$F$306,"Pending")&gt;0,"P",""))))</f>
        <v/>
      </c>
    </row>
    <row r="265" spans="1:32" ht="18" customHeight="1" x14ac:dyDescent="0.3">
      <c r="A265" s="22" t="str">
        <f>IF(Employees!F26="Yes",Employees!B26,"")</f>
        <v/>
      </c>
      <c r="B265" s="23" t="str">
        <f>IF(A265="","",IF(IF(OR(DATE($B$3,8,1)&gt;EOMONTH(DATE($B$3,8,1),0),NETWORKDAYS.INTL(DATE($B$3,8,1),DATE($B$3,8,1),1,'Non-working days'!$A$6:$A$45)=0),"",IF(COUNTIFS('Leave log'!$A$7:$A$306,Employees!$A$26,'Leave log'!$B$7:$B$306,"&lt;="&amp;DATE($B$3,8,1),'Leave log'!$C$7:$C$306,"&gt;="&amp;DATE($B$3,8,1),'Leave log'!$F$7:$F$306,"Approved")&gt;0,"A",""))="A","A",IF(OR(DATE($B$3,8,1)&gt;EOMONTH(DATE($B$3,8,1),0),NETWORKDAYS.INTL(DATE($B$3,8,1),DATE($B$3,8,1),1,'Non-working days'!$A$6:$A$45)=0),"",IF(COUNTIFS('Leave log'!$A$7:$A$306,Employees!$A$26,'Leave log'!$B$7:$B$306,"&lt;="&amp;DATE($B$3,8,1),'Leave log'!$C$7:$C$306,"&gt;="&amp;DATE($B$3,8,1),'Leave log'!$F$7:$F$306,"Pending")&gt;0,"P",""))))</f>
        <v/>
      </c>
      <c r="C265" s="23" t="str">
        <f>IF(A265="","",IF(IF(OR(DATE($B$3,8,2)&gt;EOMONTH(DATE($B$3,8,1),0),NETWORKDAYS.INTL(DATE($B$3,8,2),DATE($B$3,8,2),1,'Non-working days'!$A$6:$A$45)=0),"",IF(COUNTIFS('Leave log'!$A$7:$A$306,Employees!$A$26,'Leave log'!$B$7:$B$306,"&lt;="&amp;DATE($B$3,8,2),'Leave log'!$C$7:$C$306,"&gt;="&amp;DATE($B$3,8,2),'Leave log'!$F$7:$F$306,"Approved")&gt;0,"A",""))="A","A",IF(OR(DATE($B$3,8,2)&gt;EOMONTH(DATE($B$3,8,1),0),NETWORKDAYS.INTL(DATE($B$3,8,2),DATE($B$3,8,2),1,'Non-working days'!$A$6:$A$45)=0),"",IF(COUNTIFS('Leave log'!$A$7:$A$306,Employees!$A$26,'Leave log'!$B$7:$B$306,"&lt;="&amp;DATE($B$3,8,2),'Leave log'!$C$7:$C$306,"&gt;="&amp;DATE($B$3,8,2),'Leave log'!$F$7:$F$306,"Pending")&gt;0,"P",""))))</f>
        <v/>
      </c>
      <c r="D265" s="23" t="str">
        <f>IF(A265="","",IF(IF(OR(DATE($B$3,8,3)&gt;EOMONTH(DATE($B$3,8,1),0),NETWORKDAYS.INTL(DATE($B$3,8,3),DATE($B$3,8,3),1,'Non-working days'!$A$6:$A$45)=0),"",IF(COUNTIFS('Leave log'!$A$7:$A$306,Employees!$A$26,'Leave log'!$B$7:$B$306,"&lt;="&amp;DATE($B$3,8,3),'Leave log'!$C$7:$C$306,"&gt;="&amp;DATE($B$3,8,3),'Leave log'!$F$7:$F$306,"Approved")&gt;0,"A",""))="A","A",IF(OR(DATE($B$3,8,3)&gt;EOMONTH(DATE($B$3,8,1),0),NETWORKDAYS.INTL(DATE($B$3,8,3),DATE($B$3,8,3),1,'Non-working days'!$A$6:$A$45)=0),"",IF(COUNTIFS('Leave log'!$A$7:$A$306,Employees!$A$26,'Leave log'!$B$7:$B$306,"&lt;="&amp;DATE($B$3,8,3),'Leave log'!$C$7:$C$306,"&gt;="&amp;DATE($B$3,8,3),'Leave log'!$F$7:$F$306,"Pending")&gt;0,"P",""))))</f>
        <v/>
      </c>
      <c r="E265" s="23" t="str">
        <f>IF(A265="","",IF(IF(OR(DATE($B$3,8,4)&gt;EOMONTH(DATE($B$3,8,1),0),NETWORKDAYS.INTL(DATE($B$3,8,4),DATE($B$3,8,4),1,'Non-working days'!$A$6:$A$45)=0),"",IF(COUNTIFS('Leave log'!$A$7:$A$306,Employees!$A$26,'Leave log'!$B$7:$B$306,"&lt;="&amp;DATE($B$3,8,4),'Leave log'!$C$7:$C$306,"&gt;="&amp;DATE($B$3,8,4),'Leave log'!$F$7:$F$306,"Approved")&gt;0,"A",""))="A","A",IF(OR(DATE($B$3,8,4)&gt;EOMONTH(DATE($B$3,8,1),0),NETWORKDAYS.INTL(DATE($B$3,8,4),DATE($B$3,8,4),1,'Non-working days'!$A$6:$A$45)=0),"",IF(COUNTIFS('Leave log'!$A$7:$A$306,Employees!$A$26,'Leave log'!$B$7:$B$306,"&lt;="&amp;DATE($B$3,8,4),'Leave log'!$C$7:$C$306,"&gt;="&amp;DATE($B$3,8,4),'Leave log'!$F$7:$F$306,"Pending")&gt;0,"P",""))))</f>
        <v/>
      </c>
      <c r="F265" s="23" t="str">
        <f>IF(A265="","",IF(IF(OR(DATE($B$3,8,5)&gt;EOMONTH(DATE($B$3,8,1),0),NETWORKDAYS.INTL(DATE($B$3,8,5),DATE($B$3,8,5),1,'Non-working days'!$A$6:$A$45)=0),"",IF(COUNTIFS('Leave log'!$A$7:$A$306,Employees!$A$26,'Leave log'!$B$7:$B$306,"&lt;="&amp;DATE($B$3,8,5),'Leave log'!$C$7:$C$306,"&gt;="&amp;DATE($B$3,8,5),'Leave log'!$F$7:$F$306,"Approved")&gt;0,"A",""))="A","A",IF(OR(DATE($B$3,8,5)&gt;EOMONTH(DATE($B$3,8,1),0),NETWORKDAYS.INTL(DATE($B$3,8,5),DATE($B$3,8,5),1,'Non-working days'!$A$6:$A$45)=0),"",IF(COUNTIFS('Leave log'!$A$7:$A$306,Employees!$A$26,'Leave log'!$B$7:$B$306,"&lt;="&amp;DATE($B$3,8,5),'Leave log'!$C$7:$C$306,"&gt;="&amp;DATE($B$3,8,5),'Leave log'!$F$7:$F$306,"Pending")&gt;0,"P",""))))</f>
        <v/>
      </c>
      <c r="G265" s="23" t="str">
        <f>IF(A265="","",IF(IF(OR(DATE($B$3,8,6)&gt;EOMONTH(DATE($B$3,8,1),0),NETWORKDAYS.INTL(DATE($B$3,8,6),DATE($B$3,8,6),1,'Non-working days'!$A$6:$A$45)=0),"",IF(COUNTIFS('Leave log'!$A$7:$A$306,Employees!$A$26,'Leave log'!$B$7:$B$306,"&lt;="&amp;DATE($B$3,8,6),'Leave log'!$C$7:$C$306,"&gt;="&amp;DATE($B$3,8,6),'Leave log'!$F$7:$F$306,"Approved")&gt;0,"A",""))="A","A",IF(OR(DATE($B$3,8,6)&gt;EOMONTH(DATE($B$3,8,1),0),NETWORKDAYS.INTL(DATE($B$3,8,6),DATE($B$3,8,6),1,'Non-working days'!$A$6:$A$45)=0),"",IF(COUNTIFS('Leave log'!$A$7:$A$306,Employees!$A$26,'Leave log'!$B$7:$B$306,"&lt;="&amp;DATE($B$3,8,6),'Leave log'!$C$7:$C$306,"&gt;="&amp;DATE($B$3,8,6),'Leave log'!$F$7:$F$306,"Pending")&gt;0,"P",""))))</f>
        <v/>
      </c>
      <c r="H265" s="23" t="str">
        <f>IF(A265="","",IF(IF(OR(DATE($B$3,8,7)&gt;EOMONTH(DATE($B$3,8,1),0),NETWORKDAYS.INTL(DATE($B$3,8,7),DATE($B$3,8,7),1,'Non-working days'!$A$6:$A$45)=0),"",IF(COUNTIFS('Leave log'!$A$7:$A$306,Employees!$A$26,'Leave log'!$B$7:$B$306,"&lt;="&amp;DATE($B$3,8,7),'Leave log'!$C$7:$C$306,"&gt;="&amp;DATE($B$3,8,7),'Leave log'!$F$7:$F$306,"Approved")&gt;0,"A",""))="A","A",IF(OR(DATE($B$3,8,7)&gt;EOMONTH(DATE($B$3,8,1),0),NETWORKDAYS.INTL(DATE($B$3,8,7),DATE($B$3,8,7),1,'Non-working days'!$A$6:$A$45)=0),"",IF(COUNTIFS('Leave log'!$A$7:$A$306,Employees!$A$26,'Leave log'!$B$7:$B$306,"&lt;="&amp;DATE($B$3,8,7),'Leave log'!$C$7:$C$306,"&gt;="&amp;DATE($B$3,8,7),'Leave log'!$F$7:$F$306,"Pending")&gt;0,"P",""))))</f>
        <v/>
      </c>
      <c r="I265" s="23" t="str">
        <f>IF(A265="","",IF(IF(OR(DATE($B$3,8,8)&gt;EOMONTH(DATE($B$3,8,1),0),NETWORKDAYS.INTL(DATE($B$3,8,8),DATE($B$3,8,8),1,'Non-working days'!$A$6:$A$45)=0),"",IF(COUNTIFS('Leave log'!$A$7:$A$306,Employees!$A$26,'Leave log'!$B$7:$B$306,"&lt;="&amp;DATE($B$3,8,8),'Leave log'!$C$7:$C$306,"&gt;="&amp;DATE($B$3,8,8),'Leave log'!$F$7:$F$306,"Approved")&gt;0,"A",""))="A","A",IF(OR(DATE($B$3,8,8)&gt;EOMONTH(DATE($B$3,8,1),0),NETWORKDAYS.INTL(DATE($B$3,8,8),DATE($B$3,8,8),1,'Non-working days'!$A$6:$A$45)=0),"",IF(COUNTIFS('Leave log'!$A$7:$A$306,Employees!$A$26,'Leave log'!$B$7:$B$306,"&lt;="&amp;DATE($B$3,8,8),'Leave log'!$C$7:$C$306,"&gt;="&amp;DATE($B$3,8,8),'Leave log'!$F$7:$F$306,"Pending")&gt;0,"P",""))))</f>
        <v/>
      </c>
      <c r="J265" s="23" t="str">
        <f>IF(A265="","",IF(IF(OR(DATE($B$3,8,9)&gt;EOMONTH(DATE($B$3,8,1),0),NETWORKDAYS.INTL(DATE($B$3,8,9),DATE($B$3,8,9),1,'Non-working days'!$A$6:$A$45)=0),"",IF(COUNTIFS('Leave log'!$A$7:$A$306,Employees!$A$26,'Leave log'!$B$7:$B$306,"&lt;="&amp;DATE($B$3,8,9),'Leave log'!$C$7:$C$306,"&gt;="&amp;DATE($B$3,8,9),'Leave log'!$F$7:$F$306,"Approved")&gt;0,"A",""))="A","A",IF(OR(DATE($B$3,8,9)&gt;EOMONTH(DATE($B$3,8,1),0),NETWORKDAYS.INTL(DATE($B$3,8,9),DATE($B$3,8,9),1,'Non-working days'!$A$6:$A$45)=0),"",IF(COUNTIFS('Leave log'!$A$7:$A$306,Employees!$A$26,'Leave log'!$B$7:$B$306,"&lt;="&amp;DATE($B$3,8,9),'Leave log'!$C$7:$C$306,"&gt;="&amp;DATE($B$3,8,9),'Leave log'!$F$7:$F$306,"Pending")&gt;0,"P",""))))</f>
        <v/>
      </c>
      <c r="K265" s="23" t="str">
        <f>IF(A265="","",IF(IF(OR(DATE($B$3,8,10)&gt;EOMONTH(DATE($B$3,8,1),0),NETWORKDAYS.INTL(DATE($B$3,8,10),DATE($B$3,8,10),1,'Non-working days'!$A$6:$A$45)=0),"",IF(COUNTIFS('Leave log'!$A$7:$A$306,Employees!$A$26,'Leave log'!$B$7:$B$306,"&lt;="&amp;DATE($B$3,8,10),'Leave log'!$C$7:$C$306,"&gt;="&amp;DATE($B$3,8,10),'Leave log'!$F$7:$F$306,"Approved")&gt;0,"A",""))="A","A",IF(OR(DATE($B$3,8,10)&gt;EOMONTH(DATE($B$3,8,1),0),NETWORKDAYS.INTL(DATE($B$3,8,10),DATE($B$3,8,10),1,'Non-working days'!$A$6:$A$45)=0),"",IF(COUNTIFS('Leave log'!$A$7:$A$306,Employees!$A$26,'Leave log'!$B$7:$B$306,"&lt;="&amp;DATE($B$3,8,10),'Leave log'!$C$7:$C$306,"&gt;="&amp;DATE($B$3,8,10),'Leave log'!$F$7:$F$306,"Pending")&gt;0,"P",""))))</f>
        <v/>
      </c>
      <c r="L265" s="23" t="str">
        <f>IF(A265="","",IF(IF(OR(DATE($B$3,8,11)&gt;EOMONTH(DATE($B$3,8,1),0),NETWORKDAYS.INTL(DATE($B$3,8,11),DATE($B$3,8,11),1,'Non-working days'!$A$6:$A$45)=0),"",IF(COUNTIFS('Leave log'!$A$7:$A$306,Employees!$A$26,'Leave log'!$B$7:$B$306,"&lt;="&amp;DATE($B$3,8,11),'Leave log'!$C$7:$C$306,"&gt;="&amp;DATE($B$3,8,11),'Leave log'!$F$7:$F$306,"Approved")&gt;0,"A",""))="A","A",IF(OR(DATE($B$3,8,11)&gt;EOMONTH(DATE($B$3,8,1),0),NETWORKDAYS.INTL(DATE($B$3,8,11),DATE($B$3,8,11),1,'Non-working days'!$A$6:$A$45)=0),"",IF(COUNTIFS('Leave log'!$A$7:$A$306,Employees!$A$26,'Leave log'!$B$7:$B$306,"&lt;="&amp;DATE($B$3,8,11),'Leave log'!$C$7:$C$306,"&gt;="&amp;DATE($B$3,8,11),'Leave log'!$F$7:$F$306,"Pending")&gt;0,"P",""))))</f>
        <v/>
      </c>
      <c r="M265" s="23" t="str">
        <f>IF(A265="","",IF(IF(OR(DATE($B$3,8,12)&gt;EOMONTH(DATE($B$3,8,1),0),NETWORKDAYS.INTL(DATE($B$3,8,12),DATE($B$3,8,12),1,'Non-working days'!$A$6:$A$45)=0),"",IF(COUNTIFS('Leave log'!$A$7:$A$306,Employees!$A$26,'Leave log'!$B$7:$B$306,"&lt;="&amp;DATE($B$3,8,12),'Leave log'!$C$7:$C$306,"&gt;="&amp;DATE($B$3,8,12),'Leave log'!$F$7:$F$306,"Approved")&gt;0,"A",""))="A","A",IF(OR(DATE($B$3,8,12)&gt;EOMONTH(DATE($B$3,8,1),0),NETWORKDAYS.INTL(DATE($B$3,8,12),DATE($B$3,8,12),1,'Non-working days'!$A$6:$A$45)=0),"",IF(COUNTIFS('Leave log'!$A$7:$A$306,Employees!$A$26,'Leave log'!$B$7:$B$306,"&lt;="&amp;DATE($B$3,8,12),'Leave log'!$C$7:$C$306,"&gt;="&amp;DATE($B$3,8,12),'Leave log'!$F$7:$F$306,"Pending")&gt;0,"P",""))))</f>
        <v/>
      </c>
      <c r="N265" s="23" t="str">
        <f>IF(A265="","",IF(IF(OR(DATE($B$3,8,13)&gt;EOMONTH(DATE($B$3,8,1),0),NETWORKDAYS.INTL(DATE($B$3,8,13),DATE($B$3,8,13),1,'Non-working days'!$A$6:$A$45)=0),"",IF(COUNTIFS('Leave log'!$A$7:$A$306,Employees!$A$26,'Leave log'!$B$7:$B$306,"&lt;="&amp;DATE($B$3,8,13),'Leave log'!$C$7:$C$306,"&gt;="&amp;DATE($B$3,8,13),'Leave log'!$F$7:$F$306,"Approved")&gt;0,"A",""))="A","A",IF(OR(DATE($B$3,8,13)&gt;EOMONTH(DATE($B$3,8,1),0),NETWORKDAYS.INTL(DATE($B$3,8,13),DATE($B$3,8,13),1,'Non-working days'!$A$6:$A$45)=0),"",IF(COUNTIFS('Leave log'!$A$7:$A$306,Employees!$A$26,'Leave log'!$B$7:$B$306,"&lt;="&amp;DATE($B$3,8,13),'Leave log'!$C$7:$C$306,"&gt;="&amp;DATE($B$3,8,13),'Leave log'!$F$7:$F$306,"Pending")&gt;0,"P",""))))</f>
        <v/>
      </c>
      <c r="O265" s="23" t="str">
        <f>IF(A265="","",IF(IF(OR(DATE($B$3,8,14)&gt;EOMONTH(DATE($B$3,8,1),0),NETWORKDAYS.INTL(DATE($B$3,8,14),DATE($B$3,8,14),1,'Non-working days'!$A$6:$A$45)=0),"",IF(COUNTIFS('Leave log'!$A$7:$A$306,Employees!$A$26,'Leave log'!$B$7:$B$306,"&lt;="&amp;DATE($B$3,8,14),'Leave log'!$C$7:$C$306,"&gt;="&amp;DATE($B$3,8,14),'Leave log'!$F$7:$F$306,"Approved")&gt;0,"A",""))="A","A",IF(OR(DATE($B$3,8,14)&gt;EOMONTH(DATE($B$3,8,1),0),NETWORKDAYS.INTL(DATE($B$3,8,14),DATE($B$3,8,14),1,'Non-working days'!$A$6:$A$45)=0),"",IF(COUNTIFS('Leave log'!$A$7:$A$306,Employees!$A$26,'Leave log'!$B$7:$B$306,"&lt;="&amp;DATE($B$3,8,14),'Leave log'!$C$7:$C$306,"&gt;="&amp;DATE($B$3,8,14),'Leave log'!$F$7:$F$306,"Pending")&gt;0,"P",""))))</f>
        <v/>
      </c>
      <c r="P265" s="23" t="str">
        <f>IF(A265="","",IF(IF(OR(DATE($B$3,8,15)&gt;EOMONTH(DATE($B$3,8,1),0),NETWORKDAYS.INTL(DATE($B$3,8,15),DATE($B$3,8,15),1,'Non-working days'!$A$6:$A$45)=0),"",IF(COUNTIFS('Leave log'!$A$7:$A$306,Employees!$A$26,'Leave log'!$B$7:$B$306,"&lt;="&amp;DATE($B$3,8,15),'Leave log'!$C$7:$C$306,"&gt;="&amp;DATE($B$3,8,15),'Leave log'!$F$7:$F$306,"Approved")&gt;0,"A",""))="A","A",IF(OR(DATE($B$3,8,15)&gt;EOMONTH(DATE($B$3,8,1),0),NETWORKDAYS.INTL(DATE($B$3,8,15),DATE($B$3,8,15),1,'Non-working days'!$A$6:$A$45)=0),"",IF(COUNTIFS('Leave log'!$A$7:$A$306,Employees!$A$26,'Leave log'!$B$7:$B$306,"&lt;="&amp;DATE($B$3,8,15),'Leave log'!$C$7:$C$306,"&gt;="&amp;DATE($B$3,8,15),'Leave log'!$F$7:$F$306,"Pending")&gt;0,"P",""))))</f>
        <v/>
      </c>
      <c r="Q265" s="23" t="str">
        <f>IF(A265="","",IF(IF(OR(DATE($B$3,8,16)&gt;EOMONTH(DATE($B$3,8,1),0),NETWORKDAYS.INTL(DATE($B$3,8,16),DATE($B$3,8,16),1,'Non-working days'!$A$6:$A$45)=0),"",IF(COUNTIFS('Leave log'!$A$7:$A$306,Employees!$A$26,'Leave log'!$B$7:$B$306,"&lt;="&amp;DATE($B$3,8,16),'Leave log'!$C$7:$C$306,"&gt;="&amp;DATE($B$3,8,16),'Leave log'!$F$7:$F$306,"Approved")&gt;0,"A",""))="A","A",IF(OR(DATE($B$3,8,16)&gt;EOMONTH(DATE($B$3,8,1),0),NETWORKDAYS.INTL(DATE($B$3,8,16),DATE($B$3,8,16),1,'Non-working days'!$A$6:$A$45)=0),"",IF(COUNTIFS('Leave log'!$A$7:$A$306,Employees!$A$26,'Leave log'!$B$7:$B$306,"&lt;="&amp;DATE($B$3,8,16),'Leave log'!$C$7:$C$306,"&gt;="&amp;DATE($B$3,8,16),'Leave log'!$F$7:$F$306,"Pending")&gt;0,"P",""))))</f>
        <v/>
      </c>
      <c r="R265" s="23" t="str">
        <f>IF(A265="","",IF(IF(OR(DATE($B$3,8,17)&gt;EOMONTH(DATE($B$3,8,1),0),NETWORKDAYS.INTL(DATE($B$3,8,17),DATE($B$3,8,17),1,'Non-working days'!$A$6:$A$45)=0),"",IF(COUNTIFS('Leave log'!$A$7:$A$306,Employees!$A$26,'Leave log'!$B$7:$B$306,"&lt;="&amp;DATE($B$3,8,17),'Leave log'!$C$7:$C$306,"&gt;="&amp;DATE($B$3,8,17),'Leave log'!$F$7:$F$306,"Approved")&gt;0,"A",""))="A","A",IF(OR(DATE($B$3,8,17)&gt;EOMONTH(DATE($B$3,8,1),0),NETWORKDAYS.INTL(DATE($B$3,8,17),DATE($B$3,8,17),1,'Non-working days'!$A$6:$A$45)=0),"",IF(COUNTIFS('Leave log'!$A$7:$A$306,Employees!$A$26,'Leave log'!$B$7:$B$306,"&lt;="&amp;DATE($B$3,8,17),'Leave log'!$C$7:$C$306,"&gt;="&amp;DATE($B$3,8,17),'Leave log'!$F$7:$F$306,"Pending")&gt;0,"P",""))))</f>
        <v/>
      </c>
      <c r="S265" s="23" t="str">
        <f>IF(A265="","",IF(IF(OR(DATE($B$3,8,18)&gt;EOMONTH(DATE($B$3,8,1),0),NETWORKDAYS.INTL(DATE($B$3,8,18),DATE($B$3,8,18),1,'Non-working days'!$A$6:$A$45)=0),"",IF(COUNTIFS('Leave log'!$A$7:$A$306,Employees!$A$26,'Leave log'!$B$7:$B$306,"&lt;="&amp;DATE($B$3,8,18),'Leave log'!$C$7:$C$306,"&gt;="&amp;DATE($B$3,8,18),'Leave log'!$F$7:$F$306,"Approved")&gt;0,"A",""))="A","A",IF(OR(DATE($B$3,8,18)&gt;EOMONTH(DATE($B$3,8,1),0),NETWORKDAYS.INTL(DATE($B$3,8,18),DATE($B$3,8,18),1,'Non-working days'!$A$6:$A$45)=0),"",IF(COUNTIFS('Leave log'!$A$7:$A$306,Employees!$A$26,'Leave log'!$B$7:$B$306,"&lt;="&amp;DATE($B$3,8,18),'Leave log'!$C$7:$C$306,"&gt;="&amp;DATE($B$3,8,18),'Leave log'!$F$7:$F$306,"Pending")&gt;0,"P",""))))</f>
        <v/>
      </c>
      <c r="T265" s="23" t="str">
        <f>IF(A265="","",IF(IF(OR(DATE($B$3,8,19)&gt;EOMONTH(DATE($B$3,8,1),0),NETWORKDAYS.INTL(DATE($B$3,8,19),DATE($B$3,8,19),1,'Non-working days'!$A$6:$A$45)=0),"",IF(COUNTIFS('Leave log'!$A$7:$A$306,Employees!$A$26,'Leave log'!$B$7:$B$306,"&lt;="&amp;DATE($B$3,8,19),'Leave log'!$C$7:$C$306,"&gt;="&amp;DATE($B$3,8,19),'Leave log'!$F$7:$F$306,"Approved")&gt;0,"A",""))="A","A",IF(OR(DATE($B$3,8,19)&gt;EOMONTH(DATE($B$3,8,1),0),NETWORKDAYS.INTL(DATE($B$3,8,19),DATE($B$3,8,19),1,'Non-working days'!$A$6:$A$45)=0),"",IF(COUNTIFS('Leave log'!$A$7:$A$306,Employees!$A$26,'Leave log'!$B$7:$B$306,"&lt;="&amp;DATE($B$3,8,19),'Leave log'!$C$7:$C$306,"&gt;="&amp;DATE($B$3,8,19),'Leave log'!$F$7:$F$306,"Pending")&gt;0,"P",""))))</f>
        <v/>
      </c>
      <c r="U265" s="23" t="str">
        <f>IF(A265="","",IF(IF(OR(DATE($B$3,8,20)&gt;EOMONTH(DATE($B$3,8,1),0),NETWORKDAYS.INTL(DATE($B$3,8,20),DATE($B$3,8,20),1,'Non-working days'!$A$6:$A$45)=0),"",IF(COUNTIFS('Leave log'!$A$7:$A$306,Employees!$A$26,'Leave log'!$B$7:$B$306,"&lt;="&amp;DATE($B$3,8,20),'Leave log'!$C$7:$C$306,"&gt;="&amp;DATE($B$3,8,20),'Leave log'!$F$7:$F$306,"Approved")&gt;0,"A",""))="A","A",IF(OR(DATE($B$3,8,20)&gt;EOMONTH(DATE($B$3,8,1),0),NETWORKDAYS.INTL(DATE($B$3,8,20),DATE($B$3,8,20),1,'Non-working days'!$A$6:$A$45)=0),"",IF(COUNTIFS('Leave log'!$A$7:$A$306,Employees!$A$26,'Leave log'!$B$7:$B$306,"&lt;="&amp;DATE($B$3,8,20),'Leave log'!$C$7:$C$306,"&gt;="&amp;DATE($B$3,8,20),'Leave log'!$F$7:$F$306,"Pending")&gt;0,"P",""))))</f>
        <v/>
      </c>
      <c r="V265" s="23" t="str">
        <f>IF(A265="","",IF(IF(OR(DATE($B$3,8,21)&gt;EOMONTH(DATE($B$3,8,1),0),NETWORKDAYS.INTL(DATE($B$3,8,21),DATE($B$3,8,21),1,'Non-working days'!$A$6:$A$45)=0),"",IF(COUNTIFS('Leave log'!$A$7:$A$306,Employees!$A$26,'Leave log'!$B$7:$B$306,"&lt;="&amp;DATE($B$3,8,21),'Leave log'!$C$7:$C$306,"&gt;="&amp;DATE($B$3,8,21),'Leave log'!$F$7:$F$306,"Approved")&gt;0,"A",""))="A","A",IF(OR(DATE($B$3,8,21)&gt;EOMONTH(DATE($B$3,8,1),0),NETWORKDAYS.INTL(DATE($B$3,8,21),DATE($B$3,8,21),1,'Non-working days'!$A$6:$A$45)=0),"",IF(COUNTIFS('Leave log'!$A$7:$A$306,Employees!$A$26,'Leave log'!$B$7:$B$306,"&lt;="&amp;DATE($B$3,8,21),'Leave log'!$C$7:$C$306,"&gt;="&amp;DATE($B$3,8,21),'Leave log'!$F$7:$F$306,"Pending")&gt;0,"P",""))))</f>
        <v/>
      </c>
      <c r="W265" s="23" t="str">
        <f>IF(A265="","",IF(IF(OR(DATE($B$3,8,22)&gt;EOMONTH(DATE($B$3,8,1),0),NETWORKDAYS.INTL(DATE($B$3,8,22),DATE($B$3,8,22),1,'Non-working days'!$A$6:$A$45)=0),"",IF(COUNTIFS('Leave log'!$A$7:$A$306,Employees!$A$26,'Leave log'!$B$7:$B$306,"&lt;="&amp;DATE($B$3,8,22),'Leave log'!$C$7:$C$306,"&gt;="&amp;DATE($B$3,8,22),'Leave log'!$F$7:$F$306,"Approved")&gt;0,"A",""))="A","A",IF(OR(DATE($B$3,8,22)&gt;EOMONTH(DATE($B$3,8,1),0),NETWORKDAYS.INTL(DATE($B$3,8,22),DATE($B$3,8,22),1,'Non-working days'!$A$6:$A$45)=0),"",IF(COUNTIFS('Leave log'!$A$7:$A$306,Employees!$A$26,'Leave log'!$B$7:$B$306,"&lt;="&amp;DATE($B$3,8,22),'Leave log'!$C$7:$C$306,"&gt;="&amp;DATE($B$3,8,22),'Leave log'!$F$7:$F$306,"Pending")&gt;0,"P",""))))</f>
        <v/>
      </c>
      <c r="X265" s="23" t="str">
        <f>IF(A265="","",IF(IF(OR(DATE($B$3,8,23)&gt;EOMONTH(DATE($B$3,8,1),0),NETWORKDAYS.INTL(DATE($B$3,8,23),DATE($B$3,8,23),1,'Non-working days'!$A$6:$A$45)=0),"",IF(COUNTIFS('Leave log'!$A$7:$A$306,Employees!$A$26,'Leave log'!$B$7:$B$306,"&lt;="&amp;DATE($B$3,8,23),'Leave log'!$C$7:$C$306,"&gt;="&amp;DATE($B$3,8,23),'Leave log'!$F$7:$F$306,"Approved")&gt;0,"A",""))="A","A",IF(OR(DATE($B$3,8,23)&gt;EOMONTH(DATE($B$3,8,1),0),NETWORKDAYS.INTL(DATE($B$3,8,23),DATE($B$3,8,23),1,'Non-working days'!$A$6:$A$45)=0),"",IF(COUNTIFS('Leave log'!$A$7:$A$306,Employees!$A$26,'Leave log'!$B$7:$B$306,"&lt;="&amp;DATE($B$3,8,23),'Leave log'!$C$7:$C$306,"&gt;="&amp;DATE($B$3,8,23),'Leave log'!$F$7:$F$306,"Pending")&gt;0,"P",""))))</f>
        <v/>
      </c>
      <c r="Y265" s="23" t="str">
        <f>IF(A265="","",IF(IF(OR(DATE($B$3,8,24)&gt;EOMONTH(DATE($B$3,8,1),0),NETWORKDAYS.INTL(DATE($B$3,8,24),DATE($B$3,8,24),1,'Non-working days'!$A$6:$A$45)=0),"",IF(COUNTIFS('Leave log'!$A$7:$A$306,Employees!$A$26,'Leave log'!$B$7:$B$306,"&lt;="&amp;DATE($B$3,8,24),'Leave log'!$C$7:$C$306,"&gt;="&amp;DATE($B$3,8,24),'Leave log'!$F$7:$F$306,"Approved")&gt;0,"A",""))="A","A",IF(OR(DATE($B$3,8,24)&gt;EOMONTH(DATE($B$3,8,1),0),NETWORKDAYS.INTL(DATE($B$3,8,24),DATE($B$3,8,24),1,'Non-working days'!$A$6:$A$45)=0),"",IF(COUNTIFS('Leave log'!$A$7:$A$306,Employees!$A$26,'Leave log'!$B$7:$B$306,"&lt;="&amp;DATE($B$3,8,24),'Leave log'!$C$7:$C$306,"&gt;="&amp;DATE($B$3,8,24),'Leave log'!$F$7:$F$306,"Pending")&gt;0,"P",""))))</f>
        <v/>
      </c>
      <c r="Z265" s="23" t="str">
        <f>IF(A265="","",IF(IF(OR(DATE($B$3,8,25)&gt;EOMONTH(DATE($B$3,8,1),0),NETWORKDAYS.INTL(DATE($B$3,8,25),DATE($B$3,8,25),1,'Non-working days'!$A$6:$A$45)=0),"",IF(COUNTIFS('Leave log'!$A$7:$A$306,Employees!$A$26,'Leave log'!$B$7:$B$306,"&lt;="&amp;DATE($B$3,8,25),'Leave log'!$C$7:$C$306,"&gt;="&amp;DATE($B$3,8,25),'Leave log'!$F$7:$F$306,"Approved")&gt;0,"A",""))="A","A",IF(OR(DATE($B$3,8,25)&gt;EOMONTH(DATE($B$3,8,1),0),NETWORKDAYS.INTL(DATE($B$3,8,25),DATE($B$3,8,25),1,'Non-working days'!$A$6:$A$45)=0),"",IF(COUNTIFS('Leave log'!$A$7:$A$306,Employees!$A$26,'Leave log'!$B$7:$B$306,"&lt;="&amp;DATE($B$3,8,25),'Leave log'!$C$7:$C$306,"&gt;="&amp;DATE($B$3,8,25),'Leave log'!$F$7:$F$306,"Pending")&gt;0,"P",""))))</f>
        <v/>
      </c>
      <c r="AA265" s="23" t="str">
        <f>IF(A265="","",IF(IF(OR(DATE($B$3,8,26)&gt;EOMONTH(DATE($B$3,8,1),0),NETWORKDAYS.INTL(DATE($B$3,8,26),DATE($B$3,8,26),1,'Non-working days'!$A$6:$A$45)=0),"",IF(COUNTIFS('Leave log'!$A$7:$A$306,Employees!$A$26,'Leave log'!$B$7:$B$306,"&lt;="&amp;DATE($B$3,8,26),'Leave log'!$C$7:$C$306,"&gt;="&amp;DATE($B$3,8,26),'Leave log'!$F$7:$F$306,"Approved")&gt;0,"A",""))="A","A",IF(OR(DATE($B$3,8,26)&gt;EOMONTH(DATE($B$3,8,1),0),NETWORKDAYS.INTL(DATE($B$3,8,26),DATE($B$3,8,26),1,'Non-working days'!$A$6:$A$45)=0),"",IF(COUNTIFS('Leave log'!$A$7:$A$306,Employees!$A$26,'Leave log'!$B$7:$B$306,"&lt;="&amp;DATE($B$3,8,26),'Leave log'!$C$7:$C$306,"&gt;="&amp;DATE($B$3,8,26),'Leave log'!$F$7:$F$306,"Pending")&gt;0,"P",""))))</f>
        <v/>
      </c>
      <c r="AB265" s="23" t="str">
        <f>IF(A265="","",IF(IF(OR(DATE($B$3,8,27)&gt;EOMONTH(DATE($B$3,8,1),0),NETWORKDAYS.INTL(DATE($B$3,8,27),DATE($B$3,8,27),1,'Non-working days'!$A$6:$A$45)=0),"",IF(COUNTIFS('Leave log'!$A$7:$A$306,Employees!$A$26,'Leave log'!$B$7:$B$306,"&lt;="&amp;DATE($B$3,8,27),'Leave log'!$C$7:$C$306,"&gt;="&amp;DATE($B$3,8,27),'Leave log'!$F$7:$F$306,"Approved")&gt;0,"A",""))="A","A",IF(OR(DATE($B$3,8,27)&gt;EOMONTH(DATE($B$3,8,1),0),NETWORKDAYS.INTL(DATE($B$3,8,27),DATE($B$3,8,27),1,'Non-working days'!$A$6:$A$45)=0),"",IF(COUNTIFS('Leave log'!$A$7:$A$306,Employees!$A$26,'Leave log'!$B$7:$B$306,"&lt;="&amp;DATE($B$3,8,27),'Leave log'!$C$7:$C$306,"&gt;="&amp;DATE($B$3,8,27),'Leave log'!$F$7:$F$306,"Pending")&gt;0,"P",""))))</f>
        <v/>
      </c>
      <c r="AC265" s="23" t="str">
        <f>IF(A265="","",IF(IF(OR(DATE($B$3,8,28)&gt;EOMONTH(DATE($B$3,8,1),0),NETWORKDAYS.INTL(DATE($B$3,8,28),DATE($B$3,8,28),1,'Non-working days'!$A$6:$A$45)=0),"",IF(COUNTIFS('Leave log'!$A$7:$A$306,Employees!$A$26,'Leave log'!$B$7:$B$306,"&lt;="&amp;DATE($B$3,8,28),'Leave log'!$C$7:$C$306,"&gt;="&amp;DATE($B$3,8,28),'Leave log'!$F$7:$F$306,"Approved")&gt;0,"A",""))="A","A",IF(OR(DATE($B$3,8,28)&gt;EOMONTH(DATE($B$3,8,1),0),NETWORKDAYS.INTL(DATE($B$3,8,28),DATE($B$3,8,28),1,'Non-working days'!$A$6:$A$45)=0),"",IF(COUNTIFS('Leave log'!$A$7:$A$306,Employees!$A$26,'Leave log'!$B$7:$B$306,"&lt;="&amp;DATE($B$3,8,28),'Leave log'!$C$7:$C$306,"&gt;="&amp;DATE($B$3,8,28),'Leave log'!$F$7:$F$306,"Pending")&gt;0,"P",""))))</f>
        <v/>
      </c>
      <c r="AD265" s="23" t="str">
        <f>IF(A265="","",IF(IF(OR(DATE($B$3,8,29)&gt;EOMONTH(DATE($B$3,8,1),0),NETWORKDAYS.INTL(DATE($B$3,8,29),DATE($B$3,8,29),1,'Non-working days'!$A$6:$A$45)=0),"",IF(COUNTIFS('Leave log'!$A$7:$A$306,Employees!$A$26,'Leave log'!$B$7:$B$306,"&lt;="&amp;DATE($B$3,8,29),'Leave log'!$C$7:$C$306,"&gt;="&amp;DATE($B$3,8,29),'Leave log'!$F$7:$F$306,"Approved")&gt;0,"A",""))="A","A",IF(OR(DATE($B$3,8,29)&gt;EOMONTH(DATE($B$3,8,1),0),NETWORKDAYS.INTL(DATE($B$3,8,29),DATE($B$3,8,29),1,'Non-working days'!$A$6:$A$45)=0),"",IF(COUNTIFS('Leave log'!$A$7:$A$306,Employees!$A$26,'Leave log'!$B$7:$B$306,"&lt;="&amp;DATE($B$3,8,29),'Leave log'!$C$7:$C$306,"&gt;="&amp;DATE($B$3,8,29),'Leave log'!$F$7:$F$306,"Pending")&gt;0,"P",""))))</f>
        <v/>
      </c>
      <c r="AE265" s="23" t="str">
        <f>IF(A265="","",IF(IF(OR(DATE($B$3,8,30)&gt;EOMONTH(DATE($B$3,8,1),0),NETWORKDAYS.INTL(DATE($B$3,8,30),DATE($B$3,8,30),1,'Non-working days'!$A$6:$A$45)=0),"",IF(COUNTIFS('Leave log'!$A$7:$A$306,Employees!$A$26,'Leave log'!$B$7:$B$306,"&lt;="&amp;DATE($B$3,8,30),'Leave log'!$C$7:$C$306,"&gt;="&amp;DATE($B$3,8,30),'Leave log'!$F$7:$F$306,"Approved")&gt;0,"A",""))="A","A",IF(OR(DATE($B$3,8,30)&gt;EOMONTH(DATE($B$3,8,1),0),NETWORKDAYS.INTL(DATE($B$3,8,30),DATE($B$3,8,30),1,'Non-working days'!$A$6:$A$45)=0),"",IF(COUNTIFS('Leave log'!$A$7:$A$306,Employees!$A$26,'Leave log'!$B$7:$B$306,"&lt;="&amp;DATE($B$3,8,30),'Leave log'!$C$7:$C$306,"&gt;="&amp;DATE($B$3,8,30),'Leave log'!$F$7:$F$306,"Pending")&gt;0,"P",""))))</f>
        <v/>
      </c>
      <c r="AF265" s="23" t="str">
        <f>IF(A265="","",IF(IF(OR(DATE($B$3,8,31)&gt;EOMONTH(DATE($B$3,8,1),0),NETWORKDAYS.INTL(DATE($B$3,8,31),DATE($B$3,8,31),1,'Non-working days'!$A$6:$A$45)=0),"",IF(COUNTIFS('Leave log'!$A$7:$A$306,Employees!$A$26,'Leave log'!$B$7:$B$306,"&lt;="&amp;DATE($B$3,8,31),'Leave log'!$C$7:$C$306,"&gt;="&amp;DATE($B$3,8,31),'Leave log'!$F$7:$F$306,"Approved")&gt;0,"A",""))="A","A",IF(OR(DATE($B$3,8,31)&gt;EOMONTH(DATE($B$3,8,1),0),NETWORKDAYS.INTL(DATE($B$3,8,31),DATE($B$3,8,31),1,'Non-working days'!$A$6:$A$45)=0),"",IF(COUNTIFS('Leave log'!$A$7:$A$306,Employees!$A$26,'Leave log'!$B$7:$B$306,"&lt;="&amp;DATE($B$3,8,31),'Leave log'!$C$7:$C$306,"&gt;="&amp;DATE($B$3,8,31),'Leave log'!$F$7:$F$306,"Pending")&gt;0,"P",""))))</f>
        <v/>
      </c>
    </row>
    <row r="266" spans="1:32" ht="18" customHeight="1" x14ac:dyDescent="0.3">
      <c r="A266" s="22" t="str">
        <f>IF(Employees!F27="Yes",Employees!B27,"")</f>
        <v/>
      </c>
      <c r="B266" s="23" t="str">
        <f>IF(A266="","",IF(IF(OR(DATE($B$3,8,1)&gt;EOMONTH(DATE($B$3,8,1),0),NETWORKDAYS.INTL(DATE($B$3,8,1),DATE($B$3,8,1),1,'Non-working days'!$A$6:$A$45)=0),"",IF(COUNTIFS('Leave log'!$A$7:$A$306,Employees!$A$27,'Leave log'!$B$7:$B$306,"&lt;="&amp;DATE($B$3,8,1),'Leave log'!$C$7:$C$306,"&gt;="&amp;DATE($B$3,8,1),'Leave log'!$F$7:$F$306,"Approved")&gt;0,"A",""))="A","A",IF(OR(DATE($B$3,8,1)&gt;EOMONTH(DATE($B$3,8,1),0),NETWORKDAYS.INTL(DATE($B$3,8,1),DATE($B$3,8,1),1,'Non-working days'!$A$6:$A$45)=0),"",IF(COUNTIFS('Leave log'!$A$7:$A$306,Employees!$A$27,'Leave log'!$B$7:$B$306,"&lt;="&amp;DATE($B$3,8,1),'Leave log'!$C$7:$C$306,"&gt;="&amp;DATE($B$3,8,1),'Leave log'!$F$7:$F$306,"Pending")&gt;0,"P",""))))</f>
        <v/>
      </c>
      <c r="C266" s="23" t="str">
        <f>IF(A266="","",IF(IF(OR(DATE($B$3,8,2)&gt;EOMONTH(DATE($B$3,8,1),0),NETWORKDAYS.INTL(DATE($B$3,8,2),DATE($B$3,8,2),1,'Non-working days'!$A$6:$A$45)=0),"",IF(COUNTIFS('Leave log'!$A$7:$A$306,Employees!$A$27,'Leave log'!$B$7:$B$306,"&lt;="&amp;DATE($B$3,8,2),'Leave log'!$C$7:$C$306,"&gt;="&amp;DATE($B$3,8,2),'Leave log'!$F$7:$F$306,"Approved")&gt;0,"A",""))="A","A",IF(OR(DATE($B$3,8,2)&gt;EOMONTH(DATE($B$3,8,1),0),NETWORKDAYS.INTL(DATE($B$3,8,2),DATE($B$3,8,2),1,'Non-working days'!$A$6:$A$45)=0),"",IF(COUNTIFS('Leave log'!$A$7:$A$306,Employees!$A$27,'Leave log'!$B$7:$B$306,"&lt;="&amp;DATE($B$3,8,2),'Leave log'!$C$7:$C$306,"&gt;="&amp;DATE($B$3,8,2),'Leave log'!$F$7:$F$306,"Pending")&gt;0,"P",""))))</f>
        <v/>
      </c>
      <c r="D266" s="23" t="str">
        <f>IF(A266="","",IF(IF(OR(DATE($B$3,8,3)&gt;EOMONTH(DATE($B$3,8,1),0),NETWORKDAYS.INTL(DATE($B$3,8,3),DATE($B$3,8,3),1,'Non-working days'!$A$6:$A$45)=0),"",IF(COUNTIFS('Leave log'!$A$7:$A$306,Employees!$A$27,'Leave log'!$B$7:$B$306,"&lt;="&amp;DATE($B$3,8,3),'Leave log'!$C$7:$C$306,"&gt;="&amp;DATE($B$3,8,3),'Leave log'!$F$7:$F$306,"Approved")&gt;0,"A",""))="A","A",IF(OR(DATE($B$3,8,3)&gt;EOMONTH(DATE($B$3,8,1),0),NETWORKDAYS.INTL(DATE($B$3,8,3),DATE($B$3,8,3),1,'Non-working days'!$A$6:$A$45)=0),"",IF(COUNTIFS('Leave log'!$A$7:$A$306,Employees!$A$27,'Leave log'!$B$7:$B$306,"&lt;="&amp;DATE($B$3,8,3),'Leave log'!$C$7:$C$306,"&gt;="&amp;DATE($B$3,8,3),'Leave log'!$F$7:$F$306,"Pending")&gt;0,"P",""))))</f>
        <v/>
      </c>
      <c r="E266" s="23" t="str">
        <f>IF(A266="","",IF(IF(OR(DATE($B$3,8,4)&gt;EOMONTH(DATE($B$3,8,1),0),NETWORKDAYS.INTL(DATE($B$3,8,4),DATE($B$3,8,4),1,'Non-working days'!$A$6:$A$45)=0),"",IF(COUNTIFS('Leave log'!$A$7:$A$306,Employees!$A$27,'Leave log'!$B$7:$B$306,"&lt;="&amp;DATE($B$3,8,4),'Leave log'!$C$7:$C$306,"&gt;="&amp;DATE($B$3,8,4),'Leave log'!$F$7:$F$306,"Approved")&gt;0,"A",""))="A","A",IF(OR(DATE($B$3,8,4)&gt;EOMONTH(DATE($B$3,8,1),0),NETWORKDAYS.INTL(DATE($B$3,8,4),DATE($B$3,8,4),1,'Non-working days'!$A$6:$A$45)=0),"",IF(COUNTIFS('Leave log'!$A$7:$A$306,Employees!$A$27,'Leave log'!$B$7:$B$306,"&lt;="&amp;DATE($B$3,8,4),'Leave log'!$C$7:$C$306,"&gt;="&amp;DATE($B$3,8,4),'Leave log'!$F$7:$F$306,"Pending")&gt;0,"P",""))))</f>
        <v/>
      </c>
      <c r="F266" s="23" t="str">
        <f>IF(A266="","",IF(IF(OR(DATE($B$3,8,5)&gt;EOMONTH(DATE($B$3,8,1),0),NETWORKDAYS.INTL(DATE($B$3,8,5),DATE($B$3,8,5),1,'Non-working days'!$A$6:$A$45)=0),"",IF(COUNTIFS('Leave log'!$A$7:$A$306,Employees!$A$27,'Leave log'!$B$7:$B$306,"&lt;="&amp;DATE($B$3,8,5),'Leave log'!$C$7:$C$306,"&gt;="&amp;DATE($B$3,8,5),'Leave log'!$F$7:$F$306,"Approved")&gt;0,"A",""))="A","A",IF(OR(DATE($B$3,8,5)&gt;EOMONTH(DATE($B$3,8,1),0),NETWORKDAYS.INTL(DATE($B$3,8,5),DATE($B$3,8,5),1,'Non-working days'!$A$6:$A$45)=0),"",IF(COUNTIFS('Leave log'!$A$7:$A$306,Employees!$A$27,'Leave log'!$B$7:$B$306,"&lt;="&amp;DATE($B$3,8,5),'Leave log'!$C$7:$C$306,"&gt;="&amp;DATE($B$3,8,5),'Leave log'!$F$7:$F$306,"Pending")&gt;0,"P",""))))</f>
        <v/>
      </c>
      <c r="G266" s="23" t="str">
        <f>IF(A266="","",IF(IF(OR(DATE($B$3,8,6)&gt;EOMONTH(DATE($B$3,8,1),0),NETWORKDAYS.INTL(DATE($B$3,8,6),DATE($B$3,8,6),1,'Non-working days'!$A$6:$A$45)=0),"",IF(COUNTIFS('Leave log'!$A$7:$A$306,Employees!$A$27,'Leave log'!$B$7:$B$306,"&lt;="&amp;DATE($B$3,8,6),'Leave log'!$C$7:$C$306,"&gt;="&amp;DATE($B$3,8,6),'Leave log'!$F$7:$F$306,"Approved")&gt;0,"A",""))="A","A",IF(OR(DATE($B$3,8,6)&gt;EOMONTH(DATE($B$3,8,1),0),NETWORKDAYS.INTL(DATE($B$3,8,6),DATE($B$3,8,6),1,'Non-working days'!$A$6:$A$45)=0),"",IF(COUNTIFS('Leave log'!$A$7:$A$306,Employees!$A$27,'Leave log'!$B$7:$B$306,"&lt;="&amp;DATE($B$3,8,6),'Leave log'!$C$7:$C$306,"&gt;="&amp;DATE($B$3,8,6),'Leave log'!$F$7:$F$306,"Pending")&gt;0,"P",""))))</f>
        <v/>
      </c>
      <c r="H266" s="23" t="str">
        <f>IF(A266="","",IF(IF(OR(DATE($B$3,8,7)&gt;EOMONTH(DATE($B$3,8,1),0),NETWORKDAYS.INTL(DATE($B$3,8,7),DATE($B$3,8,7),1,'Non-working days'!$A$6:$A$45)=0),"",IF(COUNTIFS('Leave log'!$A$7:$A$306,Employees!$A$27,'Leave log'!$B$7:$B$306,"&lt;="&amp;DATE($B$3,8,7),'Leave log'!$C$7:$C$306,"&gt;="&amp;DATE($B$3,8,7),'Leave log'!$F$7:$F$306,"Approved")&gt;0,"A",""))="A","A",IF(OR(DATE($B$3,8,7)&gt;EOMONTH(DATE($B$3,8,1),0),NETWORKDAYS.INTL(DATE($B$3,8,7),DATE($B$3,8,7),1,'Non-working days'!$A$6:$A$45)=0),"",IF(COUNTIFS('Leave log'!$A$7:$A$306,Employees!$A$27,'Leave log'!$B$7:$B$306,"&lt;="&amp;DATE($B$3,8,7),'Leave log'!$C$7:$C$306,"&gt;="&amp;DATE($B$3,8,7),'Leave log'!$F$7:$F$306,"Pending")&gt;0,"P",""))))</f>
        <v/>
      </c>
      <c r="I266" s="23" t="str">
        <f>IF(A266="","",IF(IF(OR(DATE($B$3,8,8)&gt;EOMONTH(DATE($B$3,8,1),0),NETWORKDAYS.INTL(DATE($B$3,8,8),DATE($B$3,8,8),1,'Non-working days'!$A$6:$A$45)=0),"",IF(COUNTIFS('Leave log'!$A$7:$A$306,Employees!$A$27,'Leave log'!$B$7:$B$306,"&lt;="&amp;DATE($B$3,8,8),'Leave log'!$C$7:$C$306,"&gt;="&amp;DATE($B$3,8,8),'Leave log'!$F$7:$F$306,"Approved")&gt;0,"A",""))="A","A",IF(OR(DATE($B$3,8,8)&gt;EOMONTH(DATE($B$3,8,1),0),NETWORKDAYS.INTL(DATE($B$3,8,8),DATE($B$3,8,8),1,'Non-working days'!$A$6:$A$45)=0),"",IF(COUNTIFS('Leave log'!$A$7:$A$306,Employees!$A$27,'Leave log'!$B$7:$B$306,"&lt;="&amp;DATE($B$3,8,8),'Leave log'!$C$7:$C$306,"&gt;="&amp;DATE($B$3,8,8),'Leave log'!$F$7:$F$306,"Pending")&gt;0,"P",""))))</f>
        <v/>
      </c>
      <c r="J266" s="23" t="str">
        <f>IF(A266="","",IF(IF(OR(DATE($B$3,8,9)&gt;EOMONTH(DATE($B$3,8,1),0),NETWORKDAYS.INTL(DATE($B$3,8,9),DATE($B$3,8,9),1,'Non-working days'!$A$6:$A$45)=0),"",IF(COUNTIFS('Leave log'!$A$7:$A$306,Employees!$A$27,'Leave log'!$B$7:$B$306,"&lt;="&amp;DATE($B$3,8,9),'Leave log'!$C$7:$C$306,"&gt;="&amp;DATE($B$3,8,9),'Leave log'!$F$7:$F$306,"Approved")&gt;0,"A",""))="A","A",IF(OR(DATE($B$3,8,9)&gt;EOMONTH(DATE($B$3,8,1),0),NETWORKDAYS.INTL(DATE($B$3,8,9),DATE($B$3,8,9),1,'Non-working days'!$A$6:$A$45)=0),"",IF(COUNTIFS('Leave log'!$A$7:$A$306,Employees!$A$27,'Leave log'!$B$7:$B$306,"&lt;="&amp;DATE($B$3,8,9),'Leave log'!$C$7:$C$306,"&gt;="&amp;DATE($B$3,8,9),'Leave log'!$F$7:$F$306,"Pending")&gt;0,"P",""))))</f>
        <v/>
      </c>
      <c r="K266" s="23" t="str">
        <f>IF(A266="","",IF(IF(OR(DATE($B$3,8,10)&gt;EOMONTH(DATE($B$3,8,1),0),NETWORKDAYS.INTL(DATE($B$3,8,10),DATE($B$3,8,10),1,'Non-working days'!$A$6:$A$45)=0),"",IF(COUNTIFS('Leave log'!$A$7:$A$306,Employees!$A$27,'Leave log'!$B$7:$B$306,"&lt;="&amp;DATE($B$3,8,10),'Leave log'!$C$7:$C$306,"&gt;="&amp;DATE($B$3,8,10),'Leave log'!$F$7:$F$306,"Approved")&gt;0,"A",""))="A","A",IF(OR(DATE($B$3,8,10)&gt;EOMONTH(DATE($B$3,8,1),0),NETWORKDAYS.INTL(DATE($B$3,8,10),DATE($B$3,8,10),1,'Non-working days'!$A$6:$A$45)=0),"",IF(COUNTIFS('Leave log'!$A$7:$A$306,Employees!$A$27,'Leave log'!$B$7:$B$306,"&lt;="&amp;DATE($B$3,8,10),'Leave log'!$C$7:$C$306,"&gt;="&amp;DATE($B$3,8,10),'Leave log'!$F$7:$F$306,"Pending")&gt;0,"P",""))))</f>
        <v/>
      </c>
      <c r="L266" s="23" t="str">
        <f>IF(A266="","",IF(IF(OR(DATE($B$3,8,11)&gt;EOMONTH(DATE($B$3,8,1),0),NETWORKDAYS.INTL(DATE($B$3,8,11),DATE($B$3,8,11),1,'Non-working days'!$A$6:$A$45)=0),"",IF(COUNTIFS('Leave log'!$A$7:$A$306,Employees!$A$27,'Leave log'!$B$7:$B$306,"&lt;="&amp;DATE($B$3,8,11),'Leave log'!$C$7:$C$306,"&gt;="&amp;DATE($B$3,8,11),'Leave log'!$F$7:$F$306,"Approved")&gt;0,"A",""))="A","A",IF(OR(DATE($B$3,8,11)&gt;EOMONTH(DATE($B$3,8,1),0),NETWORKDAYS.INTL(DATE($B$3,8,11),DATE($B$3,8,11),1,'Non-working days'!$A$6:$A$45)=0),"",IF(COUNTIFS('Leave log'!$A$7:$A$306,Employees!$A$27,'Leave log'!$B$7:$B$306,"&lt;="&amp;DATE($B$3,8,11),'Leave log'!$C$7:$C$306,"&gt;="&amp;DATE($B$3,8,11),'Leave log'!$F$7:$F$306,"Pending")&gt;0,"P",""))))</f>
        <v/>
      </c>
      <c r="M266" s="23" t="str">
        <f>IF(A266="","",IF(IF(OR(DATE($B$3,8,12)&gt;EOMONTH(DATE($B$3,8,1),0),NETWORKDAYS.INTL(DATE($B$3,8,12),DATE($B$3,8,12),1,'Non-working days'!$A$6:$A$45)=0),"",IF(COUNTIFS('Leave log'!$A$7:$A$306,Employees!$A$27,'Leave log'!$B$7:$B$306,"&lt;="&amp;DATE($B$3,8,12),'Leave log'!$C$7:$C$306,"&gt;="&amp;DATE($B$3,8,12),'Leave log'!$F$7:$F$306,"Approved")&gt;0,"A",""))="A","A",IF(OR(DATE($B$3,8,12)&gt;EOMONTH(DATE($B$3,8,1),0),NETWORKDAYS.INTL(DATE($B$3,8,12),DATE($B$3,8,12),1,'Non-working days'!$A$6:$A$45)=0),"",IF(COUNTIFS('Leave log'!$A$7:$A$306,Employees!$A$27,'Leave log'!$B$7:$B$306,"&lt;="&amp;DATE($B$3,8,12),'Leave log'!$C$7:$C$306,"&gt;="&amp;DATE($B$3,8,12),'Leave log'!$F$7:$F$306,"Pending")&gt;0,"P",""))))</f>
        <v/>
      </c>
      <c r="N266" s="23" t="str">
        <f>IF(A266="","",IF(IF(OR(DATE($B$3,8,13)&gt;EOMONTH(DATE($B$3,8,1),0),NETWORKDAYS.INTL(DATE($B$3,8,13),DATE($B$3,8,13),1,'Non-working days'!$A$6:$A$45)=0),"",IF(COUNTIFS('Leave log'!$A$7:$A$306,Employees!$A$27,'Leave log'!$B$7:$B$306,"&lt;="&amp;DATE($B$3,8,13),'Leave log'!$C$7:$C$306,"&gt;="&amp;DATE($B$3,8,13),'Leave log'!$F$7:$F$306,"Approved")&gt;0,"A",""))="A","A",IF(OR(DATE($B$3,8,13)&gt;EOMONTH(DATE($B$3,8,1),0),NETWORKDAYS.INTL(DATE($B$3,8,13),DATE($B$3,8,13),1,'Non-working days'!$A$6:$A$45)=0),"",IF(COUNTIFS('Leave log'!$A$7:$A$306,Employees!$A$27,'Leave log'!$B$7:$B$306,"&lt;="&amp;DATE($B$3,8,13),'Leave log'!$C$7:$C$306,"&gt;="&amp;DATE($B$3,8,13),'Leave log'!$F$7:$F$306,"Pending")&gt;0,"P",""))))</f>
        <v/>
      </c>
      <c r="O266" s="23" t="str">
        <f>IF(A266="","",IF(IF(OR(DATE($B$3,8,14)&gt;EOMONTH(DATE($B$3,8,1),0),NETWORKDAYS.INTL(DATE($B$3,8,14),DATE($B$3,8,14),1,'Non-working days'!$A$6:$A$45)=0),"",IF(COUNTIFS('Leave log'!$A$7:$A$306,Employees!$A$27,'Leave log'!$B$7:$B$306,"&lt;="&amp;DATE($B$3,8,14),'Leave log'!$C$7:$C$306,"&gt;="&amp;DATE($B$3,8,14),'Leave log'!$F$7:$F$306,"Approved")&gt;0,"A",""))="A","A",IF(OR(DATE($B$3,8,14)&gt;EOMONTH(DATE($B$3,8,1),0),NETWORKDAYS.INTL(DATE($B$3,8,14),DATE($B$3,8,14),1,'Non-working days'!$A$6:$A$45)=0),"",IF(COUNTIFS('Leave log'!$A$7:$A$306,Employees!$A$27,'Leave log'!$B$7:$B$306,"&lt;="&amp;DATE($B$3,8,14),'Leave log'!$C$7:$C$306,"&gt;="&amp;DATE($B$3,8,14),'Leave log'!$F$7:$F$306,"Pending")&gt;0,"P",""))))</f>
        <v/>
      </c>
      <c r="P266" s="23" t="str">
        <f>IF(A266="","",IF(IF(OR(DATE($B$3,8,15)&gt;EOMONTH(DATE($B$3,8,1),0),NETWORKDAYS.INTL(DATE($B$3,8,15),DATE($B$3,8,15),1,'Non-working days'!$A$6:$A$45)=0),"",IF(COUNTIFS('Leave log'!$A$7:$A$306,Employees!$A$27,'Leave log'!$B$7:$B$306,"&lt;="&amp;DATE($B$3,8,15),'Leave log'!$C$7:$C$306,"&gt;="&amp;DATE($B$3,8,15),'Leave log'!$F$7:$F$306,"Approved")&gt;0,"A",""))="A","A",IF(OR(DATE($B$3,8,15)&gt;EOMONTH(DATE($B$3,8,1),0),NETWORKDAYS.INTL(DATE($B$3,8,15),DATE($B$3,8,15),1,'Non-working days'!$A$6:$A$45)=0),"",IF(COUNTIFS('Leave log'!$A$7:$A$306,Employees!$A$27,'Leave log'!$B$7:$B$306,"&lt;="&amp;DATE($B$3,8,15),'Leave log'!$C$7:$C$306,"&gt;="&amp;DATE($B$3,8,15),'Leave log'!$F$7:$F$306,"Pending")&gt;0,"P",""))))</f>
        <v/>
      </c>
      <c r="Q266" s="23" t="str">
        <f>IF(A266="","",IF(IF(OR(DATE($B$3,8,16)&gt;EOMONTH(DATE($B$3,8,1),0),NETWORKDAYS.INTL(DATE($B$3,8,16),DATE($B$3,8,16),1,'Non-working days'!$A$6:$A$45)=0),"",IF(COUNTIFS('Leave log'!$A$7:$A$306,Employees!$A$27,'Leave log'!$B$7:$B$306,"&lt;="&amp;DATE($B$3,8,16),'Leave log'!$C$7:$C$306,"&gt;="&amp;DATE($B$3,8,16),'Leave log'!$F$7:$F$306,"Approved")&gt;0,"A",""))="A","A",IF(OR(DATE($B$3,8,16)&gt;EOMONTH(DATE($B$3,8,1),0),NETWORKDAYS.INTL(DATE($B$3,8,16),DATE($B$3,8,16),1,'Non-working days'!$A$6:$A$45)=0),"",IF(COUNTIFS('Leave log'!$A$7:$A$306,Employees!$A$27,'Leave log'!$B$7:$B$306,"&lt;="&amp;DATE($B$3,8,16),'Leave log'!$C$7:$C$306,"&gt;="&amp;DATE($B$3,8,16),'Leave log'!$F$7:$F$306,"Pending")&gt;0,"P",""))))</f>
        <v/>
      </c>
      <c r="R266" s="23" t="str">
        <f>IF(A266="","",IF(IF(OR(DATE($B$3,8,17)&gt;EOMONTH(DATE($B$3,8,1),0),NETWORKDAYS.INTL(DATE($B$3,8,17),DATE($B$3,8,17),1,'Non-working days'!$A$6:$A$45)=0),"",IF(COUNTIFS('Leave log'!$A$7:$A$306,Employees!$A$27,'Leave log'!$B$7:$B$306,"&lt;="&amp;DATE($B$3,8,17),'Leave log'!$C$7:$C$306,"&gt;="&amp;DATE($B$3,8,17),'Leave log'!$F$7:$F$306,"Approved")&gt;0,"A",""))="A","A",IF(OR(DATE($B$3,8,17)&gt;EOMONTH(DATE($B$3,8,1),0),NETWORKDAYS.INTL(DATE($B$3,8,17),DATE($B$3,8,17),1,'Non-working days'!$A$6:$A$45)=0),"",IF(COUNTIFS('Leave log'!$A$7:$A$306,Employees!$A$27,'Leave log'!$B$7:$B$306,"&lt;="&amp;DATE($B$3,8,17),'Leave log'!$C$7:$C$306,"&gt;="&amp;DATE($B$3,8,17),'Leave log'!$F$7:$F$306,"Pending")&gt;0,"P",""))))</f>
        <v/>
      </c>
      <c r="S266" s="23" t="str">
        <f>IF(A266="","",IF(IF(OR(DATE($B$3,8,18)&gt;EOMONTH(DATE($B$3,8,1),0),NETWORKDAYS.INTL(DATE($B$3,8,18),DATE($B$3,8,18),1,'Non-working days'!$A$6:$A$45)=0),"",IF(COUNTIFS('Leave log'!$A$7:$A$306,Employees!$A$27,'Leave log'!$B$7:$B$306,"&lt;="&amp;DATE($B$3,8,18),'Leave log'!$C$7:$C$306,"&gt;="&amp;DATE($B$3,8,18),'Leave log'!$F$7:$F$306,"Approved")&gt;0,"A",""))="A","A",IF(OR(DATE($B$3,8,18)&gt;EOMONTH(DATE($B$3,8,1),0),NETWORKDAYS.INTL(DATE($B$3,8,18),DATE($B$3,8,18),1,'Non-working days'!$A$6:$A$45)=0),"",IF(COUNTIFS('Leave log'!$A$7:$A$306,Employees!$A$27,'Leave log'!$B$7:$B$306,"&lt;="&amp;DATE($B$3,8,18),'Leave log'!$C$7:$C$306,"&gt;="&amp;DATE($B$3,8,18),'Leave log'!$F$7:$F$306,"Pending")&gt;0,"P",""))))</f>
        <v/>
      </c>
      <c r="T266" s="23" t="str">
        <f>IF(A266="","",IF(IF(OR(DATE($B$3,8,19)&gt;EOMONTH(DATE($B$3,8,1),0),NETWORKDAYS.INTL(DATE($B$3,8,19),DATE($B$3,8,19),1,'Non-working days'!$A$6:$A$45)=0),"",IF(COUNTIFS('Leave log'!$A$7:$A$306,Employees!$A$27,'Leave log'!$B$7:$B$306,"&lt;="&amp;DATE($B$3,8,19),'Leave log'!$C$7:$C$306,"&gt;="&amp;DATE($B$3,8,19),'Leave log'!$F$7:$F$306,"Approved")&gt;0,"A",""))="A","A",IF(OR(DATE($B$3,8,19)&gt;EOMONTH(DATE($B$3,8,1),0),NETWORKDAYS.INTL(DATE($B$3,8,19),DATE($B$3,8,19),1,'Non-working days'!$A$6:$A$45)=0),"",IF(COUNTIFS('Leave log'!$A$7:$A$306,Employees!$A$27,'Leave log'!$B$7:$B$306,"&lt;="&amp;DATE($B$3,8,19),'Leave log'!$C$7:$C$306,"&gt;="&amp;DATE($B$3,8,19),'Leave log'!$F$7:$F$306,"Pending")&gt;0,"P",""))))</f>
        <v/>
      </c>
      <c r="U266" s="23" t="str">
        <f>IF(A266="","",IF(IF(OR(DATE($B$3,8,20)&gt;EOMONTH(DATE($B$3,8,1),0),NETWORKDAYS.INTL(DATE($B$3,8,20),DATE($B$3,8,20),1,'Non-working days'!$A$6:$A$45)=0),"",IF(COUNTIFS('Leave log'!$A$7:$A$306,Employees!$A$27,'Leave log'!$B$7:$B$306,"&lt;="&amp;DATE($B$3,8,20),'Leave log'!$C$7:$C$306,"&gt;="&amp;DATE($B$3,8,20),'Leave log'!$F$7:$F$306,"Approved")&gt;0,"A",""))="A","A",IF(OR(DATE($B$3,8,20)&gt;EOMONTH(DATE($B$3,8,1),0),NETWORKDAYS.INTL(DATE($B$3,8,20),DATE($B$3,8,20),1,'Non-working days'!$A$6:$A$45)=0),"",IF(COUNTIFS('Leave log'!$A$7:$A$306,Employees!$A$27,'Leave log'!$B$7:$B$306,"&lt;="&amp;DATE($B$3,8,20),'Leave log'!$C$7:$C$306,"&gt;="&amp;DATE($B$3,8,20),'Leave log'!$F$7:$F$306,"Pending")&gt;0,"P",""))))</f>
        <v/>
      </c>
      <c r="V266" s="23" t="str">
        <f>IF(A266="","",IF(IF(OR(DATE($B$3,8,21)&gt;EOMONTH(DATE($B$3,8,1),0),NETWORKDAYS.INTL(DATE($B$3,8,21),DATE($B$3,8,21),1,'Non-working days'!$A$6:$A$45)=0),"",IF(COUNTIFS('Leave log'!$A$7:$A$306,Employees!$A$27,'Leave log'!$B$7:$B$306,"&lt;="&amp;DATE($B$3,8,21),'Leave log'!$C$7:$C$306,"&gt;="&amp;DATE($B$3,8,21),'Leave log'!$F$7:$F$306,"Approved")&gt;0,"A",""))="A","A",IF(OR(DATE($B$3,8,21)&gt;EOMONTH(DATE($B$3,8,1),0),NETWORKDAYS.INTL(DATE($B$3,8,21),DATE($B$3,8,21),1,'Non-working days'!$A$6:$A$45)=0),"",IF(COUNTIFS('Leave log'!$A$7:$A$306,Employees!$A$27,'Leave log'!$B$7:$B$306,"&lt;="&amp;DATE($B$3,8,21),'Leave log'!$C$7:$C$306,"&gt;="&amp;DATE($B$3,8,21),'Leave log'!$F$7:$F$306,"Pending")&gt;0,"P",""))))</f>
        <v/>
      </c>
      <c r="W266" s="23" t="str">
        <f>IF(A266="","",IF(IF(OR(DATE($B$3,8,22)&gt;EOMONTH(DATE($B$3,8,1),0),NETWORKDAYS.INTL(DATE($B$3,8,22),DATE($B$3,8,22),1,'Non-working days'!$A$6:$A$45)=0),"",IF(COUNTIFS('Leave log'!$A$7:$A$306,Employees!$A$27,'Leave log'!$B$7:$B$306,"&lt;="&amp;DATE($B$3,8,22),'Leave log'!$C$7:$C$306,"&gt;="&amp;DATE($B$3,8,22),'Leave log'!$F$7:$F$306,"Approved")&gt;0,"A",""))="A","A",IF(OR(DATE($B$3,8,22)&gt;EOMONTH(DATE($B$3,8,1),0),NETWORKDAYS.INTL(DATE($B$3,8,22),DATE($B$3,8,22),1,'Non-working days'!$A$6:$A$45)=0),"",IF(COUNTIFS('Leave log'!$A$7:$A$306,Employees!$A$27,'Leave log'!$B$7:$B$306,"&lt;="&amp;DATE($B$3,8,22),'Leave log'!$C$7:$C$306,"&gt;="&amp;DATE($B$3,8,22),'Leave log'!$F$7:$F$306,"Pending")&gt;0,"P",""))))</f>
        <v/>
      </c>
      <c r="X266" s="23" t="str">
        <f>IF(A266="","",IF(IF(OR(DATE($B$3,8,23)&gt;EOMONTH(DATE($B$3,8,1),0),NETWORKDAYS.INTL(DATE($B$3,8,23),DATE($B$3,8,23),1,'Non-working days'!$A$6:$A$45)=0),"",IF(COUNTIFS('Leave log'!$A$7:$A$306,Employees!$A$27,'Leave log'!$B$7:$B$306,"&lt;="&amp;DATE($B$3,8,23),'Leave log'!$C$7:$C$306,"&gt;="&amp;DATE($B$3,8,23),'Leave log'!$F$7:$F$306,"Approved")&gt;0,"A",""))="A","A",IF(OR(DATE($B$3,8,23)&gt;EOMONTH(DATE($B$3,8,1),0),NETWORKDAYS.INTL(DATE($B$3,8,23),DATE($B$3,8,23),1,'Non-working days'!$A$6:$A$45)=0),"",IF(COUNTIFS('Leave log'!$A$7:$A$306,Employees!$A$27,'Leave log'!$B$7:$B$306,"&lt;="&amp;DATE($B$3,8,23),'Leave log'!$C$7:$C$306,"&gt;="&amp;DATE($B$3,8,23),'Leave log'!$F$7:$F$306,"Pending")&gt;0,"P",""))))</f>
        <v/>
      </c>
      <c r="Y266" s="23" t="str">
        <f>IF(A266="","",IF(IF(OR(DATE($B$3,8,24)&gt;EOMONTH(DATE($B$3,8,1),0),NETWORKDAYS.INTL(DATE($B$3,8,24),DATE($B$3,8,24),1,'Non-working days'!$A$6:$A$45)=0),"",IF(COUNTIFS('Leave log'!$A$7:$A$306,Employees!$A$27,'Leave log'!$B$7:$B$306,"&lt;="&amp;DATE($B$3,8,24),'Leave log'!$C$7:$C$306,"&gt;="&amp;DATE($B$3,8,24),'Leave log'!$F$7:$F$306,"Approved")&gt;0,"A",""))="A","A",IF(OR(DATE($B$3,8,24)&gt;EOMONTH(DATE($B$3,8,1),0),NETWORKDAYS.INTL(DATE($B$3,8,24),DATE($B$3,8,24),1,'Non-working days'!$A$6:$A$45)=0),"",IF(COUNTIFS('Leave log'!$A$7:$A$306,Employees!$A$27,'Leave log'!$B$7:$B$306,"&lt;="&amp;DATE($B$3,8,24),'Leave log'!$C$7:$C$306,"&gt;="&amp;DATE($B$3,8,24),'Leave log'!$F$7:$F$306,"Pending")&gt;0,"P",""))))</f>
        <v/>
      </c>
      <c r="Z266" s="23" t="str">
        <f>IF(A266="","",IF(IF(OR(DATE($B$3,8,25)&gt;EOMONTH(DATE($B$3,8,1),0),NETWORKDAYS.INTL(DATE($B$3,8,25),DATE($B$3,8,25),1,'Non-working days'!$A$6:$A$45)=0),"",IF(COUNTIFS('Leave log'!$A$7:$A$306,Employees!$A$27,'Leave log'!$B$7:$B$306,"&lt;="&amp;DATE($B$3,8,25),'Leave log'!$C$7:$C$306,"&gt;="&amp;DATE($B$3,8,25),'Leave log'!$F$7:$F$306,"Approved")&gt;0,"A",""))="A","A",IF(OR(DATE($B$3,8,25)&gt;EOMONTH(DATE($B$3,8,1),0),NETWORKDAYS.INTL(DATE($B$3,8,25),DATE($B$3,8,25),1,'Non-working days'!$A$6:$A$45)=0),"",IF(COUNTIFS('Leave log'!$A$7:$A$306,Employees!$A$27,'Leave log'!$B$7:$B$306,"&lt;="&amp;DATE($B$3,8,25),'Leave log'!$C$7:$C$306,"&gt;="&amp;DATE($B$3,8,25),'Leave log'!$F$7:$F$306,"Pending")&gt;0,"P",""))))</f>
        <v/>
      </c>
      <c r="AA266" s="23" t="str">
        <f>IF(A266="","",IF(IF(OR(DATE($B$3,8,26)&gt;EOMONTH(DATE($B$3,8,1),0),NETWORKDAYS.INTL(DATE($B$3,8,26),DATE($B$3,8,26),1,'Non-working days'!$A$6:$A$45)=0),"",IF(COUNTIFS('Leave log'!$A$7:$A$306,Employees!$A$27,'Leave log'!$B$7:$B$306,"&lt;="&amp;DATE($B$3,8,26),'Leave log'!$C$7:$C$306,"&gt;="&amp;DATE($B$3,8,26),'Leave log'!$F$7:$F$306,"Approved")&gt;0,"A",""))="A","A",IF(OR(DATE($B$3,8,26)&gt;EOMONTH(DATE($B$3,8,1),0),NETWORKDAYS.INTL(DATE($B$3,8,26),DATE($B$3,8,26),1,'Non-working days'!$A$6:$A$45)=0),"",IF(COUNTIFS('Leave log'!$A$7:$A$306,Employees!$A$27,'Leave log'!$B$7:$B$306,"&lt;="&amp;DATE($B$3,8,26),'Leave log'!$C$7:$C$306,"&gt;="&amp;DATE($B$3,8,26),'Leave log'!$F$7:$F$306,"Pending")&gt;0,"P",""))))</f>
        <v/>
      </c>
      <c r="AB266" s="23" t="str">
        <f>IF(A266="","",IF(IF(OR(DATE($B$3,8,27)&gt;EOMONTH(DATE($B$3,8,1),0),NETWORKDAYS.INTL(DATE($B$3,8,27),DATE($B$3,8,27),1,'Non-working days'!$A$6:$A$45)=0),"",IF(COUNTIFS('Leave log'!$A$7:$A$306,Employees!$A$27,'Leave log'!$B$7:$B$306,"&lt;="&amp;DATE($B$3,8,27),'Leave log'!$C$7:$C$306,"&gt;="&amp;DATE($B$3,8,27),'Leave log'!$F$7:$F$306,"Approved")&gt;0,"A",""))="A","A",IF(OR(DATE($B$3,8,27)&gt;EOMONTH(DATE($B$3,8,1),0),NETWORKDAYS.INTL(DATE($B$3,8,27),DATE($B$3,8,27),1,'Non-working days'!$A$6:$A$45)=0),"",IF(COUNTIFS('Leave log'!$A$7:$A$306,Employees!$A$27,'Leave log'!$B$7:$B$306,"&lt;="&amp;DATE($B$3,8,27),'Leave log'!$C$7:$C$306,"&gt;="&amp;DATE($B$3,8,27),'Leave log'!$F$7:$F$306,"Pending")&gt;0,"P",""))))</f>
        <v/>
      </c>
      <c r="AC266" s="23" t="str">
        <f>IF(A266="","",IF(IF(OR(DATE($B$3,8,28)&gt;EOMONTH(DATE($B$3,8,1),0),NETWORKDAYS.INTL(DATE($B$3,8,28),DATE($B$3,8,28),1,'Non-working days'!$A$6:$A$45)=0),"",IF(COUNTIFS('Leave log'!$A$7:$A$306,Employees!$A$27,'Leave log'!$B$7:$B$306,"&lt;="&amp;DATE($B$3,8,28),'Leave log'!$C$7:$C$306,"&gt;="&amp;DATE($B$3,8,28),'Leave log'!$F$7:$F$306,"Approved")&gt;0,"A",""))="A","A",IF(OR(DATE($B$3,8,28)&gt;EOMONTH(DATE($B$3,8,1),0),NETWORKDAYS.INTL(DATE($B$3,8,28),DATE($B$3,8,28),1,'Non-working days'!$A$6:$A$45)=0),"",IF(COUNTIFS('Leave log'!$A$7:$A$306,Employees!$A$27,'Leave log'!$B$7:$B$306,"&lt;="&amp;DATE($B$3,8,28),'Leave log'!$C$7:$C$306,"&gt;="&amp;DATE($B$3,8,28),'Leave log'!$F$7:$F$306,"Pending")&gt;0,"P",""))))</f>
        <v/>
      </c>
      <c r="AD266" s="23" t="str">
        <f>IF(A266="","",IF(IF(OR(DATE($B$3,8,29)&gt;EOMONTH(DATE($B$3,8,1),0),NETWORKDAYS.INTL(DATE($B$3,8,29),DATE($B$3,8,29),1,'Non-working days'!$A$6:$A$45)=0),"",IF(COUNTIFS('Leave log'!$A$7:$A$306,Employees!$A$27,'Leave log'!$B$7:$B$306,"&lt;="&amp;DATE($B$3,8,29),'Leave log'!$C$7:$C$306,"&gt;="&amp;DATE($B$3,8,29),'Leave log'!$F$7:$F$306,"Approved")&gt;0,"A",""))="A","A",IF(OR(DATE($B$3,8,29)&gt;EOMONTH(DATE($B$3,8,1),0),NETWORKDAYS.INTL(DATE($B$3,8,29),DATE($B$3,8,29),1,'Non-working days'!$A$6:$A$45)=0),"",IF(COUNTIFS('Leave log'!$A$7:$A$306,Employees!$A$27,'Leave log'!$B$7:$B$306,"&lt;="&amp;DATE($B$3,8,29),'Leave log'!$C$7:$C$306,"&gt;="&amp;DATE($B$3,8,29),'Leave log'!$F$7:$F$306,"Pending")&gt;0,"P",""))))</f>
        <v/>
      </c>
      <c r="AE266" s="23" t="str">
        <f>IF(A266="","",IF(IF(OR(DATE($B$3,8,30)&gt;EOMONTH(DATE($B$3,8,1),0),NETWORKDAYS.INTL(DATE($B$3,8,30),DATE($B$3,8,30),1,'Non-working days'!$A$6:$A$45)=0),"",IF(COUNTIFS('Leave log'!$A$7:$A$306,Employees!$A$27,'Leave log'!$B$7:$B$306,"&lt;="&amp;DATE($B$3,8,30),'Leave log'!$C$7:$C$306,"&gt;="&amp;DATE($B$3,8,30),'Leave log'!$F$7:$F$306,"Approved")&gt;0,"A",""))="A","A",IF(OR(DATE($B$3,8,30)&gt;EOMONTH(DATE($B$3,8,1),0),NETWORKDAYS.INTL(DATE($B$3,8,30),DATE($B$3,8,30),1,'Non-working days'!$A$6:$A$45)=0),"",IF(COUNTIFS('Leave log'!$A$7:$A$306,Employees!$A$27,'Leave log'!$B$7:$B$306,"&lt;="&amp;DATE($B$3,8,30),'Leave log'!$C$7:$C$306,"&gt;="&amp;DATE($B$3,8,30),'Leave log'!$F$7:$F$306,"Pending")&gt;0,"P",""))))</f>
        <v/>
      </c>
      <c r="AF266" s="23" t="str">
        <f>IF(A266="","",IF(IF(OR(DATE($B$3,8,31)&gt;EOMONTH(DATE($B$3,8,1),0),NETWORKDAYS.INTL(DATE($B$3,8,31),DATE($B$3,8,31),1,'Non-working days'!$A$6:$A$45)=0),"",IF(COUNTIFS('Leave log'!$A$7:$A$306,Employees!$A$27,'Leave log'!$B$7:$B$306,"&lt;="&amp;DATE($B$3,8,31),'Leave log'!$C$7:$C$306,"&gt;="&amp;DATE($B$3,8,31),'Leave log'!$F$7:$F$306,"Approved")&gt;0,"A",""))="A","A",IF(OR(DATE($B$3,8,31)&gt;EOMONTH(DATE($B$3,8,1),0),NETWORKDAYS.INTL(DATE($B$3,8,31),DATE($B$3,8,31),1,'Non-working days'!$A$6:$A$45)=0),"",IF(COUNTIFS('Leave log'!$A$7:$A$306,Employees!$A$27,'Leave log'!$B$7:$B$306,"&lt;="&amp;DATE($B$3,8,31),'Leave log'!$C$7:$C$306,"&gt;="&amp;DATE($B$3,8,31),'Leave log'!$F$7:$F$306,"Pending")&gt;0,"P",""))))</f>
        <v/>
      </c>
    </row>
    <row r="267" spans="1:32" ht="18" customHeight="1" x14ac:dyDescent="0.3">
      <c r="A267" s="22" t="str">
        <f>IF(Employees!F28="Yes",Employees!B28,"")</f>
        <v/>
      </c>
      <c r="B267" s="23" t="str">
        <f>IF(A267="","",IF(IF(OR(DATE($B$3,8,1)&gt;EOMONTH(DATE($B$3,8,1),0),NETWORKDAYS.INTL(DATE($B$3,8,1),DATE($B$3,8,1),1,'Non-working days'!$A$6:$A$45)=0),"",IF(COUNTIFS('Leave log'!$A$7:$A$306,Employees!$A$28,'Leave log'!$B$7:$B$306,"&lt;="&amp;DATE($B$3,8,1),'Leave log'!$C$7:$C$306,"&gt;="&amp;DATE($B$3,8,1),'Leave log'!$F$7:$F$306,"Approved")&gt;0,"A",""))="A","A",IF(OR(DATE($B$3,8,1)&gt;EOMONTH(DATE($B$3,8,1),0),NETWORKDAYS.INTL(DATE($B$3,8,1),DATE($B$3,8,1),1,'Non-working days'!$A$6:$A$45)=0),"",IF(COUNTIFS('Leave log'!$A$7:$A$306,Employees!$A$28,'Leave log'!$B$7:$B$306,"&lt;="&amp;DATE($B$3,8,1),'Leave log'!$C$7:$C$306,"&gt;="&amp;DATE($B$3,8,1),'Leave log'!$F$7:$F$306,"Pending")&gt;0,"P",""))))</f>
        <v/>
      </c>
      <c r="C267" s="23" t="str">
        <f>IF(A267="","",IF(IF(OR(DATE($B$3,8,2)&gt;EOMONTH(DATE($B$3,8,1),0),NETWORKDAYS.INTL(DATE($B$3,8,2),DATE($B$3,8,2),1,'Non-working days'!$A$6:$A$45)=0),"",IF(COUNTIFS('Leave log'!$A$7:$A$306,Employees!$A$28,'Leave log'!$B$7:$B$306,"&lt;="&amp;DATE($B$3,8,2),'Leave log'!$C$7:$C$306,"&gt;="&amp;DATE($B$3,8,2),'Leave log'!$F$7:$F$306,"Approved")&gt;0,"A",""))="A","A",IF(OR(DATE($B$3,8,2)&gt;EOMONTH(DATE($B$3,8,1),0),NETWORKDAYS.INTL(DATE($B$3,8,2),DATE($B$3,8,2),1,'Non-working days'!$A$6:$A$45)=0),"",IF(COUNTIFS('Leave log'!$A$7:$A$306,Employees!$A$28,'Leave log'!$B$7:$B$306,"&lt;="&amp;DATE($B$3,8,2),'Leave log'!$C$7:$C$306,"&gt;="&amp;DATE($B$3,8,2),'Leave log'!$F$7:$F$306,"Pending")&gt;0,"P",""))))</f>
        <v/>
      </c>
      <c r="D267" s="23" t="str">
        <f>IF(A267="","",IF(IF(OR(DATE($B$3,8,3)&gt;EOMONTH(DATE($B$3,8,1),0),NETWORKDAYS.INTL(DATE($B$3,8,3),DATE($B$3,8,3),1,'Non-working days'!$A$6:$A$45)=0),"",IF(COUNTIFS('Leave log'!$A$7:$A$306,Employees!$A$28,'Leave log'!$B$7:$B$306,"&lt;="&amp;DATE($B$3,8,3),'Leave log'!$C$7:$C$306,"&gt;="&amp;DATE($B$3,8,3),'Leave log'!$F$7:$F$306,"Approved")&gt;0,"A",""))="A","A",IF(OR(DATE($B$3,8,3)&gt;EOMONTH(DATE($B$3,8,1),0),NETWORKDAYS.INTL(DATE($B$3,8,3),DATE($B$3,8,3),1,'Non-working days'!$A$6:$A$45)=0),"",IF(COUNTIFS('Leave log'!$A$7:$A$306,Employees!$A$28,'Leave log'!$B$7:$B$306,"&lt;="&amp;DATE($B$3,8,3),'Leave log'!$C$7:$C$306,"&gt;="&amp;DATE($B$3,8,3),'Leave log'!$F$7:$F$306,"Pending")&gt;0,"P",""))))</f>
        <v/>
      </c>
      <c r="E267" s="23" t="str">
        <f>IF(A267="","",IF(IF(OR(DATE($B$3,8,4)&gt;EOMONTH(DATE($B$3,8,1),0),NETWORKDAYS.INTL(DATE($B$3,8,4),DATE($B$3,8,4),1,'Non-working days'!$A$6:$A$45)=0),"",IF(COUNTIFS('Leave log'!$A$7:$A$306,Employees!$A$28,'Leave log'!$B$7:$B$306,"&lt;="&amp;DATE($B$3,8,4),'Leave log'!$C$7:$C$306,"&gt;="&amp;DATE($B$3,8,4),'Leave log'!$F$7:$F$306,"Approved")&gt;0,"A",""))="A","A",IF(OR(DATE($B$3,8,4)&gt;EOMONTH(DATE($B$3,8,1),0),NETWORKDAYS.INTL(DATE($B$3,8,4),DATE($B$3,8,4),1,'Non-working days'!$A$6:$A$45)=0),"",IF(COUNTIFS('Leave log'!$A$7:$A$306,Employees!$A$28,'Leave log'!$B$7:$B$306,"&lt;="&amp;DATE($B$3,8,4),'Leave log'!$C$7:$C$306,"&gt;="&amp;DATE($B$3,8,4),'Leave log'!$F$7:$F$306,"Pending")&gt;0,"P",""))))</f>
        <v/>
      </c>
      <c r="F267" s="23" t="str">
        <f>IF(A267="","",IF(IF(OR(DATE($B$3,8,5)&gt;EOMONTH(DATE($B$3,8,1),0),NETWORKDAYS.INTL(DATE($B$3,8,5),DATE($B$3,8,5),1,'Non-working days'!$A$6:$A$45)=0),"",IF(COUNTIFS('Leave log'!$A$7:$A$306,Employees!$A$28,'Leave log'!$B$7:$B$306,"&lt;="&amp;DATE($B$3,8,5),'Leave log'!$C$7:$C$306,"&gt;="&amp;DATE($B$3,8,5),'Leave log'!$F$7:$F$306,"Approved")&gt;0,"A",""))="A","A",IF(OR(DATE($B$3,8,5)&gt;EOMONTH(DATE($B$3,8,1),0),NETWORKDAYS.INTL(DATE($B$3,8,5),DATE($B$3,8,5),1,'Non-working days'!$A$6:$A$45)=0),"",IF(COUNTIFS('Leave log'!$A$7:$A$306,Employees!$A$28,'Leave log'!$B$7:$B$306,"&lt;="&amp;DATE($B$3,8,5),'Leave log'!$C$7:$C$306,"&gt;="&amp;DATE($B$3,8,5),'Leave log'!$F$7:$F$306,"Pending")&gt;0,"P",""))))</f>
        <v/>
      </c>
      <c r="G267" s="23" t="str">
        <f>IF(A267="","",IF(IF(OR(DATE($B$3,8,6)&gt;EOMONTH(DATE($B$3,8,1),0),NETWORKDAYS.INTL(DATE($B$3,8,6),DATE($B$3,8,6),1,'Non-working days'!$A$6:$A$45)=0),"",IF(COUNTIFS('Leave log'!$A$7:$A$306,Employees!$A$28,'Leave log'!$B$7:$B$306,"&lt;="&amp;DATE($B$3,8,6),'Leave log'!$C$7:$C$306,"&gt;="&amp;DATE($B$3,8,6),'Leave log'!$F$7:$F$306,"Approved")&gt;0,"A",""))="A","A",IF(OR(DATE($B$3,8,6)&gt;EOMONTH(DATE($B$3,8,1),0),NETWORKDAYS.INTL(DATE($B$3,8,6),DATE($B$3,8,6),1,'Non-working days'!$A$6:$A$45)=0),"",IF(COUNTIFS('Leave log'!$A$7:$A$306,Employees!$A$28,'Leave log'!$B$7:$B$306,"&lt;="&amp;DATE($B$3,8,6),'Leave log'!$C$7:$C$306,"&gt;="&amp;DATE($B$3,8,6),'Leave log'!$F$7:$F$306,"Pending")&gt;0,"P",""))))</f>
        <v/>
      </c>
      <c r="H267" s="23" t="str">
        <f>IF(A267="","",IF(IF(OR(DATE($B$3,8,7)&gt;EOMONTH(DATE($B$3,8,1),0),NETWORKDAYS.INTL(DATE($B$3,8,7),DATE($B$3,8,7),1,'Non-working days'!$A$6:$A$45)=0),"",IF(COUNTIFS('Leave log'!$A$7:$A$306,Employees!$A$28,'Leave log'!$B$7:$B$306,"&lt;="&amp;DATE($B$3,8,7),'Leave log'!$C$7:$C$306,"&gt;="&amp;DATE($B$3,8,7),'Leave log'!$F$7:$F$306,"Approved")&gt;0,"A",""))="A","A",IF(OR(DATE($B$3,8,7)&gt;EOMONTH(DATE($B$3,8,1),0),NETWORKDAYS.INTL(DATE($B$3,8,7),DATE($B$3,8,7),1,'Non-working days'!$A$6:$A$45)=0),"",IF(COUNTIFS('Leave log'!$A$7:$A$306,Employees!$A$28,'Leave log'!$B$7:$B$306,"&lt;="&amp;DATE($B$3,8,7),'Leave log'!$C$7:$C$306,"&gt;="&amp;DATE($B$3,8,7),'Leave log'!$F$7:$F$306,"Pending")&gt;0,"P",""))))</f>
        <v/>
      </c>
      <c r="I267" s="23" t="str">
        <f>IF(A267="","",IF(IF(OR(DATE($B$3,8,8)&gt;EOMONTH(DATE($B$3,8,1),0),NETWORKDAYS.INTL(DATE($B$3,8,8),DATE($B$3,8,8),1,'Non-working days'!$A$6:$A$45)=0),"",IF(COUNTIFS('Leave log'!$A$7:$A$306,Employees!$A$28,'Leave log'!$B$7:$B$306,"&lt;="&amp;DATE($B$3,8,8),'Leave log'!$C$7:$C$306,"&gt;="&amp;DATE($B$3,8,8),'Leave log'!$F$7:$F$306,"Approved")&gt;0,"A",""))="A","A",IF(OR(DATE($B$3,8,8)&gt;EOMONTH(DATE($B$3,8,1),0),NETWORKDAYS.INTL(DATE($B$3,8,8),DATE($B$3,8,8),1,'Non-working days'!$A$6:$A$45)=0),"",IF(COUNTIFS('Leave log'!$A$7:$A$306,Employees!$A$28,'Leave log'!$B$7:$B$306,"&lt;="&amp;DATE($B$3,8,8),'Leave log'!$C$7:$C$306,"&gt;="&amp;DATE($B$3,8,8),'Leave log'!$F$7:$F$306,"Pending")&gt;0,"P",""))))</f>
        <v/>
      </c>
      <c r="J267" s="23" t="str">
        <f>IF(A267="","",IF(IF(OR(DATE($B$3,8,9)&gt;EOMONTH(DATE($B$3,8,1),0),NETWORKDAYS.INTL(DATE($B$3,8,9),DATE($B$3,8,9),1,'Non-working days'!$A$6:$A$45)=0),"",IF(COUNTIFS('Leave log'!$A$7:$A$306,Employees!$A$28,'Leave log'!$B$7:$B$306,"&lt;="&amp;DATE($B$3,8,9),'Leave log'!$C$7:$C$306,"&gt;="&amp;DATE($B$3,8,9),'Leave log'!$F$7:$F$306,"Approved")&gt;0,"A",""))="A","A",IF(OR(DATE($B$3,8,9)&gt;EOMONTH(DATE($B$3,8,1),0),NETWORKDAYS.INTL(DATE($B$3,8,9),DATE($B$3,8,9),1,'Non-working days'!$A$6:$A$45)=0),"",IF(COUNTIFS('Leave log'!$A$7:$A$306,Employees!$A$28,'Leave log'!$B$7:$B$306,"&lt;="&amp;DATE($B$3,8,9),'Leave log'!$C$7:$C$306,"&gt;="&amp;DATE($B$3,8,9),'Leave log'!$F$7:$F$306,"Pending")&gt;0,"P",""))))</f>
        <v/>
      </c>
      <c r="K267" s="23" t="str">
        <f>IF(A267="","",IF(IF(OR(DATE($B$3,8,10)&gt;EOMONTH(DATE($B$3,8,1),0),NETWORKDAYS.INTL(DATE($B$3,8,10),DATE($B$3,8,10),1,'Non-working days'!$A$6:$A$45)=0),"",IF(COUNTIFS('Leave log'!$A$7:$A$306,Employees!$A$28,'Leave log'!$B$7:$B$306,"&lt;="&amp;DATE($B$3,8,10),'Leave log'!$C$7:$C$306,"&gt;="&amp;DATE($B$3,8,10),'Leave log'!$F$7:$F$306,"Approved")&gt;0,"A",""))="A","A",IF(OR(DATE($B$3,8,10)&gt;EOMONTH(DATE($B$3,8,1),0),NETWORKDAYS.INTL(DATE($B$3,8,10),DATE($B$3,8,10),1,'Non-working days'!$A$6:$A$45)=0),"",IF(COUNTIFS('Leave log'!$A$7:$A$306,Employees!$A$28,'Leave log'!$B$7:$B$306,"&lt;="&amp;DATE($B$3,8,10),'Leave log'!$C$7:$C$306,"&gt;="&amp;DATE($B$3,8,10),'Leave log'!$F$7:$F$306,"Pending")&gt;0,"P",""))))</f>
        <v/>
      </c>
      <c r="L267" s="23" t="str">
        <f>IF(A267="","",IF(IF(OR(DATE($B$3,8,11)&gt;EOMONTH(DATE($B$3,8,1),0),NETWORKDAYS.INTL(DATE($B$3,8,11),DATE($B$3,8,11),1,'Non-working days'!$A$6:$A$45)=0),"",IF(COUNTIFS('Leave log'!$A$7:$A$306,Employees!$A$28,'Leave log'!$B$7:$B$306,"&lt;="&amp;DATE($B$3,8,11),'Leave log'!$C$7:$C$306,"&gt;="&amp;DATE($B$3,8,11),'Leave log'!$F$7:$F$306,"Approved")&gt;0,"A",""))="A","A",IF(OR(DATE($B$3,8,11)&gt;EOMONTH(DATE($B$3,8,1),0),NETWORKDAYS.INTL(DATE($B$3,8,11),DATE($B$3,8,11),1,'Non-working days'!$A$6:$A$45)=0),"",IF(COUNTIFS('Leave log'!$A$7:$A$306,Employees!$A$28,'Leave log'!$B$7:$B$306,"&lt;="&amp;DATE($B$3,8,11),'Leave log'!$C$7:$C$306,"&gt;="&amp;DATE($B$3,8,11),'Leave log'!$F$7:$F$306,"Pending")&gt;0,"P",""))))</f>
        <v/>
      </c>
      <c r="M267" s="23" t="str">
        <f>IF(A267="","",IF(IF(OR(DATE($B$3,8,12)&gt;EOMONTH(DATE($B$3,8,1),0),NETWORKDAYS.INTL(DATE($B$3,8,12),DATE($B$3,8,12),1,'Non-working days'!$A$6:$A$45)=0),"",IF(COUNTIFS('Leave log'!$A$7:$A$306,Employees!$A$28,'Leave log'!$B$7:$B$306,"&lt;="&amp;DATE($B$3,8,12),'Leave log'!$C$7:$C$306,"&gt;="&amp;DATE($B$3,8,12),'Leave log'!$F$7:$F$306,"Approved")&gt;0,"A",""))="A","A",IF(OR(DATE($B$3,8,12)&gt;EOMONTH(DATE($B$3,8,1),0),NETWORKDAYS.INTL(DATE($B$3,8,12),DATE($B$3,8,12),1,'Non-working days'!$A$6:$A$45)=0),"",IF(COUNTIFS('Leave log'!$A$7:$A$306,Employees!$A$28,'Leave log'!$B$7:$B$306,"&lt;="&amp;DATE($B$3,8,12),'Leave log'!$C$7:$C$306,"&gt;="&amp;DATE($B$3,8,12),'Leave log'!$F$7:$F$306,"Pending")&gt;0,"P",""))))</f>
        <v/>
      </c>
      <c r="N267" s="23" t="str">
        <f>IF(A267="","",IF(IF(OR(DATE($B$3,8,13)&gt;EOMONTH(DATE($B$3,8,1),0),NETWORKDAYS.INTL(DATE($B$3,8,13),DATE($B$3,8,13),1,'Non-working days'!$A$6:$A$45)=0),"",IF(COUNTIFS('Leave log'!$A$7:$A$306,Employees!$A$28,'Leave log'!$B$7:$B$306,"&lt;="&amp;DATE($B$3,8,13),'Leave log'!$C$7:$C$306,"&gt;="&amp;DATE($B$3,8,13),'Leave log'!$F$7:$F$306,"Approved")&gt;0,"A",""))="A","A",IF(OR(DATE($B$3,8,13)&gt;EOMONTH(DATE($B$3,8,1),0),NETWORKDAYS.INTL(DATE($B$3,8,13),DATE($B$3,8,13),1,'Non-working days'!$A$6:$A$45)=0),"",IF(COUNTIFS('Leave log'!$A$7:$A$306,Employees!$A$28,'Leave log'!$B$7:$B$306,"&lt;="&amp;DATE($B$3,8,13),'Leave log'!$C$7:$C$306,"&gt;="&amp;DATE($B$3,8,13),'Leave log'!$F$7:$F$306,"Pending")&gt;0,"P",""))))</f>
        <v/>
      </c>
      <c r="O267" s="23" t="str">
        <f>IF(A267="","",IF(IF(OR(DATE($B$3,8,14)&gt;EOMONTH(DATE($B$3,8,1),0),NETWORKDAYS.INTL(DATE($B$3,8,14),DATE($B$3,8,14),1,'Non-working days'!$A$6:$A$45)=0),"",IF(COUNTIFS('Leave log'!$A$7:$A$306,Employees!$A$28,'Leave log'!$B$7:$B$306,"&lt;="&amp;DATE($B$3,8,14),'Leave log'!$C$7:$C$306,"&gt;="&amp;DATE($B$3,8,14),'Leave log'!$F$7:$F$306,"Approved")&gt;0,"A",""))="A","A",IF(OR(DATE($B$3,8,14)&gt;EOMONTH(DATE($B$3,8,1),0),NETWORKDAYS.INTL(DATE($B$3,8,14),DATE($B$3,8,14),1,'Non-working days'!$A$6:$A$45)=0),"",IF(COUNTIFS('Leave log'!$A$7:$A$306,Employees!$A$28,'Leave log'!$B$7:$B$306,"&lt;="&amp;DATE($B$3,8,14),'Leave log'!$C$7:$C$306,"&gt;="&amp;DATE($B$3,8,14),'Leave log'!$F$7:$F$306,"Pending")&gt;0,"P",""))))</f>
        <v/>
      </c>
      <c r="P267" s="23" t="str">
        <f>IF(A267="","",IF(IF(OR(DATE($B$3,8,15)&gt;EOMONTH(DATE($B$3,8,1),0),NETWORKDAYS.INTL(DATE($B$3,8,15),DATE($B$3,8,15),1,'Non-working days'!$A$6:$A$45)=0),"",IF(COUNTIFS('Leave log'!$A$7:$A$306,Employees!$A$28,'Leave log'!$B$7:$B$306,"&lt;="&amp;DATE($B$3,8,15),'Leave log'!$C$7:$C$306,"&gt;="&amp;DATE($B$3,8,15),'Leave log'!$F$7:$F$306,"Approved")&gt;0,"A",""))="A","A",IF(OR(DATE($B$3,8,15)&gt;EOMONTH(DATE($B$3,8,1),0),NETWORKDAYS.INTL(DATE($B$3,8,15),DATE($B$3,8,15),1,'Non-working days'!$A$6:$A$45)=0),"",IF(COUNTIFS('Leave log'!$A$7:$A$306,Employees!$A$28,'Leave log'!$B$7:$B$306,"&lt;="&amp;DATE($B$3,8,15),'Leave log'!$C$7:$C$306,"&gt;="&amp;DATE($B$3,8,15),'Leave log'!$F$7:$F$306,"Pending")&gt;0,"P",""))))</f>
        <v/>
      </c>
      <c r="Q267" s="23" t="str">
        <f>IF(A267="","",IF(IF(OR(DATE($B$3,8,16)&gt;EOMONTH(DATE($B$3,8,1),0),NETWORKDAYS.INTL(DATE($B$3,8,16),DATE($B$3,8,16),1,'Non-working days'!$A$6:$A$45)=0),"",IF(COUNTIFS('Leave log'!$A$7:$A$306,Employees!$A$28,'Leave log'!$B$7:$B$306,"&lt;="&amp;DATE($B$3,8,16),'Leave log'!$C$7:$C$306,"&gt;="&amp;DATE($B$3,8,16),'Leave log'!$F$7:$F$306,"Approved")&gt;0,"A",""))="A","A",IF(OR(DATE($B$3,8,16)&gt;EOMONTH(DATE($B$3,8,1),0),NETWORKDAYS.INTL(DATE($B$3,8,16),DATE($B$3,8,16),1,'Non-working days'!$A$6:$A$45)=0),"",IF(COUNTIFS('Leave log'!$A$7:$A$306,Employees!$A$28,'Leave log'!$B$7:$B$306,"&lt;="&amp;DATE($B$3,8,16),'Leave log'!$C$7:$C$306,"&gt;="&amp;DATE($B$3,8,16),'Leave log'!$F$7:$F$306,"Pending")&gt;0,"P",""))))</f>
        <v/>
      </c>
      <c r="R267" s="23" t="str">
        <f>IF(A267="","",IF(IF(OR(DATE($B$3,8,17)&gt;EOMONTH(DATE($B$3,8,1),0),NETWORKDAYS.INTL(DATE($B$3,8,17),DATE($B$3,8,17),1,'Non-working days'!$A$6:$A$45)=0),"",IF(COUNTIFS('Leave log'!$A$7:$A$306,Employees!$A$28,'Leave log'!$B$7:$B$306,"&lt;="&amp;DATE($B$3,8,17),'Leave log'!$C$7:$C$306,"&gt;="&amp;DATE($B$3,8,17),'Leave log'!$F$7:$F$306,"Approved")&gt;0,"A",""))="A","A",IF(OR(DATE($B$3,8,17)&gt;EOMONTH(DATE($B$3,8,1),0),NETWORKDAYS.INTL(DATE($B$3,8,17),DATE($B$3,8,17),1,'Non-working days'!$A$6:$A$45)=0),"",IF(COUNTIFS('Leave log'!$A$7:$A$306,Employees!$A$28,'Leave log'!$B$7:$B$306,"&lt;="&amp;DATE($B$3,8,17),'Leave log'!$C$7:$C$306,"&gt;="&amp;DATE($B$3,8,17),'Leave log'!$F$7:$F$306,"Pending")&gt;0,"P",""))))</f>
        <v/>
      </c>
      <c r="S267" s="23" t="str">
        <f>IF(A267="","",IF(IF(OR(DATE($B$3,8,18)&gt;EOMONTH(DATE($B$3,8,1),0),NETWORKDAYS.INTL(DATE($B$3,8,18),DATE($B$3,8,18),1,'Non-working days'!$A$6:$A$45)=0),"",IF(COUNTIFS('Leave log'!$A$7:$A$306,Employees!$A$28,'Leave log'!$B$7:$B$306,"&lt;="&amp;DATE($B$3,8,18),'Leave log'!$C$7:$C$306,"&gt;="&amp;DATE($B$3,8,18),'Leave log'!$F$7:$F$306,"Approved")&gt;0,"A",""))="A","A",IF(OR(DATE($B$3,8,18)&gt;EOMONTH(DATE($B$3,8,1),0),NETWORKDAYS.INTL(DATE($B$3,8,18),DATE($B$3,8,18),1,'Non-working days'!$A$6:$A$45)=0),"",IF(COUNTIFS('Leave log'!$A$7:$A$306,Employees!$A$28,'Leave log'!$B$7:$B$306,"&lt;="&amp;DATE($B$3,8,18),'Leave log'!$C$7:$C$306,"&gt;="&amp;DATE($B$3,8,18),'Leave log'!$F$7:$F$306,"Pending")&gt;0,"P",""))))</f>
        <v/>
      </c>
      <c r="T267" s="23" t="str">
        <f>IF(A267="","",IF(IF(OR(DATE($B$3,8,19)&gt;EOMONTH(DATE($B$3,8,1),0),NETWORKDAYS.INTL(DATE($B$3,8,19),DATE($B$3,8,19),1,'Non-working days'!$A$6:$A$45)=0),"",IF(COUNTIFS('Leave log'!$A$7:$A$306,Employees!$A$28,'Leave log'!$B$7:$B$306,"&lt;="&amp;DATE($B$3,8,19),'Leave log'!$C$7:$C$306,"&gt;="&amp;DATE($B$3,8,19),'Leave log'!$F$7:$F$306,"Approved")&gt;0,"A",""))="A","A",IF(OR(DATE($B$3,8,19)&gt;EOMONTH(DATE($B$3,8,1),0),NETWORKDAYS.INTL(DATE($B$3,8,19),DATE($B$3,8,19),1,'Non-working days'!$A$6:$A$45)=0),"",IF(COUNTIFS('Leave log'!$A$7:$A$306,Employees!$A$28,'Leave log'!$B$7:$B$306,"&lt;="&amp;DATE($B$3,8,19),'Leave log'!$C$7:$C$306,"&gt;="&amp;DATE($B$3,8,19),'Leave log'!$F$7:$F$306,"Pending")&gt;0,"P",""))))</f>
        <v/>
      </c>
      <c r="U267" s="23" t="str">
        <f>IF(A267="","",IF(IF(OR(DATE($B$3,8,20)&gt;EOMONTH(DATE($B$3,8,1),0),NETWORKDAYS.INTL(DATE($B$3,8,20),DATE($B$3,8,20),1,'Non-working days'!$A$6:$A$45)=0),"",IF(COUNTIFS('Leave log'!$A$7:$A$306,Employees!$A$28,'Leave log'!$B$7:$B$306,"&lt;="&amp;DATE($B$3,8,20),'Leave log'!$C$7:$C$306,"&gt;="&amp;DATE($B$3,8,20),'Leave log'!$F$7:$F$306,"Approved")&gt;0,"A",""))="A","A",IF(OR(DATE($B$3,8,20)&gt;EOMONTH(DATE($B$3,8,1),0),NETWORKDAYS.INTL(DATE($B$3,8,20),DATE($B$3,8,20),1,'Non-working days'!$A$6:$A$45)=0),"",IF(COUNTIFS('Leave log'!$A$7:$A$306,Employees!$A$28,'Leave log'!$B$7:$B$306,"&lt;="&amp;DATE($B$3,8,20),'Leave log'!$C$7:$C$306,"&gt;="&amp;DATE($B$3,8,20),'Leave log'!$F$7:$F$306,"Pending")&gt;0,"P",""))))</f>
        <v/>
      </c>
      <c r="V267" s="23" t="str">
        <f>IF(A267="","",IF(IF(OR(DATE($B$3,8,21)&gt;EOMONTH(DATE($B$3,8,1),0),NETWORKDAYS.INTL(DATE($B$3,8,21),DATE($B$3,8,21),1,'Non-working days'!$A$6:$A$45)=0),"",IF(COUNTIFS('Leave log'!$A$7:$A$306,Employees!$A$28,'Leave log'!$B$7:$B$306,"&lt;="&amp;DATE($B$3,8,21),'Leave log'!$C$7:$C$306,"&gt;="&amp;DATE($B$3,8,21),'Leave log'!$F$7:$F$306,"Approved")&gt;0,"A",""))="A","A",IF(OR(DATE($B$3,8,21)&gt;EOMONTH(DATE($B$3,8,1),0),NETWORKDAYS.INTL(DATE($B$3,8,21),DATE($B$3,8,21),1,'Non-working days'!$A$6:$A$45)=0),"",IF(COUNTIFS('Leave log'!$A$7:$A$306,Employees!$A$28,'Leave log'!$B$7:$B$306,"&lt;="&amp;DATE($B$3,8,21),'Leave log'!$C$7:$C$306,"&gt;="&amp;DATE($B$3,8,21),'Leave log'!$F$7:$F$306,"Pending")&gt;0,"P",""))))</f>
        <v/>
      </c>
      <c r="W267" s="23" t="str">
        <f>IF(A267="","",IF(IF(OR(DATE($B$3,8,22)&gt;EOMONTH(DATE($B$3,8,1),0),NETWORKDAYS.INTL(DATE($B$3,8,22),DATE($B$3,8,22),1,'Non-working days'!$A$6:$A$45)=0),"",IF(COUNTIFS('Leave log'!$A$7:$A$306,Employees!$A$28,'Leave log'!$B$7:$B$306,"&lt;="&amp;DATE($B$3,8,22),'Leave log'!$C$7:$C$306,"&gt;="&amp;DATE($B$3,8,22),'Leave log'!$F$7:$F$306,"Approved")&gt;0,"A",""))="A","A",IF(OR(DATE($B$3,8,22)&gt;EOMONTH(DATE($B$3,8,1),0),NETWORKDAYS.INTL(DATE($B$3,8,22),DATE($B$3,8,22),1,'Non-working days'!$A$6:$A$45)=0),"",IF(COUNTIFS('Leave log'!$A$7:$A$306,Employees!$A$28,'Leave log'!$B$7:$B$306,"&lt;="&amp;DATE($B$3,8,22),'Leave log'!$C$7:$C$306,"&gt;="&amp;DATE($B$3,8,22),'Leave log'!$F$7:$F$306,"Pending")&gt;0,"P",""))))</f>
        <v/>
      </c>
      <c r="X267" s="23" t="str">
        <f>IF(A267="","",IF(IF(OR(DATE($B$3,8,23)&gt;EOMONTH(DATE($B$3,8,1),0),NETWORKDAYS.INTL(DATE($B$3,8,23),DATE($B$3,8,23),1,'Non-working days'!$A$6:$A$45)=0),"",IF(COUNTIFS('Leave log'!$A$7:$A$306,Employees!$A$28,'Leave log'!$B$7:$B$306,"&lt;="&amp;DATE($B$3,8,23),'Leave log'!$C$7:$C$306,"&gt;="&amp;DATE($B$3,8,23),'Leave log'!$F$7:$F$306,"Approved")&gt;0,"A",""))="A","A",IF(OR(DATE($B$3,8,23)&gt;EOMONTH(DATE($B$3,8,1),0),NETWORKDAYS.INTL(DATE($B$3,8,23),DATE($B$3,8,23),1,'Non-working days'!$A$6:$A$45)=0),"",IF(COUNTIFS('Leave log'!$A$7:$A$306,Employees!$A$28,'Leave log'!$B$7:$B$306,"&lt;="&amp;DATE($B$3,8,23),'Leave log'!$C$7:$C$306,"&gt;="&amp;DATE($B$3,8,23),'Leave log'!$F$7:$F$306,"Pending")&gt;0,"P",""))))</f>
        <v/>
      </c>
      <c r="Y267" s="23" t="str">
        <f>IF(A267="","",IF(IF(OR(DATE($B$3,8,24)&gt;EOMONTH(DATE($B$3,8,1),0),NETWORKDAYS.INTL(DATE($B$3,8,24),DATE($B$3,8,24),1,'Non-working days'!$A$6:$A$45)=0),"",IF(COUNTIFS('Leave log'!$A$7:$A$306,Employees!$A$28,'Leave log'!$B$7:$B$306,"&lt;="&amp;DATE($B$3,8,24),'Leave log'!$C$7:$C$306,"&gt;="&amp;DATE($B$3,8,24),'Leave log'!$F$7:$F$306,"Approved")&gt;0,"A",""))="A","A",IF(OR(DATE($B$3,8,24)&gt;EOMONTH(DATE($B$3,8,1),0),NETWORKDAYS.INTL(DATE($B$3,8,24),DATE($B$3,8,24),1,'Non-working days'!$A$6:$A$45)=0),"",IF(COUNTIFS('Leave log'!$A$7:$A$306,Employees!$A$28,'Leave log'!$B$7:$B$306,"&lt;="&amp;DATE($B$3,8,24),'Leave log'!$C$7:$C$306,"&gt;="&amp;DATE($B$3,8,24),'Leave log'!$F$7:$F$306,"Pending")&gt;0,"P",""))))</f>
        <v/>
      </c>
      <c r="Z267" s="23" t="str">
        <f>IF(A267="","",IF(IF(OR(DATE($B$3,8,25)&gt;EOMONTH(DATE($B$3,8,1),0),NETWORKDAYS.INTL(DATE($B$3,8,25),DATE($B$3,8,25),1,'Non-working days'!$A$6:$A$45)=0),"",IF(COUNTIFS('Leave log'!$A$7:$A$306,Employees!$A$28,'Leave log'!$B$7:$B$306,"&lt;="&amp;DATE($B$3,8,25),'Leave log'!$C$7:$C$306,"&gt;="&amp;DATE($B$3,8,25),'Leave log'!$F$7:$F$306,"Approved")&gt;0,"A",""))="A","A",IF(OR(DATE($B$3,8,25)&gt;EOMONTH(DATE($B$3,8,1),0),NETWORKDAYS.INTL(DATE($B$3,8,25),DATE($B$3,8,25),1,'Non-working days'!$A$6:$A$45)=0),"",IF(COUNTIFS('Leave log'!$A$7:$A$306,Employees!$A$28,'Leave log'!$B$7:$B$306,"&lt;="&amp;DATE($B$3,8,25),'Leave log'!$C$7:$C$306,"&gt;="&amp;DATE($B$3,8,25),'Leave log'!$F$7:$F$306,"Pending")&gt;0,"P",""))))</f>
        <v/>
      </c>
      <c r="AA267" s="23" t="str">
        <f>IF(A267="","",IF(IF(OR(DATE($B$3,8,26)&gt;EOMONTH(DATE($B$3,8,1),0),NETWORKDAYS.INTL(DATE($B$3,8,26),DATE($B$3,8,26),1,'Non-working days'!$A$6:$A$45)=0),"",IF(COUNTIFS('Leave log'!$A$7:$A$306,Employees!$A$28,'Leave log'!$B$7:$B$306,"&lt;="&amp;DATE($B$3,8,26),'Leave log'!$C$7:$C$306,"&gt;="&amp;DATE($B$3,8,26),'Leave log'!$F$7:$F$306,"Approved")&gt;0,"A",""))="A","A",IF(OR(DATE($B$3,8,26)&gt;EOMONTH(DATE($B$3,8,1),0),NETWORKDAYS.INTL(DATE($B$3,8,26),DATE($B$3,8,26),1,'Non-working days'!$A$6:$A$45)=0),"",IF(COUNTIFS('Leave log'!$A$7:$A$306,Employees!$A$28,'Leave log'!$B$7:$B$306,"&lt;="&amp;DATE($B$3,8,26),'Leave log'!$C$7:$C$306,"&gt;="&amp;DATE($B$3,8,26),'Leave log'!$F$7:$F$306,"Pending")&gt;0,"P",""))))</f>
        <v/>
      </c>
      <c r="AB267" s="23" t="str">
        <f>IF(A267="","",IF(IF(OR(DATE($B$3,8,27)&gt;EOMONTH(DATE($B$3,8,1),0),NETWORKDAYS.INTL(DATE($B$3,8,27),DATE($B$3,8,27),1,'Non-working days'!$A$6:$A$45)=0),"",IF(COUNTIFS('Leave log'!$A$7:$A$306,Employees!$A$28,'Leave log'!$B$7:$B$306,"&lt;="&amp;DATE($B$3,8,27),'Leave log'!$C$7:$C$306,"&gt;="&amp;DATE($B$3,8,27),'Leave log'!$F$7:$F$306,"Approved")&gt;0,"A",""))="A","A",IF(OR(DATE($B$3,8,27)&gt;EOMONTH(DATE($B$3,8,1),0),NETWORKDAYS.INTL(DATE($B$3,8,27),DATE($B$3,8,27),1,'Non-working days'!$A$6:$A$45)=0),"",IF(COUNTIFS('Leave log'!$A$7:$A$306,Employees!$A$28,'Leave log'!$B$7:$B$306,"&lt;="&amp;DATE($B$3,8,27),'Leave log'!$C$7:$C$306,"&gt;="&amp;DATE($B$3,8,27),'Leave log'!$F$7:$F$306,"Pending")&gt;0,"P",""))))</f>
        <v/>
      </c>
      <c r="AC267" s="23" t="str">
        <f>IF(A267="","",IF(IF(OR(DATE($B$3,8,28)&gt;EOMONTH(DATE($B$3,8,1),0),NETWORKDAYS.INTL(DATE($B$3,8,28),DATE($B$3,8,28),1,'Non-working days'!$A$6:$A$45)=0),"",IF(COUNTIFS('Leave log'!$A$7:$A$306,Employees!$A$28,'Leave log'!$B$7:$B$306,"&lt;="&amp;DATE($B$3,8,28),'Leave log'!$C$7:$C$306,"&gt;="&amp;DATE($B$3,8,28),'Leave log'!$F$7:$F$306,"Approved")&gt;0,"A",""))="A","A",IF(OR(DATE($B$3,8,28)&gt;EOMONTH(DATE($B$3,8,1),0),NETWORKDAYS.INTL(DATE($B$3,8,28),DATE($B$3,8,28),1,'Non-working days'!$A$6:$A$45)=0),"",IF(COUNTIFS('Leave log'!$A$7:$A$306,Employees!$A$28,'Leave log'!$B$7:$B$306,"&lt;="&amp;DATE($B$3,8,28),'Leave log'!$C$7:$C$306,"&gt;="&amp;DATE($B$3,8,28),'Leave log'!$F$7:$F$306,"Pending")&gt;0,"P",""))))</f>
        <v/>
      </c>
      <c r="AD267" s="23" t="str">
        <f>IF(A267="","",IF(IF(OR(DATE($B$3,8,29)&gt;EOMONTH(DATE($B$3,8,1),0),NETWORKDAYS.INTL(DATE($B$3,8,29),DATE($B$3,8,29),1,'Non-working days'!$A$6:$A$45)=0),"",IF(COUNTIFS('Leave log'!$A$7:$A$306,Employees!$A$28,'Leave log'!$B$7:$B$306,"&lt;="&amp;DATE($B$3,8,29),'Leave log'!$C$7:$C$306,"&gt;="&amp;DATE($B$3,8,29),'Leave log'!$F$7:$F$306,"Approved")&gt;0,"A",""))="A","A",IF(OR(DATE($B$3,8,29)&gt;EOMONTH(DATE($B$3,8,1),0),NETWORKDAYS.INTL(DATE($B$3,8,29),DATE($B$3,8,29),1,'Non-working days'!$A$6:$A$45)=0),"",IF(COUNTIFS('Leave log'!$A$7:$A$306,Employees!$A$28,'Leave log'!$B$7:$B$306,"&lt;="&amp;DATE($B$3,8,29),'Leave log'!$C$7:$C$306,"&gt;="&amp;DATE($B$3,8,29),'Leave log'!$F$7:$F$306,"Pending")&gt;0,"P",""))))</f>
        <v/>
      </c>
      <c r="AE267" s="23" t="str">
        <f>IF(A267="","",IF(IF(OR(DATE($B$3,8,30)&gt;EOMONTH(DATE($B$3,8,1),0),NETWORKDAYS.INTL(DATE($B$3,8,30),DATE($B$3,8,30),1,'Non-working days'!$A$6:$A$45)=0),"",IF(COUNTIFS('Leave log'!$A$7:$A$306,Employees!$A$28,'Leave log'!$B$7:$B$306,"&lt;="&amp;DATE($B$3,8,30),'Leave log'!$C$7:$C$306,"&gt;="&amp;DATE($B$3,8,30),'Leave log'!$F$7:$F$306,"Approved")&gt;0,"A",""))="A","A",IF(OR(DATE($B$3,8,30)&gt;EOMONTH(DATE($B$3,8,1),0),NETWORKDAYS.INTL(DATE($B$3,8,30),DATE($B$3,8,30),1,'Non-working days'!$A$6:$A$45)=0),"",IF(COUNTIFS('Leave log'!$A$7:$A$306,Employees!$A$28,'Leave log'!$B$7:$B$306,"&lt;="&amp;DATE($B$3,8,30),'Leave log'!$C$7:$C$306,"&gt;="&amp;DATE($B$3,8,30),'Leave log'!$F$7:$F$306,"Pending")&gt;0,"P",""))))</f>
        <v/>
      </c>
      <c r="AF267" s="23" t="str">
        <f>IF(A267="","",IF(IF(OR(DATE($B$3,8,31)&gt;EOMONTH(DATE($B$3,8,1),0),NETWORKDAYS.INTL(DATE($B$3,8,31),DATE($B$3,8,31),1,'Non-working days'!$A$6:$A$45)=0),"",IF(COUNTIFS('Leave log'!$A$7:$A$306,Employees!$A$28,'Leave log'!$B$7:$B$306,"&lt;="&amp;DATE($B$3,8,31),'Leave log'!$C$7:$C$306,"&gt;="&amp;DATE($B$3,8,31),'Leave log'!$F$7:$F$306,"Approved")&gt;0,"A",""))="A","A",IF(OR(DATE($B$3,8,31)&gt;EOMONTH(DATE($B$3,8,1),0),NETWORKDAYS.INTL(DATE($B$3,8,31),DATE($B$3,8,31),1,'Non-working days'!$A$6:$A$45)=0),"",IF(COUNTIFS('Leave log'!$A$7:$A$306,Employees!$A$28,'Leave log'!$B$7:$B$306,"&lt;="&amp;DATE($B$3,8,31),'Leave log'!$C$7:$C$306,"&gt;="&amp;DATE($B$3,8,31),'Leave log'!$F$7:$F$306,"Pending")&gt;0,"P",""))))</f>
        <v/>
      </c>
    </row>
    <row r="268" spans="1:32" ht="18" customHeight="1" x14ac:dyDescent="0.3">
      <c r="A268" s="22" t="str">
        <f>IF(Employees!F29="Yes",Employees!B29,"")</f>
        <v/>
      </c>
      <c r="B268" s="23" t="str">
        <f>IF(A268="","",IF(IF(OR(DATE($B$3,8,1)&gt;EOMONTH(DATE($B$3,8,1),0),NETWORKDAYS.INTL(DATE($B$3,8,1),DATE($B$3,8,1),1,'Non-working days'!$A$6:$A$45)=0),"",IF(COUNTIFS('Leave log'!$A$7:$A$306,Employees!$A$29,'Leave log'!$B$7:$B$306,"&lt;="&amp;DATE($B$3,8,1),'Leave log'!$C$7:$C$306,"&gt;="&amp;DATE($B$3,8,1),'Leave log'!$F$7:$F$306,"Approved")&gt;0,"A",""))="A","A",IF(OR(DATE($B$3,8,1)&gt;EOMONTH(DATE($B$3,8,1),0),NETWORKDAYS.INTL(DATE($B$3,8,1),DATE($B$3,8,1),1,'Non-working days'!$A$6:$A$45)=0),"",IF(COUNTIFS('Leave log'!$A$7:$A$306,Employees!$A$29,'Leave log'!$B$7:$B$306,"&lt;="&amp;DATE($B$3,8,1),'Leave log'!$C$7:$C$306,"&gt;="&amp;DATE($B$3,8,1),'Leave log'!$F$7:$F$306,"Pending")&gt;0,"P",""))))</f>
        <v/>
      </c>
      <c r="C268" s="23" t="str">
        <f>IF(A268="","",IF(IF(OR(DATE($B$3,8,2)&gt;EOMONTH(DATE($B$3,8,1),0),NETWORKDAYS.INTL(DATE($B$3,8,2),DATE($B$3,8,2),1,'Non-working days'!$A$6:$A$45)=0),"",IF(COUNTIFS('Leave log'!$A$7:$A$306,Employees!$A$29,'Leave log'!$B$7:$B$306,"&lt;="&amp;DATE($B$3,8,2),'Leave log'!$C$7:$C$306,"&gt;="&amp;DATE($B$3,8,2),'Leave log'!$F$7:$F$306,"Approved")&gt;0,"A",""))="A","A",IF(OR(DATE($B$3,8,2)&gt;EOMONTH(DATE($B$3,8,1),0),NETWORKDAYS.INTL(DATE($B$3,8,2),DATE($B$3,8,2),1,'Non-working days'!$A$6:$A$45)=0),"",IF(COUNTIFS('Leave log'!$A$7:$A$306,Employees!$A$29,'Leave log'!$B$7:$B$306,"&lt;="&amp;DATE($B$3,8,2),'Leave log'!$C$7:$C$306,"&gt;="&amp;DATE($B$3,8,2),'Leave log'!$F$7:$F$306,"Pending")&gt;0,"P",""))))</f>
        <v/>
      </c>
      <c r="D268" s="23" t="str">
        <f>IF(A268="","",IF(IF(OR(DATE($B$3,8,3)&gt;EOMONTH(DATE($B$3,8,1),0),NETWORKDAYS.INTL(DATE($B$3,8,3),DATE($B$3,8,3),1,'Non-working days'!$A$6:$A$45)=0),"",IF(COUNTIFS('Leave log'!$A$7:$A$306,Employees!$A$29,'Leave log'!$B$7:$B$306,"&lt;="&amp;DATE($B$3,8,3),'Leave log'!$C$7:$C$306,"&gt;="&amp;DATE($B$3,8,3),'Leave log'!$F$7:$F$306,"Approved")&gt;0,"A",""))="A","A",IF(OR(DATE($B$3,8,3)&gt;EOMONTH(DATE($B$3,8,1),0),NETWORKDAYS.INTL(DATE($B$3,8,3),DATE($B$3,8,3),1,'Non-working days'!$A$6:$A$45)=0),"",IF(COUNTIFS('Leave log'!$A$7:$A$306,Employees!$A$29,'Leave log'!$B$7:$B$306,"&lt;="&amp;DATE($B$3,8,3),'Leave log'!$C$7:$C$306,"&gt;="&amp;DATE($B$3,8,3),'Leave log'!$F$7:$F$306,"Pending")&gt;0,"P",""))))</f>
        <v/>
      </c>
      <c r="E268" s="23" t="str">
        <f>IF(A268="","",IF(IF(OR(DATE($B$3,8,4)&gt;EOMONTH(DATE($B$3,8,1),0),NETWORKDAYS.INTL(DATE($B$3,8,4),DATE($B$3,8,4),1,'Non-working days'!$A$6:$A$45)=0),"",IF(COUNTIFS('Leave log'!$A$7:$A$306,Employees!$A$29,'Leave log'!$B$7:$B$306,"&lt;="&amp;DATE($B$3,8,4),'Leave log'!$C$7:$C$306,"&gt;="&amp;DATE($B$3,8,4),'Leave log'!$F$7:$F$306,"Approved")&gt;0,"A",""))="A","A",IF(OR(DATE($B$3,8,4)&gt;EOMONTH(DATE($B$3,8,1),0),NETWORKDAYS.INTL(DATE($B$3,8,4),DATE($B$3,8,4),1,'Non-working days'!$A$6:$A$45)=0),"",IF(COUNTIFS('Leave log'!$A$7:$A$306,Employees!$A$29,'Leave log'!$B$7:$B$306,"&lt;="&amp;DATE($B$3,8,4),'Leave log'!$C$7:$C$306,"&gt;="&amp;DATE($B$3,8,4),'Leave log'!$F$7:$F$306,"Pending")&gt;0,"P",""))))</f>
        <v/>
      </c>
      <c r="F268" s="23" t="str">
        <f>IF(A268="","",IF(IF(OR(DATE($B$3,8,5)&gt;EOMONTH(DATE($B$3,8,1),0),NETWORKDAYS.INTL(DATE($B$3,8,5),DATE($B$3,8,5),1,'Non-working days'!$A$6:$A$45)=0),"",IF(COUNTIFS('Leave log'!$A$7:$A$306,Employees!$A$29,'Leave log'!$B$7:$B$306,"&lt;="&amp;DATE($B$3,8,5),'Leave log'!$C$7:$C$306,"&gt;="&amp;DATE($B$3,8,5),'Leave log'!$F$7:$F$306,"Approved")&gt;0,"A",""))="A","A",IF(OR(DATE($B$3,8,5)&gt;EOMONTH(DATE($B$3,8,1),0),NETWORKDAYS.INTL(DATE($B$3,8,5),DATE($B$3,8,5),1,'Non-working days'!$A$6:$A$45)=0),"",IF(COUNTIFS('Leave log'!$A$7:$A$306,Employees!$A$29,'Leave log'!$B$7:$B$306,"&lt;="&amp;DATE($B$3,8,5),'Leave log'!$C$7:$C$306,"&gt;="&amp;DATE($B$3,8,5),'Leave log'!$F$7:$F$306,"Pending")&gt;0,"P",""))))</f>
        <v/>
      </c>
      <c r="G268" s="23" t="str">
        <f>IF(A268="","",IF(IF(OR(DATE($B$3,8,6)&gt;EOMONTH(DATE($B$3,8,1),0),NETWORKDAYS.INTL(DATE($B$3,8,6),DATE($B$3,8,6),1,'Non-working days'!$A$6:$A$45)=0),"",IF(COUNTIFS('Leave log'!$A$7:$A$306,Employees!$A$29,'Leave log'!$B$7:$B$306,"&lt;="&amp;DATE($B$3,8,6),'Leave log'!$C$7:$C$306,"&gt;="&amp;DATE($B$3,8,6),'Leave log'!$F$7:$F$306,"Approved")&gt;0,"A",""))="A","A",IF(OR(DATE($B$3,8,6)&gt;EOMONTH(DATE($B$3,8,1),0),NETWORKDAYS.INTL(DATE($B$3,8,6),DATE($B$3,8,6),1,'Non-working days'!$A$6:$A$45)=0),"",IF(COUNTIFS('Leave log'!$A$7:$A$306,Employees!$A$29,'Leave log'!$B$7:$B$306,"&lt;="&amp;DATE($B$3,8,6),'Leave log'!$C$7:$C$306,"&gt;="&amp;DATE($B$3,8,6),'Leave log'!$F$7:$F$306,"Pending")&gt;0,"P",""))))</f>
        <v/>
      </c>
      <c r="H268" s="23" t="str">
        <f>IF(A268="","",IF(IF(OR(DATE($B$3,8,7)&gt;EOMONTH(DATE($B$3,8,1),0),NETWORKDAYS.INTL(DATE($B$3,8,7),DATE($B$3,8,7),1,'Non-working days'!$A$6:$A$45)=0),"",IF(COUNTIFS('Leave log'!$A$7:$A$306,Employees!$A$29,'Leave log'!$B$7:$B$306,"&lt;="&amp;DATE($B$3,8,7),'Leave log'!$C$7:$C$306,"&gt;="&amp;DATE($B$3,8,7),'Leave log'!$F$7:$F$306,"Approved")&gt;0,"A",""))="A","A",IF(OR(DATE($B$3,8,7)&gt;EOMONTH(DATE($B$3,8,1),0),NETWORKDAYS.INTL(DATE($B$3,8,7),DATE($B$3,8,7),1,'Non-working days'!$A$6:$A$45)=0),"",IF(COUNTIFS('Leave log'!$A$7:$A$306,Employees!$A$29,'Leave log'!$B$7:$B$306,"&lt;="&amp;DATE($B$3,8,7),'Leave log'!$C$7:$C$306,"&gt;="&amp;DATE($B$3,8,7),'Leave log'!$F$7:$F$306,"Pending")&gt;0,"P",""))))</f>
        <v/>
      </c>
      <c r="I268" s="23" t="str">
        <f>IF(A268="","",IF(IF(OR(DATE($B$3,8,8)&gt;EOMONTH(DATE($B$3,8,1),0),NETWORKDAYS.INTL(DATE($B$3,8,8),DATE($B$3,8,8),1,'Non-working days'!$A$6:$A$45)=0),"",IF(COUNTIFS('Leave log'!$A$7:$A$306,Employees!$A$29,'Leave log'!$B$7:$B$306,"&lt;="&amp;DATE($B$3,8,8),'Leave log'!$C$7:$C$306,"&gt;="&amp;DATE($B$3,8,8),'Leave log'!$F$7:$F$306,"Approved")&gt;0,"A",""))="A","A",IF(OR(DATE($B$3,8,8)&gt;EOMONTH(DATE($B$3,8,1),0),NETWORKDAYS.INTL(DATE($B$3,8,8),DATE($B$3,8,8),1,'Non-working days'!$A$6:$A$45)=0),"",IF(COUNTIFS('Leave log'!$A$7:$A$306,Employees!$A$29,'Leave log'!$B$7:$B$306,"&lt;="&amp;DATE($B$3,8,8),'Leave log'!$C$7:$C$306,"&gt;="&amp;DATE($B$3,8,8),'Leave log'!$F$7:$F$306,"Pending")&gt;0,"P",""))))</f>
        <v/>
      </c>
      <c r="J268" s="23" t="str">
        <f>IF(A268="","",IF(IF(OR(DATE($B$3,8,9)&gt;EOMONTH(DATE($B$3,8,1),0),NETWORKDAYS.INTL(DATE($B$3,8,9),DATE($B$3,8,9),1,'Non-working days'!$A$6:$A$45)=0),"",IF(COUNTIFS('Leave log'!$A$7:$A$306,Employees!$A$29,'Leave log'!$B$7:$B$306,"&lt;="&amp;DATE($B$3,8,9),'Leave log'!$C$7:$C$306,"&gt;="&amp;DATE($B$3,8,9),'Leave log'!$F$7:$F$306,"Approved")&gt;0,"A",""))="A","A",IF(OR(DATE($B$3,8,9)&gt;EOMONTH(DATE($B$3,8,1),0),NETWORKDAYS.INTL(DATE($B$3,8,9),DATE($B$3,8,9),1,'Non-working days'!$A$6:$A$45)=0),"",IF(COUNTIFS('Leave log'!$A$7:$A$306,Employees!$A$29,'Leave log'!$B$7:$B$306,"&lt;="&amp;DATE($B$3,8,9),'Leave log'!$C$7:$C$306,"&gt;="&amp;DATE($B$3,8,9),'Leave log'!$F$7:$F$306,"Pending")&gt;0,"P",""))))</f>
        <v/>
      </c>
      <c r="K268" s="23" t="str">
        <f>IF(A268="","",IF(IF(OR(DATE($B$3,8,10)&gt;EOMONTH(DATE($B$3,8,1),0),NETWORKDAYS.INTL(DATE($B$3,8,10),DATE($B$3,8,10),1,'Non-working days'!$A$6:$A$45)=0),"",IF(COUNTIFS('Leave log'!$A$7:$A$306,Employees!$A$29,'Leave log'!$B$7:$B$306,"&lt;="&amp;DATE($B$3,8,10),'Leave log'!$C$7:$C$306,"&gt;="&amp;DATE($B$3,8,10),'Leave log'!$F$7:$F$306,"Approved")&gt;0,"A",""))="A","A",IF(OR(DATE($B$3,8,10)&gt;EOMONTH(DATE($B$3,8,1),0),NETWORKDAYS.INTL(DATE($B$3,8,10),DATE($B$3,8,10),1,'Non-working days'!$A$6:$A$45)=0),"",IF(COUNTIFS('Leave log'!$A$7:$A$306,Employees!$A$29,'Leave log'!$B$7:$B$306,"&lt;="&amp;DATE($B$3,8,10),'Leave log'!$C$7:$C$306,"&gt;="&amp;DATE($B$3,8,10),'Leave log'!$F$7:$F$306,"Pending")&gt;0,"P",""))))</f>
        <v/>
      </c>
      <c r="L268" s="23" t="str">
        <f>IF(A268="","",IF(IF(OR(DATE($B$3,8,11)&gt;EOMONTH(DATE($B$3,8,1),0),NETWORKDAYS.INTL(DATE($B$3,8,11),DATE($B$3,8,11),1,'Non-working days'!$A$6:$A$45)=0),"",IF(COUNTIFS('Leave log'!$A$7:$A$306,Employees!$A$29,'Leave log'!$B$7:$B$306,"&lt;="&amp;DATE($B$3,8,11),'Leave log'!$C$7:$C$306,"&gt;="&amp;DATE($B$3,8,11),'Leave log'!$F$7:$F$306,"Approved")&gt;0,"A",""))="A","A",IF(OR(DATE($B$3,8,11)&gt;EOMONTH(DATE($B$3,8,1),0),NETWORKDAYS.INTL(DATE($B$3,8,11),DATE($B$3,8,11),1,'Non-working days'!$A$6:$A$45)=0),"",IF(COUNTIFS('Leave log'!$A$7:$A$306,Employees!$A$29,'Leave log'!$B$7:$B$306,"&lt;="&amp;DATE($B$3,8,11),'Leave log'!$C$7:$C$306,"&gt;="&amp;DATE($B$3,8,11),'Leave log'!$F$7:$F$306,"Pending")&gt;0,"P",""))))</f>
        <v/>
      </c>
      <c r="M268" s="23" t="str">
        <f>IF(A268="","",IF(IF(OR(DATE($B$3,8,12)&gt;EOMONTH(DATE($B$3,8,1),0),NETWORKDAYS.INTL(DATE($B$3,8,12),DATE($B$3,8,12),1,'Non-working days'!$A$6:$A$45)=0),"",IF(COUNTIFS('Leave log'!$A$7:$A$306,Employees!$A$29,'Leave log'!$B$7:$B$306,"&lt;="&amp;DATE($B$3,8,12),'Leave log'!$C$7:$C$306,"&gt;="&amp;DATE($B$3,8,12),'Leave log'!$F$7:$F$306,"Approved")&gt;0,"A",""))="A","A",IF(OR(DATE($B$3,8,12)&gt;EOMONTH(DATE($B$3,8,1),0),NETWORKDAYS.INTL(DATE($B$3,8,12),DATE($B$3,8,12),1,'Non-working days'!$A$6:$A$45)=0),"",IF(COUNTIFS('Leave log'!$A$7:$A$306,Employees!$A$29,'Leave log'!$B$7:$B$306,"&lt;="&amp;DATE($B$3,8,12),'Leave log'!$C$7:$C$306,"&gt;="&amp;DATE($B$3,8,12),'Leave log'!$F$7:$F$306,"Pending")&gt;0,"P",""))))</f>
        <v/>
      </c>
      <c r="N268" s="23" t="str">
        <f>IF(A268="","",IF(IF(OR(DATE($B$3,8,13)&gt;EOMONTH(DATE($B$3,8,1),0),NETWORKDAYS.INTL(DATE($B$3,8,13),DATE($B$3,8,13),1,'Non-working days'!$A$6:$A$45)=0),"",IF(COUNTIFS('Leave log'!$A$7:$A$306,Employees!$A$29,'Leave log'!$B$7:$B$306,"&lt;="&amp;DATE($B$3,8,13),'Leave log'!$C$7:$C$306,"&gt;="&amp;DATE($B$3,8,13),'Leave log'!$F$7:$F$306,"Approved")&gt;0,"A",""))="A","A",IF(OR(DATE($B$3,8,13)&gt;EOMONTH(DATE($B$3,8,1),0),NETWORKDAYS.INTL(DATE($B$3,8,13),DATE($B$3,8,13),1,'Non-working days'!$A$6:$A$45)=0),"",IF(COUNTIFS('Leave log'!$A$7:$A$306,Employees!$A$29,'Leave log'!$B$7:$B$306,"&lt;="&amp;DATE($B$3,8,13),'Leave log'!$C$7:$C$306,"&gt;="&amp;DATE($B$3,8,13),'Leave log'!$F$7:$F$306,"Pending")&gt;0,"P",""))))</f>
        <v/>
      </c>
      <c r="O268" s="23" t="str">
        <f>IF(A268="","",IF(IF(OR(DATE($B$3,8,14)&gt;EOMONTH(DATE($B$3,8,1),0),NETWORKDAYS.INTL(DATE($B$3,8,14),DATE($B$3,8,14),1,'Non-working days'!$A$6:$A$45)=0),"",IF(COUNTIFS('Leave log'!$A$7:$A$306,Employees!$A$29,'Leave log'!$B$7:$B$306,"&lt;="&amp;DATE($B$3,8,14),'Leave log'!$C$7:$C$306,"&gt;="&amp;DATE($B$3,8,14),'Leave log'!$F$7:$F$306,"Approved")&gt;0,"A",""))="A","A",IF(OR(DATE($B$3,8,14)&gt;EOMONTH(DATE($B$3,8,1),0),NETWORKDAYS.INTL(DATE($B$3,8,14),DATE($B$3,8,14),1,'Non-working days'!$A$6:$A$45)=0),"",IF(COUNTIFS('Leave log'!$A$7:$A$306,Employees!$A$29,'Leave log'!$B$7:$B$306,"&lt;="&amp;DATE($B$3,8,14),'Leave log'!$C$7:$C$306,"&gt;="&amp;DATE($B$3,8,14),'Leave log'!$F$7:$F$306,"Pending")&gt;0,"P",""))))</f>
        <v/>
      </c>
      <c r="P268" s="23" t="str">
        <f>IF(A268="","",IF(IF(OR(DATE($B$3,8,15)&gt;EOMONTH(DATE($B$3,8,1),0),NETWORKDAYS.INTL(DATE($B$3,8,15),DATE($B$3,8,15),1,'Non-working days'!$A$6:$A$45)=0),"",IF(COUNTIFS('Leave log'!$A$7:$A$306,Employees!$A$29,'Leave log'!$B$7:$B$306,"&lt;="&amp;DATE($B$3,8,15),'Leave log'!$C$7:$C$306,"&gt;="&amp;DATE($B$3,8,15),'Leave log'!$F$7:$F$306,"Approved")&gt;0,"A",""))="A","A",IF(OR(DATE($B$3,8,15)&gt;EOMONTH(DATE($B$3,8,1),0),NETWORKDAYS.INTL(DATE($B$3,8,15),DATE($B$3,8,15),1,'Non-working days'!$A$6:$A$45)=0),"",IF(COUNTIFS('Leave log'!$A$7:$A$306,Employees!$A$29,'Leave log'!$B$7:$B$306,"&lt;="&amp;DATE($B$3,8,15),'Leave log'!$C$7:$C$306,"&gt;="&amp;DATE($B$3,8,15),'Leave log'!$F$7:$F$306,"Pending")&gt;0,"P",""))))</f>
        <v/>
      </c>
      <c r="Q268" s="23" t="str">
        <f>IF(A268="","",IF(IF(OR(DATE($B$3,8,16)&gt;EOMONTH(DATE($B$3,8,1),0),NETWORKDAYS.INTL(DATE($B$3,8,16),DATE($B$3,8,16),1,'Non-working days'!$A$6:$A$45)=0),"",IF(COUNTIFS('Leave log'!$A$7:$A$306,Employees!$A$29,'Leave log'!$B$7:$B$306,"&lt;="&amp;DATE($B$3,8,16),'Leave log'!$C$7:$C$306,"&gt;="&amp;DATE($B$3,8,16),'Leave log'!$F$7:$F$306,"Approved")&gt;0,"A",""))="A","A",IF(OR(DATE($B$3,8,16)&gt;EOMONTH(DATE($B$3,8,1),0),NETWORKDAYS.INTL(DATE($B$3,8,16),DATE($B$3,8,16),1,'Non-working days'!$A$6:$A$45)=0),"",IF(COUNTIFS('Leave log'!$A$7:$A$306,Employees!$A$29,'Leave log'!$B$7:$B$306,"&lt;="&amp;DATE($B$3,8,16),'Leave log'!$C$7:$C$306,"&gt;="&amp;DATE($B$3,8,16),'Leave log'!$F$7:$F$306,"Pending")&gt;0,"P",""))))</f>
        <v/>
      </c>
      <c r="R268" s="23" t="str">
        <f>IF(A268="","",IF(IF(OR(DATE($B$3,8,17)&gt;EOMONTH(DATE($B$3,8,1),0),NETWORKDAYS.INTL(DATE($B$3,8,17),DATE($B$3,8,17),1,'Non-working days'!$A$6:$A$45)=0),"",IF(COUNTIFS('Leave log'!$A$7:$A$306,Employees!$A$29,'Leave log'!$B$7:$B$306,"&lt;="&amp;DATE($B$3,8,17),'Leave log'!$C$7:$C$306,"&gt;="&amp;DATE($B$3,8,17),'Leave log'!$F$7:$F$306,"Approved")&gt;0,"A",""))="A","A",IF(OR(DATE($B$3,8,17)&gt;EOMONTH(DATE($B$3,8,1),0),NETWORKDAYS.INTL(DATE($B$3,8,17),DATE($B$3,8,17),1,'Non-working days'!$A$6:$A$45)=0),"",IF(COUNTIFS('Leave log'!$A$7:$A$306,Employees!$A$29,'Leave log'!$B$7:$B$306,"&lt;="&amp;DATE($B$3,8,17),'Leave log'!$C$7:$C$306,"&gt;="&amp;DATE($B$3,8,17),'Leave log'!$F$7:$F$306,"Pending")&gt;0,"P",""))))</f>
        <v/>
      </c>
      <c r="S268" s="23" t="str">
        <f>IF(A268="","",IF(IF(OR(DATE($B$3,8,18)&gt;EOMONTH(DATE($B$3,8,1),0),NETWORKDAYS.INTL(DATE($B$3,8,18),DATE($B$3,8,18),1,'Non-working days'!$A$6:$A$45)=0),"",IF(COUNTIFS('Leave log'!$A$7:$A$306,Employees!$A$29,'Leave log'!$B$7:$B$306,"&lt;="&amp;DATE($B$3,8,18),'Leave log'!$C$7:$C$306,"&gt;="&amp;DATE($B$3,8,18),'Leave log'!$F$7:$F$306,"Approved")&gt;0,"A",""))="A","A",IF(OR(DATE($B$3,8,18)&gt;EOMONTH(DATE($B$3,8,1),0),NETWORKDAYS.INTL(DATE($B$3,8,18),DATE($B$3,8,18),1,'Non-working days'!$A$6:$A$45)=0),"",IF(COUNTIFS('Leave log'!$A$7:$A$306,Employees!$A$29,'Leave log'!$B$7:$B$306,"&lt;="&amp;DATE($B$3,8,18),'Leave log'!$C$7:$C$306,"&gt;="&amp;DATE($B$3,8,18),'Leave log'!$F$7:$F$306,"Pending")&gt;0,"P",""))))</f>
        <v/>
      </c>
      <c r="T268" s="23" t="str">
        <f>IF(A268="","",IF(IF(OR(DATE($B$3,8,19)&gt;EOMONTH(DATE($B$3,8,1),0),NETWORKDAYS.INTL(DATE($B$3,8,19),DATE($B$3,8,19),1,'Non-working days'!$A$6:$A$45)=0),"",IF(COUNTIFS('Leave log'!$A$7:$A$306,Employees!$A$29,'Leave log'!$B$7:$B$306,"&lt;="&amp;DATE($B$3,8,19),'Leave log'!$C$7:$C$306,"&gt;="&amp;DATE($B$3,8,19),'Leave log'!$F$7:$F$306,"Approved")&gt;0,"A",""))="A","A",IF(OR(DATE($B$3,8,19)&gt;EOMONTH(DATE($B$3,8,1),0),NETWORKDAYS.INTL(DATE($B$3,8,19),DATE($B$3,8,19),1,'Non-working days'!$A$6:$A$45)=0),"",IF(COUNTIFS('Leave log'!$A$7:$A$306,Employees!$A$29,'Leave log'!$B$7:$B$306,"&lt;="&amp;DATE($B$3,8,19),'Leave log'!$C$7:$C$306,"&gt;="&amp;DATE($B$3,8,19),'Leave log'!$F$7:$F$306,"Pending")&gt;0,"P",""))))</f>
        <v/>
      </c>
      <c r="U268" s="23" t="str">
        <f>IF(A268="","",IF(IF(OR(DATE($B$3,8,20)&gt;EOMONTH(DATE($B$3,8,1),0),NETWORKDAYS.INTL(DATE($B$3,8,20),DATE($B$3,8,20),1,'Non-working days'!$A$6:$A$45)=0),"",IF(COUNTIFS('Leave log'!$A$7:$A$306,Employees!$A$29,'Leave log'!$B$7:$B$306,"&lt;="&amp;DATE($B$3,8,20),'Leave log'!$C$7:$C$306,"&gt;="&amp;DATE($B$3,8,20),'Leave log'!$F$7:$F$306,"Approved")&gt;0,"A",""))="A","A",IF(OR(DATE($B$3,8,20)&gt;EOMONTH(DATE($B$3,8,1),0),NETWORKDAYS.INTL(DATE($B$3,8,20),DATE($B$3,8,20),1,'Non-working days'!$A$6:$A$45)=0),"",IF(COUNTIFS('Leave log'!$A$7:$A$306,Employees!$A$29,'Leave log'!$B$7:$B$306,"&lt;="&amp;DATE($B$3,8,20),'Leave log'!$C$7:$C$306,"&gt;="&amp;DATE($B$3,8,20),'Leave log'!$F$7:$F$306,"Pending")&gt;0,"P",""))))</f>
        <v/>
      </c>
      <c r="V268" s="23" t="str">
        <f>IF(A268="","",IF(IF(OR(DATE($B$3,8,21)&gt;EOMONTH(DATE($B$3,8,1),0),NETWORKDAYS.INTL(DATE($B$3,8,21),DATE($B$3,8,21),1,'Non-working days'!$A$6:$A$45)=0),"",IF(COUNTIFS('Leave log'!$A$7:$A$306,Employees!$A$29,'Leave log'!$B$7:$B$306,"&lt;="&amp;DATE($B$3,8,21),'Leave log'!$C$7:$C$306,"&gt;="&amp;DATE($B$3,8,21),'Leave log'!$F$7:$F$306,"Approved")&gt;0,"A",""))="A","A",IF(OR(DATE($B$3,8,21)&gt;EOMONTH(DATE($B$3,8,1),0),NETWORKDAYS.INTL(DATE($B$3,8,21),DATE($B$3,8,21),1,'Non-working days'!$A$6:$A$45)=0),"",IF(COUNTIFS('Leave log'!$A$7:$A$306,Employees!$A$29,'Leave log'!$B$7:$B$306,"&lt;="&amp;DATE($B$3,8,21),'Leave log'!$C$7:$C$306,"&gt;="&amp;DATE($B$3,8,21),'Leave log'!$F$7:$F$306,"Pending")&gt;0,"P",""))))</f>
        <v/>
      </c>
      <c r="W268" s="23" t="str">
        <f>IF(A268="","",IF(IF(OR(DATE($B$3,8,22)&gt;EOMONTH(DATE($B$3,8,1),0),NETWORKDAYS.INTL(DATE($B$3,8,22),DATE($B$3,8,22),1,'Non-working days'!$A$6:$A$45)=0),"",IF(COUNTIFS('Leave log'!$A$7:$A$306,Employees!$A$29,'Leave log'!$B$7:$B$306,"&lt;="&amp;DATE($B$3,8,22),'Leave log'!$C$7:$C$306,"&gt;="&amp;DATE($B$3,8,22),'Leave log'!$F$7:$F$306,"Approved")&gt;0,"A",""))="A","A",IF(OR(DATE($B$3,8,22)&gt;EOMONTH(DATE($B$3,8,1),0),NETWORKDAYS.INTL(DATE($B$3,8,22),DATE($B$3,8,22),1,'Non-working days'!$A$6:$A$45)=0),"",IF(COUNTIFS('Leave log'!$A$7:$A$306,Employees!$A$29,'Leave log'!$B$7:$B$306,"&lt;="&amp;DATE($B$3,8,22),'Leave log'!$C$7:$C$306,"&gt;="&amp;DATE($B$3,8,22),'Leave log'!$F$7:$F$306,"Pending")&gt;0,"P",""))))</f>
        <v/>
      </c>
      <c r="X268" s="23" t="str">
        <f>IF(A268="","",IF(IF(OR(DATE($B$3,8,23)&gt;EOMONTH(DATE($B$3,8,1),0),NETWORKDAYS.INTL(DATE($B$3,8,23),DATE($B$3,8,23),1,'Non-working days'!$A$6:$A$45)=0),"",IF(COUNTIFS('Leave log'!$A$7:$A$306,Employees!$A$29,'Leave log'!$B$7:$B$306,"&lt;="&amp;DATE($B$3,8,23),'Leave log'!$C$7:$C$306,"&gt;="&amp;DATE($B$3,8,23),'Leave log'!$F$7:$F$306,"Approved")&gt;0,"A",""))="A","A",IF(OR(DATE($B$3,8,23)&gt;EOMONTH(DATE($B$3,8,1),0),NETWORKDAYS.INTL(DATE($B$3,8,23),DATE($B$3,8,23),1,'Non-working days'!$A$6:$A$45)=0),"",IF(COUNTIFS('Leave log'!$A$7:$A$306,Employees!$A$29,'Leave log'!$B$7:$B$306,"&lt;="&amp;DATE($B$3,8,23),'Leave log'!$C$7:$C$306,"&gt;="&amp;DATE($B$3,8,23),'Leave log'!$F$7:$F$306,"Pending")&gt;0,"P",""))))</f>
        <v/>
      </c>
      <c r="Y268" s="23" t="str">
        <f>IF(A268="","",IF(IF(OR(DATE($B$3,8,24)&gt;EOMONTH(DATE($B$3,8,1),0),NETWORKDAYS.INTL(DATE($B$3,8,24),DATE($B$3,8,24),1,'Non-working days'!$A$6:$A$45)=0),"",IF(COUNTIFS('Leave log'!$A$7:$A$306,Employees!$A$29,'Leave log'!$B$7:$B$306,"&lt;="&amp;DATE($B$3,8,24),'Leave log'!$C$7:$C$306,"&gt;="&amp;DATE($B$3,8,24),'Leave log'!$F$7:$F$306,"Approved")&gt;0,"A",""))="A","A",IF(OR(DATE($B$3,8,24)&gt;EOMONTH(DATE($B$3,8,1),0),NETWORKDAYS.INTL(DATE($B$3,8,24),DATE($B$3,8,24),1,'Non-working days'!$A$6:$A$45)=0),"",IF(COUNTIFS('Leave log'!$A$7:$A$306,Employees!$A$29,'Leave log'!$B$7:$B$306,"&lt;="&amp;DATE($B$3,8,24),'Leave log'!$C$7:$C$306,"&gt;="&amp;DATE($B$3,8,24),'Leave log'!$F$7:$F$306,"Pending")&gt;0,"P",""))))</f>
        <v/>
      </c>
      <c r="Z268" s="23" t="str">
        <f>IF(A268="","",IF(IF(OR(DATE($B$3,8,25)&gt;EOMONTH(DATE($B$3,8,1),0),NETWORKDAYS.INTL(DATE($B$3,8,25),DATE($B$3,8,25),1,'Non-working days'!$A$6:$A$45)=0),"",IF(COUNTIFS('Leave log'!$A$7:$A$306,Employees!$A$29,'Leave log'!$B$7:$B$306,"&lt;="&amp;DATE($B$3,8,25),'Leave log'!$C$7:$C$306,"&gt;="&amp;DATE($B$3,8,25),'Leave log'!$F$7:$F$306,"Approved")&gt;0,"A",""))="A","A",IF(OR(DATE($B$3,8,25)&gt;EOMONTH(DATE($B$3,8,1),0),NETWORKDAYS.INTL(DATE($B$3,8,25),DATE($B$3,8,25),1,'Non-working days'!$A$6:$A$45)=0),"",IF(COUNTIFS('Leave log'!$A$7:$A$306,Employees!$A$29,'Leave log'!$B$7:$B$306,"&lt;="&amp;DATE($B$3,8,25),'Leave log'!$C$7:$C$306,"&gt;="&amp;DATE($B$3,8,25),'Leave log'!$F$7:$F$306,"Pending")&gt;0,"P",""))))</f>
        <v/>
      </c>
      <c r="AA268" s="23" t="str">
        <f>IF(A268="","",IF(IF(OR(DATE($B$3,8,26)&gt;EOMONTH(DATE($B$3,8,1),0),NETWORKDAYS.INTL(DATE($B$3,8,26),DATE($B$3,8,26),1,'Non-working days'!$A$6:$A$45)=0),"",IF(COUNTIFS('Leave log'!$A$7:$A$306,Employees!$A$29,'Leave log'!$B$7:$B$306,"&lt;="&amp;DATE($B$3,8,26),'Leave log'!$C$7:$C$306,"&gt;="&amp;DATE($B$3,8,26),'Leave log'!$F$7:$F$306,"Approved")&gt;0,"A",""))="A","A",IF(OR(DATE($B$3,8,26)&gt;EOMONTH(DATE($B$3,8,1),0),NETWORKDAYS.INTL(DATE($B$3,8,26),DATE($B$3,8,26),1,'Non-working days'!$A$6:$A$45)=0),"",IF(COUNTIFS('Leave log'!$A$7:$A$306,Employees!$A$29,'Leave log'!$B$7:$B$306,"&lt;="&amp;DATE($B$3,8,26),'Leave log'!$C$7:$C$306,"&gt;="&amp;DATE($B$3,8,26),'Leave log'!$F$7:$F$306,"Pending")&gt;0,"P",""))))</f>
        <v/>
      </c>
      <c r="AB268" s="23" t="str">
        <f>IF(A268="","",IF(IF(OR(DATE($B$3,8,27)&gt;EOMONTH(DATE($B$3,8,1),0),NETWORKDAYS.INTL(DATE($B$3,8,27),DATE($B$3,8,27),1,'Non-working days'!$A$6:$A$45)=0),"",IF(COUNTIFS('Leave log'!$A$7:$A$306,Employees!$A$29,'Leave log'!$B$7:$B$306,"&lt;="&amp;DATE($B$3,8,27),'Leave log'!$C$7:$C$306,"&gt;="&amp;DATE($B$3,8,27),'Leave log'!$F$7:$F$306,"Approved")&gt;0,"A",""))="A","A",IF(OR(DATE($B$3,8,27)&gt;EOMONTH(DATE($B$3,8,1),0),NETWORKDAYS.INTL(DATE($B$3,8,27),DATE($B$3,8,27),1,'Non-working days'!$A$6:$A$45)=0),"",IF(COUNTIFS('Leave log'!$A$7:$A$306,Employees!$A$29,'Leave log'!$B$7:$B$306,"&lt;="&amp;DATE($B$3,8,27),'Leave log'!$C$7:$C$306,"&gt;="&amp;DATE($B$3,8,27),'Leave log'!$F$7:$F$306,"Pending")&gt;0,"P",""))))</f>
        <v/>
      </c>
      <c r="AC268" s="23" t="str">
        <f>IF(A268="","",IF(IF(OR(DATE($B$3,8,28)&gt;EOMONTH(DATE($B$3,8,1),0),NETWORKDAYS.INTL(DATE($B$3,8,28),DATE($B$3,8,28),1,'Non-working days'!$A$6:$A$45)=0),"",IF(COUNTIFS('Leave log'!$A$7:$A$306,Employees!$A$29,'Leave log'!$B$7:$B$306,"&lt;="&amp;DATE($B$3,8,28),'Leave log'!$C$7:$C$306,"&gt;="&amp;DATE($B$3,8,28),'Leave log'!$F$7:$F$306,"Approved")&gt;0,"A",""))="A","A",IF(OR(DATE($B$3,8,28)&gt;EOMONTH(DATE($B$3,8,1),0),NETWORKDAYS.INTL(DATE($B$3,8,28),DATE($B$3,8,28),1,'Non-working days'!$A$6:$A$45)=0),"",IF(COUNTIFS('Leave log'!$A$7:$A$306,Employees!$A$29,'Leave log'!$B$7:$B$306,"&lt;="&amp;DATE($B$3,8,28),'Leave log'!$C$7:$C$306,"&gt;="&amp;DATE($B$3,8,28),'Leave log'!$F$7:$F$306,"Pending")&gt;0,"P",""))))</f>
        <v/>
      </c>
      <c r="AD268" s="23" t="str">
        <f>IF(A268="","",IF(IF(OR(DATE($B$3,8,29)&gt;EOMONTH(DATE($B$3,8,1),0),NETWORKDAYS.INTL(DATE($B$3,8,29),DATE($B$3,8,29),1,'Non-working days'!$A$6:$A$45)=0),"",IF(COUNTIFS('Leave log'!$A$7:$A$306,Employees!$A$29,'Leave log'!$B$7:$B$306,"&lt;="&amp;DATE($B$3,8,29),'Leave log'!$C$7:$C$306,"&gt;="&amp;DATE($B$3,8,29),'Leave log'!$F$7:$F$306,"Approved")&gt;0,"A",""))="A","A",IF(OR(DATE($B$3,8,29)&gt;EOMONTH(DATE($B$3,8,1),0),NETWORKDAYS.INTL(DATE($B$3,8,29),DATE($B$3,8,29),1,'Non-working days'!$A$6:$A$45)=0),"",IF(COUNTIFS('Leave log'!$A$7:$A$306,Employees!$A$29,'Leave log'!$B$7:$B$306,"&lt;="&amp;DATE($B$3,8,29),'Leave log'!$C$7:$C$306,"&gt;="&amp;DATE($B$3,8,29),'Leave log'!$F$7:$F$306,"Pending")&gt;0,"P",""))))</f>
        <v/>
      </c>
      <c r="AE268" s="23" t="str">
        <f>IF(A268="","",IF(IF(OR(DATE($B$3,8,30)&gt;EOMONTH(DATE($B$3,8,1),0),NETWORKDAYS.INTL(DATE($B$3,8,30),DATE($B$3,8,30),1,'Non-working days'!$A$6:$A$45)=0),"",IF(COUNTIFS('Leave log'!$A$7:$A$306,Employees!$A$29,'Leave log'!$B$7:$B$306,"&lt;="&amp;DATE($B$3,8,30),'Leave log'!$C$7:$C$306,"&gt;="&amp;DATE($B$3,8,30),'Leave log'!$F$7:$F$306,"Approved")&gt;0,"A",""))="A","A",IF(OR(DATE($B$3,8,30)&gt;EOMONTH(DATE($B$3,8,1),0),NETWORKDAYS.INTL(DATE($B$3,8,30),DATE($B$3,8,30),1,'Non-working days'!$A$6:$A$45)=0),"",IF(COUNTIFS('Leave log'!$A$7:$A$306,Employees!$A$29,'Leave log'!$B$7:$B$306,"&lt;="&amp;DATE($B$3,8,30),'Leave log'!$C$7:$C$306,"&gt;="&amp;DATE($B$3,8,30),'Leave log'!$F$7:$F$306,"Pending")&gt;0,"P",""))))</f>
        <v/>
      </c>
      <c r="AF268" s="23" t="str">
        <f>IF(A268="","",IF(IF(OR(DATE($B$3,8,31)&gt;EOMONTH(DATE($B$3,8,1),0),NETWORKDAYS.INTL(DATE($B$3,8,31),DATE($B$3,8,31),1,'Non-working days'!$A$6:$A$45)=0),"",IF(COUNTIFS('Leave log'!$A$7:$A$306,Employees!$A$29,'Leave log'!$B$7:$B$306,"&lt;="&amp;DATE($B$3,8,31),'Leave log'!$C$7:$C$306,"&gt;="&amp;DATE($B$3,8,31),'Leave log'!$F$7:$F$306,"Approved")&gt;0,"A",""))="A","A",IF(OR(DATE($B$3,8,31)&gt;EOMONTH(DATE($B$3,8,1),0),NETWORKDAYS.INTL(DATE($B$3,8,31),DATE($B$3,8,31),1,'Non-working days'!$A$6:$A$45)=0),"",IF(COUNTIFS('Leave log'!$A$7:$A$306,Employees!$A$29,'Leave log'!$B$7:$B$306,"&lt;="&amp;DATE($B$3,8,31),'Leave log'!$C$7:$C$306,"&gt;="&amp;DATE($B$3,8,31),'Leave log'!$F$7:$F$306,"Pending")&gt;0,"P",""))))</f>
        <v/>
      </c>
    </row>
    <row r="269" spans="1:32" ht="18" customHeight="1" x14ac:dyDescent="0.3">
      <c r="A269" s="22" t="str">
        <f>IF(Employees!F30="Yes",Employees!B30,"")</f>
        <v/>
      </c>
      <c r="B269" s="23" t="str">
        <f>IF(A269="","",IF(IF(OR(DATE($B$3,8,1)&gt;EOMONTH(DATE($B$3,8,1),0),NETWORKDAYS.INTL(DATE($B$3,8,1),DATE($B$3,8,1),1,'Non-working days'!$A$6:$A$45)=0),"",IF(COUNTIFS('Leave log'!$A$7:$A$306,Employees!$A$30,'Leave log'!$B$7:$B$306,"&lt;="&amp;DATE($B$3,8,1),'Leave log'!$C$7:$C$306,"&gt;="&amp;DATE($B$3,8,1),'Leave log'!$F$7:$F$306,"Approved")&gt;0,"A",""))="A","A",IF(OR(DATE($B$3,8,1)&gt;EOMONTH(DATE($B$3,8,1),0),NETWORKDAYS.INTL(DATE($B$3,8,1),DATE($B$3,8,1),1,'Non-working days'!$A$6:$A$45)=0),"",IF(COUNTIFS('Leave log'!$A$7:$A$306,Employees!$A$30,'Leave log'!$B$7:$B$306,"&lt;="&amp;DATE($B$3,8,1),'Leave log'!$C$7:$C$306,"&gt;="&amp;DATE($B$3,8,1),'Leave log'!$F$7:$F$306,"Pending")&gt;0,"P",""))))</f>
        <v/>
      </c>
      <c r="C269" s="23" t="str">
        <f>IF(A269="","",IF(IF(OR(DATE($B$3,8,2)&gt;EOMONTH(DATE($B$3,8,1),0),NETWORKDAYS.INTL(DATE($B$3,8,2),DATE($B$3,8,2),1,'Non-working days'!$A$6:$A$45)=0),"",IF(COUNTIFS('Leave log'!$A$7:$A$306,Employees!$A$30,'Leave log'!$B$7:$B$306,"&lt;="&amp;DATE($B$3,8,2),'Leave log'!$C$7:$C$306,"&gt;="&amp;DATE($B$3,8,2),'Leave log'!$F$7:$F$306,"Approved")&gt;0,"A",""))="A","A",IF(OR(DATE($B$3,8,2)&gt;EOMONTH(DATE($B$3,8,1),0),NETWORKDAYS.INTL(DATE($B$3,8,2),DATE($B$3,8,2),1,'Non-working days'!$A$6:$A$45)=0),"",IF(COUNTIFS('Leave log'!$A$7:$A$306,Employees!$A$30,'Leave log'!$B$7:$B$306,"&lt;="&amp;DATE($B$3,8,2),'Leave log'!$C$7:$C$306,"&gt;="&amp;DATE($B$3,8,2),'Leave log'!$F$7:$F$306,"Pending")&gt;0,"P",""))))</f>
        <v/>
      </c>
      <c r="D269" s="23" t="str">
        <f>IF(A269="","",IF(IF(OR(DATE($B$3,8,3)&gt;EOMONTH(DATE($B$3,8,1),0),NETWORKDAYS.INTL(DATE($B$3,8,3),DATE($B$3,8,3),1,'Non-working days'!$A$6:$A$45)=0),"",IF(COUNTIFS('Leave log'!$A$7:$A$306,Employees!$A$30,'Leave log'!$B$7:$B$306,"&lt;="&amp;DATE($B$3,8,3),'Leave log'!$C$7:$C$306,"&gt;="&amp;DATE($B$3,8,3),'Leave log'!$F$7:$F$306,"Approved")&gt;0,"A",""))="A","A",IF(OR(DATE($B$3,8,3)&gt;EOMONTH(DATE($B$3,8,1),0),NETWORKDAYS.INTL(DATE($B$3,8,3),DATE($B$3,8,3),1,'Non-working days'!$A$6:$A$45)=0),"",IF(COUNTIFS('Leave log'!$A$7:$A$306,Employees!$A$30,'Leave log'!$B$7:$B$306,"&lt;="&amp;DATE($B$3,8,3),'Leave log'!$C$7:$C$306,"&gt;="&amp;DATE($B$3,8,3),'Leave log'!$F$7:$F$306,"Pending")&gt;0,"P",""))))</f>
        <v/>
      </c>
      <c r="E269" s="23" t="str">
        <f>IF(A269="","",IF(IF(OR(DATE($B$3,8,4)&gt;EOMONTH(DATE($B$3,8,1),0),NETWORKDAYS.INTL(DATE($B$3,8,4),DATE($B$3,8,4),1,'Non-working days'!$A$6:$A$45)=0),"",IF(COUNTIFS('Leave log'!$A$7:$A$306,Employees!$A$30,'Leave log'!$B$7:$B$306,"&lt;="&amp;DATE($B$3,8,4),'Leave log'!$C$7:$C$306,"&gt;="&amp;DATE($B$3,8,4),'Leave log'!$F$7:$F$306,"Approved")&gt;0,"A",""))="A","A",IF(OR(DATE($B$3,8,4)&gt;EOMONTH(DATE($B$3,8,1),0),NETWORKDAYS.INTL(DATE($B$3,8,4),DATE($B$3,8,4),1,'Non-working days'!$A$6:$A$45)=0),"",IF(COUNTIFS('Leave log'!$A$7:$A$306,Employees!$A$30,'Leave log'!$B$7:$B$306,"&lt;="&amp;DATE($B$3,8,4),'Leave log'!$C$7:$C$306,"&gt;="&amp;DATE($B$3,8,4),'Leave log'!$F$7:$F$306,"Pending")&gt;0,"P",""))))</f>
        <v/>
      </c>
      <c r="F269" s="23" t="str">
        <f>IF(A269="","",IF(IF(OR(DATE($B$3,8,5)&gt;EOMONTH(DATE($B$3,8,1),0),NETWORKDAYS.INTL(DATE($B$3,8,5),DATE($B$3,8,5),1,'Non-working days'!$A$6:$A$45)=0),"",IF(COUNTIFS('Leave log'!$A$7:$A$306,Employees!$A$30,'Leave log'!$B$7:$B$306,"&lt;="&amp;DATE($B$3,8,5),'Leave log'!$C$7:$C$306,"&gt;="&amp;DATE($B$3,8,5),'Leave log'!$F$7:$F$306,"Approved")&gt;0,"A",""))="A","A",IF(OR(DATE($B$3,8,5)&gt;EOMONTH(DATE($B$3,8,1),0),NETWORKDAYS.INTL(DATE($B$3,8,5),DATE($B$3,8,5),1,'Non-working days'!$A$6:$A$45)=0),"",IF(COUNTIFS('Leave log'!$A$7:$A$306,Employees!$A$30,'Leave log'!$B$7:$B$306,"&lt;="&amp;DATE($B$3,8,5),'Leave log'!$C$7:$C$306,"&gt;="&amp;DATE($B$3,8,5),'Leave log'!$F$7:$F$306,"Pending")&gt;0,"P",""))))</f>
        <v/>
      </c>
      <c r="G269" s="23" t="str">
        <f>IF(A269="","",IF(IF(OR(DATE($B$3,8,6)&gt;EOMONTH(DATE($B$3,8,1),0),NETWORKDAYS.INTL(DATE($B$3,8,6),DATE($B$3,8,6),1,'Non-working days'!$A$6:$A$45)=0),"",IF(COUNTIFS('Leave log'!$A$7:$A$306,Employees!$A$30,'Leave log'!$B$7:$B$306,"&lt;="&amp;DATE($B$3,8,6),'Leave log'!$C$7:$C$306,"&gt;="&amp;DATE($B$3,8,6),'Leave log'!$F$7:$F$306,"Approved")&gt;0,"A",""))="A","A",IF(OR(DATE($B$3,8,6)&gt;EOMONTH(DATE($B$3,8,1),0),NETWORKDAYS.INTL(DATE($B$3,8,6),DATE($B$3,8,6),1,'Non-working days'!$A$6:$A$45)=0),"",IF(COUNTIFS('Leave log'!$A$7:$A$306,Employees!$A$30,'Leave log'!$B$7:$B$306,"&lt;="&amp;DATE($B$3,8,6),'Leave log'!$C$7:$C$306,"&gt;="&amp;DATE($B$3,8,6),'Leave log'!$F$7:$F$306,"Pending")&gt;0,"P",""))))</f>
        <v/>
      </c>
      <c r="H269" s="23" t="str">
        <f>IF(A269="","",IF(IF(OR(DATE($B$3,8,7)&gt;EOMONTH(DATE($B$3,8,1),0),NETWORKDAYS.INTL(DATE($B$3,8,7),DATE($B$3,8,7),1,'Non-working days'!$A$6:$A$45)=0),"",IF(COUNTIFS('Leave log'!$A$7:$A$306,Employees!$A$30,'Leave log'!$B$7:$B$306,"&lt;="&amp;DATE($B$3,8,7),'Leave log'!$C$7:$C$306,"&gt;="&amp;DATE($B$3,8,7),'Leave log'!$F$7:$F$306,"Approved")&gt;0,"A",""))="A","A",IF(OR(DATE($B$3,8,7)&gt;EOMONTH(DATE($B$3,8,1),0),NETWORKDAYS.INTL(DATE($B$3,8,7),DATE($B$3,8,7),1,'Non-working days'!$A$6:$A$45)=0),"",IF(COUNTIFS('Leave log'!$A$7:$A$306,Employees!$A$30,'Leave log'!$B$7:$B$306,"&lt;="&amp;DATE($B$3,8,7),'Leave log'!$C$7:$C$306,"&gt;="&amp;DATE($B$3,8,7),'Leave log'!$F$7:$F$306,"Pending")&gt;0,"P",""))))</f>
        <v/>
      </c>
      <c r="I269" s="23" t="str">
        <f>IF(A269="","",IF(IF(OR(DATE($B$3,8,8)&gt;EOMONTH(DATE($B$3,8,1),0),NETWORKDAYS.INTL(DATE($B$3,8,8),DATE($B$3,8,8),1,'Non-working days'!$A$6:$A$45)=0),"",IF(COUNTIFS('Leave log'!$A$7:$A$306,Employees!$A$30,'Leave log'!$B$7:$B$306,"&lt;="&amp;DATE($B$3,8,8),'Leave log'!$C$7:$C$306,"&gt;="&amp;DATE($B$3,8,8),'Leave log'!$F$7:$F$306,"Approved")&gt;0,"A",""))="A","A",IF(OR(DATE($B$3,8,8)&gt;EOMONTH(DATE($B$3,8,1),0),NETWORKDAYS.INTL(DATE($B$3,8,8),DATE($B$3,8,8),1,'Non-working days'!$A$6:$A$45)=0),"",IF(COUNTIFS('Leave log'!$A$7:$A$306,Employees!$A$30,'Leave log'!$B$7:$B$306,"&lt;="&amp;DATE($B$3,8,8),'Leave log'!$C$7:$C$306,"&gt;="&amp;DATE($B$3,8,8),'Leave log'!$F$7:$F$306,"Pending")&gt;0,"P",""))))</f>
        <v/>
      </c>
      <c r="J269" s="23" t="str">
        <f>IF(A269="","",IF(IF(OR(DATE($B$3,8,9)&gt;EOMONTH(DATE($B$3,8,1),0),NETWORKDAYS.INTL(DATE($B$3,8,9),DATE($B$3,8,9),1,'Non-working days'!$A$6:$A$45)=0),"",IF(COUNTIFS('Leave log'!$A$7:$A$306,Employees!$A$30,'Leave log'!$B$7:$B$306,"&lt;="&amp;DATE($B$3,8,9),'Leave log'!$C$7:$C$306,"&gt;="&amp;DATE($B$3,8,9),'Leave log'!$F$7:$F$306,"Approved")&gt;0,"A",""))="A","A",IF(OR(DATE($B$3,8,9)&gt;EOMONTH(DATE($B$3,8,1),0),NETWORKDAYS.INTL(DATE($B$3,8,9),DATE($B$3,8,9),1,'Non-working days'!$A$6:$A$45)=0),"",IF(COUNTIFS('Leave log'!$A$7:$A$306,Employees!$A$30,'Leave log'!$B$7:$B$306,"&lt;="&amp;DATE($B$3,8,9),'Leave log'!$C$7:$C$306,"&gt;="&amp;DATE($B$3,8,9),'Leave log'!$F$7:$F$306,"Pending")&gt;0,"P",""))))</f>
        <v/>
      </c>
      <c r="K269" s="23" t="str">
        <f>IF(A269="","",IF(IF(OR(DATE($B$3,8,10)&gt;EOMONTH(DATE($B$3,8,1),0),NETWORKDAYS.INTL(DATE($B$3,8,10),DATE($B$3,8,10),1,'Non-working days'!$A$6:$A$45)=0),"",IF(COUNTIFS('Leave log'!$A$7:$A$306,Employees!$A$30,'Leave log'!$B$7:$B$306,"&lt;="&amp;DATE($B$3,8,10),'Leave log'!$C$7:$C$306,"&gt;="&amp;DATE($B$3,8,10),'Leave log'!$F$7:$F$306,"Approved")&gt;0,"A",""))="A","A",IF(OR(DATE($B$3,8,10)&gt;EOMONTH(DATE($B$3,8,1),0),NETWORKDAYS.INTL(DATE($B$3,8,10),DATE($B$3,8,10),1,'Non-working days'!$A$6:$A$45)=0),"",IF(COUNTIFS('Leave log'!$A$7:$A$306,Employees!$A$30,'Leave log'!$B$7:$B$306,"&lt;="&amp;DATE($B$3,8,10),'Leave log'!$C$7:$C$306,"&gt;="&amp;DATE($B$3,8,10),'Leave log'!$F$7:$F$306,"Pending")&gt;0,"P",""))))</f>
        <v/>
      </c>
      <c r="L269" s="23" t="str">
        <f>IF(A269="","",IF(IF(OR(DATE($B$3,8,11)&gt;EOMONTH(DATE($B$3,8,1),0),NETWORKDAYS.INTL(DATE($B$3,8,11),DATE($B$3,8,11),1,'Non-working days'!$A$6:$A$45)=0),"",IF(COUNTIFS('Leave log'!$A$7:$A$306,Employees!$A$30,'Leave log'!$B$7:$B$306,"&lt;="&amp;DATE($B$3,8,11),'Leave log'!$C$7:$C$306,"&gt;="&amp;DATE($B$3,8,11),'Leave log'!$F$7:$F$306,"Approved")&gt;0,"A",""))="A","A",IF(OR(DATE($B$3,8,11)&gt;EOMONTH(DATE($B$3,8,1),0),NETWORKDAYS.INTL(DATE($B$3,8,11),DATE($B$3,8,11),1,'Non-working days'!$A$6:$A$45)=0),"",IF(COUNTIFS('Leave log'!$A$7:$A$306,Employees!$A$30,'Leave log'!$B$7:$B$306,"&lt;="&amp;DATE($B$3,8,11),'Leave log'!$C$7:$C$306,"&gt;="&amp;DATE($B$3,8,11),'Leave log'!$F$7:$F$306,"Pending")&gt;0,"P",""))))</f>
        <v/>
      </c>
      <c r="M269" s="23" t="str">
        <f>IF(A269="","",IF(IF(OR(DATE($B$3,8,12)&gt;EOMONTH(DATE($B$3,8,1),0),NETWORKDAYS.INTL(DATE($B$3,8,12),DATE($B$3,8,12),1,'Non-working days'!$A$6:$A$45)=0),"",IF(COUNTIFS('Leave log'!$A$7:$A$306,Employees!$A$30,'Leave log'!$B$7:$B$306,"&lt;="&amp;DATE($B$3,8,12),'Leave log'!$C$7:$C$306,"&gt;="&amp;DATE($B$3,8,12),'Leave log'!$F$7:$F$306,"Approved")&gt;0,"A",""))="A","A",IF(OR(DATE($B$3,8,12)&gt;EOMONTH(DATE($B$3,8,1),0),NETWORKDAYS.INTL(DATE($B$3,8,12),DATE($B$3,8,12),1,'Non-working days'!$A$6:$A$45)=0),"",IF(COUNTIFS('Leave log'!$A$7:$A$306,Employees!$A$30,'Leave log'!$B$7:$B$306,"&lt;="&amp;DATE($B$3,8,12),'Leave log'!$C$7:$C$306,"&gt;="&amp;DATE($B$3,8,12),'Leave log'!$F$7:$F$306,"Pending")&gt;0,"P",""))))</f>
        <v/>
      </c>
      <c r="N269" s="23" t="str">
        <f>IF(A269="","",IF(IF(OR(DATE($B$3,8,13)&gt;EOMONTH(DATE($B$3,8,1),0),NETWORKDAYS.INTL(DATE($B$3,8,13),DATE($B$3,8,13),1,'Non-working days'!$A$6:$A$45)=0),"",IF(COUNTIFS('Leave log'!$A$7:$A$306,Employees!$A$30,'Leave log'!$B$7:$B$306,"&lt;="&amp;DATE($B$3,8,13),'Leave log'!$C$7:$C$306,"&gt;="&amp;DATE($B$3,8,13),'Leave log'!$F$7:$F$306,"Approved")&gt;0,"A",""))="A","A",IF(OR(DATE($B$3,8,13)&gt;EOMONTH(DATE($B$3,8,1),0),NETWORKDAYS.INTL(DATE($B$3,8,13),DATE($B$3,8,13),1,'Non-working days'!$A$6:$A$45)=0),"",IF(COUNTIFS('Leave log'!$A$7:$A$306,Employees!$A$30,'Leave log'!$B$7:$B$306,"&lt;="&amp;DATE($B$3,8,13),'Leave log'!$C$7:$C$306,"&gt;="&amp;DATE($B$3,8,13),'Leave log'!$F$7:$F$306,"Pending")&gt;0,"P",""))))</f>
        <v/>
      </c>
      <c r="O269" s="23" t="str">
        <f>IF(A269="","",IF(IF(OR(DATE($B$3,8,14)&gt;EOMONTH(DATE($B$3,8,1),0),NETWORKDAYS.INTL(DATE($B$3,8,14),DATE($B$3,8,14),1,'Non-working days'!$A$6:$A$45)=0),"",IF(COUNTIFS('Leave log'!$A$7:$A$306,Employees!$A$30,'Leave log'!$B$7:$B$306,"&lt;="&amp;DATE($B$3,8,14),'Leave log'!$C$7:$C$306,"&gt;="&amp;DATE($B$3,8,14),'Leave log'!$F$7:$F$306,"Approved")&gt;0,"A",""))="A","A",IF(OR(DATE($B$3,8,14)&gt;EOMONTH(DATE($B$3,8,1),0),NETWORKDAYS.INTL(DATE($B$3,8,14),DATE($B$3,8,14),1,'Non-working days'!$A$6:$A$45)=0),"",IF(COUNTIFS('Leave log'!$A$7:$A$306,Employees!$A$30,'Leave log'!$B$7:$B$306,"&lt;="&amp;DATE($B$3,8,14),'Leave log'!$C$7:$C$306,"&gt;="&amp;DATE($B$3,8,14),'Leave log'!$F$7:$F$306,"Pending")&gt;0,"P",""))))</f>
        <v/>
      </c>
      <c r="P269" s="23" t="str">
        <f>IF(A269="","",IF(IF(OR(DATE($B$3,8,15)&gt;EOMONTH(DATE($B$3,8,1),0),NETWORKDAYS.INTL(DATE($B$3,8,15),DATE($B$3,8,15),1,'Non-working days'!$A$6:$A$45)=0),"",IF(COUNTIFS('Leave log'!$A$7:$A$306,Employees!$A$30,'Leave log'!$B$7:$B$306,"&lt;="&amp;DATE($B$3,8,15),'Leave log'!$C$7:$C$306,"&gt;="&amp;DATE($B$3,8,15),'Leave log'!$F$7:$F$306,"Approved")&gt;0,"A",""))="A","A",IF(OR(DATE($B$3,8,15)&gt;EOMONTH(DATE($B$3,8,1),0),NETWORKDAYS.INTL(DATE($B$3,8,15),DATE($B$3,8,15),1,'Non-working days'!$A$6:$A$45)=0),"",IF(COUNTIFS('Leave log'!$A$7:$A$306,Employees!$A$30,'Leave log'!$B$7:$B$306,"&lt;="&amp;DATE($B$3,8,15),'Leave log'!$C$7:$C$306,"&gt;="&amp;DATE($B$3,8,15),'Leave log'!$F$7:$F$306,"Pending")&gt;0,"P",""))))</f>
        <v/>
      </c>
      <c r="Q269" s="23" t="str">
        <f>IF(A269="","",IF(IF(OR(DATE($B$3,8,16)&gt;EOMONTH(DATE($B$3,8,1),0),NETWORKDAYS.INTL(DATE($B$3,8,16),DATE($B$3,8,16),1,'Non-working days'!$A$6:$A$45)=0),"",IF(COUNTIFS('Leave log'!$A$7:$A$306,Employees!$A$30,'Leave log'!$B$7:$B$306,"&lt;="&amp;DATE($B$3,8,16),'Leave log'!$C$7:$C$306,"&gt;="&amp;DATE($B$3,8,16),'Leave log'!$F$7:$F$306,"Approved")&gt;0,"A",""))="A","A",IF(OR(DATE($B$3,8,16)&gt;EOMONTH(DATE($B$3,8,1),0),NETWORKDAYS.INTL(DATE($B$3,8,16),DATE($B$3,8,16),1,'Non-working days'!$A$6:$A$45)=0),"",IF(COUNTIFS('Leave log'!$A$7:$A$306,Employees!$A$30,'Leave log'!$B$7:$B$306,"&lt;="&amp;DATE($B$3,8,16),'Leave log'!$C$7:$C$306,"&gt;="&amp;DATE($B$3,8,16),'Leave log'!$F$7:$F$306,"Pending")&gt;0,"P",""))))</f>
        <v/>
      </c>
      <c r="R269" s="23" t="str">
        <f>IF(A269="","",IF(IF(OR(DATE($B$3,8,17)&gt;EOMONTH(DATE($B$3,8,1),0),NETWORKDAYS.INTL(DATE($B$3,8,17),DATE($B$3,8,17),1,'Non-working days'!$A$6:$A$45)=0),"",IF(COUNTIFS('Leave log'!$A$7:$A$306,Employees!$A$30,'Leave log'!$B$7:$B$306,"&lt;="&amp;DATE($B$3,8,17),'Leave log'!$C$7:$C$306,"&gt;="&amp;DATE($B$3,8,17),'Leave log'!$F$7:$F$306,"Approved")&gt;0,"A",""))="A","A",IF(OR(DATE($B$3,8,17)&gt;EOMONTH(DATE($B$3,8,1),0),NETWORKDAYS.INTL(DATE($B$3,8,17),DATE($B$3,8,17),1,'Non-working days'!$A$6:$A$45)=0),"",IF(COUNTIFS('Leave log'!$A$7:$A$306,Employees!$A$30,'Leave log'!$B$7:$B$306,"&lt;="&amp;DATE($B$3,8,17),'Leave log'!$C$7:$C$306,"&gt;="&amp;DATE($B$3,8,17),'Leave log'!$F$7:$F$306,"Pending")&gt;0,"P",""))))</f>
        <v/>
      </c>
      <c r="S269" s="23" t="str">
        <f>IF(A269="","",IF(IF(OR(DATE($B$3,8,18)&gt;EOMONTH(DATE($B$3,8,1),0),NETWORKDAYS.INTL(DATE($B$3,8,18),DATE($B$3,8,18),1,'Non-working days'!$A$6:$A$45)=0),"",IF(COUNTIFS('Leave log'!$A$7:$A$306,Employees!$A$30,'Leave log'!$B$7:$B$306,"&lt;="&amp;DATE($B$3,8,18),'Leave log'!$C$7:$C$306,"&gt;="&amp;DATE($B$3,8,18),'Leave log'!$F$7:$F$306,"Approved")&gt;0,"A",""))="A","A",IF(OR(DATE($B$3,8,18)&gt;EOMONTH(DATE($B$3,8,1),0),NETWORKDAYS.INTL(DATE($B$3,8,18),DATE($B$3,8,18),1,'Non-working days'!$A$6:$A$45)=0),"",IF(COUNTIFS('Leave log'!$A$7:$A$306,Employees!$A$30,'Leave log'!$B$7:$B$306,"&lt;="&amp;DATE($B$3,8,18),'Leave log'!$C$7:$C$306,"&gt;="&amp;DATE($B$3,8,18),'Leave log'!$F$7:$F$306,"Pending")&gt;0,"P",""))))</f>
        <v/>
      </c>
      <c r="T269" s="23" t="str">
        <f>IF(A269="","",IF(IF(OR(DATE($B$3,8,19)&gt;EOMONTH(DATE($B$3,8,1),0),NETWORKDAYS.INTL(DATE($B$3,8,19),DATE($B$3,8,19),1,'Non-working days'!$A$6:$A$45)=0),"",IF(COUNTIFS('Leave log'!$A$7:$A$306,Employees!$A$30,'Leave log'!$B$7:$B$306,"&lt;="&amp;DATE($B$3,8,19),'Leave log'!$C$7:$C$306,"&gt;="&amp;DATE($B$3,8,19),'Leave log'!$F$7:$F$306,"Approved")&gt;0,"A",""))="A","A",IF(OR(DATE($B$3,8,19)&gt;EOMONTH(DATE($B$3,8,1),0),NETWORKDAYS.INTL(DATE($B$3,8,19),DATE($B$3,8,19),1,'Non-working days'!$A$6:$A$45)=0),"",IF(COUNTIFS('Leave log'!$A$7:$A$306,Employees!$A$30,'Leave log'!$B$7:$B$306,"&lt;="&amp;DATE($B$3,8,19),'Leave log'!$C$7:$C$306,"&gt;="&amp;DATE($B$3,8,19),'Leave log'!$F$7:$F$306,"Pending")&gt;0,"P",""))))</f>
        <v/>
      </c>
      <c r="U269" s="23" t="str">
        <f>IF(A269="","",IF(IF(OR(DATE($B$3,8,20)&gt;EOMONTH(DATE($B$3,8,1),0),NETWORKDAYS.INTL(DATE($B$3,8,20),DATE($B$3,8,20),1,'Non-working days'!$A$6:$A$45)=0),"",IF(COUNTIFS('Leave log'!$A$7:$A$306,Employees!$A$30,'Leave log'!$B$7:$B$306,"&lt;="&amp;DATE($B$3,8,20),'Leave log'!$C$7:$C$306,"&gt;="&amp;DATE($B$3,8,20),'Leave log'!$F$7:$F$306,"Approved")&gt;0,"A",""))="A","A",IF(OR(DATE($B$3,8,20)&gt;EOMONTH(DATE($B$3,8,1),0),NETWORKDAYS.INTL(DATE($B$3,8,20),DATE($B$3,8,20),1,'Non-working days'!$A$6:$A$45)=0),"",IF(COUNTIFS('Leave log'!$A$7:$A$306,Employees!$A$30,'Leave log'!$B$7:$B$306,"&lt;="&amp;DATE($B$3,8,20),'Leave log'!$C$7:$C$306,"&gt;="&amp;DATE($B$3,8,20),'Leave log'!$F$7:$F$306,"Pending")&gt;0,"P",""))))</f>
        <v/>
      </c>
      <c r="V269" s="23" t="str">
        <f>IF(A269="","",IF(IF(OR(DATE($B$3,8,21)&gt;EOMONTH(DATE($B$3,8,1),0),NETWORKDAYS.INTL(DATE($B$3,8,21),DATE($B$3,8,21),1,'Non-working days'!$A$6:$A$45)=0),"",IF(COUNTIFS('Leave log'!$A$7:$A$306,Employees!$A$30,'Leave log'!$B$7:$B$306,"&lt;="&amp;DATE($B$3,8,21),'Leave log'!$C$7:$C$306,"&gt;="&amp;DATE($B$3,8,21),'Leave log'!$F$7:$F$306,"Approved")&gt;0,"A",""))="A","A",IF(OR(DATE($B$3,8,21)&gt;EOMONTH(DATE($B$3,8,1),0),NETWORKDAYS.INTL(DATE($B$3,8,21),DATE($B$3,8,21),1,'Non-working days'!$A$6:$A$45)=0),"",IF(COUNTIFS('Leave log'!$A$7:$A$306,Employees!$A$30,'Leave log'!$B$7:$B$306,"&lt;="&amp;DATE($B$3,8,21),'Leave log'!$C$7:$C$306,"&gt;="&amp;DATE($B$3,8,21),'Leave log'!$F$7:$F$306,"Pending")&gt;0,"P",""))))</f>
        <v/>
      </c>
      <c r="W269" s="23" t="str">
        <f>IF(A269="","",IF(IF(OR(DATE($B$3,8,22)&gt;EOMONTH(DATE($B$3,8,1),0),NETWORKDAYS.INTL(DATE($B$3,8,22),DATE($B$3,8,22),1,'Non-working days'!$A$6:$A$45)=0),"",IF(COUNTIFS('Leave log'!$A$7:$A$306,Employees!$A$30,'Leave log'!$B$7:$B$306,"&lt;="&amp;DATE($B$3,8,22),'Leave log'!$C$7:$C$306,"&gt;="&amp;DATE($B$3,8,22),'Leave log'!$F$7:$F$306,"Approved")&gt;0,"A",""))="A","A",IF(OR(DATE($B$3,8,22)&gt;EOMONTH(DATE($B$3,8,1),0),NETWORKDAYS.INTL(DATE($B$3,8,22),DATE($B$3,8,22),1,'Non-working days'!$A$6:$A$45)=0),"",IF(COUNTIFS('Leave log'!$A$7:$A$306,Employees!$A$30,'Leave log'!$B$7:$B$306,"&lt;="&amp;DATE($B$3,8,22),'Leave log'!$C$7:$C$306,"&gt;="&amp;DATE($B$3,8,22),'Leave log'!$F$7:$F$306,"Pending")&gt;0,"P",""))))</f>
        <v/>
      </c>
      <c r="X269" s="23" t="str">
        <f>IF(A269="","",IF(IF(OR(DATE($B$3,8,23)&gt;EOMONTH(DATE($B$3,8,1),0),NETWORKDAYS.INTL(DATE($B$3,8,23),DATE($B$3,8,23),1,'Non-working days'!$A$6:$A$45)=0),"",IF(COUNTIFS('Leave log'!$A$7:$A$306,Employees!$A$30,'Leave log'!$B$7:$B$306,"&lt;="&amp;DATE($B$3,8,23),'Leave log'!$C$7:$C$306,"&gt;="&amp;DATE($B$3,8,23),'Leave log'!$F$7:$F$306,"Approved")&gt;0,"A",""))="A","A",IF(OR(DATE($B$3,8,23)&gt;EOMONTH(DATE($B$3,8,1),0),NETWORKDAYS.INTL(DATE($B$3,8,23),DATE($B$3,8,23),1,'Non-working days'!$A$6:$A$45)=0),"",IF(COUNTIFS('Leave log'!$A$7:$A$306,Employees!$A$30,'Leave log'!$B$7:$B$306,"&lt;="&amp;DATE($B$3,8,23),'Leave log'!$C$7:$C$306,"&gt;="&amp;DATE($B$3,8,23),'Leave log'!$F$7:$F$306,"Pending")&gt;0,"P",""))))</f>
        <v/>
      </c>
      <c r="Y269" s="23" t="str">
        <f>IF(A269="","",IF(IF(OR(DATE($B$3,8,24)&gt;EOMONTH(DATE($B$3,8,1),0),NETWORKDAYS.INTL(DATE($B$3,8,24),DATE($B$3,8,24),1,'Non-working days'!$A$6:$A$45)=0),"",IF(COUNTIFS('Leave log'!$A$7:$A$306,Employees!$A$30,'Leave log'!$B$7:$B$306,"&lt;="&amp;DATE($B$3,8,24),'Leave log'!$C$7:$C$306,"&gt;="&amp;DATE($B$3,8,24),'Leave log'!$F$7:$F$306,"Approved")&gt;0,"A",""))="A","A",IF(OR(DATE($B$3,8,24)&gt;EOMONTH(DATE($B$3,8,1),0),NETWORKDAYS.INTL(DATE($B$3,8,24),DATE($B$3,8,24),1,'Non-working days'!$A$6:$A$45)=0),"",IF(COUNTIFS('Leave log'!$A$7:$A$306,Employees!$A$30,'Leave log'!$B$7:$B$306,"&lt;="&amp;DATE($B$3,8,24),'Leave log'!$C$7:$C$306,"&gt;="&amp;DATE($B$3,8,24),'Leave log'!$F$7:$F$306,"Pending")&gt;0,"P",""))))</f>
        <v/>
      </c>
      <c r="Z269" s="23" t="str">
        <f>IF(A269="","",IF(IF(OR(DATE($B$3,8,25)&gt;EOMONTH(DATE($B$3,8,1),0),NETWORKDAYS.INTL(DATE($B$3,8,25),DATE($B$3,8,25),1,'Non-working days'!$A$6:$A$45)=0),"",IF(COUNTIFS('Leave log'!$A$7:$A$306,Employees!$A$30,'Leave log'!$B$7:$B$306,"&lt;="&amp;DATE($B$3,8,25),'Leave log'!$C$7:$C$306,"&gt;="&amp;DATE($B$3,8,25),'Leave log'!$F$7:$F$306,"Approved")&gt;0,"A",""))="A","A",IF(OR(DATE($B$3,8,25)&gt;EOMONTH(DATE($B$3,8,1),0),NETWORKDAYS.INTL(DATE($B$3,8,25),DATE($B$3,8,25),1,'Non-working days'!$A$6:$A$45)=0),"",IF(COUNTIFS('Leave log'!$A$7:$A$306,Employees!$A$30,'Leave log'!$B$7:$B$306,"&lt;="&amp;DATE($B$3,8,25),'Leave log'!$C$7:$C$306,"&gt;="&amp;DATE($B$3,8,25),'Leave log'!$F$7:$F$306,"Pending")&gt;0,"P",""))))</f>
        <v/>
      </c>
      <c r="AA269" s="23" t="str">
        <f>IF(A269="","",IF(IF(OR(DATE($B$3,8,26)&gt;EOMONTH(DATE($B$3,8,1),0),NETWORKDAYS.INTL(DATE($B$3,8,26),DATE($B$3,8,26),1,'Non-working days'!$A$6:$A$45)=0),"",IF(COUNTIFS('Leave log'!$A$7:$A$306,Employees!$A$30,'Leave log'!$B$7:$B$306,"&lt;="&amp;DATE($B$3,8,26),'Leave log'!$C$7:$C$306,"&gt;="&amp;DATE($B$3,8,26),'Leave log'!$F$7:$F$306,"Approved")&gt;0,"A",""))="A","A",IF(OR(DATE($B$3,8,26)&gt;EOMONTH(DATE($B$3,8,1),0),NETWORKDAYS.INTL(DATE($B$3,8,26),DATE($B$3,8,26),1,'Non-working days'!$A$6:$A$45)=0),"",IF(COUNTIFS('Leave log'!$A$7:$A$306,Employees!$A$30,'Leave log'!$B$7:$B$306,"&lt;="&amp;DATE($B$3,8,26),'Leave log'!$C$7:$C$306,"&gt;="&amp;DATE($B$3,8,26),'Leave log'!$F$7:$F$306,"Pending")&gt;0,"P",""))))</f>
        <v/>
      </c>
      <c r="AB269" s="23" t="str">
        <f>IF(A269="","",IF(IF(OR(DATE($B$3,8,27)&gt;EOMONTH(DATE($B$3,8,1),0),NETWORKDAYS.INTL(DATE($B$3,8,27),DATE($B$3,8,27),1,'Non-working days'!$A$6:$A$45)=0),"",IF(COUNTIFS('Leave log'!$A$7:$A$306,Employees!$A$30,'Leave log'!$B$7:$B$306,"&lt;="&amp;DATE($B$3,8,27),'Leave log'!$C$7:$C$306,"&gt;="&amp;DATE($B$3,8,27),'Leave log'!$F$7:$F$306,"Approved")&gt;0,"A",""))="A","A",IF(OR(DATE($B$3,8,27)&gt;EOMONTH(DATE($B$3,8,1),0),NETWORKDAYS.INTL(DATE($B$3,8,27),DATE($B$3,8,27),1,'Non-working days'!$A$6:$A$45)=0),"",IF(COUNTIFS('Leave log'!$A$7:$A$306,Employees!$A$30,'Leave log'!$B$7:$B$306,"&lt;="&amp;DATE($B$3,8,27),'Leave log'!$C$7:$C$306,"&gt;="&amp;DATE($B$3,8,27),'Leave log'!$F$7:$F$306,"Pending")&gt;0,"P",""))))</f>
        <v/>
      </c>
      <c r="AC269" s="23" t="str">
        <f>IF(A269="","",IF(IF(OR(DATE($B$3,8,28)&gt;EOMONTH(DATE($B$3,8,1),0),NETWORKDAYS.INTL(DATE($B$3,8,28),DATE($B$3,8,28),1,'Non-working days'!$A$6:$A$45)=0),"",IF(COUNTIFS('Leave log'!$A$7:$A$306,Employees!$A$30,'Leave log'!$B$7:$B$306,"&lt;="&amp;DATE($B$3,8,28),'Leave log'!$C$7:$C$306,"&gt;="&amp;DATE($B$3,8,28),'Leave log'!$F$7:$F$306,"Approved")&gt;0,"A",""))="A","A",IF(OR(DATE($B$3,8,28)&gt;EOMONTH(DATE($B$3,8,1),0),NETWORKDAYS.INTL(DATE($B$3,8,28),DATE($B$3,8,28),1,'Non-working days'!$A$6:$A$45)=0),"",IF(COUNTIFS('Leave log'!$A$7:$A$306,Employees!$A$30,'Leave log'!$B$7:$B$306,"&lt;="&amp;DATE($B$3,8,28),'Leave log'!$C$7:$C$306,"&gt;="&amp;DATE($B$3,8,28),'Leave log'!$F$7:$F$306,"Pending")&gt;0,"P",""))))</f>
        <v/>
      </c>
      <c r="AD269" s="23" t="str">
        <f>IF(A269="","",IF(IF(OR(DATE($B$3,8,29)&gt;EOMONTH(DATE($B$3,8,1),0),NETWORKDAYS.INTL(DATE($B$3,8,29),DATE($B$3,8,29),1,'Non-working days'!$A$6:$A$45)=0),"",IF(COUNTIFS('Leave log'!$A$7:$A$306,Employees!$A$30,'Leave log'!$B$7:$B$306,"&lt;="&amp;DATE($B$3,8,29),'Leave log'!$C$7:$C$306,"&gt;="&amp;DATE($B$3,8,29),'Leave log'!$F$7:$F$306,"Approved")&gt;0,"A",""))="A","A",IF(OR(DATE($B$3,8,29)&gt;EOMONTH(DATE($B$3,8,1),0),NETWORKDAYS.INTL(DATE($B$3,8,29),DATE($B$3,8,29),1,'Non-working days'!$A$6:$A$45)=0),"",IF(COUNTIFS('Leave log'!$A$7:$A$306,Employees!$A$30,'Leave log'!$B$7:$B$306,"&lt;="&amp;DATE($B$3,8,29),'Leave log'!$C$7:$C$306,"&gt;="&amp;DATE($B$3,8,29),'Leave log'!$F$7:$F$306,"Pending")&gt;0,"P",""))))</f>
        <v/>
      </c>
      <c r="AE269" s="23" t="str">
        <f>IF(A269="","",IF(IF(OR(DATE($B$3,8,30)&gt;EOMONTH(DATE($B$3,8,1),0),NETWORKDAYS.INTL(DATE($B$3,8,30),DATE($B$3,8,30),1,'Non-working days'!$A$6:$A$45)=0),"",IF(COUNTIFS('Leave log'!$A$7:$A$306,Employees!$A$30,'Leave log'!$B$7:$B$306,"&lt;="&amp;DATE($B$3,8,30),'Leave log'!$C$7:$C$306,"&gt;="&amp;DATE($B$3,8,30),'Leave log'!$F$7:$F$306,"Approved")&gt;0,"A",""))="A","A",IF(OR(DATE($B$3,8,30)&gt;EOMONTH(DATE($B$3,8,1),0),NETWORKDAYS.INTL(DATE($B$3,8,30),DATE($B$3,8,30),1,'Non-working days'!$A$6:$A$45)=0),"",IF(COUNTIFS('Leave log'!$A$7:$A$306,Employees!$A$30,'Leave log'!$B$7:$B$306,"&lt;="&amp;DATE($B$3,8,30),'Leave log'!$C$7:$C$306,"&gt;="&amp;DATE($B$3,8,30),'Leave log'!$F$7:$F$306,"Pending")&gt;0,"P",""))))</f>
        <v/>
      </c>
      <c r="AF269" s="23" t="str">
        <f>IF(A269="","",IF(IF(OR(DATE($B$3,8,31)&gt;EOMONTH(DATE($B$3,8,1),0),NETWORKDAYS.INTL(DATE($B$3,8,31),DATE($B$3,8,31),1,'Non-working days'!$A$6:$A$45)=0),"",IF(COUNTIFS('Leave log'!$A$7:$A$306,Employees!$A$30,'Leave log'!$B$7:$B$306,"&lt;="&amp;DATE($B$3,8,31),'Leave log'!$C$7:$C$306,"&gt;="&amp;DATE($B$3,8,31),'Leave log'!$F$7:$F$306,"Approved")&gt;0,"A",""))="A","A",IF(OR(DATE($B$3,8,31)&gt;EOMONTH(DATE($B$3,8,1),0),NETWORKDAYS.INTL(DATE($B$3,8,31),DATE($B$3,8,31),1,'Non-working days'!$A$6:$A$45)=0),"",IF(COUNTIFS('Leave log'!$A$7:$A$306,Employees!$A$30,'Leave log'!$B$7:$B$306,"&lt;="&amp;DATE($B$3,8,31),'Leave log'!$C$7:$C$306,"&gt;="&amp;DATE($B$3,8,31),'Leave log'!$F$7:$F$306,"Pending")&gt;0,"P",""))))</f>
        <v/>
      </c>
    </row>
    <row r="270" spans="1:32" ht="18" customHeight="1" x14ac:dyDescent="0.3">
      <c r="A270" s="22" t="str">
        <f>IF(Employees!F31="Yes",Employees!B31,"")</f>
        <v/>
      </c>
      <c r="B270" s="23" t="str">
        <f>IF(A270="","",IF(IF(OR(DATE($B$3,8,1)&gt;EOMONTH(DATE($B$3,8,1),0),NETWORKDAYS.INTL(DATE($B$3,8,1),DATE($B$3,8,1),1,'Non-working days'!$A$6:$A$45)=0),"",IF(COUNTIFS('Leave log'!$A$7:$A$306,Employees!$A$31,'Leave log'!$B$7:$B$306,"&lt;="&amp;DATE($B$3,8,1),'Leave log'!$C$7:$C$306,"&gt;="&amp;DATE($B$3,8,1),'Leave log'!$F$7:$F$306,"Approved")&gt;0,"A",""))="A","A",IF(OR(DATE($B$3,8,1)&gt;EOMONTH(DATE($B$3,8,1),0),NETWORKDAYS.INTL(DATE($B$3,8,1),DATE($B$3,8,1),1,'Non-working days'!$A$6:$A$45)=0),"",IF(COUNTIFS('Leave log'!$A$7:$A$306,Employees!$A$31,'Leave log'!$B$7:$B$306,"&lt;="&amp;DATE($B$3,8,1),'Leave log'!$C$7:$C$306,"&gt;="&amp;DATE($B$3,8,1),'Leave log'!$F$7:$F$306,"Pending")&gt;0,"P",""))))</f>
        <v/>
      </c>
      <c r="C270" s="23" t="str">
        <f>IF(A270="","",IF(IF(OR(DATE($B$3,8,2)&gt;EOMONTH(DATE($B$3,8,1),0),NETWORKDAYS.INTL(DATE($B$3,8,2),DATE($B$3,8,2),1,'Non-working days'!$A$6:$A$45)=0),"",IF(COUNTIFS('Leave log'!$A$7:$A$306,Employees!$A$31,'Leave log'!$B$7:$B$306,"&lt;="&amp;DATE($B$3,8,2),'Leave log'!$C$7:$C$306,"&gt;="&amp;DATE($B$3,8,2),'Leave log'!$F$7:$F$306,"Approved")&gt;0,"A",""))="A","A",IF(OR(DATE($B$3,8,2)&gt;EOMONTH(DATE($B$3,8,1),0),NETWORKDAYS.INTL(DATE($B$3,8,2),DATE($B$3,8,2),1,'Non-working days'!$A$6:$A$45)=0),"",IF(COUNTIFS('Leave log'!$A$7:$A$306,Employees!$A$31,'Leave log'!$B$7:$B$306,"&lt;="&amp;DATE($B$3,8,2),'Leave log'!$C$7:$C$306,"&gt;="&amp;DATE($B$3,8,2),'Leave log'!$F$7:$F$306,"Pending")&gt;0,"P",""))))</f>
        <v/>
      </c>
      <c r="D270" s="23" t="str">
        <f>IF(A270="","",IF(IF(OR(DATE($B$3,8,3)&gt;EOMONTH(DATE($B$3,8,1),0),NETWORKDAYS.INTL(DATE($B$3,8,3),DATE($B$3,8,3),1,'Non-working days'!$A$6:$A$45)=0),"",IF(COUNTIFS('Leave log'!$A$7:$A$306,Employees!$A$31,'Leave log'!$B$7:$B$306,"&lt;="&amp;DATE($B$3,8,3),'Leave log'!$C$7:$C$306,"&gt;="&amp;DATE($B$3,8,3),'Leave log'!$F$7:$F$306,"Approved")&gt;0,"A",""))="A","A",IF(OR(DATE($B$3,8,3)&gt;EOMONTH(DATE($B$3,8,1),0),NETWORKDAYS.INTL(DATE($B$3,8,3),DATE($B$3,8,3),1,'Non-working days'!$A$6:$A$45)=0),"",IF(COUNTIFS('Leave log'!$A$7:$A$306,Employees!$A$31,'Leave log'!$B$7:$B$306,"&lt;="&amp;DATE($B$3,8,3),'Leave log'!$C$7:$C$306,"&gt;="&amp;DATE($B$3,8,3),'Leave log'!$F$7:$F$306,"Pending")&gt;0,"P",""))))</f>
        <v/>
      </c>
      <c r="E270" s="23" t="str">
        <f>IF(A270="","",IF(IF(OR(DATE($B$3,8,4)&gt;EOMONTH(DATE($B$3,8,1),0),NETWORKDAYS.INTL(DATE($B$3,8,4),DATE($B$3,8,4),1,'Non-working days'!$A$6:$A$45)=0),"",IF(COUNTIFS('Leave log'!$A$7:$A$306,Employees!$A$31,'Leave log'!$B$7:$B$306,"&lt;="&amp;DATE($B$3,8,4),'Leave log'!$C$7:$C$306,"&gt;="&amp;DATE($B$3,8,4),'Leave log'!$F$7:$F$306,"Approved")&gt;0,"A",""))="A","A",IF(OR(DATE($B$3,8,4)&gt;EOMONTH(DATE($B$3,8,1),0),NETWORKDAYS.INTL(DATE($B$3,8,4),DATE($B$3,8,4),1,'Non-working days'!$A$6:$A$45)=0),"",IF(COUNTIFS('Leave log'!$A$7:$A$306,Employees!$A$31,'Leave log'!$B$7:$B$306,"&lt;="&amp;DATE($B$3,8,4),'Leave log'!$C$7:$C$306,"&gt;="&amp;DATE($B$3,8,4),'Leave log'!$F$7:$F$306,"Pending")&gt;0,"P",""))))</f>
        <v/>
      </c>
      <c r="F270" s="23" t="str">
        <f>IF(A270="","",IF(IF(OR(DATE($B$3,8,5)&gt;EOMONTH(DATE($B$3,8,1),0),NETWORKDAYS.INTL(DATE($B$3,8,5),DATE($B$3,8,5),1,'Non-working days'!$A$6:$A$45)=0),"",IF(COUNTIFS('Leave log'!$A$7:$A$306,Employees!$A$31,'Leave log'!$B$7:$B$306,"&lt;="&amp;DATE($B$3,8,5),'Leave log'!$C$7:$C$306,"&gt;="&amp;DATE($B$3,8,5),'Leave log'!$F$7:$F$306,"Approved")&gt;0,"A",""))="A","A",IF(OR(DATE($B$3,8,5)&gt;EOMONTH(DATE($B$3,8,1),0),NETWORKDAYS.INTL(DATE($B$3,8,5),DATE($B$3,8,5),1,'Non-working days'!$A$6:$A$45)=0),"",IF(COUNTIFS('Leave log'!$A$7:$A$306,Employees!$A$31,'Leave log'!$B$7:$B$306,"&lt;="&amp;DATE($B$3,8,5),'Leave log'!$C$7:$C$306,"&gt;="&amp;DATE($B$3,8,5),'Leave log'!$F$7:$F$306,"Pending")&gt;0,"P",""))))</f>
        <v/>
      </c>
      <c r="G270" s="23" t="str">
        <f>IF(A270="","",IF(IF(OR(DATE($B$3,8,6)&gt;EOMONTH(DATE($B$3,8,1),0),NETWORKDAYS.INTL(DATE($B$3,8,6),DATE($B$3,8,6),1,'Non-working days'!$A$6:$A$45)=0),"",IF(COUNTIFS('Leave log'!$A$7:$A$306,Employees!$A$31,'Leave log'!$B$7:$B$306,"&lt;="&amp;DATE($B$3,8,6),'Leave log'!$C$7:$C$306,"&gt;="&amp;DATE($B$3,8,6),'Leave log'!$F$7:$F$306,"Approved")&gt;0,"A",""))="A","A",IF(OR(DATE($B$3,8,6)&gt;EOMONTH(DATE($B$3,8,1),0),NETWORKDAYS.INTL(DATE($B$3,8,6),DATE($B$3,8,6),1,'Non-working days'!$A$6:$A$45)=0),"",IF(COUNTIFS('Leave log'!$A$7:$A$306,Employees!$A$31,'Leave log'!$B$7:$B$306,"&lt;="&amp;DATE($B$3,8,6),'Leave log'!$C$7:$C$306,"&gt;="&amp;DATE($B$3,8,6),'Leave log'!$F$7:$F$306,"Pending")&gt;0,"P",""))))</f>
        <v/>
      </c>
      <c r="H270" s="23" t="str">
        <f>IF(A270="","",IF(IF(OR(DATE($B$3,8,7)&gt;EOMONTH(DATE($B$3,8,1),0),NETWORKDAYS.INTL(DATE($B$3,8,7),DATE($B$3,8,7),1,'Non-working days'!$A$6:$A$45)=0),"",IF(COUNTIFS('Leave log'!$A$7:$A$306,Employees!$A$31,'Leave log'!$B$7:$B$306,"&lt;="&amp;DATE($B$3,8,7),'Leave log'!$C$7:$C$306,"&gt;="&amp;DATE($B$3,8,7),'Leave log'!$F$7:$F$306,"Approved")&gt;0,"A",""))="A","A",IF(OR(DATE($B$3,8,7)&gt;EOMONTH(DATE($B$3,8,1),0),NETWORKDAYS.INTL(DATE($B$3,8,7),DATE($B$3,8,7),1,'Non-working days'!$A$6:$A$45)=0),"",IF(COUNTIFS('Leave log'!$A$7:$A$306,Employees!$A$31,'Leave log'!$B$7:$B$306,"&lt;="&amp;DATE($B$3,8,7),'Leave log'!$C$7:$C$306,"&gt;="&amp;DATE($B$3,8,7),'Leave log'!$F$7:$F$306,"Pending")&gt;0,"P",""))))</f>
        <v/>
      </c>
      <c r="I270" s="23" t="str">
        <f>IF(A270="","",IF(IF(OR(DATE($B$3,8,8)&gt;EOMONTH(DATE($B$3,8,1),0),NETWORKDAYS.INTL(DATE($B$3,8,8),DATE($B$3,8,8),1,'Non-working days'!$A$6:$A$45)=0),"",IF(COUNTIFS('Leave log'!$A$7:$A$306,Employees!$A$31,'Leave log'!$B$7:$B$306,"&lt;="&amp;DATE($B$3,8,8),'Leave log'!$C$7:$C$306,"&gt;="&amp;DATE($B$3,8,8),'Leave log'!$F$7:$F$306,"Approved")&gt;0,"A",""))="A","A",IF(OR(DATE($B$3,8,8)&gt;EOMONTH(DATE($B$3,8,1),0),NETWORKDAYS.INTL(DATE($B$3,8,8),DATE($B$3,8,8),1,'Non-working days'!$A$6:$A$45)=0),"",IF(COUNTIFS('Leave log'!$A$7:$A$306,Employees!$A$31,'Leave log'!$B$7:$B$306,"&lt;="&amp;DATE($B$3,8,8),'Leave log'!$C$7:$C$306,"&gt;="&amp;DATE($B$3,8,8),'Leave log'!$F$7:$F$306,"Pending")&gt;0,"P",""))))</f>
        <v/>
      </c>
      <c r="J270" s="23" t="str">
        <f>IF(A270="","",IF(IF(OR(DATE($B$3,8,9)&gt;EOMONTH(DATE($B$3,8,1),0),NETWORKDAYS.INTL(DATE($B$3,8,9),DATE($B$3,8,9),1,'Non-working days'!$A$6:$A$45)=0),"",IF(COUNTIFS('Leave log'!$A$7:$A$306,Employees!$A$31,'Leave log'!$B$7:$B$306,"&lt;="&amp;DATE($B$3,8,9),'Leave log'!$C$7:$C$306,"&gt;="&amp;DATE($B$3,8,9),'Leave log'!$F$7:$F$306,"Approved")&gt;0,"A",""))="A","A",IF(OR(DATE($B$3,8,9)&gt;EOMONTH(DATE($B$3,8,1),0),NETWORKDAYS.INTL(DATE($B$3,8,9),DATE($B$3,8,9),1,'Non-working days'!$A$6:$A$45)=0),"",IF(COUNTIFS('Leave log'!$A$7:$A$306,Employees!$A$31,'Leave log'!$B$7:$B$306,"&lt;="&amp;DATE($B$3,8,9),'Leave log'!$C$7:$C$306,"&gt;="&amp;DATE($B$3,8,9),'Leave log'!$F$7:$F$306,"Pending")&gt;0,"P",""))))</f>
        <v/>
      </c>
      <c r="K270" s="23" t="str">
        <f>IF(A270="","",IF(IF(OR(DATE($B$3,8,10)&gt;EOMONTH(DATE($B$3,8,1),0),NETWORKDAYS.INTL(DATE($B$3,8,10),DATE($B$3,8,10),1,'Non-working days'!$A$6:$A$45)=0),"",IF(COUNTIFS('Leave log'!$A$7:$A$306,Employees!$A$31,'Leave log'!$B$7:$B$306,"&lt;="&amp;DATE($B$3,8,10),'Leave log'!$C$7:$C$306,"&gt;="&amp;DATE($B$3,8,10),'Leave log'!$F$7:$F$306,"Approved")&gt;0,"A",""))="A","A",IF(OR(DATE($B$3,8,10)&gt;EOMONTH(DATE($B$3,8,1),0),NETWORKDAYS.INTL(DATE($B$3,8,10),DATE($B$3,8,10),1,'Non-working days'!$A$6:$A$45)=0),"",IF(COUNTIFS('Leave log'!$A$7:$A$306,Employees!$A$31,'Leave log'!$B$7:$B$306,"&lt;="&amp;DATE($B$3,8,10),'Leave log'!$C$7:$C$306,"&gt;="&amp;DATE($B$3,8,10),'Leave log'!$F$7:$F$306,"Pending")&gt;0,"P",""))))</f>
        <v/>
      </c>
      <c r="L270" s="23" t="str">
        <f>IF(A270="","",IF(IF(OR(DATE($B$3,8,11)&gt;EOMONTH(DATE($B$3,8,1),0),NETWORKDAYS.INTL(DATE($B$3,8,11),DATE($B$3,8,11),1,'Non-working days'!$A$6:$A$45)=0),"",IF(COUNTIFS('Leave log'!$A$7:$A$306,Employees!$A$31,'Leave log'!$B$7:$B$306,"&lt;="&amp;DATE($B$3,8,11),'Leave log'!$C$7:$C$306,"&gt;="&amp;DATE($B$3,8,11),'Leave log'!$F$7:$F$306,"Approved")&gt;0,"A",""))="A","A",IF(OR(DATE($B$3,8,11)&gt;EOMONTH(DATE($B$3,8,1),0),NETWORKDAYS.INTL(DATE($B$3,8,11),DATE($B$3,8,11),1,'Non-working days'!$A$6:$A$45)=0),"",IF(COUNTIFS('Leave log'!$A$7:$A$306,Employees!$A$31,'Leave log'!$B$7:$B$306,"&lt;="&amp;DATE($B$3,8,11),'Leave log'!$C$7:$C$306,"&gt;="&amp;DATE($B$3,8,11),'Leave log'!$F$7:$F$306,"Pending")&gt;0,"P",""))))</f>
        <v/>
      </c>
      <c r="M270" s="23" t="str">
        <f>IF(A270="","",IF(IF(OR(DATE($B$3,8,12)&gt;EOMONTH(DATE($B$3,8,1),0),NETWORKDAYS.INTL(DATE($B$3,8,12),DATE($B$3,8,12),1,'Non-working days'!$A$6:$A$45)=0),"",IF(COUNTIFS('Leave log'!$A$7:$A$306,Employees!$A$31,'Leave log'!$B$7:$B$306,"&lt;="&amp;DATE($B$3,8,12),'Leave log'!$C$7:$C$306,"&gt;="&amp;DATE($B$3,8,12),'Leave log'!$F$7:$F$306,"Approved")&gt;0,"A",""))="A","A",IF(OR(DATE($B$3,8,12)&gt;EOMONTH(DATE($B$3,8,1),0),NETWORKDAYS.INTL(DATE($B$3,8,12),DATE($B$3,8,12),1,'Non-working days'!$A$6:$A$45)=0),"",IF(COUNTIFS('Leave log'!$A$7:$A$306,Employees!$A$31,'Leave log'!$B$7:$B$306,"&lt;="&amp;DATE($B$3,8,12),'Leave log'!$C$7:$C$306,"&gt;="&amp;DATE($B$3,8,12),'Leave log'!$F$7:$F$306,"Pending")&gt;0,"P",""))))</f>
        <v/>
      </c>
      <c r="N270" s="23" t="str">
        <f>IF(A270="","",IF(IF(OR(DATE($B$3,8,13)&gt;EOMONTH(DATE($B$3,8,1),0),NETWORKDAYS.INTL(DATE($B$3,8,13),DATE($B$3,8,13),1,'Non-working days'!$A$6:$A$45)=0),"",IF(COUNTIFS('Leave log'!$A$7:$A$306,Employees!$A$31,'Leave log'!$B$7:$B$306,"&lt;="&amp;DATE($B$3,8,13),'Leave log'!$C$7:$C$306,"&gt;="&amp;DATE($B$3,8,13),'Leave log'!$F$7:$F$306,"Approved")&gt;0,"A",""))="A","A",IF(OR(DATE($B$3,8,13)&gt;EOMONTH(DATE($B$3,8,1),0),NETWORKDAYS.INTL(DATE($B$3,8,13),DATE($B$3,8,13),1,'Non-working days'!$A$6:$A$45)=0),"",IF(COUNTIFS('Leave log'!$A$7:$A$306,Employees!$A$31,'Leave log'!$B$7:$B$306,"&lt;="&amp;DATE($B$3,8,13),'Leave log'!$C$7:$C$306,"&gt;="&amp;DATE($B$3,8,13),'Leave log'!$F$7:$F$306,"Pending")&gt;0,"P",""))))</f>
        <v/>
      </c>
      <c r="O270" s="23" t="str">
        <f>IF(A270="","",IF(IF(OR(DATE($B$3,8,14)&gt;EOMONTH(DATE($B$3,8,1),0),NETWORKDAYS.INTL(DATE($B$3,8,14),DATE($B$3,8,14),1,'Non-working days'!$A$6:$A$45)=0),"",IF(COUNTIFS('Leave log'!$A$7:$A$306,Employees!$A$31,'Leave log'!$B$7:$B$306,"&lt;="&amp;DATE($B$3,8,14),'Leave log'!$C$7:$C$306,"&gt;="&amp;DATE($B$3,8,14),'Leave log'!$F$7:$F$306,"Approved")&gt;0,"A",""))="A","A",IF(OR(DATE($B$3,8,14)&gt;EOMONTH(DATE($B$3,8,1),0),NETWORKDAYS.INTL(DATE($B$3,8,14),DATE($B$3,8,14),1,'Non-working days'!$A$6:$A$45)=0),"",IF(COUNTIFS('Leave log'!$A$7:$A$306,Employees!$A$31,'Leave log'!$B$7:$B$306,"&lt;="&amp;DATE($B$3,8,14),'Leave log'!$C$7:$C$306,"&gt;="&amp;DATE($B$3,8,14),'Leave log'!$F$7:$F$306,"Pending")&gt;0,"P",""))))</f>
        <v/>
      </c>
      <c r="P270" s="23" t="str">
        <f>IF(A270="","",IF(IF(OR(DATE($B$3,8,15)&gt;EOMONTH(DATE($B$3,8,1),0),NETWORKDAYS.INTL(DATE($B$3,8,15),DATE($B$3,8,15),1,'Non-working days'!$A$6:$A$45)=0),"",IF(COUNTIFS('Leave log'!$A$7:$A$306,Employees!$A$31,'Leave log'!$B$7:$B$306,"&lt;="&amp;DATE($B$3,8,15),'Leave log'!$C$7:$C$306,"&gt;="&amp;DATE($B$3,8,15),'Leave log'!$F$7:$F$306,"Approved")&gt;0,"A",""))="A","A",IF(OR(DATE($B$3,8,15)&gt;EOMONTH(DATE($B$3,8,1),0),NETWORKDAYS.INTL(DATE($B$3,8,15),DATE($B$3,8,15),1,'Non-working days'!$A$6:$A$45)=0),"",IF(COUNTIFS('Leave log'!$A$7:$A$306,Employees!$A$31,'Leave log'!$B$7:$B$306,"&lt;="&amp;DATE($B$3,8,15),'Leave log'!$C$7:$C$306,"&gt;="&amp;DATE($B$3,8,15),'Leave log'!$F$7:$F$306,"Pending")&gt;0,"P",""))))</f>
        <v/>
      </c>
      <c r="Q270" s="23" t="str">
        <f>IF(A270="","",IF(IF(OR(DATE($B$3,8,16)&gt;EOMONTH(DATE($B$3,8,1),0),NETWORKDAYS.INTL(DATE($B$3,8,16),DATE($B$3,8,16),1,'Non-working days'!$A$6:$A$45)=0),"",IF(COUNTIFS('Leave log'!$A$7:$A$306,Employees!$A$31,'Leave log'!$B$7:$B$306,"&lt;="&amp;DATE($B$3,8,16),'Leave log'!$C$7:$C$306,"&gt;="&amp;DATE($B$3,8,16),'Leave log'!$F$7:$F$306,"Approved")&gt;0,"A",""))="A","A",IF(OR(DATE($B$3,8,16)&gt;EOMONTH(DATE($B$3,8,1),0),NETWORKDAYS.INTL(DATE($B$3,8,16),DATE($B$3,8,16),1,'Non-working days'!$A$6:$A$45)=0),"",IF(COUNTIFS('Leave log'!$A$7:$A$306,Employees!$A$31,'Leave log'!$B$7:$B$306,"&lt;="&amp;DATE($B$3,8,16),'Leave log'!$C$7:$C$306,"&gt;="&amp;DATE($B$3,8,16),'Leave log'!$F$7:$F$306,"Pending")&gt;0,"P",""))))</f>
        <v/>
      </c>
      <c r="R270" s="23" t="str">
        <f>IF(A270="","",IF(IF(OR(DATE($B$3,8,17)&gt;EOMONTH(DATE($B$3,8,1),0),NETWORKDAYS.INTL(DATE($B$3,8,17),DATE($B$3,8,17),1,'Non-working days'!$A$6:$A$45)=0),"",IF(COUNTIFS('Leave log'!$A$7:$A$306,Employees!$A$31,'Leave log'!$B$7:$B$306,"&lt;="&amp;DATE($B$3,8,17),'Leave log'!$C$7:$C$306,"&gt;="&amp;DATE($B$3,8,17),'Leave log'!$F$7:$F$306,"Approved")&gt;0,"A",""))="A","A",IF(OR(DATE($B$3,8,17)&gt;EOMONTH(DATE($B$3,8,1),0),NETWORKDAYS.INTL(DATE($B$3,8,17),DATE($B$3,8,17),1,'Non-working days'!$A$6:$A$45)=0),"",IF(COUNTIFS('Leave log'!$A$7:$A$306,Employees!$A$31,'Leave log'!$B$7:$B$306,"&lt;="&amp;DATE($B$3,8,17),'Leave log'!$C$7:$C$306,"&gt;="&amp;DATE($B$3,8,17),'Leave log'!$F$7:$F$306,"Pending")&gt;0,"P",""))))</f>
        <v/>
      </c>
      <c r="S270" s="23" t="str">
        <f>IF(A270="","",IF(IF(OR(DATE($B$3,8,18)&gt;EOMONTH(DATE($B$3,8,1),0),NETWORKDAYS.INTL(DATE($B$3,8,18),DATE($B$3,8,18),1,'Non-working days'!$A$6:$A$45)=0),"",IF(COUNTIFS('Leave log'!$A$7:$A$306,Employees!$A$31,'Leave log'!$B$7:$B$306,"&lt;="&amp;DATE($B$3,8,18),'Leave log'!$C$7:$C$306,"&gt;="&amp;DATE($B$3,8,18),'Leave log'!$F$7:$F$306,"Approved")&gt;0,"A",""))="A","A",IF(OR(DATE($B$3,8,18)&gt;EOMONTH(DATE($B$3,8,1),0),NETWORKDAYS.INTL(DATE($B$3,8,18),DATE($B$3,8,18),1,'Non-working days'!$A$6:$A$45)=0),"",IF(COUNTIFS('Leave log'!$A$7:$A$306,Employees!$A$31,'Leave log'!$B$7:$B$306,"&lt;="&amp;DATE($B$3,8,18),'Leave log'!$C$7:$C$306,"&gt;="&amp;DATE($B$3,8,18),'Leave log'!$F$7:$F$306,"Pending")&gt;0,"P",""))))</f>
        <v/>
      </c>
      <c r="T270" s="23" t="str">
        <f>IF(A270="","",IF(IF(OR(DATE($B$3,8,19)&gt;EOMONTH(DATE($B$3,8,1),0),NETWORKDAYS.INTL(DATE($B$3,8,19),DATE($B$3,8,19),1,'Non-working days'!$A$6:$A$45)=0),"",IF(COUNTIFS('Leave log'!$A$7:$A$306,Employees!$A$31,'Leave log'!$B$7:$B$306,"&lt;="&amp;DATE($B$3,8,19),'Leave log'!$C$7:$C$306,"&gt;="&amp;DATE($B$3,8,19),'Leave log'!$F$7:$F$306,"Approved")&gt;0,"A",""))="A","A",IF(OR(DATE($B$3,8,19)&gt;EOMONTH(DATE($B$3,8,1),0),NETWORKDAYS.INTL(DATE($B$3,8,19),DATE($B$3,8,19),1,'Non-working days'!$A$6:$A$45)=0),"",IF(COUNTIFS('Leave log'!$A$7:$A$306,Employees!$A$31,'Leave log'!$B$7:$B$306,"&lt;="&amp;DATE($B$3,8,19),'Leave log'!$C$7:$C$306,"&gt;="&amp;DATE($B$3,8,19),'Leave log'!$F$7:$F$306,"Pending")&gt;0,"P",""))))</f>
        <v/>
      </c>
      <c r="U270" s="23" t="str">
        <f>IF(A270="","",IF(IF(OR(DATE($B$3,8,20)&gt;EOMONTH(DATE($B$3,8,1),0),NETWORKDAYS.INTL(DATE($B$3,8,20),DATE($B$3,8,20),1,'Non-working days'!$A$6:$A$45)=0),"",IF(COUNTIFS('Leave log'!$A$7:$A$306,Employees!$A$31,'Leave log'!$B$7:$B$306,"&lt;="&amp;DATE($B$3,8,20),'Leave log'!$C$7:$C$306,"&gt;="&amp;DATE($B$3,8,20),'Leave log'!$F$7:$F$306,"Approved")&gt;0,"A",""))="A","A",IF(OR(DATE($B$3,8,20)&gt;EOMONTH(DATE($B$3,8,1),0),NETWORKDAYS.INTL(DATE($B$3,8,20),DATE($B$3,8,20),1,'Non-working days'!$A$6:$A$45)=0),"",IF(COUNTIFS('Leave log'!$A$7:$A$306,Employees!$A$31,'Leave log'!$B$7:$B$306,"&lt;="&amp;DATE($B$3,8,20),'Leave log'!$C$7:$C$306,"&gt;="&amp;DATE($B$3,8,20),'Leave log'!$F$7:$F$306,"Pending")&gt;0,"P",""))))</f>
        <v/>
      </c>
      <c r="V270" s="23" t="str">
        <f>IF(A270="","",IF(IF(OR(DATE($B$3,8,21)&gt;EOMONTH(DATE($B$3,8,1),0),NETWORKDAYS.INTL(DATE($B$3,8,21),DATE($B$3,8,21),1,'Non-working days'!$A$6:$A$45)=0),"",IF(COUNTIFS('Leave log'!$A$7:$A$306,Employees!$A$31,'Leave log'!$B$7:$B$306,"&lt;="&amp;DATE($B$3,8,21),'Leave log'!$C$7:$C$306,"&gt;="&amp;DATE($B$3,8,21),'Leave log'!$F$7:$F$306,"Approved")&gt;0,"A",""))="A","A",IF(OR(DATE($B$3,8,21)&gt;EOMONTH(DATE($B$3,8,1),0),NETWORKDAYS.INTL(DATE($B$3,8,21),DATE($B$3,8,21),1,'Non-working days'!$A$6:$A$45)=0),"",IF(COUNTIFS('Leave log'!$A$7:$A$306,Employees!$A$31,'Leave log'!$B$7:$B$306,"&lt;="&amp;DATE($B$3,8,21),'Leave log'!$C$7:$C$306,"&gt;="&amp;DATE($B$3,8,21),'Leave log'!$F$7:$F$306,"Pending")&gt;0,"P",""))))</f>
        <v/>
      </c>
      <c r="W270" s="23" t="str">
        <f>IF(A270="","",IF(IF(OR(DATE($B$3,8,22)&gt;EOMONTH(DATE($B$3,8,1),0),NETWORKDAYS.INTL(DATE($B$3,8,22),DATE($B$3,8,22),1,'Non-working days'!$A$6:$A$45)=0),"",IF(COUNTIFS('Leave log'!$A$7:$A$306,Employees!$A$31,'Leave log'!$B$7:$B$306,"&lt;="&amp;DATE($B$3,8,22),'Leave log'!$C$7:$C$306,"&gt;="&amp;DATE($B$3,8,22),'Leave log'!$F$7:$F$306,"Approved")&gt;0,"A",""))="A","A",IF(OR(DATE($B$3,8,22)&gt;EOMONTH(DATE($B$3,8,1),0),NETWORKDAYS.INTL(DATE($B$3,8,22),DATE($B$3,8,22),1,'Non-working days'!$A$6:$A$45)=0),"",IF(COUNTIFS('Leave log'!$A$7:$A$306,Employees!$A$31,'Leave log'!$B$7:$B$306,"&lt;="&amp;DATE($B$3,8,22),'Leave log'!$C$7:$C$306,"&gt;="&amp;DATE($B$3,8,22),'Leave log'!$F$7:$F$306,"Pending")&gt;0,"P",""))))</f>
        <v/>
      </c>
      <c r="X270" s="23" t="str">
        <f>IF(A270="","",IF(IF(OR(DATE($B$3,8,23)&gt;EOMONTH(DATE($B$3,8,1),0),NETWORKDAYS.INTL(DATE($B$3,8,23),DATE($B$3,8,23),1,'Non-working days'!$A$6:$A$45)=0),"",IF(COUNTIFS('Leave log'!$A$7:$A$306,Employees!$A$31,'Leave log'!$B$7:$B$306,"&lt;="&amp;DATE($B$3,8,23),'Leave log'!$C$7:$C$306,"&gt;="&amp;DATE($B$3,8,23),'Leave log'!$F$7:$F$306,"Approved")&gt;0,"A",""))="A","A",IF(OR(DATE($B$3,8,23)&gt;EOMONTH(DATE($B$3,8,1),0),NETWORKDAYS.INTL(DATE($B$3,8,23),DATE($B$3,8,23),1,'Non-working days'!$A$6:$A$45)=0),"",IF(COUNTIFS('Leave log'!$A$7:$A$306,Employees!$A$31,'Leave log'!$B$7:$B$306,"&lt;="&amp;DATE($B$3,8,23),'Leave log'!$C$7:$C$306,"&gt;="&amp;DATE($B$3,8,23),'Leave log'!$F$7:$F$306,"Pending")&gt;0,"P",""))))</f>
        <v/>
      </c>
      <c r="Y270" s="23" t="str">
        <f>IF(A270="","",IF(IF(OR(DATE($B$3,8,24)&gt;EOMONTH(DATE($B$3,8,1),0),NETWORKDAYS.INTL(DATE($B$3,8,24),DATE($B$3,8,24),1,'Non-working days'!$A$6:$A$45)=0),"",IF(COUNTIFS('Leave log'!$A$7:$A$306,Employees!$A$31,'Leave log'!$B$7:$B$306,"&lt;="&amp;DATE($B$3,8,24),'Leave log'!$C$7:$C$306,"&gt;="&amp;DATE($B$3,8,24),'Leave log'!$F$7:$F$306,"Approved")&gt;0,"A",""))="A","A",IF(OR(DATE($B$3,8,24)&gt;EOMONTH(DATE($B$3,8,1),0),NETWORKDAYS.INTL(DATE($B$3,8,24),DATE($B$3,8,24),1,'Non-working days'!$A$6:$A$45)=0),"",IF(COUNTIFS('Leave log'!$A$7:$A$306,Employees!$A$31,'Leave log'!$B$7:$B$306,"&lt;="&amp;DATE($B$3,8,24),'Leave log'!$C$7:$C$306,"&gt;="&amp;DATE($B$3,8,24),'Leave log'!$F$7:$F$306,"Pending")&gt;0,"P",""))))</f>
        <v/>
      </c>
      <c r="Z270" s="23" t="str">
        <f>IF(A270="","",IF(IF(OR(DATE($B$3,8,25)&gt;EOMONTH(DATE($B$3,8,1),0),NETWORKDAYS.INTL(DATE($B$3,8,25),DATE($B$3,8,25),1,'Non-working days'!$A$6:$A$45)=0),"",IF(COUNTIFS('Leave log'!$A$7:$A$306,Employees!$A$31,'Leave log'!$B$7:$B$306,"&lt;="&amp;DATE($B$3,8,25),'Leave log'!$C$7:$C$306,"&gt;="&amp;DATE($B$3,8,25),'Leave log'!$F$7:$F$306,"Approved")&gt;0,"A",""))="A","A",IF(OR(DATE($B$3,8,25)&gt;EOMONTH(DATE($B$3,8,1),0),NETWORKDAYS.INTL(DATE($B$3,8,25),DATE($B$3,8,25),1,'Non-working days'!$A$6:$A$45)=0),"",IF(COUNTIFS('Leave log'!$A$7:$A$306,Employees!$A$31,'Leave log'!$B$7:$B$306,"&lt;="&amp;DATE($B$3,8,25),'Leave log'!$C$7:$C$306,"&gt;="&amp;DATE($B$3,8,25),'Leave log'!$F$7:$F$306,"Pending")&gt;0,"P",""))))</f>
        <v/>
      </c>
      <c r="AA270" s="23" t="str">
        <f>IF(A270="","",IF(IF(OR(DATE($B$3,8,26)&gt;EOMONTH(DATE($B$3,8,1),0),NETWORKDAYS.INTL(DATE($B$3,8,26),DATE($B$3,8,26),1,'Non-working days'!$A$6:$A$45)=0),"",IF(COUNTIFS('Leave log'!$A$7:$A$306,Employees!$A$31,'Leave log'!$B$7:$B$306,"&lt;="&amp;DATE($B$3,8,26),'Leave log'!$C$7:$C$306,"&gt;="&amp;DATE($B$3,8,26),'Leave log'!$F$7:$F$306,"Approved")&gt;0,"A",""))="A","A",IF(OR(DATE($B$3,8,26)&gt;EOMONTH(DATE($B$3,8,1),0),NETWORKDAYS.INTL(DATE($B$3,8,26),DATE($B$3,8,26),1,'Non-working days'!$A$6:$A$45)=0),"",IF(COUNTIFS('Leave log'!$A$7:$A$306,Employees!$A$31,'Leave log'!$B$7:$B$306,"&lt;="&amp;DATE($B$3,8,26),'Leave log'!$C$7:$C$306,"&gt;="&amp;DATE($B$3,8,26),'Leave log'!$F$7:$F$306,"Pending")&gt;0,"P",""))))</f>
        <v/>
      </c>
      <c r="AB270" s="23" t="str">
        <f>IF(A270="","",IF(IF(OR(DATE($B$3,8,27)&gt;EOMONTH(DATE($B$3,8,1),0),NETWORKDAYS.INTL(DATE($B$3,8,27),DATE($B$3,8,27),1,'Non-working days'!$A$6:$A$45)=0),"",IF(COUNTIFS('Leave log'!$A$7:$A$306,Employees!$A$31,'Leave log'!$B$7:$B$306,"&lt;="&amp;DATE($B$3,8,27),'Leave log'!$C$7:$C$306,"&gt;="&amp;DATE($B$3,8,27),'Leave log'!$F$7:$F$306,"Approved")&gt;0,"A",""))="A","A",IF(OR(DATE($B$3,8,27)&gt;EOMONTH(DATE($B$3,8,1),0),NETWORKDAYS.INTL(DATE($B$3,8,27),DATE($B$3,8,27),1,'Non-working days'!$A$6:$A$45)=0),"",IF(COUNTIFS('Leave log'!$A$7:$A$306,Employees!$A$31,'Leave log'!$B$7:$B$306,"&lt;="&amp;DATE($B$3,8,27),'Leave log'!$C$7:$C$306,"&gt;="&amp;DATE($B$3,8,27),'Leave log'!$F$7:$F$306,"Pending")&gt;0,"P",""))))</f>
        <v/>
      </c>
      <c r="AC270" s="23" t="str">
        <f>IF(A270="","",IF(IF(OR(DATE($B$3,8,28)&gt;EOMONTH(DATE($B$3,8,1),0),NETWORKDAYS.INTL(DATE($B$3,8,28),DATE($B$3,8,28),1,'Non-working days'!$A$6:$A$45)=0),"",IF(COUNTIFS('Leave log'!$A$7:$A$306,Employees!$A$31,'Leave log'!$B$7:$B$306,"&lt;="&amp;DATE($B$3,8,28),'Leave log'!$C$7:$C$306,"&gt;="&amp;DATE($B$3,8,28),'Leave log'!$F$7:$F$306,"Approved")&gt;0,"A",""))="A","A",IF(OR(DATE($B$3,8,28)&gt;EOMONTH(DATE($B$3,8,1),0),NETWORKDAYS.INTL(DATE($B$3,8,28),DATE($B$3,8,28),1,'Non-working days'!$A$6:$A$45)=0),"",IF(COUNTIFS('Leave log'!$A$7:$A$306,Employees!$A$31,'Leave log'!$B$7:$B$306,"&lt;="&amp;DATE($B$3,8,28),'Leave log'!$C$7:$C$306,"&gt;="&amp;DATE($B$3,8,28),'Leave log'!$F$7:$F$306,"Pending")&gt;0,"P",""))))</f>
        <v/>
      </c>
      <c r="AD270" s="23" t="str">
        <f>IF(A270="","",IF(IF(OR(DATE($B$3,8,29)&gt;EOMONTH(DATE($B$3,8,1),0),NETWORKDAYS.INTL(DATE($B$3,8,29),DATE($B$3,8,29),1,'Non-working days'!$A$6:$A$45)=0),"",IF(COUNTIFS('Leave log'!$A$7:$A$306,Employees!$A$31,'Leave log'!$B$7:$B$306,"&lt;="&amp;DATE($B$3,8,29),'Leave log'!$C$7:$C$306,"&gt;="&amp;DATE($B$3,8,29),'Leave log'!$F$7:$F$306,"Approved")&gt;0,"A",""))="A","A",IF(OR(DATE($B$3,8,29)&gt;EOMONTH(DATE($B$3,8,1),0),NETWORKDAYS.INTL(DATE($B$3,8,29),DATE($B$3,8,29),1,'Non-working days'!$A$6:$A$45)=0),"",IF(COUNTIFS('Leave log'!$A$7:$A$306,Employees!$A$31,'Leave log'!$B$7:$B$306,"&lt;="&amp;DATE($B$3,8,29),'Leave log'!$C$7:$C$306,"&gt;="&amp;DATE($B$3,8,29),'Leave log'!$F$7:$F$306,"Pending")&gt;0,"P",""))))</f>
        <v/>
      </c>
      <c r="AE270" s="23" t="str">
        <f>IF(A270="","",IF(IF(OR(DATE($B$3,8,30)&gt;EOMONTH(DATE($B$3,8,1),0),NETWORKDAYS.INTL(DATE($B$3,8,30),DATE($B$3,8,30),1,'Non-working days'!$A$6:$A$45)=0),"",IF(COUNTIFS('Leave log'!$A$7:$A$306,Employees!$A$31,'Leave log'!$B$7:$B$306,"&lt;="&amp;DATE($B$3,8,30),'Leave log'!$C$7:$C$306,"&gt;="&amp;DATE($B$3,8,30),'Leave log'!$F$7:$F$306,"Approved")&gt;0,"A",""))="A","A",IF(OR(DATE($B$3,8,30)&gt;EOMONTH(DATE($B$3,8,1),0),NETWORKDAYS.INTL(DATE($B$3,8,30),DATE($B$3,8,30),1,'Non-working days'!$A$6:$A$45)=0),"",IF(COUNTIFS('Leave log'!$A$7:$A$306,Employees!$A$31,'Leave log'!$B$7:$B$306,"&lt;="&amp;DATE($B$3,8,30),'Leave log'!$C$7:$C$306,"&gt;="&amp;DATE($B$3,8,30),'Leave log'!$F$7:$F$306,"Pending")&gt;0,"P",""))))</f>
        <v/>
      </c>
      <c r="AF270" s="23" t="str">
        <f>IF(A270="","",IF(IF(OR(DATE($B$3,8,31)&gt;EOMONTH(DATE($B$3,8,1),0),NETWORKDAYS.INTL(DATE($B$3,8,31),DATE($B$3,8,31),1,'Non-working days'!$A$6:$A$45)=0),"",IF(COUNTIFS('Leave log'!$A$7:$A$306,Employees!$A$31,'Leave log'!$B$7:$B$306,"&lt;="&amp;DATE($B$3,8,31),'Leave log'!$C$7:$C$306,"&gt;="&amp;DATE($B$3,8,31),'Leave log'!$F$7:$F$306,"Approved")&gt;0,"A",""))="A","A",IF(OR(DATE($B$3,8,31)&gt;EOMONTH(DATE($B$3,8,1),0),NETWORKDAYS.INTL(DATE($B$3,8,31),DATE($B$3,8,31),1,'Non-working days'!$A$6:$A$45)=0),"",IF(COUNTIFS('Leave log'!$A$7:$A$306,Employees!$A$31,'Leave log'!$B$7:$B$306,"&lt;="&amp;DATE($B$3,8,31),'Leave log'!$C$7:$C$306,"&gt;="&amp;DATE($B$3,8,31),'Leave log'!$F$7:$F$306,"Pending")&gt;0,"P",""))))</f>
        <v/>
      </c>
    </row>
    <row r="271" spans="1:32" ht="18" customHeight="1" x14ac:dyDescent="0.3">
      <c r="A271" s="22" t="str">
        <f>IF(Employees!F32="Yes",Employees!B32,"")</f>
        <v/>
      </c>
      <c r="B271" s="23" t="str">
        <f>IF(A271="","",IF(IF(OR(DATE($B$3,8,1)&gt;EOMONTH(DATE($B$3,8,1),0),NETWORKDAYS.INTL(DATE($B$3,8,1),DATE($B$3,8,1),1,'Non-working days'!$A$6:$A$45)=0),"",IF(COUNTIFS('Leave log'!$A$7:$A$306,Employees!$A$32,'Leave log'!$B$7:$B$306,"&lt;="&amp;DATE($B$3,8,1),'Leave log'!$C$7:$C$306,"&gt;="&amp;DATE($B$3,8,1),'Leave log'!$F$7:$F$306,"Approved")&gt;0,"A",""))="A","A",IF(OR(DATE($B$3,8,1)&gt;EOMONTH(DATE($B$3,8,1),0),NETWORKDAYS.INTL(DATE($B$3,8,1),DATE($B$3,8,1),1,'Non-working days'!$A$6:$A$45)=0),"",IF(COUNTIFS('Leave log'!$A$7:$A$306,Employees!$A$32,'Leave log'!$B$7:$B$306,"&lt;="&amp;DATE($B$3,8,1),'Leave log'!$C$7:$C$306,"&gt;="&amp;DATE($B$3,8,1),'Leave log'!$F$7:$F$306,"Pending")&gt;0,"P",""))))</f>
        <v/>
      </c>
      <c r="C271" s="23" t="str">
        <f>IF(A271="","",IF(IF(OR(DATE($B$3,8,2)&gt;EOMONTH(DATE($B$3,8,1),0),NETWORKDAYS.INTL(DATE($B$3,8,2),DATE($B$3,8,2),1,'Non-working days'!$A$6:$A$45)=0),"",IF(COUNTIFS('Leave log'!$A$7:$A$306,Employees!$A$32,'Leave log'!$B$7:$B$306,"&lt;="&amp;DATE($B$3,8,2),'Leave log'!$C$7:$C$306,"&gt;="&amp;DATE($B$3,8,2),'Leave log'!$F$7:$F$306,"Approved")&gt;0,"A",""))="A","A",IF(OR(DATE($B$3,8,2)&gt;EOMONTH(DATE($B$3,8,1),0),NETWORKDAYS.INTL(DATE($B$3,8,2),DATE($B$3,8,2),1,'Non-working days'!$A$6:$A$45)=0),"",IF(COUNTIFS('Leave log'!$A$7:$A$306,Employees!$A$32,'Leave log'!$B$7:$B$306,"&lt;="&amp;DATE($B$3,8,2),'Leave log'!$C$7:$C$306,"&gt;="&amp;DATE($B$3,8,2),'Leave log'!$F$7:$F$306,"Pending")&gt;0,"P",""))))</f>
        <v/>
      </c>
      <c r="D271" s="23" t="str">
        <f>IF(A271="","",IF(IF(OR(DATE($B$3,8,3)&gt;EOMONTH(DATE($B$3,8,1),0),NETWORKDAYS.INTL(DATE($B$3,8,3),DATE($B$3,8,3),1,'Non-working days'!$A$6:$A$45)=0),"",IF(COUNTIFS('Leave log'!$A$7:$A$306,Employees!$A$32,'Leave log'!$B$7:$B$306,"&lt;="&amp;DATE($B$3,8,3),'Leave log'!$C$7:$C$306,"&gt;="&amp;DATE($B$3,8,3),'Leave log'!$F$7:$F$306,"Approved")&gt;0,"A",""))="A","A",IF(OR(DATE($B$3,8,3)&gt;EOMONTH(DATE($B$3,8,1),0),NETWORKDAYS.INTL(DATE($B$3,8,3),DATE($B$3,8,3),1,'Non-working days'!$A$6:$A$45)=0),"",IF(COUNTIFS('Leave log'!$A$7:$A$306,Employees!$A$32,'Leave log'!$B$7:$B$306,"&lt;="&amp;DATE($B$3,8,3),'Leave log'!$C$7:$C$306,"&gt;="&amp;DATE($B$3,8,3),'Leave log'!$F$7:$F$306,"Pending")&gt;0,"P",""))))</f>
        <v/>
      </c>
      <c r="E271" s="23" t="str">
        <f>IF(A271="","",IF(IF(OR(DATE($B$3,8,4)&gt;EOMONTH(DATE($B$3,8,1),0),NETWORKDAYS.INTL(DATE($B$3,8,4),DATE($B$3,8,4),1,'Non-working days'!$A$6:$A$45)=0),"",IF(COUNTIFS('Leave log'!$A$7:$A$306,Employees!$A$32,'Leave log'!$B$7:$B$306,"&lt;="&amp;DATE($B$3,8,4),'Leave log'!$C$7:$C$306,"&gt;="&amp;DATE($B$3,8,4),'Leave log'!$F$7:$F$306,"Approved")&gt;0,"A",""))="A","A",IF(OR(DATE($B$3,8,4)&gt;EOMONTH(DATE($B$3,8,1),0),NETWORKDAYS.INTL(DATE($B$3,8,4),DATE($B$3,8,4),1,'Non-working days'!$A$6:$A$45)=0),"",IF(COUNTIFS('Leave log'!$A$7:$A$306,Employees!$A$32,'Leave log'!$B$7:$B$306,"&lt;="&amp;DATE($B$3,8,4),'Leave log'!$C$7:$C$306,"&gt;="&amp;DATE($B$3,8,4),'Leave log'!$F$7:$F$306,"Pending")&gt;0,"P",""))))</f>
        <v/>
      </c>
      <c r="F271" s="23" t="str">
        <f>IF(A271="","",IF(IF(OR(DATE($B$3,8,5)&gt;EOMONTH(DATE($B$3,8,1),0),NETWORKDAYS.INTL(DATE($B$3,8,5),DATE($B$3,8,5),1,'Non-working days'!$A$6:$A$45)=0),"",IF(COUNTIFS('Leave log'!$A$7:$A$306,Employees!$A$32,'Leave log'!$B$7:$B$306,"&lt;="&amp;DATE($B$3,8,5),'Leave log'!$C$7:$C$306,"&gt;="&amp;DATE($B$3,8,5),'Leave log'!$F$7:$F$306,"Approved")&gt;0,"A",""))="A","A",IF(OR(DATE($B$3,8,5)&gt;EOMONTH(DATE($B$3,8,1),0),NETWORKDAYS.INTL(DATE($B$3,8,5),DATE($B$3,8,5),1,'Non-working days'!$A$6:$A$45)=0),"",IF(COUNTIFS('Leave log'!$A$7:$A$306,Employees!$A$32,'Leave log'!$B$7:$B$306,"&lt;="&amp;DATE($B$3,8,5),'Leave log'!$C$7:$C$306,"&gt;="&amp;DATE($B$3,8,5),'Leave log'!$F$7:$F$306,"Pending")&gt;0,"P",""))))</f>
        <v/>
      </c>
      <c r="G271" s="23" t="str">
        <f>IF(A271="","",IF(IF(OR(DATE($B$3,8,6)&gt;EOMONTH(DATE($B$3,8,1),0),NETWORKDAYS.INTL(DATE($B$3,8,6),DATE($B$3,8,6),1,'Non-working days'!$A$6:$A$45)=0),"",IF(COUNTIFS('Leave log'!$A$7:$A$306,Employees!$A$32,'Leave log'!$B$7:$B$306,"&lt;="&amp;DATE($B$3,8,6),'Leave log'!$C$7:$C$306,"&gt;="&amp;DATE($B$3,8,6),'Leave log'!$F$7:$F$306,"Approved")&gt;0,"A",""))="A","A",IF(OR(DATE($B$3,8,6)&gt;EOMONTH(DATE($B$3,8,1),0),NETWORKDAYS.INTL(DATE($B$3,8,6),DATE($B$3,8,6),1,'Non-working days'!$A$6:$A$45)=0),"",IF(COUNTIFS('Leave log'!$A$7:$A$306,Employees!$A$32,'Leave log'!$B$7:$B$306,"&lt;="&amp;DATE($B$3,8,6),'Leave log'!$C$7:$C$306,"&gt;="&amp;DATE($B$3,8,6),'Leave log'!$F$7:$F$306,"Pending")&gt;0,"P",""))))</f>
        <v/>
      </c>
      <c r="H271" s="23" t="str">
        <f>IF(A271="","",IF(IF(OR(DATE($B$3,8,7)&gt;EOMONTH(DATE($B$3,8,1),0),NETWORKDAYS.INTL(DATE($B$3,8,7),DATE($B$3,8,7),1,'Non-working days'!$A$6:$A$45)=0),"",IF(COUNTIFS('Leave log'!$A$7:$A$306,Employees!$A$32,'Leave log'!$B$7:$B$306,"&lt;="&amp;DATE($B$3,8,7),'Leave log'!$C$7:$C$306,"&gt;="&amp;DATE($B$3,8,7),'Leave log'!$F$7:$F$306,"Approved")&gt;0,"A",""))="A","A",IF(OR(DATE($B$3,8,7)&gt;EOMONTH(DATE($B$3,8,1),0),NETWORKDAYS.INTL(DATE($B$3,8,7),DATE($B$3,8,7),1,'Non-working days'!$A$6:$A$45)=0),"",IF(COUNTIFS('Leave log'!$A$7:$A$306,Employees!$A$32,'Leave log'!$B$7:$B$306,"&lt;="&amp;DATE($B$3,8,7),'Leave log'!$C$7:$C$306,"&gt;="&amp;DATE($B$3,8,7),'Leave log'!$F$7:$F$306,"Pending")&gt;0,"P",""))))</f>
        <v/>
      </c>
      <c r="I271" s="23" t="str">
        <f>IF(A271="","",IF(IF(OR(DATE($B$3,8,8)&gt;EOMONTH(DATE($B$3,8,1),0),NETWORKDAYS.INTL(DATE($B$3,8,8),DATE($B$3,8,8),1,'Non-working days'!$A$6:$A$45)=0),"",IF(COUNTIFS('Leave log'!$A$7:$A$306,Employees!$A$32,'Leave log'!$B$7:$B$306,"&lt;="&amp;DATE($B$3,8,8),'Leave log'!$C$7:$C$306,"&gt;="&amp;DATE($B$3,8,8),'Leave log'!$F$7:$F$306,"Approved")&gt;0,"A",""))="A","A",IF(OR(DATE($B$3,8,8)&gt;EOMONTH(DATE($B$3,8,1),0),NETWORKDAYS.INTL(DATE($B$3,8,8),DATE($B$3,8,8),1,'Non-working days'!$A$6:$A$45)=0),"",IF(COUNTIFS('Leave log'!$A$7:$A$306,Employees!$A$32,'Leave log'!$B$7:$B$306,"&lt;="&amp;DATE($B$3,8,8),'Leave log'!$C$7:$C$306,"&gt;="&amp;DATE($B$3,8,8),'Leave log'!$F$7:$F$306,"Pending")&gt;0,"P",""))))</f>
        <v/>
      </c>
      <c r="J271" s="23" t="str">
        <f>IF(A271="","",IF(IF(OR(DATE($B$3,8,9)&gt;EOMONTH(DATE($B$3,8,1),0),NETWORKDAYS.INTL(DATE($B$3,8,9),DATE($B$3,8,9),1,'Non-working days'!$A$6:$A$45)=0),"",IF(COUNTIFS('Leave log'!$A$7:$A$306,Employees!$A$32,'Leave log'!$B$7:$B$306,"&lt;="&amp;DATE($B$3,8,9),'Leave log'!$C$7:$C$306,"&gt;="&amp;DATE($B$3,8,9),'Leave log'!$F$7:$F$306,"Approved")&gt;0,"A",""))="A","A",IF(OR(DATE($B$3,8,9)&gt;EOMONTH(DATE($B$3,8,1),0),NETWORKDAYS.INTL(DATE($B$3,8,9),DATE($B$3,8,9),1,'Non-working days'!$A$6:$A$45)=0),"",IF(COUNTIFS('Leave log'!$A$7:$A$306,Employees!$A$32,'Leave log'!$B$7:$B$306,"&lt;="&amp;DATE($B$3,8,9),'Leave log'!$C$7:$C$306,"&gt;="&amp;DATE($B$3,8,9),'Leave log'!$F$7:$F$306,"Pending")&gt;0,"P",""))))</f>
        <v/>
      </c>
      <c r="K271" s="23" t="str">
        <f>IF(A271="","",IF(IF(OR(DATE($B$3,8,10)&gt;EOMONTH(DATE($B$3,8,1),0),NETWORKDAYS.INTL(DATE($B$3,8,10),DATE($B$3,8,10),1,'Non-working days'!$A$6:$A$45)=0),"",IF(COUNTIFS('Leave log'!$A$7:$A$306,Employees!$A$32,'Leave log'!$B$7:$B$306,"&lt;="&amp;DATE($B$3,8,10),'Leave log'!$C$7:$C$306,"&gt;="&amp;DATE($B$3,8,10),'Leave log'!$F$7:$F$306,"Approved")&gt;0,"A",""))="A","A",IF(OR(DATE($B$3,8,10)&gt;EOMONTH(DATE($B$3,8,1),0),NETWORKDAYS.INTL(DATE($B$3,8,10),DATE($B$3,8,10),1,'Non-working days'!$A$6:$A$45)=0),"",IF(COUNTIFS('Leave log'!$A$7:$A$306,Employees!$A$32,'Leave log'!$B$7:$B$306,"&lt;="&amp;DATE($B$3,8,10),'Leave log'!$C$7:$C$306,"&gt;="&amp;DATE($B$3,8,10),'Leave log'!$F$7:$F$306,"Pending")&gt;0,"P",""))))</f>
        <v/>
      </c>
      <c r="L271" s="23" t="str">
        <f>IF(A271="","",IF(IF(OR(DATE($B$3,8,11)&gt;EOMONTH(DATE($B$3,8,1),0),NETWORKDAYS.INTL(DATE($B$3,8,11),DATE($B$3,8,11),1,'Non-working days'!$A$6:$A$45)=0),"",IF(COUNTIFS('Leave log'!$A$7:$A$306,Employees!$A$32,'Leave log'!$B$7:$B$306,"&lt;="&amp;DATE($B$3,8,11),'Leave log'!$C$7:$C$306,"&gt;="&amp;DATE($B$3,8,11),'Leave log'!$F$7:$F$306,"Approved")&gt;0,"A",""))="A","A",IF(OR(DATE($B$3,8,11)&gt;EOMONTH(DATE($B$3,8,1),0),NETWORKDAYS.INTL(DATE($B$3,8,11),DATE($B$3,8,11),1,'Non-working days'!$A$6:$A$45)=0),"",IF(COUNTIFS('Leave log'!$A$7:$A$306,Employees!$A$32,'Leave log'!$B$7:$B$306,"&lt;="&amp;DATE($B$3,8,11),'Leave log'!$C$7:$C$306,"&gt;="&amp;DATE($B$3,8,11),'Leave log'!$F$7:$F$306,"Pending")&gt;0,"P",""))))</f>
        <v/>
      </c>
      <c r="M271" s="23" t="str">
        <f>IF(A271="","",IF(IF(OR(DATE($B$3,8,12)&gt;EOMONTH(DATE($B$3,8,1),0),NETWORKDAYS.INTL(DATE($B$3,8,12),DATE($B$3,8,12),1,'Non-working days'!$A$6:$A$45)=0),"",IF(COUNTIFS('Leave log'!$A$7:$A$306,Employees!$A$32,'Leave log'!$B$7:$B$306,"&lt;="&amp;DATE($B$3,8,12),'Leave log'!$C$7:$C$306,"&gt;="&amp;DATE($B$3,8,12),'Leave log'!$F$7:$F$306,"Approved")&gt;0,"A",""))="A","A",IF(OR(DATE($B$3,8,12)&gt;EOMONTH(DATE($B$3,8,1),0),NETWORKDAYS.INTL(DATE($B$3,8,12),DATE($B$3,8,12),1,'Non-working days'!$A$6:$A$45)=0),"",IF(COUNTIFS('Leave log'!$A$7:$A$306,Employees!$A$32,'Leave log'!$B$7:$B$306,"&lt;="&amp;DATE($B$3,8,12),'Leave log'!$C$7:$C$306,"&gt;="&amp;DATE($B$3,8,12),'Leave log'!$F$7:$F$306,"Pending")&gt;0,"P",""))))</f>
        <v/>
      </c>
      <c r="N271" s="23" t="str">
        <f>IF(A271="","",IF(IF(OR(DATE($B$3,8,13)&gt;EOMONTH(DATE($B$3,8,1),0),NETWORKDAYS.INTL(DATE($B$3,8,13),DATE($B$3,8,13),1,'Non-working days'!$A$6:$A$45)=0),"",IF(COUNTIFS('Leave log'!$A$7:$A$306,Employees!$A$32,'Leave log'!$B$7:$B$306,"&lt;="&amp;DATE($B$3,8,13),'Leave log'!$C$7:$C$306,"&gt;="&amp;DATE($B$3,8,13),'Leave log'!$F$7:$F$306,"Approved")&gt;0,"A",""))="A","A",IF(OR(DATE($B$3,8,13)&gt;EOMONTH(DATE($B$3,8,1),0),NETWORKDAYS.INTL(DATE($B$3,8,13),DATE($B$3,8,13),1,'Non-working days'!$A$6:$A$45)=0),"",IF(COUNTIFS('Leave log'!$A$7:$A$306,Employees!$A$32,'Leave log'!$B$7:$B$306,"&lt;="&amp;DATE($B$3,8,13),'Leave log'!$C$7:$C$306,"&gt;="&amp;DATE($B$3,8,13),'Leave log'!$F$7:$F$306,"Pending")&gt;0,"P",""))))</f>
        <v/>
      </c>
      <c r="O271" s="23" t="str">
        <f>IF(A271="","",IF(IF(OR(DATE($B$3,8,14)&gt;EOMONTH(DATE($B$3,8,1),0),NETWORKDAYS.INTL(DATE($B$3,8,14),DATE($B$3,8,14),1,'Non-working days'!$A$6:$A$45)=0),"",IF(COUNTIFS('Leave log'!$A$7:$A$306,Employees!$A$32,'Leave log'!$B$7:$B$306,"&lt;="&amp;DATE($B$3,8,14),'Leave log'!$C$7:$C$306,"&gt;="&amp;DATE($B$3,8,14),'Leave log'!$F$7:$F$306,"Approved")&gt;0,"A",""))="A","A",IF(OR(DATE($B$3,8,14)&gt;EOMONTH(DATE($B$3,8,1),0),NETWORKDAYS.INTL(DATE($B$3,8,14),DATE($B$3,8,14),1,'Non-working days'!$A$6:$A$45)=0),"",IF(COUNTIFS('Leave log'!$A$7:$A$306,Employees!$A$32,'Leave log'!$B$7:$B$306,"&lt;="&amp;DATE($B$3,8,14),'Leave log'!$C$7:$C$306,"&gt;="&amp;DATE($B$3,8,14),'Leave log'!$F$7:$F$306,"Pending")&gt;0,"P",""))))</f>
        <v/>
      </c>
      <c r="P271" s="23" t="str">
        <f>IF(A271="","",IF(IF(OR(DATE($B$3,8,15)&gt;EOMONTH(DATE($B$3,8,1),0),NETWORKDAYS.INTL(DATE($B$3,8,15),DATE($B$3,8,15),1,'Non-working days'!$A$6:$A$45)=0),"",IF(COUNTIFS('Leave log'!$A$7:$A$306,Employees!$A$32,'Leave log'!$B$7:$B$306,"&lt;="&amp;DATE($B$3,8,15),'Leave log'!$C$7:$C$306,"&gt;="&amp;DATE($B$3,8,15),'Leave log'!$F$7:$F$306,"Approved")&gt;0,"A",""))="A","A",IF(OR(DATE($B$3,8,15)&gt;EOMONTH(DATE($B$3,8,1),0),NETWORKDAYS.INTL(DATE($B$3,8,15),DATE($B$3,8,15),1,'Non-working days'!$A$6:$A$45)=0),"",IF(COUNTIFS('Leave log'!$A$7:$A$306,Employees!$A$32,'Leave log'!$B$7:$B$306,"&lt;="&amp;DATE($B$3,8,15),'Leave log'!$C$7:$C$306,"&gt;="&amp;DATE($B$3,8,15),'Leave log'!$F$7:$F$306,"Pending")&gt;0,"P",""))))</f>
        <v/>
      </c>
      <c r="Q271" s="23" t="str">
        <f>IF(A271="","",IF(IF(OR(DATE($B$3,8,16)&gt;EOMONTH(DATE($B$3,8,1),0),NETWORKDAYS.INTL(DATE($B$3,8,16),DATE($B$3,8,16),1,'Non-working days'!$A$6:$A$45)=0),"",IF(COUNTIFS('Leave log'!$A$7:$A$306,Employees!$A$32,'Leave log'!$B$7:$B$306,"&lt;="&amp;DATE($B$3,8,16),'Leave log'!$C$7:$C$306,"&gt;="&amp;DATE($B$3,8,16),'Leave log'!$F$7:$F$306,"Approved")&gt;0,"A",""))="A","A",IF(OR(DATE($B$3,8,16)&gt;EOMONTH(DATE($B$3,8,1),0),NETWORKDAYS.INTL(DATE($B$3,8,16),DATE($B$3,8,16),1,'Non-working days'!$A$6:$A$45)=0),"",IF(COUNTIFS('Leave log'!$A$7:$A$306,Employees!$A$32,'Leave log'!$B$7:$B$306,"&lt;="&amp;DATE($B$3,8,16),'Leave log'!$C$7:$C$306,"&gt;="&amp;DATE($B$3,8,16),'Leave log'!$F$7:$F$306,"Pending")&gt;0,"P",""))))</f>
        <v/>
      </c>
      <c r="R271" s="23" t="str">
        <f>IF(A271="","",IF(IF(OR(DATE($B$3,8,17)&gt;EOMONTH(DATE($B$3,8,1),0),NETWORKDAYS.INTL(DATE($B$3,8,17),DATE($B$3,8,17),1,'Non-working days'!$A$6:$A$45)=0),"",IF(COUNTIFS('Leave log'!$A$7:$A$306,Employees!$A$32,'Leave log'!$B$7:$B$306,"&lt;="&amp;DATE($B$3,8,17),'Leave log'!$C$7:$C$306,"&gt;="&amp;DATE($B$3,8,17),'Leave log'!$F$7:$F$306,"Approved")&gt;0,"A",""))="A","A",IF(OR(DATE($B$3,8,17)&gt;EOMONTH(DATE($B$3,8,1),0),NETWORKDAYS.INTL(DATE($B$3,8,17),DATE($B$3,8,17),1,'Non-working days'!$A$6:$A$45)=0),"",IF(COUNTIFS('Leave log'!$A$7:$A$306,Employees!$A$32,'Leave log'!$B$7:$B$306,"&lt;="&amp;DATE($B$3,8,17),'Leave log'!$C$7:$C$306,"&gt;="&amp;DATE($B$3,8,17),'Leave log'!$F$7:$F$306,"Pending")&gt;0,"P",""))))</f>
        <v/>
      </c>
      <c r="S271" s="23" t="str">
        <f>IF(A271="","",IF(IF(OR(DATE($B$3,8,18)&gt;EOMONTH(DATE($B$3,8,1),0),NETWORKDAYS.INTL(DATE($B$3,8,18),DATE($B$3,8,18),1,'Non-working days'!$A$6:$A$45)=0),"",IF(COUNTIFS('Leave log'!$A$7:$A$306,Employees!$A$32,'Leave log'!$B$7:$B$306,"&lt;="&amp;DATE($B$3,8,18),'Leave log'!$C$7:$C$306,"&gt;="&amp;DATE($B$3,8,18),'Leave log'!$F$7:$F$306,"Approved")&gt;0,"A",""))="A","A",IF(OR(DATE($B$3,8,18)&gt;EOMONTH(DATE($B$3,8,1),0),NETWORKDAYS.INTL(DATE($B$3,8,18),DATE($B$3,8,18),1,'Non-working days'!$A$6:$A$45)=0),"",IF(COUNTIFS('Leave log'!$A$7:$A$306,Employees!$A$32,'Leave log'!$B$7:$B$306,"&lt;="&amp;DATE($B$3,8,18),'Leave log'!$C$7:$C$306,"&gt;="&amp;DATE($B$3,8,18),'Leave log'!$F$7:$F$306,"Pending")&gt;0,"P",""))))</f>
        <v/>
      </c>
      <c r="T271" s="23" t="str">
        <f>IF(A271="","",IF(IF(OR(DATE($B$3,8,19)&gt;EOMONTH(DATE($B$3,8,1),0),NETWORKDAYS.INTL(DATE($B$3,8,19),DATE($B$3,8,19),1,'Non-working days'!$A$6:$A$45)=0),"",IF(COUNTIFS('Leave log'!$A$7:$A$306,Employees!$A$32,'Leave log'!$B$7:$B$306,"&lt;="&amp;DATE($B$3,8,19),'Leave log'!$C$7:$C$306,"&gt;="&amp;DATE($B$3,8,19),'Leave log'!$F$7:$F$306,"Approved")&gt;0,"A",""))="A","A",IF(OR(DATE($B$3,8,19)&gt;EOMONTH(DATE($B$3,8,1),0),NETWORKDAYS.INTL(DATE($B$3,8,19),DATE($B$3,8,19),1,'Non-working days'!$A$6:$A$45)=0),"",IF(COUNTIFS('Leave log'!$A$7:$A$306,Employees!$A$32,'Leave log'!$B$7:$B$306,"&lt;="&amp;DATE($B$3,8,19),'Leave log'!$C$7:$C$306,"&gt;="&amp;DATE($B$3,8,19),'Leave log'!$F$7:$F$306,"Pending")&gt;0,"P",""))))</f>
        <v/>
      </c>
      <c r="U271" s="23" t="str">
        <f>IF(A271="","",IF(IF(OR(DATE($B$3,8,20)&gt;EOMONTH(DATE($B$3,8,1),0),NETWORKDAYS.INTL(DATE($B$3,8,20),DATE($B$3,8,20),1,'Non-working days'!$A$6:$A$45)=0),"",IF(COUNTIFS('Leave log'!$A$7:$A$306,Employees!$A$32,'Leave log'!$B$7:$B$306,"&lt;="&amp;DATE($B$3,8,20),'Leave log'!$C$7:$C$306,"&gt;="&amp;DATE($B$3,8,20),'Leave log'!$F$7:$F$306,"Approved")&gt;0,"A",""))="A","A",IF(OR(DATE($B$3,8,20)&gt;EOMONTH(DATE($B$3,8,1),0),NETWORKDAYS.INTL(DATE($B$3,8,20),DATE($B$3,8,20),1,'Non-working days'!$A$6:$A$45)=0),"",IF(COUNTIFS('Leave log'!$A$7:$A$306,Employees!$A$32,'Leave log'!$B$7:$B$306,"&lt;="&amp;DATE($B$3,8,20),'Leave log'!$C$7:$C$306,"&gt;="&amp;DATE($B$3,8,20),'Leave log'!$F$7:$F$306,"Pending")&gt;0,"P",""))))</f>
        <v/>
      </c>
      <c r="V271" s="23" t="str">
        <f>IF(A271="","",IF(IF(OR(DATE($B$3,8,21)&gt;EOMONTH(DATE($B$3,8,1),0),NETWORKDAYS.INTL(DATE($B$3,8,21),DATE($B$3,8,21),1,'Non-working days'!$A$6:$A$45)=0),"",IF(COUNTIFS('Leave log'!$A$7:$A$306,Employees!$A$32,'Leave log'!$B$7:$B$306,"&lt;="&amp;DATE($B$3,8,21),'Leave log'!$C$7:$C$306,"&gt;="&amp;DATE($B$3,8,21),'Leave log'!$F$7:$F$306,"Approved")&gt;0,"A",""))="A","A",IF(OR(DATE($B$3,8,21)&gt;EOMONTH(DATE($B$3,8,1),0),NETWORKDAYS.INTL(DATE($B$3,8,21),DATE($B$3,8,21),1,'Non-working days'!$A$6:$A$45)=0),"",IF(COUNTIFS('Leave log'!$A$7:$A$306,Employees!$A$32,'Leave log'!$B$7:$B$306,"&lt;="&amp;DATE($B$3,8,21),'Leave log'!$C$7:$C$306,"&gt;="&amp;DATE($B$3,8,21),'Leave log'!$F$7:$F$306,"Pending")&gt;0,"P",""))))</f>
        <v/>
      </c>
      <c r="W271" s="23" t="str">
        <f>IF(A271="","",IF(IF(OR(DATE($B$3,8,22)&gt;EOMONTH(DATE($B$3,8,1),0),NETWORKDAYS.INTL(DATE($B$3,8,22),DATE($B$3,8,22),1,'Non-working days'!$A$6:$A$45)=0),"",IF(COUNTIFS('Leave log'!$A$7:$A$306,Employees!$A$32,'Leave log'!$B$7:$B$306,"&lt;="&amp;DATE($B$3,8,22),'Leave log'!$C$7:$C$306,"&gt;="&amp;DATE($B$3,8,22),'Leave log'!$F$7:$F$306,"Approved")&gt;0,"A",""))="A","A",IF(OR(DATE($B$3,8,22)&gt;EOMONTH(DATE($B$3,8,1),0),NETWORKDAYS.INTL(DATE($B$3,8,22),DATE($B$3,8,22),1,'Non-working days'!$A$6:$A$45)=0),"",IF(COUNTIFS('Leave log'!$A$7:$A$306,Employees!$A$32,'Leave log'!$B$7:$B$306,"&lt;="&amp;DATE($B$3,8,22),'Leave log'!$C$7:$C$306,"&gt;="&amp;DATE($B$3,8,22),'Leave log'!$F$7:$F$306,"Pending")&gt;0,"P",""))))</f>
        <v/>
      </c>
      <c r="X271" s="23" t="str">
        <f>IF(A271="","",IF(IF(OR(DATE($B$3,8,23)&gt;EOMONTH(DATE($B$3,8,1),0),NETWORKDAYS.INTL(DATE($B$3,8,23),DATE($B$3,8,23),1,'Non-working days'!$A$6:$A$45)=0),"",IF(COUNTIFS('Leave log'!$A$7:$A$306,Employees!$A$32,'Leave log'!$B$7:$B$306,"&lt;="&amp;DATE($B$3,8,23),'Leave log'!$C$7:$C$306,"&gt;="&amp;DATE($B$3,8,23),'Leave log'!$F$7:$F$306,"Approved")&gt;0,"A",""))="A","A",IF(OR(DATE($B$3,8,23)&gt;EOMONTH(DATE($B$3,8,1),0),NETWORKDAYS.INTL(DATE($B$3,8,23),DATE($B$3,8,23),1,'Non-working days'!$A$6:$A$45)=0),"",IF(COUNTIFS('Leave log'!$A$7:$A$306,Employees!$A$32,'Leave log'!$B$7:$B$306,"&lt;="&amp;DATE($B$3,8,23),'Leave log'!$C$7:$C$306,"&gt;="&amp;DATE($B$3,8,23),'Leave log'!$F$7:$F$306,"Pending")&gt;0,"P",""))))</f>
        <v/>
      </c>
      <c r="Y271" s="23" t="str">
        <f>IF(A271="","",IF(IF(OR(DATE($B$3,8,24)&gt;EOMONTH(DATE($B$3,8,1),0),NETWORKDAYS.INTL(DATE($B$3,8,24),DATE($B$3,8,24),1,'Non-working days'!$A$6:$A$45)=0),"",IF(COUNTIFS('Leave log'!$A$7:$A$306,Employees!$A$32,'Leave log'!$B$7:$B$306,"&lt;="&amp;DATE($B$3,8,24),'Leave log'!$C$7:$C$306,"&gt;="&amp;DATE($B$3,8,24),'Leave log'!$F$7:$F$306,"Approved")&gt;0,"A",""))="A","A",IF(OR(DATE($B$3,8,24)&gt;EOMONTH(DATE($B$3,8,1),0),NETWORKDAYS.INTL(DATE($B$3,8,24),DATE($B$3,8,24),1,'Non-working days'!$A$6:$A$45)=0),"",IF(COUNTIFS('Leave log'!$A$7:$A$306,Employees!$A$32,'Leave log'!$B$7:$B$306,"&lt;="&amp;DATE($B$3,8,24),'Leave log'!$C$7:$C$306,"&gt;="&amp;DATE($B$3,8,24),'Leave log'!$F$7:$F$306,"Pending")&gt;0,"P",""))))</f>
        <v/>
      </c>
      <c r="Z271" s="23" t="str">
        <f>IF(A271="","",IF(IF(OR(DATE($B$3,8,25)&gt;EOMONTH(DATE($B$3,8,1),0),NETWORKDAYS.INTL(DATE($B$3,8,25),DATE($B$3,8,25),1,'Non-working days'!$A$6:$A$45)=0),"",IF(COUNTIFS('Leave log'!$A$7:$A$306,Employees!$A$32,'Leave log'!$B$7:$B$306,"&lt;="&amp;DATE($B$3,8,25),'Leave log'!$C$7:$C$306,"&gt;="&amp;DATE($B$3,8,25),'Leave log'!$F$7:$F$306,"Approved")&gt;0,"A",""))="A","A",IF(OR(DATE($B$3,8,25)&gt;EOMONTH(DATE($B$3,8,1),0),NETWORKDAYS.INTL(DATE($B$3,8,25),DATE($B$3,8,25),1,'Non-working days'!$A$6:$A$45)=0),"",IF(COUNTIFS('Leave log'!$A$7:$A$306,Employees!$A$32,'Leave log'!$B$7:$B$306,"&lt;="&amp;DATE($B$3,8,25),'Leave log'!$C$7:$C$306,"&gt;="&amp;DATE($B$3,8,25),'Leave log'!$F$7:$F$306,"Pending")&gt;0,"P",""))))</f>
        <v/>
      </c>
      <c r="AA271" s="23" t="str">
        <f>IF(A271="","",IF(IF(OR(DATE($B$3,8,26)&gt;EOMONTH(DATE($B$3,8,1),0),NETWORKDAYS.INTL(DATE($B$3,8,26),DATE($B$3,8,26),1,'Non-working days'!$A$6:$A$45)=0),"",IF(COUNTIFS('Leave log'!$A$7:$A$306,Employees!$A$32,'Leave log'!$B$7:$B$306,"&lt;="&amp;DATE($B$3,8,26),'Leave log'!$C$7:$C$306,"&gt;="&amp;DATE($B$3,8,26),'Leave log'!$F$7:$F$306,"Approved")&gt;0,"A",""))="A","A",IF(OR(DATE($B$3,8,26)&gt;EOMONTH(DATE($B$3,8,1),0),NETWORKDAYS.INTL(DATE($B$3,8,26),DATE($B$3,8,26),1,'Non-working days'!$A$6:$A$45)=0),"",IF(COUNTIFS('Leave log'!$A$7:$A$306,Employees!$A$32,'Leave log'!$B$7:$B$306,"&lt;="&amp;DATE($B$3,8,26),'Leave log'!$C$7:$C$306,"&gt;="&amp;DATE($B$3,8,26),'Leave log'!$F$7:$F$306,"Pending")&gt;0,"P",""))))</f>
        <v/>
      </c>
      <c r="AB271" s="23" t="str">
        <f>IF(A271="","",IF(IF(OR(DATE($B$3,8,27)&gt;EOMONTH(DATE($B$3,8,1),0),NETWORKDAYS.INTL(DATE($B$3,8,27),DATE($B$3,8,27),1,'Non-working days'!$A$6:$A$45)=0),"",IF(COUNTIFS('Leave log'!$A$7:$A$306,Employees!$A$32,'Leave log'!$B$7:$B$306,"&lt;="&amp;DATE($B$3,8,27),'Leave log'!$C$7:$C$306,"&gt;="&amp;DATE($B$3,8,27),'Leave log'!$F$7:$F$306,"Approved")&gt;0,"A",""))="A","A",IF(OR(DATE($B$3,8,27)&gt;EOMONTH(DATE($B$3,8,1),0),NETWORKDAYS.INTL(DATE($B$3,8,27),DATE($B$3,8,27),1,'Non-working days'!$A$6:$A$45)=0),"",IF(COUNTIFS('Leave log'!$A$7:$A$306,Employees!$A$32,'Leave log'!$B$7:$B$306,"&lt;="&amp;DATE($B$3,8,27),'Leave log'!$C$7:$C$306,"&gt;="&amp;DATE($B$3,8,27),'Leave log'!$F$7:$F$306,"Pending")&gt;0,"P",""))))</f>
        <v/>
      </c>
      <c r="AC271" s="23" t="str">
        <f>IF(A271="","",IF(IF(OR(DATE($B$3,8,28)&gt;EOMONTH(DATE($B$3,8,1),0),NETWORKDAYS.INTL(DATE($B$3,8,28),DATE($B$3,8,28),1,'Non-working days'!$A$6:$A$45)=0),"",IF(COUNTIFS('Leave log'!$A$7:$A$306,Employees!$A$32,'Leave log'!$B$7:$B$306,"&lt;="&amp;DATE($B$3,8,28),'Leave log'!$C$7:$C$306,"&gt;="&amp;DATE($B$3,8,28),'Leave log'!$F$7:$F$306,"Approved")&gt;0,"A",""))="A","A",IF(OR(DATE($B$3,8,28)&gt;EOMONTH(DATE($B$3,8,1),0),NETWORKDAYS.INTL(DATE($B$3,8,28),DATE($B$3,8,28),1,'Non-working days'!$A$6:$A$45)=0),"",IF(COUNTIFS('Leave log'!$A$7:$A$306,Employees!$A$32,'Leave log'!$B$7:$B$306,"&lt;="&amp;DATE($B$3,8,28),'Leave log'!$C$7:$C$306,"&gt;="&amp;DATE($B$3,8,28),'Leave log'!$F$7:$F$306,"Pending")&gt;0,"P",""))))</f>
        <v/>
      </c>
      <c r="AD271" s="23" t="str">
        <f>IF(A271="","",IF(IF(OR(DATE($B$3,8,29)&gt;EOMONTH(DATE($B$3,8,1),0),NETWORKDAYS.INTL(DATE($B$3,8,29),DATE($B$3,8,29),1,'Non-working days'!$A$6:$A$45)=0),"",IF(COUNTIFS('Leave log'!$A$7:$A$306,Employees!$A$32,'Leave log'!$B$7:$B$306,"&lt;="&amp;DATE($B$3,8,29),'Leave log'!$C$7:$C$306,"&gt;="&amp;DATE($B$3,8,29),'Leave log'!$F$7:$F$306,"Approved")&gt;0,"A",""))="A","A",IF(OR(DATE($B$3,8,29)&gt;EOMONTH(DATE($B$3,8,1),0),NETWORKDAYS.INTL(DATE($B$3,8,29),DATE($B$3,8,29),1,'Non-working days'!$A$6:$A$45)=0),"",IF(COUNTIFS('Leave log'!$A$7:$A$306,Employees!$A$32,'Leave log'!$B$7:$B$306,"&lt;="&amp;DATE($B$3,8,29),'Leave log'!$C$7:$C$306,"&gt;="&amp;DATE($B$3,8,29),'Leave log'!$F$7:$F$306,"Pending")&gt;0,"P",""))))</f>
        <v/>
      </c>
      <c r="AE271" s="23" t="str">
        <f>IF(A271="","",IF(IF(OR(DATE($B$3,8,30)&gt;EOMONTH(DATE($B$3,8,1),0),NETWORKDAYS.INTL(DATE($B$3,8,30),DATE($B$3,8,30),1,'Non-working days'!$A$6:$A$45)=0),"",IF(COUNTIFS('Leave log'!$A$7:$A$306,Employees!$A$32,'Leave log'!$B$7:$B$306,"&lt;="&amp;DATE($B$3,8,30),'Leave log'!$C$7:$C$306,"&gt;="&amp;DATE($B$3,8,30),'Leave log'!$F$7:$F$306,"Approved")&gt;0,"A",""))="A","A",IF(OR(DATE($B$3,8,30)&gt;EOMONTH(DATE($B$3,8,1),0),NETWORKDAYS.INTL(DATE($B$3,8,30),DATE($B$3,8,30),1,'Non-working days'!$A$6:$A$45)=0),"",IF(COUNTIFS('Leave log'!$A$7:$A$306,Employees!$A$32,'Leave log'!$B$7:$B$306,"&lt;="&amp;DATE($B$3,8,30),'Leave log'!$C$7:$C$306,"&gt;="&amp;DATE($B$3,8,30),'Leave log'!$F$7:$F$306,"Pending")&gt;0,"P",""))))</f>
        <v/>
      </c>
      <c r="AF271" s="23" t="str">
        <f>IF(A271="","",IF(IF(OR(DATE($B$3,8,31)&gt;EOMONTH(DATE($B$3,8,1),0),NETWORKDAYS.INTL(DATE($B$3,8,31),DATE($B$3,8,31),1,'Non-working days'!$A$6:$A$45)=0),"",IF(COUNTIFS('Leave log'!$A$7:$A$306,Employees!$A$32,'Leave log'!$B$7:$B$306,"&lt;="&amp;DATE($B$3,8,31),'Leave log'!$C$7:$C$306,"&gt;="&amp;DATE($B$3,8,31),'Leave log'!$F$7:$F$306,"Approved")&gt;0,"A",""))="A","A",IF(OR(DATE($B$3,8,31)&gt;EOMONTH(DATE($B$3,8,1),0),NETWORKDAYS.INTL(DATE($B$3,8,31),DATE($B$3,8,31),1,'Non-working days'!$A$6:$A$45)=0),"",IF(COUNTIFS('Leave log'!$A$7:$A$306,Employees!$A$32,'Leave log'!$B$7:$B$306,"&lt;="&amp;DATE($B$3,8,31),'Leave log'!$C$7:$C$306,"&gt;="&amp;DATE($B$3,8,31),'Leave log'!$F$7:$F$306,"Pending")&gt;0,"P",""))))</f>
        <v/>
      </c>
    </row>
    <row r="272" spans="1:32" ht="18" customHeight="1" x14ac:dyDescent="0.3">
      <c r="A272" s="22" t="str">
        <f>IF(Employees!F33="Yes",Employees!B33,"")</f>
        <v/>
      </c>
      <c r="B272" s="23" t="str">
        <f>IF(A272="","",IF(IF(OR(DATE($B$3,8,1)&gt;EOMONTH(DATE($B$3,8,1),0),NETWORKDAYS.INTL(DATE($B$3,8,1),DATE($B$3,8,1),1,'Non-working days'!$A$6:$A$45)=0),"",IF(COUNTIFS('Leave log'!$A$7:$A$306,Employees!$A$33,'Leave log'!$B$7:$B$306,"&lt;="&amp;DATE($B$3,8,1),'Leave log'!$C$7:$C$306,"&gt;="&amp;DATE($B$3,8,1),'Leave log'!$F$7:$F$306,"Approved")&gt;0,"A",""))="A","A",IF(OR(DATE($B$3,8,1)&gt;EOMONTH(DATE($B$3,8,1),0),NETWORKDAYS.INTL(DATE($B$3,8,1),DATE($B$3,8,1),1,'Non-working days'!$A$6:$A$45)=0),"",IF(COUNTIFS('Leave log'!$A$7:$A$306,Employees!$A$33,'Leave log'!$B$7:$B$306,"&lt;="&amp;DATE($B$3,8,1),'Leave log'!$C$7:$C$306,"&gt;="&amp;DATE($B$3,8,1),'Leave log'!$F$7:$F$306,"Pending")&gt;0,"P",""))))</f>
        <v/>
      </c>
      <c r="C272" s="23" t="str">
        <f>IF(A272="","",IF(IF(OR(DATE($B$3,8,2)&gt;EOMONTH(DATE($B$3,8,1),0),NETWORKDAYS.INTL(DATE($B$3,8,2),DATE($B$3,8,2),1,'Non-working days'!$A$6:$A$45)=0),"",IF(COUNTIFS('Leave log'!$A$7:$A$306,Employees!$A$33,'Leave log'!$B$7:$B$306,"&lt;="&amp;DATE($B$3,8,2),'Leave log'!$C$7:$C$306,"&gt;="&amp;DATE($B$3,8,2),'Leave log'!$F$7:$F$306,"Approved")&gt;0,"A",""))="A","A",IF(OR(DATE($B$3,8,2)&gt;EOMONTH(DATE($B$3,8,1),0),NETWORKDAYS.INTL(DATE($B$3,8,2),DATE($B$3,8,2),1,'Non-working days'!$A$6:$A$45)=0),"",IF(COUNTIFS('Leave log'!$A$7:$A$306,Employees!$A$33,'Leave log'!$B$7:$B$306,"&lt;="&amp;DATE($B$3,8,2),'Leave log'!$C$7:$C$306,"&gt;="&amp;DATE($B$3,8,2),'Leave log'!$F$7:$F$306,"Pending")&gt;0,"P",""))))</f>
        <v/>
      </c>
      <c r="D272" s="23" t="str">
        <f>IF(A272="","",IF(IF(OR(DATE($B$3,8,3)&gt;EOMONTH(DATE($B$3,8,1),0),NETWORKDAYS.INTL(DATE($B$3,8,3),DATE($B$3,8,3),1,'Non-working days'!$A$6:$A$45)=0),"",IF(COUNTIFS('Leave log'!$A$7:$A$306,Employees!$A$33,'Leave log'!$B$7:$B$306,"&lt;="&amp;DATE($B$3,8,3),'Leave log'!$C$7:$C$306,"&gt;="&amp;DATE($B$3,8,3),'Leave log'!$F$7:$F$306,"Approved")&gt;0,"A",""))="A","A",IF(OR(DATE($B$3,8,3)&gt;EOMONTH(DATE($B$3,8,1),0),NETWORKDAYS.INTL(DATE($B$3,8,3),DATE($B$3,8,3),1,'Non-working days'!$A$6:$A$45)=0),"",IF(COUNTIFS('Leave log'!$A$7:$A$306,Employees!$A$33,'Leave log'!$B$7:$B$306,"&lt;="&amp;DATE($B$3,8,3),'Leave log'!$C$7:$C$306,"&gt;="&amp;DATE($B$3,8,3),'Leave log'!$F$7:$F$306,"Pending")&gt;0,"P",""))))</f>
        <v/>
      </c>
      <c r="E272" s="23" t="str">
        <f>IF(A272="","",IF(IF(OR(DATE($B$3,8,4)&gt;EOMONTH(DATE($B$3,8,1),0),NETWORKDAYS.INTL(DATE($B$3,8,4),DATE($B$3,8,4),1,'Non-working days'!$A$6:$A$45)=0),"",IF(COUNTIFS('Leave log'!$A$7:$A$306,Employees!$A$33,'Leave log'!$B$7:$B$306,"&lt;="&amp;DATE($B$3,8,4),'Leave log'!$C$7:$C$306,"&gt;="&amp;DATE($B$3,8,4),'Leave log'!$F$7:$F$306,"Approved")&gt;0,"A",""))="A","A",IF(OR(DATE($B$3,8,4)&gt;EOMONTH(DATE($B$3,8,1),0),NETWORKDAYS.INTL(DATE($B$3,8,4),DATE($B$3,8,4),1,'Non-working days'!$A$6:$A$45)=0),"",IF(COUNTIFS('Leave log'!$A$7:$A$306,Employees!$A$33,'Leave log'!$B$7:$B$306,"&lt;="&amp;DATE($B$3,8,4),'Leave log'!$C$7:$C$306,"&gt;="&amp;DATE($B$3,8,4),'Leave log'!$F$7:$F$306,"Pending")&gt;0,"P",""))))</f>
        <v/>
      </c>
      <c r="F272" s="23" t="str">
        <f>IF(A272="","",IF(IF(OR(DATE($B$3,8,5)&gt;EOMONTH(DATE($B$3,8,1),0),NETWORKDAYS.INTL(DATE($B$3,8,5),DATE($B$3,8,5),1,'Non-working days'!$A$6:$A$45)=0),"",IF(COUNTIFS('Leave log'!$A$7:$A$306,Employees!$A$33,'Leave log'!$B$7:$B$306,"&lt;="&amp;DATE($B$3,8,5),'Leave log'!$C$7:$C$306,"&gt;="&amp;DATE($B$3,8,5),'Leave log'!$F$7:$F$306,"Approved")&gt;0,"A",""))="A","A",IF(OR(DATE($B$3,8,5)&gt;EOMONTH(DATE($B$3,8,1),0),NETWORKDAYS.INTL(DATE($B$3,8,5),DATE($B$3,8,5),1,'Non-working days'!$A$6:$A$45)=0),"",IF(COUNTIFS('Leave log'!$A$7:$A$306,Employees!$A$33,'Leave log'!$B$7:$B$306,"&lt;="&amp;DATE($B$3,8,5),'Leave log'!$C$7:$C$306,"&gt;="&amp;DATE($B$3,8,5),'Leave log'!$F$7:$F$306,"Pending")&gt;0,"P",""))))</f>
        <v/>
      </c>
      <c r="G272" s="23" t="str">
        <f>IF(A272="","",IF(IF(OR(DATE($B$3,8,6)&gt;EOMONTH(DATE($B$3,8,1),0),NETWORKDAYS.INTL(DATE($B$3,8,6),DATE($B$3,8,6),1,'Non-working days'!$A$6:$A$45)=0),"",IF(COUNTIFS('Leave log'!$A$7:$A$306,Employees!$A$33,'Leave log'!$B$7:$B$306,"&lt;="&amp;DATE($B$3,8,6),'Leave log'!$C$7:$C$306,"&gt;="&amp;DATE($B$3,8,6),'Leave log'!$F$7:$F$306,"Approved")&gt;0,"A",""))="A","A",IF(OR(DATE($B$3,8,6)&gt;EOMONTH(DATE($B$3,8,1),0),NETWORKDAYS.INTL(DATE($B$3,8,6),DATE($B$3,8,6),1,'Non-working days'!$A$6:$A$45)=0),"",IF(COUNTIFS('Leave log'!$A$7:$A$306,Employees!$A$33,'Leave log'!$B$7:$B$306,"&lt;="&amp;DATE($B$3,8,6),'Leave log'!$C$7:$C$306,"&gt;="&amp;DATE($B$3,8,6),'Leave log'!$F$7:$F$306,"Pending")&gt;0,"P",""))))</f>
        <v/>
      </c>
      <c r="H272" s="23" t="str">
        <f>IF(A272="","",IF(IF(OR(DATE($B$3,8,7)&gt;EOMONTH(DATE($B$3,8,1),0),NETWORKDAYS.INTL(DATE($B$3,8,7),DATE($B$3,8,7),1,'Non-working days'!$A$6:$A$45)=0),"",IF(COUNTIFS('Leave log'!$A$7:$A$306,Employees!$A$33,'Leave log'!$B$7:$B$306,"&lt;="&amp;DATE($B$3,8,7),'Leave log'!$C$7:$C$306,"&gt;="&amp;DATE($B$3,8,7),'Leave log'!$F$7:$F$306,"Approved")&gt;0,"A",""))="A","A",IF(OR(DATE($B$3,8,7)&gt;EOMONTH(DATE($B$3,8,1),0),NETWORKDAYS.INTL(DATE($B$3,8,7),DATE($B$3,8,7),1,'Non-working days'!$A$6:$A$45)=0),"",IF(COUNTIFS('Leave log'!$A$7:$A$306,Employees!$A$33,'Leave log'!$B$7:$B$306,"&lt;="&amp;DATE($B$3,8,7),'Leave log'!$C$7:$C$306,"&gt;="&amp;DATE($B$3,8,7),'Leave log'!$F$7:$F$306,"Pending")&gt;0,"P",""))))</f>
        <v/>
      </c>
      <c r="I272" s="23" t="str">
        <f>IF(A272="","",IF(IF(OR(DATE($B$3,8,8)&gt;EOMONTH(DATE($B$3,8,1),0),NETWORKDAYS.INTL(DATE($B$3,8,8),DATE($B$3,8,8),1,'Non-working days'!$A$6:$A$45)=0),"",IF(COUNTIFS('Leave log'!$A$7:$A$306,Employees!$A$33,'Leave log'!$B$7:$B$306,"&lt;="&amp;DATE($B$3,8,8),'Leave log'!$C$7:$C$306,"&gt;="&amp;DATE($B$3,8,8),'Leave log'!$F$7:$F$306,"Approved")&gt;0,"A",""))="A","A",IF(OR(DATE($B$3,8,8)&gt;EOMONTH(DATE($B$3,8,1),0),NETWORKDAYS.INTL(DATE($B$3,8,8),DATE($B$3,8,8),1,'Non-working days'!$A$6:$A$45)=0),"",IF(COUNTIFS('Leave log'!$A$7:$A$306,Employees!$A$33,'Leave log'!$B$7:$B$306,"&lt;="&amp;DATE($B$3,8,8),'Leave log'!$C$7:$C$306,"&gt;="&amp;DATE($B$3,8,8),'Leave log'!$F$7:$F$306,"Pending")&gt;0,"P",""))))</f>
        <v/>
      </c>
      <c r="J272" s="23" t="str">
        <f>IF(A272="","",IF(IF(OR(DATE($B$3,8,9)&gt;EOMONTH(DATE($B$3,8,1),0),NETWORKDAYS.INTL(DATE($B$3,8,9),DATE($B$3,8,9),1,'Non-working days'!$A$6:$A$45)=0),"",IF(COUNTIFS('Leave log'!$A$7:$A$306,Employees!$A$33,'Leave log'!$B$7:$B$306,"&lt;="&amp;DATE($B$3,8,9),'Leave log'!$C$7:$C$306,"&gt;="&amp;DATE($B$3,8,9),'Leave log'!$F$7:$F$306,"Approved")&gt;0,"A",""))="A","A",IF(OR(DATE($B$3,8,9)&gt;EOMONTH(DATE($B$3,8,1),0),NETWORKDAYS.INTL(DATE($B$3,8,9),DATE($B$3,8,9),1,'Non-working days'!$A$6:$A$45)=0),"",IF(COUNTIFS('Leave log'!$A$7:$A$306,Employees!$A$33,'Leave log'!$B$7:$B$306,"&lt;="&amp;DATE($B$3,8,9),'Leave log'!$C$7:$C$306,"&gt;="&amp;DATE($B$3,8,9),'Leave log'!$F$7:$F$306,"Pending")&gt;0,"P",""))))</f>
        <v/>
      </c>
      <c r="K272" s="23" t="str">
        <f>IF(A272="","",IF(IF(OR(DATE($B$3,8,10)&gt;EOMONTH(DATE($B$3,8,1),0),NETWORKDAYS.INTL(DATE($B$3,8,10),DATE($B$3,8,10),1,'Non-working days'!$A$6:$A$45)=0),"",IF(COUNTIFS('Leave log'!$A$7:$A$306,Employees!$A$33,'Leave log'!$B$7:$B$306,"&lt;="&amp;DATE($B$3,8,10),'Leave log'!$C$7:$C$306,"&gt;="&amp;DATE($B$3,8,10),'Leave log'!$F$7:$F$306,"Approved")&gt;0,"A",""))="A","A",IF(OR(DATE($B$3,8,10)&gt;EOMONTH(DATE($B$3,8,1),0),NETWORKDAYS.INTL(DATE($B$3,8,10),DATE($B$3,8,10),1,'Non-working days'!$A$6:$A$45)=0),"",IF(COUNTIFS('Leave log'!$A$7:$A$306,Employees!$A$33,'Leave log'!$B$7:$B$306,"&lt;="&amp;DATE($B$3,8,10),'Leave log'!$C$7:$C$306,"&gt;="&amp;DATE($B$3,8,10),'Leave log'!$F$7:$F$306,"Pending")&gt;0,"P",""))))</f>
        <v/>
      </c>
      <c r="L272" s="23" t="str">
        <f>IF(A272="","",IF(IF(OR(DATE($B$3,8,11)&gt;EOMONTH(DATE($B$3,8,1),0),NETWORKDAYS.INTL(DATE($B$3,8,11),DATE($B$3,8,11),1,'Non-working days'!$A$6:$A$45)=0),"",IF(COUNTIFS('Leave log'!$A$7:$A$306,Employees!$A$33,'Leave log'!$B$7:$B$306,"&lt;="&amp;DATE($B$3,8,11),'Leave log'!$C$7:$C$306,"&gt;="&amp;DATE($B$3,8,11),'Leave log'!$F$7:$F$306,"Approved")&gt;0,"A",""))="A","A",IF(OR(DATE($B$3,8,11)&gt;EOMONTH(DATE($B$3,8,1),0),NETWORKDAYS.INTL(DATE($B$3,8,11),DATE($B$3,8,11),1,'Non-working days'!$A$6:$A$45)=0),"",IF(COUNTIFS('Leave log'!$A$7:$A$306,Employees!$A$33,'Leave log'!$B$7:$B$306,"&lt;="&amp;DATE($B$3,8,11),'Leave log'!$C$7:$C$306,"&gt;="&amp;DATE($B$3,8,11),'Leave log'!$F$7:$F$306,"Pending")&gt;0,"P",""))))</f>
        <v/>
      </c>
      <c r="M272" s="23" t="str">
        <f>IF(A272="","",IF(IF(OR(DATE($B$3,8,12)&gt;EOMONTH(DATE($B$3,8,1),0),NETWORKDAYS.INTL(DATE($B$3,8,12),DATE($B$3,8,12),1,'Non-working days'!$A$6:$A$45)=0),"",IF(COUNTIFS('Leave log'!$A$7:$A$306,Employees!$A$33,'Leave log'!$B$7:$B$306,"&lt;="&amp;DATE($B$3,8,12),'Leave log'!$C$7:$C$306,"&gt;="&amp;DATE($B$3,8,12),'Leave log'!$F$7:$F$306,"Approved")&gt;0,"A",""))="A","A",IF(OR(DATE($B$3,8,12)&gt;EOMONTH(DATE($B$3,8,1),0),NETWORKDAYS.INTL(DATE($B$3,8,12),DATE($B$3,8,12),1,'Non-working days'!$A$6:$A$45)=0),"",IF(COUNTIFS('Leave log'!$A$7:$A$306,Employees!$A$33,'Leave log'!$B$7:$B$306,"&lt;="&amp;DATE($B$3,8,12),'Leave log'!$C$7:$C$306,"&gt;="&amp;DATE($B$3,8,12),'Leave log'!$F$7:$F$306,"Pending")&gt;0,"P",""))))</f>
        <v/>
      </c>
      <c r="N272" s="23" t="str">
        <f>IF(A272="","",IF(IF(OR(DATE($B$3,8,13)&gt;EOMONTH(DATE($B$3,8,1),0),NETWORKDAYS.INTL(DATE($B$3,8,13),DATE($B$3,8,13),1,'Non-working days'!$A$6:$A$45)=0),"",IF(COUNTIFS('Leave log'!$A$7:$A$306,Employees!$A$33,'Leave log'!$B$7:$B$306,"&lt;="&amp;DATE($B$3,8,13),'Leave log'!$C$7:$C$306,"&gt;="&amp;DATE($B$3,8,13),'Leave log'!$F$7:$F$306,"Approved")&gt;0,"A",""))="A","A",IF(OR(DATE($B$3,8,13)&gt;EOMONTH(DATE($B$3,8,1),0),NETWORKDAYS.INTL(DATE($B$3,8,13),DATE($B$3,8,13),1,'Non-working days'!$A$6:$A$45)=0),"",IF(COUNTIFS('Leave log'!$A$7:$A$306,Employees!$A$33,'Leave log'!$B$7:$B$306,"&lt;="&amp;DATE($B$3,8,13),'Leave log'!$C$7:$C$306,"&gt;="&amp;DATE($B$3,8,13),'Leave log'!$F$7:$F$306,"Pending")&gt;0,"P",""))))</f>
        <v/>
      </c>
      <c r="O272" s="23" t="str">
        <f>IF(A272="","",IF(IF(OR(DATE($B$3,8,14)&gt;EOMONTH(DATE($B$3,8,1),0),NETWORKDAYS.INTL(DATE($B$3,8,14),DATE($B$3,8,14),1,'Non-working days'!$A$6:$A$45)=0),"",IF(COUNTIFS('Leave log'!$A$7:$A$306,Employees!$A$33,'Leave log'!$B$7:$B$306,"&lt;="&amp;DATE($B$3,8,14),'Leave log'!$C$7:$C$306,"&gt;="&amp;DATE($B$3,8,14),'Leave log'!$F$7:$F$306,"Approved")&gt;0,"A",""))="A","A",IF(OR(DATE($B$3,8,14)&gt;EOMONTH(DATE($B$3,8,1),0),NETWORKDAYS.INTL(DATE($B$3,8,14),DATE($B$3,8,14),1,'Non-working days'!$A$6:$A$45)=0),"",IF(COUNTIFS('Leave log'!$A$7:$A$306,Employees!$A$33,'Leave log'!$B$7:$B$306,"&lt;="&amp;DATE($B$3,8,14),'Leave log'!$C$7:$C$306,"&gt;="&amp;DATE($B$3,8,14),'Leave log'!$F$7:$F$306,"Pending")&gt;0,"P",""))))</f>
        <v/>
      </c>
      <c r="P272" s="23" t="str">
        <f>IF(A272="","",IF(IF(OR(DATE($B$3,8,15)&gt;EOMONTH(DATE($B$3,8,1),0),NETWORKDAYS.INTL(DATE($B$3,8,15),DATE($B$3,8,15),1,'Non-working days'!$A$6:$A$45)=0),"",IF(COUNTIFS('Leave log'!$A$7:$A$306,Employees!$A$33,'Leave log'!$B$7:$B$306,"&lt;="&amp;DATE($B$3,8,15),'Leave log'!$C$7:$C$306,"&gt;="&amp;DATE($B$3,8,15),'Leave log'!$F$7:$F$306,"Approved")&gt;0,"A",""))="A","A",IF(OR(DATE($B$3,8,15)&gt;EOMONTH(DATE($B$3,8,1),0),NETWORKDAYS.INTL(DATE($B$3,8,15),DATE($B$3,8,15),1,'Non-working days'!$A$6:$A$45)=0),"",IF(COUNTIFS('Leave log'!$A$7:$A$306,Employees!$A$33,'Leave log'!$B$7:$B$306,"&lt;="&amp;DATE($B$3,8,15),'Leave log'!$C$7:$C$306,"&gt;="&amp;DATE($B$3,8,15),'Leave log'!$F$7:$F$306,"Pending")&gt;0,"P",""))))</f>
        <v/>
      </c>
      <c r="Q272" s="23" t="str">
        <f>IF(A272="","",IF(IF(OR(DATE($B$3,8,16)&gt;EOMONTH(DATE($B$3,8,1),0),NETWORKDAYS.INTL(DATE($B$3,8,16),DATE($B$3,8,16),1,'Non-working days'!$A$6:$A$45)=0),"",IF(COUNTIFS('Leave log'!$A$7:$A$306,Employees!$A$33,'Leave log'!$B$7:$B$306,"&lt;="&amp;DATE($B$3,8,16),'Leave log'!$C$7:$C$306,"&gt;="&amp;DATE($B$3,8,16),'Leave log'!$F$7:$F$306,"Approved")&gt;0,"A",""))="A","A",IF(OR(DATE($B$3,8,16)&gt;EOMONTH(DATE($B$3,8,1),0),NETWORKDAYS.INTL(DATE($B$3,8,16),DATE($B$3,8,16),1,'Non-working days'!$A$6:$A$45)=0),"",IF(COUNTIFS('Leave log'!$A$7:$A$306,Employees!$A$33,'Leave log'!$B$7:$B$306,"&lt;="&amp;DATE($B$3,8,16),'Leave log'!$C$7:$C$306,"&gt;="&amp;DATE($B$3,8,16),'Leave log'!$F$7:$F$306,"Pending")&gt;0,"P",""))))</f>
        <v/>
      </c>
      <c r="R272" s="23" t="str">
        <f>IF(A272="","",IF(IF(OR(DATE($B$3,8,17)&gt;EOMONTH(DATE($B$3,8,1),0),NETWORKDAYS.INTL(DATE($B$3,8,17),DATE($B$3,8,17),1,'Non-working days'!$A$6:$A$45)=0),"",IF(COUNTIFS('Leave log'!$A$7:$A$306,Employees!$A$33,'Leave log'!$B$7:$B$306,"&lt;="&amp;DATE($B$3,8,17),'Leave log'!$C$7:$C$306,"&gt;="&amp;DATE($B$3,8,17),'Leave log'!$F$7:$F$306,"Approved")&gt;0,"A",""))="A","A",IF(OR(DATE($B$3,8,17)&gt;EOMONTH(DATE($B$3,8,1),0),NETWORKDAYS.INTL(DATE($B$3,8,17),DATE($B$3,8,17),1,'Non-working days'!$A$6:$A$45)=0),"",IF(COUNTIFS('Leave log'!$A$7:$A$306,Employees!$A$33,'Leave log'!$B$7:$B$306,"&lt;="&amp;DATE($B$3,8,17),'Leave log'!$C$7:$C$306,"&gt;="&amp;DATE($B$3,8,17),'Leave log'!$F$7:$F$306,"Pending")&gt;0,"P",""))))</f>
        <v/>
      </c>
      <c r="S272" s="23" t="str">
        <f>IF(A272="","",IF(IF(OR(DATE($B$3,8,18)&gt;EOMONTH(DATE($B$3,8,1),0),NETWORKDAYS.INTL(DATE($B$3,8,18),DATE($B$3,8,18),1,'Non-working days'!$A$6:$A$45)=0),"",IF(COUNTIFS('Leave log'!$A$7:$A$306,Employees!$A$33,'Leave log'!$B$7:$B$306,"&lt;="&amp;DATE($B$3,8,18),'Leave log'!$C$7:$C$306,"&gt;="&amp;DATE($B$3,8,18),'Leave log'!$F$7:$F$306,"Approved")&gt;0,"A",""))="A","A",IF(OR(DATE($B$3,8,18)&gt;EOMONTH(DATE($B$3,8,1),0),NETWORKDAYS.INTL(DATE($B$3,8,18),DATE($B$3,8,18),1,'Non-working days'!$A$6:$A$45)=0),"",IF(COUNTIFS('Leave log'!$A$7:$A$306,Employees!$A$33,'Leave log'!$B$7:$B$306,"&lt;="&amp;DATE($B$3,8,18),'Leave log'!$C$7:$C$306,"&gt;="&amp;DATE($B$3,8,18),'Leave log'!$F$7:$F$306,"Pending")&gt;0,"P",""))))</f>
        <v/>
      </c>
      <c r="T272" s="23" t="str">
        <f>IF(A272="","",IF(IF(OR(DATE($B$3,8,19)&gt;EOMONTH(DATE($B$3,8,1),0),NETWORKDAYS.INTL(DATE($B$3,8,19),DATE($B$3,8,19),1,'Non-working days'!$A$6:$A$45)=0),"",IF(COUNTIFS('Leave log'!$A$7:$A$306,Employees!$A$33,'Leave log'!$B$7:$B$306,"&lt;="&amp;DATE($B$3,8,19),'Leave log'!$C$7:$C$306,"&gt;="&amp;DATE($B$3,8,19),'Leave log'!$F$7:$F$306,"Approved")&gt;0,"A",""))="A","A",IF(OR(DATE($B$3,8,19)&gt;EOMONTH(DATE($B$3,8,1),0),NETWORKDAYS.INTL(DATE($B$3,8,19),DATE($B$3,8,19),1,'Non-working days'!$A$6:$A$45)=0),"",IF(COUNTIFS('Leave log'!$A$7:$A$306,Employees!$A$33,'Leave log'!$B$7:$B$306,"&lt;="&amp;DATE($B$3,8,19),'Leave log'!$C$7:$C$306,"&gt;="&amp;DATE($B$3,8,19),'Leave log'!$F$7:$F$306,"Pending")&gt;0,"P",""))))</f>
        <v/>
      </c>
      <c r="U272" s="23" t="str">
        <f>IF(A272="","",IF(IF(OR(DATE($B$3,8,20)&gt;EOMONTH(DATE($B$3,8,1),0),NETWORKDAYS.INTL(DATE($B$3,8,20),DATE($B$3,8,20),1,'Non-working days'!$A$6:$A$45)=0),"",IF(COUNTIFS('Leave log'!$A$7:$A$306,Employees!$A$33,'Leave log'!$B$7:$B$306,"&lt;="&amp;DATE($B$3,8,20),'Leave log'!$C$7:$C$306,"&gt;="&amp;DATE($B$3,8,20),'Leave log'!$F$7:$F$306,"Approved")&gt;0,"A",""))="A","A",IF(OR(DATE($B$3,8,20)&gt;EOMONTH(DATE($B$3,8,1),0),NETWORKDAYS.INTL(DATE($B$3,8,20),DATE($B$3,8,20),1,'Non-working days'!$A$6:$A$45)=0),"",IF(COUNTIFS('Leave log'!$A$7:$A$306,Employees!$A$33,'Leave log'!$B$7:$B$306,"&lt;="&amp;DATE($B$3,8,20),'Leave log'!$C$7:$C$306,"&gt;="&amp;DATE($B$3,8,20),'Leave log'!$F$7:$F$306,"Pending")&gt;0,"P",""))))</f>
        <v/>
      </c>
      <c r="V272" s="23" t="str">
        <f>IF(A272="","",IF(IF(OR(DATE($B$3,8,21)&gt;EOMONTH(DATE($B$3,8,1),0),NETWORKDAYS.INTL(DATE($B$3,8,21),DATE($B$3,8,21),1,'Non-working days'!$A$6:$A$45)=0),"",IF(COUNTIFS('Leave log'!$A$7:$A$306,Employees!$A$33,'Leave log'!$B$7:$B$306,"&lt;="&amp;DATE($B$3,8,21),'Leave log'!$C$7:$C$306,"&gt;="&amp;DATE($B$3,8,21),'Leave log'!$F$7:$F$306,"Approved")&gt;0,"A",""))="A","A",IF(OR(DATE($B$3,8,21)&gt;EOMONTH(DATE($B$3,8,1),0),NETWORKDAYS.INTL(DATE($B$3,8,21),DATE($B$3,8,21),1,'Non-working days'!$A$6:$A$45)=0),"",IF(COUNTIFS('Leave log'!$A$7:$A$306,Employees!$A$33,'Leave log'!$B$7:$B$306,"&lt;="&amp;DATE($B$3,8,21),'Leave log'!$C$7:$C$306,"&gt;="&amp;DATE($B$3,8,21),'Leave log'!$F$7:$F$306,"Pending")&gt;0,"P",""))))</f>
        <v/>
      </c>
      <c r="W272" s="23" t="str">
        <f>IF(A272="","",IF(IF(OR(DATE($B$3,8,22)&gt;EOMONTH(DATE($B$3,8,1),0),NETWORKDAYS.INTL(DATE($B$3,8,22),DATE($B$3,8,22),1,'Non-working days'!$A$6:$A$45)=0),"",IF(COUNTIFS('Leave log'!$A$7:$A$306,Employees!$A$33,'Leave log'!$B$7:$B$306,"&lt;="&amp;DATE($B$3,8,22),'Leave log'!$C$7:$C$306,"&gt;="&amp;DATE($B$3,8,22),'Leave log'!$F$7:$F$306,"Approved")&gt;0,"A",""))="A","A",IF(OR(DATE($B$3,8,22)&gt;EOMONTH(DATE($B$3,8,1),0),NETWORKDAYS.INTL(DATE($B$3,8,22),DATE($B$3,8,22),1,'Non-working days'!$A$6:$A$45)=0),"",IF(COUNTIFS('Leave log'!$A$7:$A$306,Employees!$A$33,'Leave log'!$B$7:$B$306,"&lt;="&amp;DATE($B$3,8,22),'Leave log'!$C$7:$C$306,"&gt;="&amp;DATE($B$3,8,22),'Leave log'!$F$7:$F$306,"Pending")&gt;0,"P",""))))</f>
        <v/>
      </c>
      <c r="X272" s="23" t="str">
        <f>IF(A272="","",IF(IF(OR(DATE($B$3,8,23)&gt;EOMONTH(DATE($B$3,8,1),0),NETWORKDAYS.INTL(DATE($B$3,8,23),DATE($B$3,8,23),1,'Non-working days'!$A$6:$A$45)=0),"",IF(COUNTIFS('Leave log'!$A$7:$A$306,Employees!$A$33,'Leave log'!$B$7:$B$306,"&lt;="&amp;DATE($B$3,8,23),'Leave log'!$C$7:$C$306,"&gt;="&amp;DATE($B$3,8,23),'Leave log'!$F$7:$F$306,"Approved")&gt;0,"A",""))="A","A",IF(OR(DATE($B$3,8,23)&gt;EOMONTH(DATE($B$3,8,1),0),NETWORKDAYS.INTL(DATE($B$3,8,23),DATE($B$3,8,23),1,'Non-working days'!$A$6:$A$45)=0),"",IF(COUNTIFS('Leave log'!$A$7:$A$306,Employees!$A$33,'Leave log'!$B$7:$B$306,"&lt;="&amp;DATE($B$3,8,23),'Leave log'!$C$7:$C$306,"&gt;="&amp;DATE($B$3,8,23),'Leave log'!$F$7:$F$306,"Pending")&gt;0,"P",""))))</f>
        <v/>
      </c>
      <c r="Y272" s="23" t="str">
        <f>IF(A272="","",IF(IF(OR(DATE($B$3,8,24)&gt;EOMONTH(DATE($B$3,8,1),0),NETWORKDAYS.INTL(DATE($B$3,8,24),DATE($B$3,8,24),1,'Non-working days'!$A$6:$A$45)=0),"",IF(COUNTIFS('Leave log'!$A$7:$A$306,Employees!$A$33,'Leave log'!$B$7:$B$306,"&lt;="&amp;DATE($B$3,8,24),'Leave log'!$C$7:$C$306,"&gt;="&amp;DATE($B$3,8,24),'Leave log'!$F$7:$F$306,"Approved")&gt;0,"A",""))="A","A",IF(OR(DATE($B$3,8,24)&gt;EOMONTH(DATE($B$3,8,1),0),NETWORKDAYS.INTL(DATE($B$3,8,24),DATE($B$3,8,24),1,'Non-working days'!$A$6:$A$45)=0),"",IF(COUNTIFS('Leave log'!$A$7:$A$306,Employees!$A$33,'Leave log'!$B$7:$B$306,"&lt;="&amp;DATE($B$3,8,24),'Leave log'!$C$7:$C$306,"&gt;="&amp;DATE($B$3,8,24),'Leave log'!$F$7:$F$306,"Pending")&gt;0,"P",""))))</f>
        <v/>
      </c>
      <c r="Z272" s="23" t="str">
        <f>IF(A272="","",IF(IF(OR(DATE($B$3,8,25)&gt;EOMONTH(DATE($B$3,8,1),0),NETWORKDAYS.INTL(DATE($B$3,8,25),DATE($B$3,8,25),1,'Non-working days'!$A$6:$A$45)=0),"",IF(COUNTIFS('Leave log'!$A$7:$A$306,Employees!$A$33,'Leave log'!$B$7:$B$306,"&lt;="&amp;DATE($B$3,8,25),'Leave log'!$C$7:$C$306,"&gt;="&amp;DATE($B$3,8,25),'Leave log'!$F$7:$F$306,"Approved")&gt;0,"A",""))="A","A",IF(OR(DATE($B$3,8,25)&gt;EOMONTH(DATE($B$3,8,1),0),NETWORKDAYS.INTL(DATE($B$3,8,25),DATE($B$3,8,25),1,'Non-working days'!$A$6:$A$45)=0),"",IF(COUNTIFS('Leave log'!$A$7:$A$306,Employees!$A$33,'Leave log'!$B$7:$B$306,"&lt;="&amp;DATE($B$3,8,25),'Leave log'!$C$7:$C$306,"&gt;="&amp;DATE($B$3,8,25),'Leave log'!$F$7:$F$306,"Pending")&gt;0,"P",""))))</f>
        <v/>
      </c>
      <c r="AA272" s="23" t="str">
        <f>IF(A272="","",IF(IF(OR(DATE($B$3,8,26)&gt;EOMONTH(DATE($B$3,8,1),0),NETWORKDAYS.INTL(DATE($B$3,8,26),DATE($B$3,8,26),1,'Non-working days'!$A$6:$A$45)=0),"",IF(COUNTIFS('Leave log'!$A$7:$A$306,Employees!$A$33,'Leave log'!$B$7:$B$306,"&lt;="&amp;DATE($B$3,8,26),'Leave log'!$C$7:$C$306,"&gt;="&amp;DATE($B$3,8,26),'Leave log'!$F$7:$F$306,"Approved")&gt;0,"A",""))="A","A",IF(OR(DATE($B$3,8,26)&gt;EOMONTH(DATE($B$3,8,1),0),NETWORKDAYS.INTL(DATE($B$3,8,26),DATE($B$3,8,26),1,'Non-working days'!$A$6:$A$45)=0),"",IF(COUNTIFS('Leave log'!$A$7:$A$306,Employees!$A$33,'Leave log'!$B$7:$B$306,"&lt;="&amp;DATE($B$3,8,26),'Leave log'!$C$7:$C$306,"&gt;="&amp;DATE($B$3,8,26),'Leave log'!$F$7:$F$306,"Pending")&gt;0,"P",""))))</f>
        <v/>
      </c>
      <c r="AB272" s="23" t="str">
        <f>IF(A272="","",IF(IF(OR(DATE($B$3,8,27)&gt;EOMONTH(DATE($B$3,8,1),0),NETWORKDAYS.INTL(DATE($B$3,8,27),DATE($B$3,8,27),1,'Non-working days'!$A$6:$A$45)=0),"",IF(COUNTIFS('Leave log'!$A$7:$A$306,Employees!$A$33,'Leave log'!$B$7:$B$306,"&lt;="&amp;DATE($B$3,8,27),'Leave log'!$C$7:$C$306,"&gt;="&amp;DATE($B$3,8,27),'Leave log'!$F$7:$F$306,"Approved")&gt;0,"A",""))="A","A",IF(OR(DATE($B$3,8,27)&gt;EOMONTH(DATE($B$3,8,1),0),NETWORKDAYS.INTL(DATE($B$3,8,27),DATE($B$3,8,27),1,'Non-working days'!$A$6:$A$45)=0),"",IF(COUNTIFS('Leave log'!$A$7:$A$306,Employees!$A$33,'Leave log'!$B$7:$B$306,"&lt;="&amp;DATE($B$3,8,27),'Leave log'!$C$7:$C$306,"&gt;="&amp;DATE($B$3,8,27),'Leave log'!$F$7:$F$306,"Pending")&gt;0,"P",""))))</f>
        <v/>
      </c>
      <c r="AC272" s="23" t="str">
        <f>IF(A272="","",IF(IF(OR(DATE($B$3,8,28)&gt;EOMONTH(DATE($B$3,8,1),0),NETWORKDAYS.INTL(DATE($B$3,8,28),DATE($B$3,8,28),1,'Non-working days'!$A$6:$A$45)=0),"",IF(COUNTIFS('Leave log'!$A$7:$A$306,Employees!$A$33,'Leave log'!$B$7:$B$306,"&lt;="&amp;DATE($B$3,8,28),'Leave log'!$C$7:$C$306,"&gt;="&amp;DATE($B$3,8,28),'Leave log'!$F$7:$F$306,"Approved")&gt;0,"A",""))="A","A",IF(OR(DATE($B$3,8,28)&gt;EOMONTH(DATE($B$3,8,1),0),NETWORKDAYS.INTL(DATE($B$3,8,28),DATE($B$3,8,28),1,'Non-working days'!$A$6:$A$45)=0),"",IF(COUNTIFS('Leave log'!$A$7:$A$306,Employees!$A$33,'Leave log'!$B$7:$B$306,"&lt;="&amp;DATE($B$3,8,28),'Leave log'!$C$7:$C$306,"&gt;="&amp;DATE($B$3,8,28),'Leave log'!$F$7:$F$306,"Pending")&gt;0,"P",""))))</f>
        <v/>
      </c>
      <c r="AD272" s="23" t="str">
        <f>IF(A272="","",IF(IF(OR(DATE($B$3,8,29)&gt;EOMONTH(DATE($B$3,8,1),0),NETWORKDAYS.INTL(DATE($B$3,8,29),DATE($B$3,8,29),1,'Non-working days'!$A$6:$A$45)=0),"",IF(COUNTIFS('Leave log'!$A$7:$A$306,Employees!$A$33,'Leave log'!$B$7:$B$306,"&lt;="&amp;DATE($B$3,8,29),'Leave log'!$C$7:$C$306,"&gt;="&amp;DATE($B$3,8,29),'Leave log'!$F$7:$F$306,"Approved")&gt;0,"A",""))="A","A",IF(OR(DATE($B$3,8,29)&gt;EOMONTH(DATE($B$3,8,1),0),NETWORKDAYS.INTL(DATE($B$3,8,29),DATE($B$3,8,29),1,'Non-working days'!$A$6:$A$45)=0),"",IF(COUNTIFS('Leave log'!$A$7:$A$306,Employees!$A$33,'Leave log'!$B$7:$B$306,"&lt;="&amp;DATE($B$3,8,29),'Leave log'!$C$7:$C$306,"&gt;="&amp;DATE($B$3,8,29),'Leave log'!$F$7:$F$306,"Pending")&gt;0,"P",""))))</f>
        <v/>
      </c>
      <c r="AE272" s="23" t="str">
        <f>IF(A272="","",IF(IF(OR(DATE($B$3,8,30)&gt;EOMONTH(DATE($B$3,8,1),0),NETWORKDAYS.INTL(DATE($B$3,8,30),DATE($B$3,8,30),1,'Non-working days'!$A$6:$A$45)=0),"",IF(COUNTIFS('Leave log'!$A$7:$A$306,Employees!$A$33,'Leave log'!$B$7:$B$306,"&lt;="&amp;DATE($B$3,8,30),'Leave log'!$C$7:$C$306,"&gt;="&amp;DATE($B$3,8,30),'Leave log'!$F$7:$F$306,"Approved")&gt;0,"A",""))="A","A",IF(OR(DATE($B$3,8,30)&gt;EOMONTH(DATE($B$3,8,1),0),NETWORKDAYS.INTL(DATE($B$3,8,30),DATE($B$3,8,30),1,'Non-working days'!$A$6:$A$45)=0),"",IF(COUNTIFS('Leave log'!$A$7:$A$306,Employees!$A$33,'Leave log'!$B$7:$B$306,"&lt;="&amp;DATE($B$3,8,30),'Leave log'!$C$7:$C$306,"&gt;="&amp;DATE($B$3,8,30),'Leave log'!$F$7:$F$306,"Pending")&gt;0,"P",""))))</f>
        <v/>
      </c>
      <c r="AF272" s="23" t="str">
        <f>IF(A272="","",IF(IF(OR(DATE($B$3,8,31)&gt;EOMONTH(DATE($B$3,8,1),0),NETWORKDAYS.INTL(DATE($B$3,8,31),DATE($B$3,8,31),1,'Non-working days'!$A$6:$A$45)=0),"",IF(COUNTIFS('Leave log'!$A$7:$A$306,Employees!$A$33,'Leave log'!$B$7:$B$306,"&lt;="&amp;DATE($B$3,8,31),'Leave log'!$C$7:$C$306,"&gt;="&amp;DATE($B$3,8,31),'Leave log'!$F$7:$F$306,"Approved")&gt;0,"A",""))="A","A",IF(OR(DATE($B$3,8,31)&gt;EOMONTH(DATE($B$3,8,1),0),NETWORKDAYS.INTL(DATE($B$3,8,31),DATE($B$3,8,31),1,'Non-working days'!$A$6:$A$45)=0),"",IF(COUNTIFS('Leave log'!$A$7:$A$306,Employees!$A$33,'Leave log'!$B$7:$B$306,"&lt;="&amp;DATE($B$3,8,31),'Leave log'!$C$7:$C$306,"&gt;="&amp;DATE($B$3,8,31),'Leave log'!$F$7:$F$306,"Pending")&gt;0,"P",""))))</f>
        <v/>
      </c>
    </row>
    <row r="273" spans="1:32" ht="18" customHeight="1" x14ac:dyDescent="0.3">
      <c r="A273" s="22" t="str">
        <f>IF(Employees!F34="Yes",Employees!B34,"")</f>
        <v/>
      </c>
      <c r="B273" s="23" t="str">
        <f>IF(A273="","",IF(IF(OR(DATE($B$3,8,1)&gt;EOMONTH(DATE($B$3,8,1),0),NETWORKDAYS.INTL(DATE($B$3,8,1),DATE($B$3,8,1),1,'Non-working days'!$A$6:$A$45)=0),"",IF(COUNTIFS('Leave log'!$A$7:$A$306,Employees!$A$34,'Leave log'!$B$7:$B$306,"&lt;="&amp;DATE($B$3,8,1),'Leave log'!$C$7:$C$306,"&gt;="&amp;DATE($B$3,8,1),'Leave log'!$F$7:$F$306,"Approved")&gt;0,"A",""))="A","A",IF(OR(DATE($B$3,8,1)&gt;EOMONTH(DATE($B$3,8,1),0),NETWORKDAYS.INTL(DATE($B$3,8,1),DATE($B$3,8,1),1,'Non-working days'!$A$6:$A$45)=0),"",IF(COUNTIFS('Leave log'!$A$7:$A$306,Employees!$A$34,'Leave log'!$B$7:$B$306,"&lt;="&amp;DATE($B$3,8,1),'Leave log'!$C$7:$C$306,"&gt;="&amp;DATE($B$3,8,1),'Leave log'!$F$7:$F$306,"Pending")&gt;0,"P",""))))</f>
        <v/>
      </c>
      <c r="C273" s="23" t="str">
        <f>IF(A273="","",IF(IF(OR(DATE($B$3,8,2)&gt;EOMONTH(DATE($B$3,8,1),0),NETWORKDAYS.INTL(DATE($B$3,8,2),DATE($B$3,8,2),1,'Non-working days'!$A$6:$A$45)=0),"",IF(COUNTIFS('Leave log'!$A$7:$A$306,Employees!$A$34,'Leave log'!$B$7:$B$306,"&lt;="&amp;DATE($B$3,8,2),'Leave log'!$C$7:$C$306,"&gt;="&amp;DATE($B$3,8,2),'Leave log'!$F$7:$F$306,"Approved")&gt;0,"A",""))="A","A",IF(OR(DATE($B$3,8,2)&gt;EOMONTH(DATE($B$3,8,1),0),NETWORKDAYS.INTL(DATE($B$3,8,2),DATE($B$3,8,2),1,'Non-working days'!$A$6:$A$45)=0),"",IF(COUNTIFS('Leave log'!$A$7:$A$306,Employees!$A$34,'Leave log'!$B$7:$B$306,"&lt;="&amp;DATE($B$3,8,2),'Leave log'!$C$7:$C$306,"&gt;="&amp;DATE($B$3,8,2),'Leave log'!$F$7:$F$306,"Pending")&gt;0,"P",""))))</f>
        <v/>
      </c>
      <c r="D273" s="23" t="str">
        <f>IF(A273="","",IF(IF(OR(DATE($B$3,8,3)&gt;EOMONTH(DATE($B$3,8,1),0),NETWORKDAYS.INTL(DATE($B$3,8,3),DATE($B$3,8,3),1,'Non-working days'!$A$6:$A$45)=0),"",IF(COUNTIFS('Leave log'!$A$7:$A$306,Employees!$A$34,'Leave log'!$B$7:$B$306,"&lt;="&amp;DATE($B$3,8,3),'Leave log'!$C$7:$C$306,"&gt;="&amp;DATE($B$3,8,3),'Leave log'!$F$7:$F$306,"Approved")&gt;0,"A",""))="A","A",IF(OR(DATE($B$3,8,3)&gt;EOMONTH(DATE($B$3,8,1),0),NETWORKDAYS.INTL(DATE($B$3,8,3),DATE($B$3,8,3),1,'Non-working days'!$A$6:$A$45)=0),"",IF(COUNTIFS('Leave log'!$A$7:$A$306,Employees!$A$34,'Leave log'!$B$7:$B$306,"&lt;="&amp;DATE($B$3,8,3),'Leave log'!$C$7:$C$306,"&gt;="&amp;DATE($B$3,8,3),'Leave log'!$F$7:$F$306,"Pending")&gt;0,"P",""))))</f>
        <v/>
      </c>
      <c r="E273" s="23" t="str">
        <f>IF(A273="","",IF(IF(OR(DATE($B$3,8,4)&gt;EOMONTH(DATE($B$3,8,1),0),NETWORKDAYS.INTL(DATE($B$3,8,4),DATE($B$3,8,4),1,'Non-working days'!$A$6:$A$45)=0),"",IF(COUNTIFS('Leave log'!$A$7:$A$306,Employees!$A$34,'Leave log'!$B$7:$B$306,"&lt;="&amp;DATE($B$3,8,4),'Leave log'!$C$7:$C$306,"&gt;="&amp;DATE($B$3,8,4),'Leave log'!$F$7:$F$306,"Approved")&gt;0,"A",""))="A","A",IF(OR(DATE($B$3,8,4)&gt;EOMONTH(DATE($B$3,8,1),0),NETWORKDAYS.INTL(DATE($B$3,8,4),DATE($B$3,8,4),1,'Non-working days'!$A$6:$A$45)=0),"",IF(COUNTIFS('Leave log'!$A$7:$A$306,Employees!$A$34,'Leave log'!$B$7:$B$306,"&lt;="&amp;DATE($B$3,8,4),'Leave log'!$C$7:$C$306,"&gt;="&amp;DATE($B$3,8,4),'Leave log'!$F$7:$F$306,"Pending")&gt;0,"P",""))))</f>
        <v/>
      </c>
      <c r="F273" s="23" t="str">
        <f>IF(A273="","",IF(IF(OR(DATE($B$3,8,5)&gt;EOMONTH(DATE($B$3,8,1),0),NETWORKDAYS.INTL(DATE($B$3,8,5),DATE($B$3,8,5),1,'Non-working days'!$A$6:$A$45)=0),"",IF(COUNTIFS('Leave log'!$A$7:$A$306,Employees!$A$34,'Leave log'!$B$7:$B$306,"&lt;="&amp;DATE($B$3,8,5),'Leave log'!$C$7:$C$306,"&gt;="&amp;DATE($B$3,8,5),'Leave log'!$F$7:$F$306,"Approved")&gt;0,"A",""))="A","A",IF(OR(DATE($B$3,8,5)&gt;EOMONTH(DATE($B$3,8,1),0),NETWORKDAYS.INTL(DATE($B$3,8,5),DATE($B$3,8,5),1,'Non-working days'!$A$6:$A$45)=0),"",IF(COUNTIFS('Leave log'!$A$7:$A$306,Employees!$A$34,'Leave log'!$B$7:$B$306,"&lt;="&amp;DATE($B$3,8,5),'Leave log'!$C$7:$C$306,"&gt;="&amp;DATE($B$3,8,5),'Leave log'!$F$7:$F$306,"Pending")&gt;0,"P",""))))</f>
        <v/>
      </c>
      <c r="G273" s="23" t="str">
        <f>IF(A273="","",IF(IF(OR(DATE($B$3,8,6)&gt;EOMONTH(DATE($B$3,8,1),0),NETWORKDAYS.INTL(DATE($B$3,8,6),DATE($B$3,8,6),1,'Non-working days'!$A$6:$A$45)=0),"",IF(COUNTIFS('Leave log'!$A$7:$A$306,Employees!$A$34,'Leave log'!$B$7:$B$306,"&lt;="&amp;DATE($B$3,8,6),'Leave log'!$C$7:$C$306,"&gt;="&amp;DATE($B$3,8,6),'Leave log'!$F$7:$F$306,"Approved")&gt;0,"A",""))="A","A",IF(OR(DATE($B$3,8,6)&gt;EOMONTH(DATE($B$3,8,1),0),NETWORKDAYS.INTL(DATE($B$3,8,6),DATE($B$3,8,6),1,'Non-working days'!$A$6:$A$45)=0),"",IF(COUNTIFS('Leave log'!$A$7:$A$306,Employees!$A$34,'Leave log'!$B$7:$B$306,"&lt;="&amp;DATE($B$3,8,6),'Leave log'!$C$7:$C$306,"&gt;="&amp;DATE($B$3,8,6),'Leave log'!$F$7:$F$306,"Pending")&gt;0,"P",""))))</f>
        <v/>
      </c>
      <c r="H273" s="23" t="str">
        <f>IF(A273="","",IF(IF(OR(DATE($B$3,8,7)&gt;EOMONTH(DATE($B$3,8,1),0),NETWORKDAYS.INTL(DATE($B$3,8,7),DATE($B$3,8,7),1,'Non-working days'!$A$6:$A$45)=0),"",IF(COUNTIFS('Leave log'!$A$7:$A$306,Employees!$A$34,'Leave log'!$B$7:$B$306,"&lt;="&amp;DATE($B$3,8,7),'Leave log'!$C$7:$C$306,"&gt;="&amp;DATE($B$3,8,7),'Leave log'!$F$7:$F$306,"Approved")&gt;0,"A",""))="A","A",IF(OR(DATE($B$3,8,7)&gt;EOMONTH(DATE($B$3,8,1),0),NETWORKDAYS.INTL(DATE($B$3,8,7),DATE($B$3,8,7),1,'Non-working days'!$A$6:$A$45)=0),"",IF(COUNTIFS('Leave log'!$A$7:$A$306,Employees!$A$34,'Leave log'!$B$7:$B$306,"&lt;="&amp;DATE($B$3,8,7),'Leave log'!$C$7:$C$306,"&gt;="&amp;DATE($B$3,8,7),'Leave log'!$F$7:$F$306,"Pending")&gt;0,"P",""))))</f>
        <v/>
      </c>
      <c r="I273" s="23" t="str">
        <f>IF(A273="","",IF(IF(OR(DATE($B$3,8,8)&gt;EOMONTH(DATE($B$3,8,1),0),NETWORKDAYS.INTL(DATE($B$3,8,8),DATE($B$3,8,8),1,'Non-working days'!$A$6:$A$45)=0),"",IF(COUNTIFS('Leave log'!$A$7:$A$306,Employees!$A$34,'Leave log'!$B$7:$B$306,"&lt;="&amp;DATE($B$3,8,8),'Leave log'!$C$7:$C$306,"&gt;="&amp;DATE($B$3,8,8),'Leave log'!$F$7:$F$306,"Approved")&gt;0,"A",""))="A","A",IF(OR(DATE($B$3,8,8)&gt;EOMONTH(DATE($B$3,8,1),0),NETWORKDAYS.INTL(DATE($B$3,8,8),DATE($B$3,8,8),1,'Non-working days'!$A$6:$A$45)=0),"",IF(COUNTIFS('Leave log'!$A$7:$A$306,Employees!$A$34,'Leave log'!$B$7:$B$306,"&lt;="&amp;DATE($B$3,8,8),'Leave log'!$C$7:$C$306,"&gt;="&amp;DATE($B$3,8,8),'Leave log'!$F$7:$F$306,"Pending")&gt;0,"P",""))))</f>
        <v/>
      </c>
      <c r="J273" s="23" t="str">
        <f>IF(A273="","",IF(IF(OR(DATE($B$3,8,9)&gt;EOMONTH(DATE($B$3,8,1),0),NETWORKDAYS.INTL(DATE($B$3,8,9),DATE($B$3,8,9),1,'Non-working days'!$A$6:$A$45)=0),"",IF(COUNTIFS('Leave log'!$A$7:$A$306,Employees!$A$34,'Leave log'!$B$7:$B$306,"&lt;="&amp;DATE($B$3,8,9),'Leave log'!$C$7:$C$306,"&gt;="&amp;DATE($B$3,8,9),'Leave log'!$F$7:$F$306,"Approved")&gt;0,"A",""))="A","A",IF(OR(DATE($B$3,8,9)&gt;EOMONTH(DATE($B$3,8,1),0),NETWORKDAYS.INTL(DATE($B$3,8,9),DATE($B$3,8,9),1,'Non-working days'!$A$6:$A$45)=0),"",IF(COUNTIFS('Leave log'!$A$7:$A$306,Employees!$A$34,'Leave log'!$B$7:$B$306,"&lt;="&amp;DATE($B$3,8,9),'Leave log'!$C$7:$C$306,"&gt;="&amp;DATE($B$3,8,9),'Leave log'!$F$7:$F$306,"Pending")&gt;0,"P",""))))</f>
        <v/>
      </c>
      <c r="K273" s="23" t="str">
        <f>IF(A273="","",IF(IF(OR(DATE($B$3,8,10)&gt;EOMONTH(DATE($B$3,8,1),0),NETWORKDAYS.INTL(DATE($B$3,8,10),DATE($B$3,8,10),1,'Non-working days'!$A$6:$A$45)=0),"",IF(COUNTIFS('Leave log'!$A$7:$A$306,Employees!$A$34,'Leave log'!$B$7:$B$306,"&lt;="&amp;DATE($B$3,8,10),'Leave log'!$C$7:$C$306,"&gt;="&amp;DATE($B$3,8,10),'Leave log'!$F$7:$F$306,"Approved")&gt;0,"A",""))="A","A",IF(OR(DATE($B$3,8,10)&gt;EOMONTH(DATE($B$3,8,1),0),NETWORKDAYS.INTL(DATE($B$3,8,10),DATE($B$3,8,10),1,'Non-working days'!$A$6:$A$45)=0),"",IF(COUNTIFS('Leave log'!$A$7:$A$306,Employees!$A$34,'Leave log'!$B$7:$B$306,"&lt;="&amp;DATE($B$3,8,10),'Leave log'!$C$7:$C$306,"&gt;="&amp;DATE($B$3,8,10),'Leave log'!$F$7:$F$306,"Pending")&gt;0,"P",""))))</f>
        <v/>
      </c>
      <c r="L273" s="23" t="str">
        <f>IF(A273="","",IF(IF(OR(DATE($B$3,8,11)&gt;EOMONTH(DATE($B$3,8,1),0),NETWORKDAYS.INTL(DATE($B$3,8,11),DATE($B$3,8,11),1,'Non-working days'!$A$6:$A$45)=0),"",IF(COUNTIFS('Leave log'!$A$7:$A$306,Employees!$A$34,'Leave log'!$B$7:$B$306,"&lt;="&amp;DATE($B$3,8,11),'Leave log'!$C$7:$C$306,"&gt;="&amp;DATE($B$3,8,11),'Leave log'!$F$7:$F$306,"Approved")&gt;0,"A",""))="A","A",IF(OR(DATE($B$3,8,11)&gt;EOMONTH(DATE($B$3,8,1),0),NETWORKDAYS.INTL(DATE($B$3,8,11),DATE($B$3,8,11),1,'Non-working days'!$A$6:$A$45)=0),"",IF(COUNTIFS('Leave log'!$A$7:$A$306,Employees!$A$34,'Leave log'!$B$7:$B$306,"&lt;="&amp;DATE($B$3,8,11),'Leave log'!$C$7:$C$306,"&gt;="&amp;DATE($B$3,8,11),'Leave log'!$F$7:$F$306,"Pending")&gt;0,"P",""))))</f>
        <v/>
      </c>
      <c r="M273" s="23" t="str">
        <f>IF(A273="","",IF(IF(OR(DATE($B$3,8,12)&gt;EOMONTH(DATE($B$3,8,1),0),NETWORKDAYS.INTL(DATE($B$3,8,12),DATE($B$3,8,12),1,'Non-working days'!$A$6:$A$45)=0),"",IF(COUNTIFS('Leave log'!$A$7:$A$306,Employees!$A$34,'Leave log'!$B$7:$B$306,"&lt;="&amp;DATE($B$3,8,12),'Leave log'!$C$7:$C$306,"&gt;="&amp;DATE($B$3,8,12),'Leave log'!$F$7:$F$306,"Approved")&gt;0,"A",""))="A","A",IF(OR(DATE($B$3,8,12)&gt;EOMONTH(DATE($B$3,8,1),0),NETWORKDAYS.INTL(DATE($B$3,8,12),DATE($B$3,8,12),1,'Non-working days'!$A$6:$A$45)=0),"",IF(COUNTIFS('Leave log'!$A$7:$A$306,Employees!$A$34,'Leave log'!$B$7:$B$306,"&lt;="&amp;DATE($B$3,8,12),'Leave log'!$C$7:$C$306,"&gt;="&amp;DATE($B$3,8,12),'Leave log'!$F$7:$F$306,"Pending")&gt;0,"P",""))))</f>
        <v/>
      </c>
      <c r="N273" s="23" t="str">
        <f>IF(A273="","",IF(IF(OR(DATE($B$3,8,13)&gt;EOMONTH(DATE($B$3,8,1),0),NETWORKDAYS.INTL(DATE($B$3,8,13),DATE($B$3,8,13),1,'Non-working days'!$A$6:$A$45)=0),"",IF(COUNTIFS('Leave log'!$A$7:$A$306,Employees!$A$34,'Leave log'!$B$7:$B$306,"&lt;="&amp;DATE($B$3,8,13),'Leave log'!$C$7:$C$306,"&gt;="&amp;DATE($B$3,8,13),'Leave log'!$F$7:$F$306,"Approved")&gt;0,"A",""))="A","A",IF(OR(DATE($B$3,8,13)&gt;EOMONTH(DATE($B$3,8,1),0),NETWORKDAYS.INTL(DATE($B$3,8,13),DATE($B$3,8,13),1,'Non-working days'!$A$6:$A$45)=0),"",IF(COUNTIFS('Leave log'!$A$7:$A$306,Employees!$A$34,'Leave log'!$B$7:$B$306,"&lt;="&amp;DATE($B$3,8,13),'Leave log'!$C$7:$C$306,"&gt;="&amp;DATE($B$3,8,13),'Leave log'!$F$7:$F$306,"Pending")&gt;0,"P",""))))</f>
        <v/>
      </c>
      <c r="O273" s="23" t="str">
        <f>IF(A273="","",IF(IF(OR(DATE($B$3,8,14)&gt;EOMONTH(DATE($B$3,8,1),0),NETWORKDAYS.INTL(DATE($B$3,8,14),DATE($B$3,8,14),1,'Non-working days'!$A$6:$A$45)=0),"",IF(COUNTIFS('Leave log'!$A$7:$A$306,Employees!$A$34,'Leave log'!$B$7:$B$306,"&lt;="&amp;DATE($B$3,8,14),'Leave log'!$C$7:$C$306,"&gt;="&amp;DATE($B$3,8,14),'Leave log'!$F$7:$F$306,"Approved")&gt;0,"A",""))="A","A",IF(OR(DATE($B$3,8,14)&gt;EOMONTH(DATE($B$3,8,1),0),NETWORKDAYS.INTL(DATE($B$3,8,14),DATE($B$3,8,14),1,'Non-working days'!$A$6:$A$45)=0),"",IF(COUNTIFS('Leave log'!$A$7:$A$306,Employees!$A$34,'Leave log'!$B$7:$B$306,"&lt;="&amp;DATE($B$3,8,14),'Leave log'!$C$7:$C$306,"&gt;="&amp;DATE($B$3,8,14),'Leave log'!$F$7:$F$306,"Pending")&gt;0,"P",""))))</f>
        <v/>
      </c>
      <c r="P273" s="23" t="str">
        <f>IF(A273="","",IF(IF(OR(DATE($B$3,8,15)&gt;EOMONTH(DATE($B$3,8,1),0),NETWORKDAYS.INTL(DATE($B$3,8,15),DATE($B$3,8,15),1,'Non-working days'!$A$6:$A$45)=0),"",IF(COUNTIFS('Leave log'!$A$7:$A$306,Employees!$A$34,'Leave log'!$B$7:$B$306,"&lt;="&amp;DATE($B$3,8,15),'Leave log'!$C$7:$C$306,"&gt;="&amp;DATE($B$3,8,15),'Leave log'!$F$7:$F$306,"Approved")&gt;0,"A",""))="A","A",IF(OR(DATE($B$3,8,15)&gt;EOMONTH(DATE($B$3,8,1),0),NETWORKDAYS.INTL(DATE($B$3,8,15),DATE($B$3,8,15),1,'Non-working days'!$A$6:$A$45)=0),"",IF(COUNTIFS('Leave log'!$A$7:$A$306,Employees!$A$34,'Leave log'!$B$7:$B$306,"&lt;="&amp;DATE($B$3,8,15),'Leave log'!$C$7:$C$306,"&gt;="&amp;DATE($B$3,8,15),'Leave log'!$F$7:$F$306,"Pending")&gt;0,"P",""))))</f>
        <v/>
      </c>
      <c r="Q273" s="23" t="str">
        <f>IF(A273="","",IF(IF(OR(DATE($B$3,8,16)&gt;EOMONTH(DATE($B$3,8,1),0),NETWORKDAYS.INTL(DATE($B$3,8,16),DATE($B$3,8,16),1,'Non-working days'!$A$6:$A$45)=0),"",IF(COUNTIFS('Leave log'!$A$7:$A$306,Employees!$A$34,'Leave log'!$B$7:$B$306,"&lt;="&amp;DATE($B$3,8,16),'Leave log'!$C$7:$C$306,"&gt;="&amp;DATE($B$3,8,16),'Leave log'!$F$7:$F$306,"Approved")&gt;0,"A",""))="A","A",IF(OR(DATE($B$3,8,16)&gt;EOMONTH(DATE($B$3,8,1),0),NETWORKDAYS.INTL(DATE($B$3,8,16),DATE($B$3,8,16),1,'Non-working days'!$A$6:$A$45)=0),"",IF(COUNTIFS('Leave log'!$A$7:$A$306,Employees!$A$34,'Leave log'!$B$7:$B$306,"&lt;="&amp;DATE($B$3,8,16),'Leave log'!$C$7:$C$306,"&gt;="&amp;DATE($B$3,8,16),'Leave log'!$F$7:$F$306,"Pending")&gt;0,"P",""))))</f>
        <v/>
      </c>
      <c r="R273" s="23" t="str">
        <f>IF(A273="","",IF(IF(OR(DATE($B$3,8,17)&gt;EOMONTH(DATE($B$3,8,1),0),NETWORKDAYS.INTL(DATE($B$3,8,17),DATE($B$3,8,17),1,'Non-working days'!$A$6:$A$45)=0),"",IF(COUNTIFS('Leave log'!$A$7:$A$306,Employees!$A$34,'Leave log'!$B$7:$B$306,"&lt;="&amp;DATE($B$3,8,17),'Leave log'!$C$7:$C$306,"&gt;="&amp;DATE($B$3,8,17),'Leave log'!$F$7:$F$306,"Approved")&gt;0,"A",""))="A","A",IF(OR(DATE($B$3,8,17)&gt;EOMONTH(DATE($B$3,8,1),0),NETWORKDAYS.INTL(DATE($B$3,8,17),DATE($B$3,8,17),1,'Non-working days'!$A$6:$A$45)=0),"",IF(COUNTIFS('Leave log'!$A$7:$A$306,Employees!$A$34,'Leave log'!$B$7:$B$306,"&lt;="&amp;DATE($B$3,8,17),'Leave log'!$C$7:$C$306,"&gt;="&amp;DATE($B$3,8,17),'Leave log'!$F$7:$F$306,"Pending")&gt;0,"P",""))))</f>
        <v/>
      </c>
      <c r="S273" s="23" t="str">
        <f>IF(A273="","",IF(IF(OR(DATE($B$3,8,18)&gt;EOMONTH(DATE($B$3,8,1),0),NETWORKDAYS.INTL(DATE($B$3,8,18),DATE($B$3,8,18),1,'Non-working days'!$A$6:$A$45)=0),"",IF(COUNTIFS('Leave log'!$A$7:$A$306,Employees!$A$34,'Leave log'!$B$7:$B$306,"&lt;="&amp;DATE($B$3,8,18),'Leave log'!$C$7:$C$306,"&gt;="&amp;DATE($B$3,8,18),'Leave log'!$F$7:$F$306,"Approved")&gt;0,"A",""))="A","A",IF(OR(DATE($B$3,8,18)&gt;EOMONTH(DATE($B$3,8,1),0),NETWORKDAYS.INTL(DATE($B$3,8,18),DATE($B$3,8,18),1,'Non-working days'!$A$6:$A$45)=0),"",IF(COUNTIFS('Leave log'!$A$7:$A$306,Employees!$A$34,'Leave log'!$B$7:$B$306,"&lt;="&amp;DATE($B$3,8,18),'Leave log'!$C$7:$C$306,"&gt;="&amp;DATE($B$3,8,18),'Leave log'!$F$7:$F$306,"Pending")&gt;0,"P",""))))</f>
        <v/>
      </c>
      <c r="T273" s="23" t="str">
        <f>IF(A273="","",IF(IF(OR(DATE($B$3,8,19)&gt;EOMONTH(DATE($B$3,8,1),0),NETWORKDAYS.INTL(DATE($B$3,8,19),DATE($B$3,8,19),1,'Non-working days'!$A$6:$A$45)=0),"",IF(COUNTIFS('Leave log'!$A$7:$A$306,Employees!$A$34,'Leave log'!$B$7:$B$306,"&lt;="&amp;DATE($B$3,8,19),'Leave log'!$C$7:$C$306,"&gt;="&amp;DATE($B$3,8,19),'Leave log'!$F$7:$F$306,"Approved")&gt;0,"A",""))="A","A",IF(OR(DATE($B$3,8,19)&gt;EOMONTH(DATE($B$3,8,1),0),NETWORKDAYS.INTL(DATE($B$3,8,19),DATE($B$3,8,19),1,'Non-working days'!$A$6:$A$45)=0),"",IF(COUNTIFS('Leave log'!$A$7:$A$306,Employees!$A$34,'Leave log'!$B$7:$B$306,"&lt;="&amp;DATE($B$3,8,19),'Leave log'!$C$7:$C$306,"&gt;="&amp;DATE($B$3,8,19),'Leave log'!$F$7:$F$306,"Pending")&gt;0,"P",""))))</f>
        <v/>
      </c>
      <c r="U273" s="23" t="str">
        <f>IF(A273="","",IF(IF(OR(DATE($B$3,8,20)&gt;EOMONTH(DATE($B$3,8,1),0),NETWORKDAYS.INTL(DATE($B$3,8,20),DATE($B$3,8,20),1,'Non-working days'!$A$6:$A$45)=0),"",IF(COUNTIFS('Leave log'!$A$7:$A$306,Employees!$A$34,'Leave log'!$B$7:$B$306,"&lt;="&amp;DATE($B$3,8,20),'Leave log'!$C$7:$C$306,"&gt;="&amp;DATE($B$3,8,20),'Leave log'!$F$7:$F$306,"Approved")&gt;0,"A",""))="A","A",IF(OR(DATE($B$3,8,20)&gt;EOMONTH(DATE($B$3,8,1),0),NETWORKDAYS.INTL(DATE($B$3,8,20),DATE($B$3,8,20),1,'Non-working days'!$A$6:$A$45)=0),"",IF(COUNTIFS('Leave log'!$A$7:$A$306,Employees!$A$34,'Leave log'!$B$7:$B$306,"&lt;="&amp;DATE($B$3,8,20),'Leave log'!$C$7:$C$306,"&gt;="&amp;DATE($B$3,8,20),'Leave log'!$F$7:$F$306,"Pending")&gt;0,"P",""))))</f>
        <v/>
      </c>
      <c r="V273" s="23" t="str">
        <f>IF(A273="","",IF(IF(OR(DATE($B$3,8,21)&gt;EOMONTH(DATE($B$3,8,1),0),NETWORKDAYS.INTL(DATE($B$3,8,21),DATE($B$3,8,21),1,'Non-working days'!$A$6:$A$45)=0),"",IF(COUNTIFS('Leave log'!$A$7:$A$306,Employees!$A$34,'Leave log'!$B$7:$B$306,"&lt;="&amp;DATE($B$3,8,21),'Leave log'!$C$7:$C$306,"&gt;="&amp;DATE($B$3,8,21),'Leave log'!$F$7:$F$306,"Approved")&gt;0,"A",""))="A","A",IF(OR(DATE($B$3,8,21)&gt;EOMONTH(DATE($B$3,8,1),0),NETWORKDAYS.INTL(DATE($B$3,8,21),DATE($B$3,8,21),1,'Non-working days'!$A$6:$A$45)=0),"",IF(COUNTIFS('Leave log'!$A$7:$A$306,Employees!$A$34,'Leave log'!$B$7:$B$306,"&lt;="&amp;DATE($B$3,8,21),'Leave log'!$C$7:$C$306,"&gt;="&amp;DATE($B$3,8,21),'Leave log'!$F$7:$F$306,"Pending")&gt;0,"P",""))))</f>
        <v/>
      </c>
      <c r="W273" s="23" t="str">
        <f>IF(A273="","",IF(IF(OR(DATE($B$3,8,22)&gt;EOMONTH(DATE($B$3,8,1),0),NETWORKDAYS.INTL(DATE($B$3,8,22),DATE($B$3,8,22),1,'Non-working days'!$A$6:$A$45)=0),"",IF(COUNTIFS('Leave log'!$A$7:$A$306,Employees!$A$34,'Leave log'!$B$7:$B$306,"&lt;="&amp;DATE($B$3,8,22),'Leave log'!$C$7:$C$306,"&gt;="&amp;DATE($B$3,8,22),'Leave log'!$F$7:$F$306,"Approved")&gt;0,"A",""))="A","A",IF(OR(DATE($B$3,8,22)&gt;EOMONTH(DATE($B$3,8,1),0),NETWORKDAYS.INTL(DATE($B$3,8,22),DATE($B$3,8,22),1,'Non-working days'!$A$6:$A$45)=0),"",IF(COUNTIFS('Leave log'!$A$7:$A$306,Employees!$A$34,'Leave log'!$B$7:$B$306,"&lt;="&amp;DATE($B$3,8,22),'Leave log'!$C$7:$C$306,"&gt;="&amp;DATE($B$3,8,22),'Leave log'!$F$7:$F$306,"Pending")&gt;0,"P",""))))</f>
        <v/>
      </c>
      <c r="X273" s="23" t="str">
        <f>IF(A273="","",IF(IF(OR(DATE($B$3,8,23)&gt;EOMONTH(DATE($B$3,8,1),0),NETWORKDAYS.INTL(DATE($B$3,8,23),DATE($B$3,8,23),1,'Non-working days'!$A$6:$A$45)=0),"",IF(COUNTIFS('Leave log'!$A$7:$A$306,Employees!$A$34,'Leave log'!$B$7:$B$306,"&lt;="&amp;DATE($B$3,8,23),'Leave log'!$C$7:$C$306,"&gt;="&amp;DATE($B$3,8,23),'Leave log'!$F$7:$F$306,"Approved")&gt;0,"A",""))="A","A",IF(OR(DATE($B$3,8,23)&gt;EOMONTH(DATE($B$3,8,1),0),NETWORKDAYS.INTL(DATE($B$3,8,23),DATE($B$3,8,23),1,'Non-working days'!$A$6:$A$45)=0),"",IF(COUNTIFS('Leave log'!$A$7:$A$306,Employees!$A$34,'Leave log'!$B$7:$B$306,"&lt;="&amp;DATE($B$3,8,23),'Leave log'!$C$7:$C$306,"&gt;="&amp;DATE($B$3,8,23),'Leave log'!$F$7:$F$306,"Pending")&gt;0,"P",""))))</f>
        <v/>
      </c>
      <c r="Y273" s="23" t="str">
        <f>IF(A273="","",IF(IF(OR(DATE($B$3,8,24)&gt;EOMONTH(DATE($B$3,8,1),0),NETWORKDAYS.INTL(DATE($B$3,8,24),DATE($B$3,8,24),1,'Non-working days'!$A$6:$A$45)=0),"",IF(COUNTIFS('Leave log'!$A$7:$A$306,Employees!$A$34,'Leave log'!$B$7:$B$306,"&lt;="&amp;DATE($B$3,8,24),'Leave log'!$C$7:$C$306,"&gt;="&amp;DATE($B$3,8,24),'Leave log'!$F$7:$F$306,"Approved")&gt;0,"A",""))="A","A",IF(OR(DATE($B$3,8,24)&gt;EOMONTH(DATE($B$3,8,1),0),NETWORKDAYS.INTL(DATE($B$3,8,24),DATE($B$3,8,24),1,'Non-working days'!$A$6:$A$45)=0),"",IF(COUNTIFS('Leave log'!$A$7:$A$306,Employees!$A$34,'Leave log'!$B$7:$B$306,"&lt;="&amp;DATE($B$3,8,24),'Leave log'!$C$7:$C$306,"&gt;="&amp;DATE($B$3,8,24),'Leave log'!$F$7:$F$306,"Pending")&gt;0,"P",""))))</f>
        <v/>
      </c>
      <c r="Z273" s="23" t="str">
        <f>IF(A273="","",IF(IF(OR(DATE($B$3,8,25)&gt;EOMONTH(DATE($B$3,8,1),0),NETWORKDAYS.INTL(DATE($B$3,8,25),DATE($B$3,8,25),1,'Non-working days'!$A$6:$A$45)=0),"",IF(COUNTIFS('Leave log'!$A$7:$A$306,Employees!$A$34,'Leave log'!$B$7:$B$306,"&lt;="&amp;DATE($B$3,8,25),'Leave log'!$C$7:$C$306,"&gt;="&amp;DATE($B$3,8,25),'Leave log'!$F$7:$F$306,"Approved")&gt;0,"A",""))="A","A",IF(OR(DATE($B$3,8,25)&gt;EOMONTH(DATE($B$3,8,1),0),NETWORKDAYS.INTL(DATE($B$3,8,25),DATE($B$3,8,25),1,'Non-working days'!$A$6:$A$45)=0),"",IF(COUNTIFS('Leave log'!$A$7:$A$306,Employees!$A$34,'Leave log'!$B$7:$B$306,"&lt;="&amp;DATE($B$3,8,25),'Leave log'!$C$7:$C$306,"&gt;="&amp;DATE($B$3,8,25),'Leave log'!$F$7:$F$306,"Pending")&gt;0,"P",""))))</f>
        <v/>
      </c>
      <c r="AA273" s="23" t="str">
        <f>IF(A273="","",IF(IF(OR(DATE($B$3,8,26)&gt;EOMONTH(DATE($B$3,8,1),0),NETWORKDAYS.INTL(DATE($B$3,8,26),DATE($B$3,8,26),1,'Non-working days'!$A$6:$A$45)=0),"",IF(COUNTIFS('Leave log'!$A$7:$A$306,Employees!$A$34,'Leave log'!$B$7:$B$306,"&lt;="&amp;DATE($B$3,8,26),'Leave log'!$C$7:$C$306,"&gt;="&amp;DATE($B$3,8,26),'Leave log'!$F$7:$F$306,"Approved")&gt;0,"A",""))="A","A",IF(OR(DATE($B$3,8,26)&gt;EOMONTH(DATE($B$3,8,1),0),NETWORKDAYS.INTL(DATE($B$3,8,26),DATE($B$3,8,26),1,'Non-working days'!$A$6:$A$45)=0),"",IF(COUNTIFS('Leave log'!$A$7:$A$306,Employees!$A$34,'Leave log'!$B$7:$B$306,"&lt;="&amp;DATE($B$3,8,26),'Leave log'!$C$7:$C$306,"&gt;="&amp;DATE($B$3,8,26),'Leave log'!$F$7:$F$306,"Pending")&gt;0,"P",""))))</f>
        <v/>
      </c>
      <c r="AB273" s="23" t="str">
        <f>IF(A273="","",IF(IF(OR(DATE($B$3,8,27)&gt;EOMONTH(DATE($B$3,8,1),0),NETWORKDAYS.INTL(DATE($B$3,8,27),DATE($B$3,8,27),1,'Non-working days'!$A$6:$A$45)=0),"",IF(COUNTIFS('Leave log'!$A$7:$A$306,Employees!$A$34,'Leave log'!$B$7:$B$306,"&lt;="&amp;DATE($B$3,8,27),'Leave log'!$C$7:$C$306,"&gt;="&amp;DATE($B$3,8,27),'Leave log'!$F$7:$F$306,"Approved")&gt;0,"A",""))="A","A",IF(OR(DATE($B$3,8,27)&gt;EOMONTH(DATE($B$3,8,1),0),NETWORKDAYS.INTL(DATE($B$3,8,27),DATE($B$3,8,27),1,'Non-working days'!$A$6:$A$45)=0),"",IF(COUNTIFS('Leave log'!$A$7:$A$306,Employees!$A$34,'Leave log'!$B$7:$B$306,"&lt;="&amp;DATE($B$3,8,27),'Leave log'!$C$7:$C$306,"&gt;="&amp;DATE($B$3,8,27),'Leave log'!$F$7:$F$306,"Pending")&gt;0,"P",""))))</f>
        <v/>
      </c>
      <c r="AC273" s="23" t="str">
        <f>IF(A273="","",IF(IF(OR(DATE($B$3,8,28)&gt;EOMONTH(DATE($B$3,8,1),0),NETWORKDAYS.INTL(DATE($B$3,8,28),DATE($B$3,8,28),1,'Non-working days'!$A$6:$A$45)=0),"",IF(COUNTIFS('Leave log'!$A$7:$A$306,Employees!$A$34,'Leave log'!$B$7:$B$306,"&lt;="&amp;DATE($B$3,8,28),'Leave log'!$C$7:$C$306,"&gt;="&amp;DATE($B$3,8,28),'Leave log'!$F$7:$F$306,"Approved")&gt;0,"A",""))="A","A",IF(OR(DATE($B$3,8,28)&gt;EOMONTH(DATE($B$3,8,1),0),NETWORKDAYS.INTL(DATE($B$3,8,28),DATE($B$3,8,28),1,'Non-working days'!$A$6:$A$45)=0),"",IF(COUNTIFS('Leave log'!$A$7:$A$306,Employees!$A$34,'Leave log'!$B$7:$B$306,"&lt;="&amp;DATE($B$3,8,28),'Leave log'!$C$7:$C$306,"&gt;="&amp;DATE($B$3,8,28),'Leave log'!$F$7:$F$306,"Pending")&gt;0,"P",""))))</f>
        <v/>
      </c>
      <c r="AD273" s="23" t="str">
        <f>IF(A273="","",IF(IF(OR(DATE($B$3,8,29)&gt;EOMONTH(DATE($B$3,8,1),0),NETWORKDAYS.INTL(DATE($B$3,8,29),DATE($B$3,8,29),1,'Non-working days'!$A$6:$A$45)=0),"",IF(COUNTIFS('Leave log'!$A$7:$A$306,Employees!$A$34,'Leave log'!$B$7:$B$306,"&lt;="&amp;DATE($B$3,8,29),'Leave log'!$C$7:$C$306,"&gt;="&amp;DATE($B$3,8,29),'Leave log'!$F$7:$F$306,"Approved")&gt;0,"A",""))="A","A",IF(OR(DATE($B$3,8,29)&gt;EOMONTH(DATE($B$3,8,1),0),NETWORKDAYS.INTL(DATE($B$3,8,29),DATE($B$3,8,29),1,'Non-working days'!$A$6:$A$45)=0),"",IF(COUNTIFS('Leave log'!$A$7:$A$306,Employees!$A$34,'Leave log'!$B$7:$B$306,"&lt;="&amp;DATE($B$3,8,29),'Leave log'!$C$7:$C$306,"&gt;="&amp;DATE($B$3,8,29),'Leave log'!$F$7:$F$306,"Pending")&gt;0,"P",""))))</f>
        <v/>
      </c>
      <c r="AE273" s="23" t="str">
        <f>IF(A273="","",IF(IF(OR(DATE($B$3,8,30)&gt;EOMONTH(DATE($B$3,8,1),0),NETWORKDAYS.INTL(DATE($B$3,8,30),DATE($B$3,8,30),1,'Non-working days'!$A$6:$A$45)=0),"",IF(COUNTIFS('Leave log'!$A$7:$A$306,Employees!$A$34,'Leave log'!$B$7:$B$306,"&lt;="&amp;DATE($B$3,8,30),'Leave log'!$C$7:$C$306,"&gt;="&amp;DATE($B$3,8,30),'Leave log'!$F$7:$F$306,"Approved")&gt;0,"A",""))="A","A",IF(OR(DATE($B$3,8,30)&gt;EOMONTH(DATE($B$3,8,1),0),NETWORKDAYS.INTL(DATE($B$3,8,30),DATE($B$3,8,30),1,'Non-working days'!$A$6:$A$45)=0),"",IF(COUNTIFS('Leave log'!$A$7:$A$306,Employees!$A$34,'Leave log'!$B$7:$B$306,"&lt;="&amp;DATE($B$3,8,30),'Leave log'!$C$7:$C$306,"&gt;="&amp;DATE($B$3,8,30),'Leave log'!$F$7:$F$306,"Pending")&gt;0,"P",""))))</f>
        <v/>
      </c>
      <c r="AF273" s="23" t="str">
        <f>IF(A273="","",IF(IF(OR(DATE($B$3,8,31)&gt;EOMONTH(DATE($B$3,8,1),0),NETWORKDAYS.INTL(DATE($B$3,8,31),DATE($B$3,8,31),1,'Non-working days'!$A$6:$A$45)=0),"",IF(COUNTIFS('Leave log'!$A$7:$A$306,Employees!$A$34,'Leave log'!$B$7:$B$306,"&lt;="&amp;DATE($B$3,8,31),'Leave log'!$C$7:$C$306,"&gt;="&amp;DATE($B$3,8,31),'Leave log'!$F$7:$F$306,"Approved")&gt;0,"A",""))="A","A",IF(OR(DATE($B$3,8,31)&gt;EOMONTH(DATE($B$3,8,1),0),NETWORKDAYS.INTL(DATE($B$3,8,31),DATE($B$3,8,31),1,'Non-working days'!$A$6:$A$45)=0),"",IF(COUNTIFS('Leave log'!$A$7:$A$306,Employees!$A$34,'Leave log'!$B$7:$B$306,"&lt;="&amp;DATE($B$3,8,31),'Leave log'!$C$7:$C$306,"&gt;="&amp;DATE($B$3,8,31),'Leave log'!$F$7:$F$306,"Pending")&gt;0,"P",""))))</f>
        <v/>
      </c>
    </row>
    <row r="274" spans="1:32" ht="18" customHeight="1" x14ac:dyDescent="0.3">
      <c r="A274" s="22" t="str">
        <f>IF(Employees!F35="Yes",Employees!B35,"")</f>
        <v/>
      </c>
      <c r="B274" s="23" t="str">
        <f>IF(A274="","",IF(IF(OR(DATE($B$3,8,1)&gt;EOMONTH(DATE($B$3,8,1),0),NETWORKDAYS.INTL(DATE($B$3,8,1),DATE($B$3,8,1),1,'Non-working days'!$A$6:$A$45)=0),"",IF(COUNTIFS('Leave log'!$A$7:$A$306,Employees!$A$35,'Leave log'!$B$7:$B$306,"&lt;="&amp;DATE($B$3,8,1),'Leave log'!$C$7:$C$306,"&gt;="&amp;DATE($B$3,8,1),'Leave log'!$F$7:$F$306,"Approved")&gt;0,"A",""))="A","A",IF(OR(DATE($B$3,8,1)&gt;EOMONTH(DATE($B$3,8,1),0),NETWORKDAYS.INTL(DATE($B$3,8,1),DATE($B$3,8,1),1,'Non-working days'!$A$6:$A$45)=0),"",IF(COUNTIFS('Leave log'!$A$7:$A$306,Employees!$A$35,'Leave log'!$B$7:$B$306,"&lt;="&amp;DATE($B$3,8,1),'Leave log'!$C$7:$C$306,"&gt;="&amp;DATE($B$3,8,1),'Leave log'!$F$7:$F$306,"Pending")&gt;0,"P",""))))</f>
        <v/>
      </c>
      <c r="C274" s="23" t="str">
        <f>IF(A274="","",IF(IF(OR(DATE($B$3,8,2)&gt;EOMONTH(DATE($B$3,8,1),0),NETWORKDAYS.INTL(DATE($B$3,8,2),DATE($B$3,8,2),1,'Non-working days'!$A$6:$A$45)=0),"",IF(COUNTIFS('Leave log'!$A$7:$A$306,Employees!$A$35,'Leave log'!$B$7:$B$306,"&lt;="&amp;DATE($B$3,8,2),'Leave log'!$C$7:$C$306,"&gt;="&amp;DATE($B$3,8,2),'Leave log'!$F$7:$F$306,"Approved")&gt;0,"A",""))="A","A",IF(OR(DATE($B$3,8,2)&gt;EOMONTH(DATE($B$3,8,1),0),NETWORKDAYS.INTL(DATE($B$3,8,2),DATE($B$3,8,2),1,'Non-working days'!$A$6:$A$45)=0),"",IF(COUNTIFS('Leave log'!$A$7:$A$306,Employees!$A$35,'Leave log'!$B$7:$B$306,"&lt;="&amp;DATE($B$3,8,2),'Leave log'!$C$7:$C$306,"&gt;="&amp;DATE($B$3,8,2),'Leave log'!$F$7:$F$306,"Pending")&gt;0,"P",""))))</f>
        <v/>
      </c>
      <c r="D274" s="23" t="str">
        <f>IF(A274="","",IF(IF(OR(DATE($B$3,8,3)&gt;EOMONTH(DATE($B$3,8,1),0),NETWORKDAYS.INTL(DATE($B$3,8,3),DATE($B$3,8,3),1,'Non-working days'!$A$6:$A$45)=0),"",IF(COUNTIFS('Leave log'!$A$7:$A$306,Employees!$A$35,'Leave log'!$B$7:$B$306,"&lt;="&amp;DATE($B$3,8,3),'Leave log'!$C$7:$C$306,"&gt;="&amp;DATE($B$3,8,3),'Leave log'!$F$7:$F$306,"Approved")&gt;0,"A",""))="A","A",IF(OR(DATE($B$3,8,3)&gt;EOMONTH(DATE($B$3,8,1),0),NETWORKDAYS.INTL(DATE($B$3,8,3),DATE($B$3,8,3),1,'Non-working days'!$A$6:$A$45)=0),"",IF(COUNTIFS('Leave log'!$A$7:$A$306,Employees!$A$35,'Leave log'!$B$7:$B$306,"&lt;="&amp;DATE($B$3,8,3),'Leave log'!$C$7:$C$306,"&gt;="&amp;DATE($B$3,8,3),'Leave log'!$F$7:$F$306,"Pending")&gt;0,"P",""))))</f>
        <v/>
      </c>
      <c r="E274" s="23" t="str">
        <f>IF(A274="","",IF(IF(OR(DATE($B$3,8,4)&gt;EOMONTH(DATE($B$3,8,1),0),NETWORKDAYS.INTL(DATE($B$3,8,4),DATE($B$3,8,4),1,'Non-working days'!$A$6:$A$45)=0),"",IF(COUNTIFS('Leave log'!$A$7:$A$306,Employees!$A$35,'Leave log'!$B$7:$B$306,"&lt;="&amp;DATE($B$3,8,4),'Leave log'!$C$7:$C$306,"&gt;="&amp;DATE($B$3,8,4),'Leave log'!$F$7:$F$306,"Approved")&gt;0,"A",""))="A","A",IF(OR(DATE($B$3,8,4)&gt;EOMONTH(DATE($B$3,8,1),0),NETWORKDAYS.INTL(DATE($B$3,8,4),DATE($B$3,8,4),1,'Non-working days'!$A$6:$A$45)=0),"",IF(COUNTIFS('Leave log'!$A$7:$A$306,Employees!$A$35,'Leave log'!$B$7:$B$306,"&lt;="&amp;DATE($B$3,8,4),'Leave log'!$C$7:$C$306,"&gt;="&amp;DATE($B$3,8,4),'Leave log'!$F$7:$F$306,"Pending")&gt;0,"P",""))))</f>
        <v/>
      </c>
      <c r="F274" s="23" t="str">
        <f>IF(A274="","",IF(IF(OR(DATE($B$3,8,5)&gt;EOMONTH(DATE($B$3,8,1),0),NETWORKDAYS.INTL(DATE($B$3,8,5),DATE($B$3,8,5),1,'Non-working days'!$A$6:$A$45)=0),"",IF(COUNTIFS('Leave log'!$A$7:$A$306,Employees!$A$35,'Leave log'!$B$7:$B$306,"&lt;="&amp;DATE($B$3,8,5),'Leave log'!$C$7:$C$306,"&gt;="&amp;DATE($B$3,8,5),'Leave log'!$F$7:$F$306,"Approved")&gt;0,"A",""))="A","A",IF(OR(DATE($B$3,8,5)&gt;EOMONTH(DATE($B$3,8,1),0),NETWORKDAYS.INTL(DATE($B$3,8,5),DATE($B$3,8,5),1,'Non-working days'!$A$6:$A$45)=0),"",IF(COUNTIFS('Leave log'!$A$7:$A$306,Employees!$A$35,'Leave log'!$B$7:$B$306,"&lt;="&amp;DATE($B$3,8,5),'Leave log'!$C$7:$C$306,"&gt;="&amp;DATE($B$3,8,5),'Leave log'!$F$7:$F$306,"Pending")&gt;0,"P",""))))</f>
        <v/>
      </c>
      <c r="G274" s="23" t="str">
        <f>IF(A274="","",IF(IF(OR(DATE($B$3,8,6)&gt;EOMONTH(DATE($B$3,8,1),0),NETWORKDAYS.INTL(DATE($B$3,8,6),DATE($B$3,8,6),1,'Non-working days'!$A$6:$A$45)=0),"",IF(COUNTIFS('Leave log'!$A$7:$A$306,Employees!$A$35,'Leave log'!$B$7:$B$306,"&lt;="&amp;DATE($B$3,8,6),'Leave log'!$C$7:$C$306,"&gt;="&amp;DATE($B$3,8,6),'Leave log'!$F$7:$F$306,"Approved")&gt;0,"A",""))="A","A",IF(OR(DATE($B$3,8,6)&gt;EOMONTH(DATE($B$3,8,1),0),NETWORKDAYS.INTL(DATE($B$3,8,6),DATE($B$3,8,6),1,'Non-working days'!$A$6:$A$45)=0),"",IF(COUNTIFS('Leave log'!$A$7:$A$306,Employees!$A$35,'Leave log'!$B$7:$B$306,"&lt;="&amp;DATE($B$3,8,6),'Leave log'!$C$7:$C$306,"&gt;="&amp;DATE($B$3,8,6),'Leave log'!$F$7:$F$306,"Pending")&gt;0,"P",""))))</f>
        <v/>
      </c>
      <c r="H274" s="23" t="str">
        <f>IF(A274="","",IF(IF(OR(DATE($B$3,8,7)&gt;EOMONTH(DATE($B$3,8,1),0),NETWORKDAYS.INTL(DATE($B$3,8,7),DATE($B$3,8,7),1,'Non-working days'!$A$6:$A$45)=0),"",IF(COUNTIFS('Leave log'!$A$7:$A$306,Employees!$A$35,'Leave log'!$B$7:$B$306,"&lt;="&amp;DATE($B$3,8,7),'Leave log'!$C$7:$C$306,"&gt;="&amp;DATE($B$3,8,7),'Leave log'!$F$7:$F$306,"Approved")&gt;0,"A",""))="A","A",IF(OR(DATE($B$3,8,7)&gt;EOMONTH(DATE($B$3,8,1),0),NETWORKDAYS.INTL(DATE($B$3,8,7),DATE($B$3,8,7),1,'Non-working days'!$A$6:$A$45)=0),"",IF(COUNTIFS('Leave log'!$A$7:$A$306,Employees!$A$35,'Leave log'!$B$7:$B$306,"&lt;="&amp;DATE($B$3,8,7),'Leave log'!$C$7:$C$306,"&gt;="&amp;DATE($B$3,8,7),'Leave log'!$F$7:$F$306,"Pending")&gt;0,"P",""))))</f>
        <v/>
      </c>
      <c r="I274" s="23" t="str">
        <f>IF(A274="","",IF(IF(OR(DATE($B$3,8,8)&gt;EOMONTH(DATE($B$3,8,1),0),NETWORKDAYS.INTL(DATE($B$3,8,8),DATE($B$3,8,8),1,'Non-working days'!$A$6:$A$45)=0),"",IF(COUNTIFS('Leave log'!$A$7:$A$306,Employees!$A$35,'Leave log'!$B$7:$B$306,"&lt;="&amp;DATE($B$3,8,8),'Leave log'!$C$7:$C$306,"&gt;="&amp;DATE($B$3,8,8),'Leave log'!$F$7:$F$306,"Approved")&gt;0,"A",""))="A","A",IF(OR(DATE($B$3,8,8)&gt;EOMONTH(DATE($B$3,8,1),0),NETWORKDAYS.INTL(DATE($B$3,8,8),DATE($B$3,8,8),1,'Non-working days'!$A$6:$A$45)=0),"",IF(COUNTIFS('Leave log'!$A$7:$A$306,Employees!$A$35,'Leave log'!$B$7:$B$306,"&lt;="&amp;DATE($B$3,8,8),'Leave log'!$C$7:$C$306,"&gt;="&amp;DATE($B$3,8,8),'Leave log'!$F$7:$F$306,"Pending")&gt;0,"P",""))))</f>
        <v/>
      </c>
      <c r="J274" s="23" t="str">
        <f>IF(A274="","",IF(IF(OR(DATE($B$3,8,9)&gt;EOMONTH(DATE($B$3,8,1),0),NETWORKDAYS.INTL(DATE($B$3,8,9),DATE($B$3,8,9),1,'Non-working days'!$A$6:$A$45)=0),"",IF(COUNTIFS('Leave log'!$A$7:$A$306,Employees!$A$35,'Leave log'!$B$7:$B$306,"&lt;="&amp;DATE($B$3,8,9),'Leave log'!$C$7:$C$306,"&gt;="&amp;DATE($B$3,8,9),'Leave log'!$F$7:$F$306,"Approved")&gt;0,"A",""))="A","A",IF(OR(DATE($B$3,8,9)&gt;EOMONTH(DATE($B$3,8,1),0),NETWORKDAYS.INTL(DATE($B$3,8,9),DATE($B$3,8,9),1,'Non-working days'!$A$6:$A$45)=0),"",IF(COUNTIFS('Leave log'!$A$7:$A$306,Employees!$A$35,'Leave log'!$B$7:$B$306,"&lt;="&amp;DATE($B$3,8,9),'Leave log'!$C$7:$C$306,"&gt;="&amp;DATE($B$3,8,9),'Leave log'!$F$7:$F$306,"Pending")&gt;0,"P",""))))</f>
        <v/>
      </c>
      <c r="K274" s="23" t="str">
        <f>IF(A274="","",IF(IF(OR(DATE($B$3,8,10)&gt;EOMONTH(DATE($B$3,8,1),0),NETWORKDAYS.INTL(DATE($B$3,8,10),DATE($B$3,8,10),1,'Non-working days'!$A$6:$A$45)=0),"",IF(COUNTIFS('Leave log'!$A$7:$A$306,Employees!$A$35,'Leave log'!$B$7:$B$306,"&lt;="&amp;DATE($B$3,8,10),'Leave log'!$C$7:$C$306,"&gt;="&amp;DATE($B$3,8,10),'Leave log'!$F$7:$F$306,"Approved")&gt;0,"A",""))="A","A",IF(OR(DATE($B$3,8,10)&gt;EOMONTH(DATE($B$3,8,1),0),NETWORKDAYS.INTL(DATE($B$3,8,10),DATE($B$3,8,10),1,'Non-working days'!$A$6:$A$45)=0),"",IF(COUNTIFS('Leave log'!$A$7:$A$306,Employees!$A$35,'Leave log'!$B$7:$B$306,"&lt;="&amp;DATE($B$3,8,10),'Leave log'!$C$7:$C$306,"&gt;="&amp;DATE($B$3,8,10),'Leave log'!$F$7:$F$306,"Pending")&gt;0,"P",""))))</f>
        <v/>
      </c>
      <c r="L274" s="23" t="str">
        <f>IF(A274="","",IF(IF(OR(DATE($B$3,8,11)&gt;EOMONTH(DATE($B$3,8,1),0),NETWORKDAYS.INTL(DATE($B$3,8,11),DATE($B$3,8,11),1,'Non-working days'!$A$6:$A$45)=0),"",IF(COUNTIFS('Leave log'!$A$7:$A$306,Employees!$A$35,'Leave log'!$B$7:$B$306,"&lt;="&amp;DATE($B$3,8,11),'Leave log'!$C$7:$C$306,"&gt;="&amp;DATE($B$3,8,11),'Leave log'!$F$7:$F$306,"Approved")&gt;0,"A",""))="A","A",IF(OR(DATE($B$3,8,11)&gt;EOMONTH(DATE($B$3,8,1),0),NETWORKDAYS.INTL(DATE($B$3,8,11),DATE($B$3,8,11),1,'Non-working days'!$A$6:$A$45)=0),"",IF(COUNTIFS('Leave log'!$A$7:$A$306,Employees!$A$35,'Leave log'!$B$7:$B$306,"&lt;="&amp;DATE($B$3,8,11),'Leave log'!$C$7:$C$306,"&gt;="&amp;DATE($B$3,8,11),'Leave log'!$F$7:$F$306,"Pending")&gt;0,"P",""))))</f>
        <v/>
      </c>
      <c r="M274" s="23" t="str">
        <f>IF(A274="","",IF(IF(OR(DATE($B$3,8,12)&gt;EOMONTH(DATE($B$3,8,1),0),NETWORKDAYS.INTL(DATE($B$3,8,12),DATE($B$3,8,12),1,'Non-working days'!$A$6:$A$45)=0),"",IF(COUNTIFS('Leave log'!$A$7:$A$306,Employees!$A$35,'Leave log'!$B$7:$B$306,"&lt;="&amp;DATE($B$3,8,12),'Leave log'!$C$7:$C$306,"&gt;="&amp;DATE($B$3,8,12),'Leave log'!$F$7:$F$306,"Approved")&gt;0,"A",""))="A","A",IF(OR(DATE($B$3,8,12)&gt;EOMONTH(DATE($B$3,8,1),0),NETWORKDAYS.INTL(DATE($B$3,8,12),DATE($B$3,8,12),1,'Non-working days'!$A$6:$A$45)=0),"",IF(COUNTIFS('Leave log'!$A$7:$A$306,Employees!$A$35,'Leave log'!$B$7:$B$306,"&lt;="&amp;DATE($B$3,8,12),'Leave log'!$C$7:$C$306,"&gt;="&amp;DATE($B$3,8,12),'Leave log'!$F$7:$F$306,"Pending")&gt;0,"P",""))))</f>
        <v/>
      </c>
      <c r="N274" s="23" t="str">
        <f>IF(A274="","",IF(IF(OR(DATE($B$3,8,13)&gt;EOMONTH(DATE($B$3,8,1),0),NETWORKDAYS.INTL(DATE($B$3,8,13),DATE($B$3,8,13),1,'Non-working days'!$A$6:$A$45)=0),"",IF(COUNTIFS('Leave log'!$A$7:$A$306,Employees!$A$35,'Leave log'!$B$7:$B$306,"&lt;="&amp;DATE($B$3,8,13),'Leave log'!$C$7:$C$306,"&gt;="&amp;DATE($B$3,8,13),'Leave log'!$F$7:$F$306,"Approved")&gt;0,"A",""))="A","A",IF(OR(DATE($B$3,8,13)&gt;EOMONTH(DATE($B$3,8,1),0),NETWORKDAYS.INTL(DATE($B$3,8,13),DATE($B$3,8,13),1,'Non-working days'!$A$6:$A$45)=0),"",IF(COUNTIFS('Leave log'!$A$7:$A$306,Employees!$A$35,'Leave log'!$B$7:$B$306,"&lt;="&amp;DATE($B$3,8,13),'Leave log'!$C$7:$C$306,"&gt;="&amp;DATE($B$3,8,13),'Leave log'!$F$7:$F$306,"Pending")&gt;0,"P",""))))</f>
        <v/>
      </c>
      <c r="O274" s="23" t="str">
        <f>IF(A274="","",IF(IF(OR(DATE($B$3,8,14)&gt;EOMONTH(DATE($B$3,8,1),0),NETWORKDAYS.INTL(DATE($B$3,8,14),DATE($B$3,8,14),1,'Non-working days'!$A$6:$A$45)=0),"",IF(COUNTIFS('Leave log'!$A$7:$A$306,Employees!$A$35,'Leave log'!$B$7:$B$306,"&lt;="&amp;DATE($B$3,8,14),'Leave log'!$C$7:$C$306,"&gt;="&amp;DATE($B$3,8,14),'Leave log'!$F$7:$F$306,"Approved")&gt;0,"A",""))="A","A",IF(OR(DATE($B$3,8,14)&gt;EOMONTH(DATE($B$3,8,1),0),NETWORKDAYS.INTL(DATE($B$3,8,14),DATE($B$3,8,14),1,'Non-working days'!$A$6:$A$45)=0),"",IF(COUNTIFS('Leave log'!$A$7:$A$306,Employees!$A$35,'Leave log'!$B$7:$B$306,"&lt;="&amp;DATE($B$3,8,14),'Leave log'!$C$7:$C$306,"&gt;="&amp;DATE($B$3,8,14),'Leave log'!$F$7:$F$306,"Pending")&gt;0,"P",""))))</f>
        <v/>
      </c>
      <c r="P274" s="23" t="str">
        <f>IF(A274="","",IF(IF(OR(DATE($B$3,8,15)&gt;EOMONTH(DATE($B$3,8,1),0),NETWORKDAYS.INTL(DATE($B$3,8,15),DATE($B$3,8,15),1,'Non-working days'!$A$6:$A$45)=0),"",IF(COUNTIFS('Leave log'!$A$7:$A$306,Employees!$A$35,'Leave log'!$B$7:$B$306,"&lt;="&amp;DATE($B$3,8,15),'Leave log'!$C$7:$C$306,"&gt;="&amp;DATE($B$3,8,15),'Leave log'!$F$7:$F$306,"Approved")&gt;0,"A",""))="A","A",IF(OR(DATE($B$3,8,15)&gt;EOMONTH(DATE($B$3,8,1),0),NETWORKDAYS.INTL(DATE($B$3,8,15),DATE($B$3,8,15),1,'Non-working days'!$A$6:$A$45)=0),"",IF(COUNTIFS('Leave log'!$A$7:$A$306,Employees!$A$35,'Leave log'!$B$7:$B$306,"&lt;="&amp;DATE($B$3,8,15),'Leave log'!$C$7:$C$306,"&gt;="&amp;DATE($B$3,8,15),'Leave log'!$F$7:$F$306,"Pending")&gt;0,"P",""))))</f>
        <v/>
      </c>
      <c r="Q274" s="23" t="str">
        <f>IF(A274="","",IF(IF(OR(DATE($B$3,8,16)&gt;EOMONTH(DATE($B$3,8,1),0),NETWORKDAYS.INTL(DATE($B$3,8,16),DATE($B$3,8,16),1,'Non-working days'!$A$6:$A$45)=0),"",IF(COUNTIFS('Leave log'!$A$7:$A$306,Employees!$A$35,'Leave log'!$B$7:$B$306,"&lt;="&amp;DATE($B$3,8,16),'Leave log'!$C$7:$C$306,"&gt;="&amp;DATE($B$3,8,16),'Leave log'!$F$7:$F$306,"Approved")&gt;0,"A",""))="A","A",IF(OR(DATE($B$3,8,16)&gt;EOMONTH(DATE($B$3,8,1),0),NETWORKDAYS.INTL(DATE($B$3,8,16),DATE($B$3,8,16),1,'Non-working days'!$A$6:$A$45)=0),"",IF(COUNTIFS('Leave log'!$A$7:$A$306,Employees!$A$35,'Leave log'!$B$7:$B$306,"&lt;="&amp;DATE($B$3,8,16),'Leave log'!$C$7:$C$306,"&gt;="&amp;DATE($B$3,8,16),'Leave log'!$F$7:$F$306,"Pending")&gt;0,"P",""))))</f>
        <v/>
      </c>
      <c r="R274" s="23" t="str">
        <f>IF(A274="","",IF(IF(OR(DATE($B$3,8,17)&gt;EOMONTH(DATE($B$3,8,1),0),NETWORKDAYS.INTL(DATE($B$3,8,17),DATE($B$3,8,17),1,'Non-working days'!$A$6:$A$45)=0),"",IF(COUNTIFS('Leave log'!$A$7:$A$306,Employees!$A$35,'Leave log'!$B$7:$B$306,"&lt;="&amp;DATE($B$3,8,17),'Leave log'!$C$7:$C$306,"&gt;="&amp;DATE($B$3,8,17),'Leave log'!$F$7:$F$306,"Approved")&gt;0,"A",""))="A","A",IF(OR(DATE($B$3,8,17)&gt;EOMONTH(DATE($B$3,8,1),0),NETWORKDAYS.INTL(DATE($B$3,8,17),DATE($B$3,8,17),1,'Non-working days'!$A$6:$A$45)=0),"",IF(COUNTIFS('Leave log'!$A$7:$A$306,Employees!$A$35,'Leave log'!$B$7:$B$306,"&lt;="&amp;DATE($B$3,8,17),'Leave log'!$C$7:$C$306,"&gt;="&amp;DATE($B$3,8,17),'Leave log'!$F$7:$F$306,"Pending")&gt;0,"P",""))))</f>
        <v/>
      </c>
      <c r="S274" s="23" t="str">
        <f>IF(A274="","",IF(IF(OR(DATE($B$3,8,18)&gt;EOMONTH(DATE($B$3,8,1),0),NETWORKDAYS.INTL(DATE($B$3,8,18),DATE($B$3,8,18),1,'Non-working days'!$A$6:$A$45)=0),"",IF(COUNTIFS('Leave log'!$A$7:$A$306,Employees!$A$35,'Leave log'!$B$7:$B$306,"&lt;="&amp;DATE($B$3,8,18),'Leave log'!$C$7:$C$306,"&gt;="&amp;DATE($B$3,8,18),'Leave log'!$F$7:$F$306,"Approved")&gt;0,"A",""))="A","A",IF(OR(DATE($B$3,8,18)&gt;EOMONTH(DATE($B$3,8,1),0),NETWORKDAYS.INTL(DATE($B$3,8,18),DATE($B$3,8,18),1,'Non-working days'!$A$6:$A$45)=0),"",IF(COUNTIFS('Leave log'!$A$7:$A$306,Employees!$A$35,'Leave log'!$B$7:$B$306,"&lt;="&amp;DATE($B$3,8,18),'Leave log'!$C$7:$C$306,"&gt;="&amp;DATE($B$3,8,18),'Leave log'!$F$7:$F$306,"Pending")&gt;0,"P",""))))</f>
        <v/>
      </c>
      <c r="T274" s="23" t="str">
        <f>IF(A274="","",IF(IF(OR(DATE($B$3,8,19)&gt;EOMONTH(DATE($B$3,8,1),0),NETWORKDAYS.INTL(DATE($B$3,8,19),DATE($B$3,8,19),1,'Non-working days'!$A$6:$A$45)=0),"",IF(COUNTIFS('Leave log'!$A$7:$A$306,Employees!$A$35,'Leave log'!$B$7:$B$306,"&lt;="&amp;DATE($B$3,8,19),'Leave log'!$C$7:$C$306,"&gt;="&amp;DATE($B$3,8,19),'Leave log'!$F$7:$F$306,"Approved")&gt;0,"A",""))="A","A",IF(OR(DATE($B$3,8,19)&gt;EOMONTH(DATE($B$3,8,1),0),NETWORKDAYS.INTL(DATE($B$3,8,19),DATE($B$3,8,19),1,'Non-working days'!$A$6:$A$45)=0),"",IF(COUNTIFS('Leave log'!$A$7:$A$306,Employees!$A$35,'Leave log'!$B$7:$B$306,"&lt;="&amp;DATE($B$3,8,19),'Leave log'!$C$7:$C$306,"&gt;="&amp;DATE($B$3,8,19),'Leave log'!$F$7:$F$306,"Pending")&gt;0,"P",""))))</f>
        <v/>
      </c>
      <c r="U274" s="23" t="str">
        <f>IF(A274="","",IF(IF(OR(DATE($B$3,8,20)&gt;EOMONTH(DATE($B$3,8,1),0),NETWORKDAYS.INTL(DATE($B$3,8,20),DATE($B$3,8,20),1,'Non-working days'!$A$6:$A$45)=0),"",IF(COUNTIFS('Leave log'!$A$7:$A$306,Employees!$A$35,'Leave log'!$B$7:$B$306,"&lt;="&amp;DATE($B$3,8,20),'Leave log'!$C$7:$C$306,"&gt;="&amp;DATE($B$3,8,20),'Leave log'!$F$7:$F$306,"Approved")&gt;0,"A",""))="A","A",IF(OR(DATE($B$3,8,20)&gt;EOMONTH(DATE($B$3,8,1),0),NETWORKDAYS.INTL(DATE($B$3,8,20),DATE($B$3,8,20),1,'Non-working days'!$A$6:$A$45)=0),"",IF(COUNTIFS('Leave log'!$A$7:$A$306,Employees!$A$35,'Leave log'!$B$7:$B$306,"&lt;="&amp;DATE($B$3,8,20),'Leave log'!$C$7:$C$306,"&gt;="&amp;DATE($B$3,8,20),'Leave log'!$F$7:$F$306,"Pending")&gt;0,"P",""))))</f>
        <v/>
      </c>
      <c r="V274" s="23" t="str">
        <f>IF(A274="","",IF(IF(OR(DATE($B$3,8,21)&gt;EOMONTH(DATE($B$3,8,1),0),NETWORKDAYS.INTL(DATE($B$3,8,21),DATE($B$3,8,21),1,'Non-working days'!$A$6:$A$45)=0),"",IF(COUNTIFS('Leave log'!$A$7:$A$306,Employees!$A$35,'Leave log'!$B$7:$B$306,"&lt;="&amp;DATE($B$3,8,21),'Leave log'!$C$7:$C$306,"&gt;="&amp;DATE($B$3,8,21),'Leave log'!$F$7:$F$306,"Approved")&gt;0,"A",""))="A","A",IF(OR(DATE($B$3,8,21)&gt;EOMONTH(DATE($B$3,8,1),0),NETWORKDAYS.INTL(DATE($B$3,8,21),DATE($B$3,8,21),1,'Non-working days'!$A$6:$A$45)=0),"",IF(COUNTIFS('Leave log'!$A$7:$A$306,Employees!$A$35,'Leave log'!$B$7:$B$306,"&lt;="&amp;DATE($B$3,8,21),'Leave log'!$C$7:$C$306,"&gt;="&amp;DATE($B$3,8,21),'Leave log'!$F$7:$F$306,"Pending")&gt;0,"P",""))))</f>
        <v/>
      </c>
      <c r="W274" s="23" t="str">
        <f>IF(A274="","",IF(IF(OR(DATE($B$3,8,22)&gt;EOMONTH(DATE($B$3,8,1),0),NETWORKDAYS.INTL(DATE($B$3,8,22),DATE($B$3,8,22),1,'Non-working days'!$A$6:$A$45)=0),"",IF(COUNTIFS('Leave log'!$A$7:$A$306,Employees!$A$35,'Leave log'!$B$7:$B$306,"&lt;="&amp;DATE($B$3,8,22),'Leave log'!$C$7:$C$306,"&gt;="&amp;DATE($B$3,8,22),'Leave log'!$F$7:$F$306,"Approved")&gt;0,"A",""))="A","A",IF(OR(DATE($B$3,8,22)&gt;EOMONTH(DATE($B$3,8,1),0),NETWORKDAYS.INTL(DATE($B$3,8,22),DATE($B$3,8,22),1,'Non-working days'!$A$6:$A$45)=0),"",IF(COUNTIFS('Leave log'!$A$7:$A$306,Employees!$A$35,'Leave log'!$B$7:$B$306,"&lt;="&amp;DATE($B$3,8,22),'Leave log'!$C$7:$C$306,"&gt;="&amp;DATE($B$3,8,22),'Leave log'!$F$7:$F$306,"Pending")&gt;0,"P",""))))</f>
        <v/>
      </c>
      <c r="X274" s="23" t="str">
        <f>IF(A274="","",IF(IF(OR(DATE($B$3,8,23)&gt;EOMONTH(DATE($B$3,8,1),0),NETWORKDAYS.INTL(DATE($B$3,8,23),DATE($B$3,8,23),1,'Non-working days'!$A$6:$A$45)=0),"",IF(COUNTIFS('Leave log'!$A$7:$A$306,Employees!$A$35,'Leave log'!$B$7:$B$306,"&lt;="&amp;DATE($B$3,8,23),'Leave log'!$C$7:$C$306,"&gt;="&amp;DATE($B$3,8,23),'Leave log'!$F$7:$F$306,"Approved")&gt;0,"A",""))="A","A",IF(OR(DATE($B$3,8,23)&gt;EOMONTH(DATE($B$3,8,1),0),NETWORKDAYS.INTL(DATE($B$3,8,23),DATE($B$3,8,23),1,'Non-working days'!$A$6:$A$45)=0),"",IF(COUNTIFS('Leave log'!$A$7:$A$306,Employees!$A$35,'Leave log'!$B$7:$B$306,"&lt;="&amp;DATE($B$3,8,23),'Leave log'!$C$7:$C$306,"&gt;="&amp;DATE($B$3,8,23),'Leave log'!$F$7:$F$306,"Pending")&gt;0,"P",""))))</f>
        <v/>
      </c>
      <c r="Y274" s="23" t="str">
        <f>IF(A274="","",IF(IF(OR(DATE($B$3,8,24)&gt;EOMONTH(DATE($B$3,8,1),0),NETWORKDAYS.INTL(DATE($B$3,8,24),DATE($B$3,8,24),1,'Non-working days'!$A$6:$A$45)=0),"",IF(COUNTIFS('Leave log'!$A$7:$A$306,Employees!$A$35,'Leave log'!$B$7:$B$306,"&lt;="&amp;DATE($B$3,8,24),'Leave log'!$C$7:$C$306,"&gt;="&amp;DATE($B$3,8,24),'Leave log'!$F$7:$F$306,"Approved")&gt;0,"A",""))="A","A",IF(OR(DATE($B$3,8,24)&gt;EOMONTH(DATE($B$3,8,1),0),NETWORKDAYS.INTL(DATE($B$3,8,24),DATE($B$3,8,24),1,'Non-working days'!$A$6:$A$45)=0),"",IF(COUNTIFS('Leave log'!$A$7:$A$306,Employees!$A$35,'Leave log'!$B$7:$B$306,"&lt;="&amp;DATE($B$3,8,24),'Leave log'!$C$7:$C$306,"&gt;="&amp;DATE($B$3,8,24),'Leave log'!$F$7:$F$306,"Pending")&gt;0,"P",""))))</f>
        <v/>
      </c>
      <c r="Z274" s="23" t="str">
        <f>IF(A274="","",IF(IF(OR(DATE($B$3,8,25)&gt;EOMONTH(DATE($B$3,8,1),0),NETWORKDAYS.INTL(DATE($B$3,8,25),DATE($B$3,8,25),1,'Non-working days'!$A$6:$A$45)=0),"",IF(COUNTIFS('Leave log'!$A$7:$A$306,Employees!$A$35,'Leave log'!$B$7:$B$306,"&lt;="&amp;DATE($B$3,8,25),'Leave log'!$C$7:$C$306,"&gt;="&amp;DATE($B$3,8,25),'Leave log'!$F$7:$F$306,"Approved")&gt;0,"A",""))="A","A",IF(OR(DATE($B$3,8,25)&gt;EOMONTH(DATE($B$3,8,1),0),NETWORKDAYS.INTL(DATE($B$3,8,25),DATE($B$3,8,25),1,'Non-working days'!$A$6:$A$45)=0),"",IF(COUNTIFS('Leave log'!$A$7:$A$306,Employees!$A$35,'Leave log'!$B$7:$B$306,"&lt;="&amp;DATE($B$3,8,25),'Leave log'!$C$7:$C$306,"&gt;="&amp;DATE($B$3,8,25),'Leave log'!$F$7:$F$306,"Pending")&gt;0,"P",""))))</f>
        <v/>
      </c>
      <c r="AA274" s="23" t="str">
        <f>IF(A274="","",IF(IF(OR(DATE($B$3,8,26)&gt;EOMONTH(DATE($B$3,8,1),0),NETWORKDAYS.INTL(DATE($B$3,8,26),DATE($B$3,8,26),1,'Non-working days'!$A$6:$A$45)=0),"",IF(COUNTIFS('Leave log'!$A$7:$A$306,Employees!$A$35,'Leave log'!$B$7:$B$306,"&lt;="&amp;DATE($B$3,8,26),'Leave log'!$C$7:$C$306,"&gt;="&amp;DATE($B$3,8,26),'Leave log'!$F$7:$F$306,"Approved")&gt;0,"A",""))="A","A",IF(OR(DATE($B$3,8,26)&gt;EOMONTH(DATE($B$3,8,1),0),NETWORKDAYS.INTL(DATE($B$3,8,26),DATE($B$3,8,26),1,'Non-working days'!$A$6:$A$45)=0),"",IF(COUNTIFS('Leave log'!$A$7:$A$306,Employees!$A$35,'Leave log'!$B$7:$B$306,"&lt;="&amp;DATE($B$3,8,26),'Leave log'!$C$7:$C$306,"&gt;="&amp;DATE($B$3,8,26),'Leave log'!$F$7:$F$306,"Pending")&gt;0,"P",""))))</f>
        <v/>
      </c>
      <c r="AB274" s="23" t="str">
        <f>IF(A274="","",IF(IF(OR(DATE($B$3,8,27)&gt;EOMONTH(DATE($B$3,8,1),0),NETWORKDAYS.INTL(DATE($B$3,8,27),DATE($B$3,8,27),1,'Non-working days'!$A$6:$A$45)=0),"",IF(COUNTIFS('Leave log'!$A$7:$A$306,Employees!$A$35,'Leave log'!$B$7:$B$306,"&lt;="&amp;DATE($B$3,8,27),'Leave log'!$C$7:$C$306,"&gt;="&amp;DATE($B$3,8,27),'Leave log'!$F$7:$F$306,"Approved")&gt;0,"A",""))="A","A",IF(OR(DATE($B$3,8,27)&gt;EOMONTH(DATE($B$3,8,1),0),NETWORKDAYS.INTL(DATE($B$3,8,27),DATE($B$3,8,27),1,'Non-working days'!$A$6:$A$45)=0),"",IF(COUNTIFS('Leave log'!$A$7:$A$306,Employees!$A$35,'Leave log'!$B$7:$B$306,"&lt;="&amp;DATE($B$3,8,27),'Leave log'!$C$7:$C$306,"&gt;="&amp;DATE($B$3,8,27),'Leave log'!$F$7:$F$306,"Pending")&gt;0,"P",""))))</f>
        <v/>
      </c>
      <c r="AC274" s="23" t="str">
        <f>IF(A274="","",IF(IF(OR(DATE($B$3,8,28)&gt;EOMONTH(DATE($B$3,8,1),0),NETWORKDAYS.INTL(DATE($B$3,8,28),DATE($B$3,8,28),1,'Non-working days'!$A$6:$A$45)=0),"",IF(COUNTIFS('Leave log'!$A$7:$A$306,Employees!$A$35,'Leave log'!$B$7:$B$306,"&lt;="&amp;DATE($B$3,8,28),'Leave log'!$C$7:$C$306,"&gt;="&amp;DATE($B$3,8,28),'Leave log'!$F$7:$F$306,"Approved")&gt;0,"A",""))="A","A",IF(OR(DATE($B$3,8,28)&gt;EOMONTH(DATE($B$3,8,1),0),NETWORKDAYS.INTL(DATE($B$3,8,28),DATE($B$3,8,28),1,'Non-working days'!$A$6:$A$45)=0),"",IF(COUNTIFS('Leave log'!$A$7:$A$306,Employees!$A$35,'Leave log'!$B$7:$B$306,"&lt;="&amp;DATE($B$3,8,28),'Leave log'!$C$7:$C$306,"&gt;="&amp;DATE($B$3,8,28),'Leave log'!$F$7:$F$306,"Pending")&gt;0,"P",""))))</f>
        <v/>
      </c>
      <c r="AD274" s="23" t="str">
        <f>IF(A274="","",IF(IF(OR(DATE($B$3,8,29)&gt;EOMONTH(DATE($B$3,8,1),0),NETWORKDAYS.INTL(DATE($B$3,8,29),DATE($B$3,8,29),1,'Non-working days'!$A$6:$A$45)=0),"",IF(COUNTIFS('Leave log'!$A$7:$A$306,Employees!$A$35,'Leave log'!$B$7:$B$306,"&lt;="&amp;DATE($B$3,8,29),'Leave log'!$C$7:$C$306,"&gt;="&amp;DATE($B$3,8,29),'Leave log'!$F$7:$F$306,"Approved")&gt;0,"A",""))="A","A",IF(OR(DATE($B$3,8,29)&gt;EOMONTH(DATE($B$3,8,1),0),NETWORKDAYS.INTL(DATE($B$3,8,29),DATE($B$3,8,29),1,'Non-working days'!$A$6:$A$45)=0),"",IF(COUNTIFS('Leave log'!$A$7:$A$306,Employees!$A$35,'Leave log'!$B$7:$B$306,"&lt;="&amp;DATE($B$3,8,29),'Leave log'!$C$7:$C$306,"&gt;="&amp;DATE($B$3,8,29),'Leave log'!$F$7:$F$306,"Pending")&gt;0,"P",""))))</f>
        <v/>
      </c>
      <c r="AE274" s="23" t="str">
        <f>IF(A274="","",IF(IF(OR(DATE($B$3,8,30)&gt;EOMONTH(DATE($B$3,8,1),0),NETWORKDAYS.INTL(DATE($B$3,8,30),DATE($B$3,8,30),1,'Non-working days'!$A$6:$A$45)=0),"",IF(COUNTIFS('Leave log'!$A$7:$A$306,Employees!$A$35,'Leave log'!$B$7:$B$306,"&lt;="&amp;DATE($B$3,8,30),'Leave log'!$C$7:$C$306,"&gt;="&amp;DATE($B$3,8,30),'Leave log'!$F$7:$F$306,"Approved")&gt;0,"A",""))="A","A",IF(OR(DATE($B$3,8,30)&gt;EOMONTH(DATE($B$3,8,1),0),NETWORKDAYS.INTL(DATE($B$3,8,30),DATE($B$3,8,30),1,'Non-working days'!$A$6:$A$45)=0),"",IF(COUNTIFS('Leave log'!$A$7:$A$306,Employees!$A$35,'Leave log'!$B$7:$B$306,"&lt;="&amp;DATE($B$3,8,30),'Leave log'!$C$7:$C$306,"&gt;="&amp;DATE($B$3,8,30),'Leave log'!$F$7:$F$306,"Pending")&gt;0,"P",""))))</f>
        <v/>
      </c>
      <c r="AF274" s="23" t="str">
        <f>IF(A274="","",IF(IF(OR(DATE($B$3,8,31)&gt;EOMONTH(DATE($B$3,8,1),0),NETWORKDAYS.INTL(DATE($B$3,8,31),DATE($B$3,8,31),1,'Non-working days'!$A$6:$A$45)=0),"",IF(COUNTIFS('Leave log'!$A$7:$A$306,Employees!$A$35,'Leave log'!$B$7:$B$306,"&lt;="&amp;DATE($B$3,8,31),'Leave log'!$C$7:$C$306,"&gt;="&amp;DATE($B$3,8,31),'Leave log'!$F$7:$F$306,"Approved")&gt;0,"A",""))="A","A",IF(OR(DATE($B$3,8,31)&gt;EOMONTH(DATE($B$3,8,1),0),NETWORKDAYS.INTL(DATE($B$3,8,31),DATE($B$3,8,31),1,'Non-working days'!$A$6:$A$45)=0),"",IF(COUNTIFS('Leave log'!$A$7:$A$306,Employees!$A$35,'Leave log'!$B$7:$B$306,"&lt;="&amp;DATE($B$3,8,31),'Leave log'!$C$7:$C$306,"&gt;="&amp;DATE($B$3,8,31),'Leave log'!$F$7:$F$306,"Pending")&gt;0,"P",""))))</f>
        <v/>
      </c>
    </row>
    <row r="277" spans="1:32" ht="15.6" x14ac:dyDescent="0.3">
      <c r="A277" s="31" t="s">
        <v>83</v>
      </c>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row>
    <row r="278" spans="1:32" x14ac:dyDescent="0.3">
      <c r="A278" s="20" t="s">
        <v>75</v>
      </c>
      <c r="B278" s="21">
        <v>1</v>
      </c>
      <c r="C278" s="21">
        <v>2</v>
      </c>
      <c r="D278" s="21">
        <v>3</v>
      </c>
      <c r="E278" s="21">
        <v>4</v>
      </c>
      <c r="F278" s="21">
        <v>5</v>
      </c>
      <c r="G278" s="21">
        <v>6</v>
      </c>
      <c r="H278" s="21">
        <v>7</v>
      </c>
      <c r="I278" s="21">
        <v>8</v>
      </c>
      <c r="J278" s="21">
        <v>9</v>
      </c>
      <c r="K278" s="21">
        <v>10</v>
      </c>
      <c r="L278" s="21">
        <v>11</v>
      </c>
      <c r="M278" s="21">
        <v>12</v>
      </c>
      <c r="N278" s="21">
        <v>13</v>
      </c>
      <c r="O278" s="21">
        <v>14</v>
      </c>
      <c r="P278" s="21">
        <v>15</v>
      </c>
      <c r="Q278" s="21">
        <v>16</v>
      </c>
      <c r="R278" s="21">
        <v>17</v>
      </c>
      <c r="S278" s="21">
        <v>18</v>
      </c>
      <c r="T278" s="21">
        <v>19</v>
      </c>
      <c r="U278" s="21">
        <v>20</v>
      </c>
      <c r="V278" s="21">
        <v>21</v>
      </c>
      <c r="W278" s="21">
        <v>22</v>
      </c>
      <c r="X278" s="21">
        <v>23</v>
      </c>
      <c r="Y278" s="21">
        <v>24</v>
      </c>
      <c r="Z278" s="21">
        <v>25</v>
      </c>
      <c r="AA278" s="21">
        <v>26</v>
      </c>
      <c r="AB278" s="21">
        <v>27</v>
      </c>
      <c r="AC278" s="21">
        <v>28</v>
      </c>
      <c r="AD278" s="21">
        <v>29</v>
      </c>
      <c r="AE278" s="21">
        <v>30</v>
      </c>
      <c r="AF278" s="21">
        <v>31</v>
      </c>
    </row>
    <row r="279" spans="1:32" ht="18" customHeight="1" x14ac:dyDescent="0.3">
      <c r="A279" s="22" t="str">
        <f>IF(Employees!F6="Yes",Employees!B6,"")</f>
        <v>Alex Morgan</v>
      </c>
      <c r="B279" s="23" t="str">
        <f>IF(A279="","",IF(IF(OR(DATE($B$3,9,1)&gt;EOMONTH(DATE($B$3,9,1),0),NETWORKDAYS.INTL(DATE($B$3,9,1),DATE($B$3,9,1),1,'Non-working days'!$A$6:$A$45)=0),"",IF(COUNTIFS('Leave log'!$A$7:$A$306,Employees!$A$6,'Leave log'!$B$7:$B$306,"&lt;="&amp;DATE($B$3,9,1),'Leave log'!$C$7:$C$306,"&gt;="&amp;DATE($B$3,9,1),'Leave log'!$F$7:$F$306,"Approved")&gt;0,"A",""))="A","A",IF(OR(DATE($B$3,9,1)&gt;EOMONTH(DATE($B$3,9,1),0),NETWORKDAYS.INTL(DATE($B$3,9,1),DATE($B$3,9,1),1,'Non-working days'!$A$6:$A$45)=0),"",IF(COUNTIFS('Leave log'!$A$7:$A$306,Employees!$A$6,'Leave log'!$B$7:$B$306,"&lt;="&amp;DATE($B$3,9,1),'Leave log'!$C$7:$C$306,"&gt;="&amp;DATE($B$3,9,1),'Leave log'!$F$7:$F$306,"Pending")&gt;0,"P",""))))</f>
        <v/>
      </c>
      <c r="C279" s="23" t="str">
        <f>IF(A279="","",IF(IF(OR(DATE($B$3,9,2)&gt;EOMONTH(DATE($B$3,9,1),0),NETWORKDAYS.INTL(DATE($B$3,9,2),DATE($B$3,9,2),1,'Non-working days'!$A$6:$A$45)=0),"",IF(COUNTIFS('Leave log'!$A$7:$A$306,Employees!$A$6,'Leave log'!$B$7:$B$306,"&lt;="&amp;DATE($B$3,9,2),'Leave log'!$C$7:$C$306,"&gt;="&amp;DATE($B$3,9,2),'Leave log'!$F$7:$F$306,"Approved")&gt;0,"A",""))="A","A",IF(OR(DATE($B$3,9,2)&gt;EOMONTH(DATE($B$3,9,1),0),NETWORKDAYS.INTL(DATE($B$3,9,2),DATE($B$3,9,2),1,'Non-working days'!$A$6:$A$45)=0),"",IF(COUNTIFS('Leave log'!$A$7:$A$306,Employees!$A$6,'Leave log'!$B$7:$B$306,"&lt;="&amp;DATE($B$3,9,2),'Leave log'!$C$7:$C$306,"&gt;="&amp;DATE($B$3,9,2),'Leave log'!$F$7:$F$306,"Pending")&gt;0,"P",""))))</f>
        <v/>
      </c>
      <c r="D279" s="23" t="str">
        <f>IF(A279="","",IF(IF(OR(DATE($B$3,9,3)&gt;EOMONTH(DATE($B$3,9,1),0),NETWORKDAYS.INTL(DATE($B$3,9,3),DATE($B$3,9,3),1,'Non-working days'!$A$6:$A$45)=0),"",IF(COUNTIFS('Leave log'!$A$7:$A$306,Employees!$A$6,'Leave log'!$B$7:$B$306,"&lt;="&amp;DATE($B$3,9,3),'Leave log'!$C$7:$C$306,"&gt;="&amp;DATE($B$3,9,3),'Leave log'!$F$7:$F$306,"Approved")&gt;0,"A",""))="A","A",IF(OR(DATE($B$3,9,3)&gt;EOMONTH(DATE($B$3,9,1),0),NETWORKDAYS.INTL(DATE($B$3,9,3),DATE($B$3,9,3),1,'Non-working days'!$A$6:$A$45)=0),"",IF(COUNTIFS('Leave log'!$A$7:$A$306,Employees!$A$6,'Leave log'!$B$7:$B$306,"&lt;="&amp;DATE($B$3,9,3),'Leave log'!$C$7:$C$306,"&gt;="&amp;DATE($B$3,9,3),'Leave log'!$F$7:$F$306,"Pending")&gt;0,"P",""))))</f>
        <v/>
      </c>
      <c r="E279" s="23" t="str">
        <f>IF(A279="","",IF(IF(OR(DATE($B$3,9,4)&gt;EOMONTH(DATE($B$3,9,1),0),NETWORKDAYS.INTL(DATE($B$3,9,4),DATE($B$3,9,4),1,'Non-working days'!$A$6:$A$45)=0),"",IF(COUNTIFS('Leave log'!$A$7:$A$306,Employees!$A$6,'Leave log'!$B$7:$B$306,"&lt;="&amp;DATE($B$3,9,4),'Leave log'!$C$7:$C$306,"&gt;="&amp;DATE($B$3,9,4),'Leave log'!$F$7:$F$306,"Approved")&gt;0,"A",""))="A","A",IF(OR(DATE($B$3,9,4)&gt;EOMONTH(DATE($B$3,9,1),0),NETWORKDAYS.INTL(DATE($B$3,9,4),DATE($B$3,9,4),1,'Non-working days'!$A$6:$A$45)=0),"",IF(COUNTIFS('Leave log'!$A$7:$A$306,Employees!$A$6,'Leave log'!$B$7:$B$306,"&lt;="&amp;DATE($B$3,9,4),'Leave log'!$C$7:$C$306,"&gt;="&amp;DATE($B$3,9,4),'Leave log'!$F$7:$F$306,"Pending")&gt;0,"P",""))))</f>
        <v/>
      </c>
      <c r="F279" s="23" t="str">
        <f>IF(A279="","",IF(IF(OR(DATE($B$3,9,5)&gt;EOMONTH(DATE($B$3,9,1),0),NETWORKDAYS.INTL(DATE($B$3,9,5),DATE($B$3,9,5),1,'Non-working days'!$A$6:$A$45)=0),"",IF(COUNTIFS('Leave log'!$A$7:$A$306,Employees!$A$6,'Leave log'!$B$7:$B$306,"&lt;="&amp;DATE($B$3,9,5),'Leave log'!$C$7:$C$306,"&gt;="&amp;DATE($B$3,9,5),'Leave log'!$F$7:$F$306,"Approved")&gt;0,"A",""))="A","A",IF(OR(DATE($B$3,9,5)&gt;EOMONTH(DATE($B$3,9,1),0),NETWORKDAYS.INTL(DATE($B$3,9,5),DATE($B$3,9,5),1,'Non-working days'!$A$6:$A$45)=0),"",IF(COUNTIFS('Leave log'!$A$7:$A$306,Employees!$A$6,'Leave log'!$B$7:$B$306,"&lt;="&amp;DATE($B$3,9,5),'Leave log'!$C$7:$C$306,"&gt;="&amp;DATE($B$3,9,5),'Leave log'!$F$7:$F$306,"Pending")&gt;0,"P",""))))</f>
        <v/>
      </c>
      <c r="G279" s="23" t="str">
        <f>IF(A279="","",IF(IF(OR(DATE($B$3,9,6)&gt;EOMONTH(DATE($B$3,9,1),0),NETWORKDAYS.INTL(DATE($B$3,9,6),DATE($B$3,9,6),1,'Non-working days'!$A$6:$A$45)=0),"",IF(COUNTIFS('Leave log'!$A$7:$A$306,Employees!$A$6,'Leave log'!$B$7:$B$306,"&lt;="&amp;DATE($B$3,9,6),'Leave log'!$C$7:$C$306,"&gt;="&amp;DATE($B$3,9,6),'Leave log'!$F$7:$F$306,"Approved")&gt;0,"A",""))="A","A",IF(OR(DATE($B$3,9,6)&gt;EOMONTH(DATE($B$3,9,1),0),NETWORKDAYS.INTL(DATE($B$3,9,6),DATE($B$3,9,6),1,'Non-working days'!$A$6:$A$45)=0),"",IF(COUNTIFS('Leave log'!$A$7:$A$306,Employees!$A$6,'Leave log'!$B$7:$B$306,"&lt;="&amp;DATE($B$3,9,6),'Leave log'!$C$7:$C$306,"&gt;="&amp;DATE($B$3,9,6),'Leave log'!$F$7:$F$306,"Pending")&gt;0,"P",""))))</f>
        <v/>
      </c>
      <c r="H279" s="23" t="str">
        <f>IF(A279="","",IF(IF(OR(DATE($B$3,9,7)&gt;EOMONTH(DATE($B$3,9,1),0),NETWORKDAYS.INTL(DATE($B$3,9,7),DATE($B$3,9,7),1,'Non-working days'!$A$6:$A$45)=0),"",IF(COUNTIFS('Leave log'!$A$7:$A$306,Employees!$A$6,'Leave log'!$B$7:$B$306,"&lt;="&amp;DATE($B$3,9,7),'Leave log'!$C$7:$C$306,"&gt;="&amp;DATE($B$3,9,7),'Leave log'!$F$7:$F$306,"Approved")&gt;0,"A",""))="A","A",IF(OR(DATE($B$3,9,7)&gt;EOMONTH(DATE($B$3,9,1),0),NETWORKDAYS.INTL(DATE($B$3,9,7),DATE($B$3,9,7),1,'Non-working days'!$A$6:$A$45)=0),"",IF(COUNTIFS('Leave log'!$A$7:$A$306,Employees!$A$6,'Leave log'!$B$7:$B$306,"&lt;="&amp;DATE($B$3,9,7),'Leave log'!$C$7:$C$306,"&gt;="&amp;DATE($B$3,9,7),'Leave log'!$F$7:$F$306,"Pending")&gt;0,"P",""))))</f>
        <v/>
      </c>
      <c r="I279" s="23" t="str">
        <f>IF(A279="","",IF(IF(OR(DATE($B$3,9,8)&gt;EOMONTH(DATE($B$3,9,1),0),NETWORKDAYS.INTL(DATE($B$3,9,8),DATE($B$3,9,8),1,'Non-working days'!$A$6:$A$45)=0),"",IF(COUNTIFS('Leave log'!$A$7:$A$306,Employees!$A$6,'Leave log'!$B$7:$B$306,"&lt;="&amp;DATE($B$3,9,8),'Leave log'!$C$7:$C$306,"&gt;="&amp;DATE($B$3,9,8),'Leave log'!$F$7:$F$306,"Approved")&gt;0,"A",""))="A","A",IF(OR(DATE($B$3,9,8)&gt;EOMONTH(DATE($B$3,9,1),0),NETWORKDAYS.INTL(DATE($B$3,9,8),DATE($B$3,9,8),1,'Non-working days'!$A$6:$A$45)=0),"",IF(COUNTIFS('Leave log'!$A$7:$A$306,Employees!$A$6,'Leave log'!$B$7:$B$306,"&lt;="&amp;DATE($B$3,9,8),'Leave log'!$C$7:$C$306,"&gt;="&amp;DATE($B$3,9,8),'Leave log'!$F$7:$F$306,"Pending")&gt;0,"P",""))))</f>
        <v/>
      </c>
      <c r="J279" s="23" t="str">
        <f>IF(A279="","",IF(IF(OR(DATE($B$3,9,9)&gt;EOMONTH(DATE($B$3,9,1),0),NETWORKDAYS.INTL(DATE($B$3,9,9),DATE($B$3,9,9),1,'Non-working days'!$A$6:$A$45)=0),"",IF(COUNTIFS('Leave log'!$A$7:$A$306,Employees!$A$6,'Leave log'!$B$7:$B$306,"&lt;="&amp;DATE($B$3,9,9),'Leave log'!$C$7:$C$306,"&gt;="&amp;DATE($B$3,9,9),'Leave log'!$F$7:$F$306,"Approved")&gt;0,"A",""))="A","A",IF(OR(DATE($B$3,9,9)&gt;EOMONTH(DATE($B$3,9,1),0),NETWORKDAYS.INTL(DATE($B$3,9,9),DATE($B$3,9,9),1,'Non-working days'!$A$6:$A$45)=0),"",IF(COUNTIFS('Leave log'!$A$7:$A$306,Employees!$A$6,'Leave log'!$B$7:$B$306,"&lt;="&amp;DATE($B$3,9,9),'Leave log'!$C$7:$C$306,"&gt;="&amp;DATE($B$3,9,9),'Leave log'!$F$7:$F$306,"Pending")&gt;0,"P",""))))</f>
        <v/>
      </c>
      <c r="K279" s="23" t="str">
        <f>IF(A279="","",IF(IF(OR(DATE($B$3,9,10)&gt;EOMONTH(DATE($B$3,9,1),0),NETWORKDAYS.INTL(DATE($B$3,9,10),DATE($B$3,9,10),1,'Non-working days'!$A$6:$A$45)=0),"",IF(COUNTIFS('Leave log'!$A$7:$A$306,Employees!$A$6,'Leave log'!$B$7:$B$306,"&lt;="&amp;DATE($B$3,9,10),'Leave log'!$C$7:$C$306,"&gt;="&amp;DATE($B$3,9,10),'Leave log'!$F$7:$F$306,"Approved")&gt;0,"A",""))="A","A",IF(OR(DATE($B$3,9,10)&gt;EOMONTH(DATE($B$3,9,1),0),NETWORKDAYS.INTL(DATE($B$3,9,10),DATE($B$3,9,10),1,'Non-working days'!$A$6:$A$45)=0),"",IF(COUNTIFS('Leave log'!$A$7:$A$306,Employees!$A$6,'Leave log'!$B$7:$B$306,"&lt;="&amp;DATE($B$3,9,10),'Leave log'!$C$7:$C$306,"&gt;="&amp;DATE($B$3,9,10),'Leave log'!$F$7:$F$306,"Pending")&gt;0,"P",""))))</f>
        <v/>
      </c>
      <c r="L279" s="23" t="str">
        <f>IF(A279="","",IF(IF(OR(DATE($B$3,9,11)&gt;EOMONTH(DATE($B$3,9,1),0),NETWORKDAYS.INTL(DATE($B$3,9,11),DATE($B$3,9,11),1,'Non-working days'!$A$6:$A$45)=0),"",IF(COUNTIFS('Leave log'!$A$7:$A$306,Employees!$A$6,'Leave log'!$B$7:$B$306,"&lt;="&amp;DATE($B$3,9,11),'Leave log'!$C$7:$C$306,"&gt;="&amp;DATE($B$3,9,11),'Leave log'!$F$7:$F$306,"Approved")&gt;0,"A",""))="A","A",IF(OR(DATE($B$3,9,11)&gt;EOMONTH(DATE($B$3,9,1),0),NETWORKDAYS.INTL(DATE($B$3,9,11),DATE($B$3,9,11),1,'Non-working days'!$A$6:$A$45)=0),"",IF(COUNTIFS('Leave log'!$A$7:$A$306,Employees!$A$6,'Leave log'!$B$7:$B$306,"&lt;="&amp;DATE($B$3,9,11),'Leave log'!$C$7:$C$306,"&gt;="&amp;DATE($B$3,9,11),'Leave log'!$F$7:$F$306,"Pending")&gt;0,"P",""))))</f>
        <v/>
      </c>
      <c r="M279" s="23" t="str">
        <f>IF(A279="","",IF(IF(OR(DATE($B$3,9,12)&gt;EOMONTH(DATE($B$3,9,1),0),NETWORKDAYS.INTL(DATE($B$3,9,12),DATE($B$3,9,12),1,'Non-working days'!$A$6:$A$45)=0),"",IF(COUNTIFS('Leave log'!$A$7:$A$306,Employees!$A$6,'Leave log'!$B$7:$B$306,"&lt;="&amp;DATE($B$3,9,12),'Leave log'!$C$7:$C$306,"&gt;="&amp;DATE($B$3,9,12),'Leave log'!$F$7:$F$306,"Approved")&gt;0,"A",""))="A","A",IF(OR(DATE($B$3,9,12)&gt;EOMONTH(DATE($B$3,9,1),0),NETWORKDAYS.INTL(DATE($B$3,9,12),DATE($B$3,9,12),1,'Non-working days'!$A$6:$A$45)=0),"",IF(COUNTIFS('Leave log'!$A$7:$A$306,Employees!$A$6,'Leave log'!$B$7:$B$306,"&lt;="&amp;DATE($B$3,9,12),'Leave log'!$C$7:$C$306,"&gt;="&amp;DATE($B$3,9,12),'Leave log'!$F$7:$F$306,"Pending")&gt;0,"P",""))))</f>
        <v/>
      </c>
      <c r="N279" s="23" t="str">
        <f>IF(A279="","",IF(IF(OR(DATE($B$3,9,13)&gt;EOMONTH(DATE($B$3,9,1),0),NETWORKDAYS.INTL(DATE($B$3,9,13),DATE($B$3,9,13),1,'Non-working days'!$A$6:$A$45)=0),"",IF(COUNTIFS('Leave log'!$A$7:$A$306,Employees!$A$6,'Leave log'!$B$7:$B$306,"&lt;="&amp;DATE($B$3,9,13),'Leave log'!$C$7:$C$306,"&gt;="&amp;DATE($B$3,9,13),'Leave log'!$F$7:$F$306,"Approved")&gt;0,"A",""))="A","A",IF(OR(DATE($B$3,9,13)&gt;EOMONTH(DATE($B$3,9,1),0),NETWORKDAYS.INTL(DATE($B$3,9,13),DATE($B$3,9,13),1,'Non-working days'!$A$6:$A$45)=0),"",IF(COUNTIFS('Leave log'!$A$7:$A$306,Employees!$A$6,'Leave log'!$B$7:$B$306,"&lt;="&amp;DATE($B$3,9,13),'Leave log'!$C$7:$C$306,"&gt;="&amp;DATE($B$3,9,13),'Leave log'!$F$7:$F$306,"Pending")&gt;0,"P",""))))</f>
        <v/>
      </c>
      <c r="O279" s="23" t="str">
        <f>IF(A279="","",IF(IF(OR(DATE($B$3,9,14)&gt;EOMONTH(DATE($B$3,9,1),0),NETWORKDAYS.INTL(DATE($B$3,9,14),DATE($B$3,9,14),1,'Non-working days'!$A$6:$A$45)=0),"",IF(COUNTIFS('Leave log'!$A$7:$A$306,Employees!$A$6,'Leave log'!$B$7:$B$306,"&lt;="&amp;DATE($B$3,9,14),'Leave log'!$C$7:$C$306,"&gt;="&amp;DATE($B$3,9,14),'Leave log'!$F$7:$F$306,"Approved")&gt;0,"A",""))="A","A",IF(OR(DATE($B$3,9,14)&gt;EOMONTH(DATE($B$3,9,1),0),NETWORKDAYS.INTL(DATE($B$3,9,14),DATE($B$3,9,14),1,'Non-working days'!$A$6:$A$45)=0),"",IF(COUNTIFS('Leave log'!$A$7:$A$306,Employees!$A$6,'Leave log'!$B$7:$B$306,"&lt;="&amp;DATE($B$3,9,14),'Leave log'!$C$7:$C$306,"&gt;="&amp;DATE($B$3,9,14),'Leave log'!$F$7:$F$306,"Pending")&gt;0,"P",""))))</f>
        <v>A</v>
      </c>
      <c r="P279" s="23" t="str">
        <f>IF(A279="","",IF(IF(OR(DATE($B$3,9,15)&gt;EOMONTH(DATE($B$3,9,1),0),NETWORKDAYS.INTL(DATE($B$3,9,15),DATE($B$3,9,15),1,'Non-working days'!$A$6:$A$45)=0),"",IF(COUNTIFS('Leave log'!$A$7:$A$306,Employees!$A$6,'Leave log'!$B$7:$B$306,"&lt;="&amp;DATE($B$3,9,15),'Leave log'!$C$7:$C$306,"&gt;="&amp;DATE($B$3,9,15),'Leave log'!$F$7:$F$306,"Approved")&gt;0,"A",""))="A","A",IF(OR(DATE($B$3,9,15)&gt;EOMONTH(DATE($B$3,9,1),0),NETWORKDAYS.INTL(DATE($B$3,9,15),DATE($B$3,9,15),1,'Non-working days'!$A$6:$A$45)=0),"",IF(COUNTIFS('Leave log'!$A$7:$A$306,Employees!$A$6,'Leave log'!$B$7:$B$306,"&lt;="&amp;DATE($B$3,9,15),'Leave log'!$C$7:$C$306,"&gt;="&amp;DATE($B$3,9,15),'Leave log'!$F$7:$F$306,"Pending")&gt;0,"P",""))))</f>
        <v>A</v>
      </c>
      <c r="Q279" s="23" t="str">
        <f>IF(A279="","",IF(IF(OR(DATE($B$3,9,16)&gt;EOMONTH(DATE($B$3,9,1),0),NETWORKDAYS.INTL(DATE($B$3,9,16),DATE($B$3,9,16),1,'Non-working days'!$A$6:$A$45)=0),"",IF(COUNTIFS('Leave log'!$A$7:$A$306,Employees!$A$6,'Leave log'!$B$7:$B$306,"&lt;="&amp;DATE($B$3,9,16),'Leave log'!$C$7:$C$306,"&gt;="&amp;DATE($B$3,9,16),'Leave log'!$F$7:$F$306,"Approved")&gt;0,"A",""))="A","A",IF(OR(DATE($B$3,9,16)&gt;EOMONTH(DATE($B$3,9,1),0),NETWORKDAYS.INTL(DATE($B$3,9,16),DATE($B$3,9,16),1,'Non-working days'!$A$6:$A$45)=0),"",IF(COUNTIFS('Leave log'!$A$7:$A$306,Employees!$A$6,'Leave log'!$B$7:$B$306,"&lt;="&amp;DATE($B$3,9,16),'Leave log'!$C$7:$C$306,"&gt;="&amp;DATE($B$3,9,16),'Leave log'!$F$7:$F$306,"Pending")&gt;0,"P",""))))</f>
        <v>A</v>
      </c>
      <c r="R279" s="23" t="str">
        <f>IF(A279="","",IF(IF(OR(DATE($B$3,9,17)&gt;EOMONTH(DATE($B$3,9,1),0),NETWORKDAYS.INTL(DATE($B$3,9,17),DATE($B$3,9,17),1,'Non-working days'!$A$6:$A$45)=0),"",IF(COUNTIFS('Leave log'!$A$7:$A$306,Employees!$A$6,'Leave log'!$B$7:$B$306,"&lt;="&amp;DATE($B$3,9,17),'Leave log'!$C$7:$C$306,"&gt;="&amp;DATE($B$3,9,17),'Leave log'!$F$7:$F$306,"Approved")&gt;0,"A",""))="A","A",IF(OR(DATE($B$3,9,17)&gt;EOMONTH(DATE($B$3,9,1),0),NETWORKDAYS.INTL(DATE($B$3,9,17),DATE($B$3,9,17),1,'Non-working days'!$A$6:$A$45)=0),"",IF(COUNTIFS('Leave log'!$A$7:$A$306,Employees!$A$6,'Leave log'!$B$7:$B$306,"&lt;="&amp;DATE($B$3,9,17),'Leave log'!$C$7:$C$306,"&gt;="&amp;DATE($B$3,9,17),'Leave log'!$F$7:$F$306,"Pending")&gt;0,"P",""))))</f>
        <v>A</v>
      </c>
      <c r="S279" s="23" t="str">
        <f>IF(A279="","",IF(IF(OR(DATE($B$3,9,18)&gt;EOMONTH(DATE($B$3,9,1),0),NETWORKDAYS.INTL(DATE($B$3,9,18),DATE($B$3,9,18),1,'Non-working days'!$A$6:$A$45)=0),"",IF(COUNTIFS('Leave log'!$A$7:$A$306,Employees!$A$6,'Leave log'!$B$7:$B$306,"&lt;="&amp;DATE($B$3,9,18),'Leave log'!$C$7:$C$306,"&gt;="&amp;DATE($B$3,9,18),'Leave log'!$F$7:$F$306,"Approved")&gt;0,"A",""))="A","A",IF(OR(DATE($B$3,9,18)&gt;EOMONTH(DATE($B$3,9,1),0),NETWORKDAYS.INTL(DATE($B$3,9,18),DATE($B$3,9,18),1,'Non-working days'!$A$6:$A$45)=0),"",IF(COUNTIFS('Leave log'!$A$7:$A$306,Employees!$A$6,'Leave log'!$B$7:$B$306,"&lt;="&amp;DATE($B$3,9,18),'Leave log'!$C$7:$C$306,"&gt;="&amp;DATE($B$3,9,18),'Leave log'!$F$7:$F$306,"Pending")&gt;0,"P",""))))</f>
        <v>A</v>
      </c>
      <c r="T279" s="23" t="str">
        <f>IF(A279="","",IF(IF(OR(DATE($B$3,9,19)&gt;EOMONTH(DATE($B$3,9,1),0),NETWORKDAYS.INTL(DATE($B$3,9,19),DATE($B$3,9,19),1,'Non-working days'!$A$6:$A$45)=0),"",IF(COUNTIFS('Leave log'!$A$7:$A$306,Employees!$A$6,'Leave log'!$B$7:$B$306,"&lt;="&amp;DATE($B$3,9,19),'Leave log'!$C$7:$C$306,"&gt;="&amp;DATE($B$3,9,19),'Leave log'!$F$7:$F$306,"Approved")&gt;0,"A",""))="A","A",IF(OR(DATE($B$3,9,19)&gt;EOMONTH(DATE($B$3,9,1),0),NETWORKDAYS.INTL(DATE($B$3,9,19),DATE($B$3,9,19),1,'Non-working days'!$A$6:$A$45)=0),"",IF(COUNTIFS('Leave log'!$A$7:$A$306,Employees!$A$6,'Leave log'!$B$7:$B$306,"&lt;="&amp;DATE($B$3,9,19),'Leave log'!$C$7:$C$306,"&gt;="&amp;DATE($B$3,9,19),'Leave log'!$F$7:$F$306,"Pending")&gt;0,"P",""))))</f>
        <v/>
      </c>
      <c r="U279" s="23" t="str">
        <f>IF(A279="","",IF(IF(OR(DATE($B$3,9,20)&gt;EOMONTH(DATE($B$3,9,1),0),NETWORKDAYS.INTL(DATE($B$3,9,20),DATE($B$3,9,20),1,'Non-working days'!$A$6:$A$45)=0),"",IF(COUNTIFS('Leave log'!$A$7:$A$306,Employees!$A$6,'Leave log'!$B$7:$B$306,"&lt;="&amp;DATE($B$3,9,20),'Leave log'!$C$7:$C$306,"&gt;="&amp;DATE($B$3,9,20),'Leave log'!$F$7:$F$306,"Approved")&gt;0,"A",""))="A","A",IF(OR(DATE($B$3,9,20)&gt;EOMONTH(DATE($B$3,9,1),0),NETWORKDAYS.INTL(DATE($B$3,9,20),DATE($B$3,9,20),1,'Non-working days'!$A$6:$A$45)=0),"",IF(COUNTIFS('Leave log'!$A$7:$A$306,Employees!$A$6,'Leave log'!$B$7:$B$306,"&lt;="&amp;DATE($B$3,9,20),'Leave log'!$C$7:$C$306,"&gt;="&amp;DATE($B$3,9,20),'Leave log'!$F$7:$F$306,"Pending")&gt;0,"P",""))))</f>
        <v/>
      </c>
      <c r="V279" s="23" t="str">
        <f>IF(A279="","",IF(IF(OR(DATE($B$3,9,21)&gt;EOMONTH(DATE($B$3,9,1),0),NETWORKDAYS.INTL(DATE($B$3,9,21),DATE($B$3,9,21),1,'Non-working days'!$A$6:$A$45)=0),"",IF(COUNTIFS('Leave log'!$A$7:$A$306,Employees!$A$6,'Leave log'!$B$7:$B$306,"&lt;="&amp;DATE($B$3,9,21),'Leave log'!$C$7:$C$306,"&gt;="&amp;DATE($B$3,9,21),'Leave log'!$F$7:$F$306,"Approved")&gt;0,"A",""))="A","A",IF(OR(DATE($B$3,9,21)&gt;EOMONTH(DATE($B$3,9,1),0),NETWORKDAYS.INTL(DATE($B$3,9,21),DATE($B$3,9,21),1,'Non-working days'!$A$6:$A$45)=0),"",IF(COUNTIFS('Leave log'!$A$7:$A$306,Employees!$A$6,'Leave log'!$B$7:$B$306,"&lt;="&amp;DATE($B$3,9,21),'Leave log'!$C$7:$C$306,"&gt;="&amp;DATE($B$3,9,21),'Leave log'!$F$7:$F$306,"Pending")&gt;0,"P",""))))</f>
        <v/>
      </c>
      <c r="W279" s="23" t="str">
        <f>IF(A279="","",IF(IF(OR(DATE($B$3,9,22)&gt;EOMONTH(DATE($B$3,9,1),0),NETWORKDAYS.INTL(DATE($B$3,9,22),DATE($B$3,9,22),1,'Non-working days'!$A$6:$A$45)=0),"",IF(COUNTIFS('Leave log'!$A$7:$A$306,Employees!$A$6,'Leave log'!$B$7:$B$306,"&lt;="&amp;DATE($B$3,9,22),'Leave log'!$C$7:$C$306,"&gt;="&amp;DATE($B$3,9,22),'Leave log'!$F$7:$F$306,"Approved")&gt;0,"A",""))="A","A",IF(OR(DATE($B$3,9,22)&gt;EOMONTH(DATE($B$3,9,1),0),NETWORKDAYS.INTL(DATE($B$3,9,22),DATE($B$3,9,22),1,'Non-working days'!$A$6:$A$45)=0),"",IF(COUNTIFS('Leave log'!$A$7:$A$306,Employees!$A$6,'Leave log'!$B$7:$B$306,"&lt;="&amp;DATE($B$3,9,22),'Leave log'!$C$7:$C$306,"&gt;="&amp;DATE($B$3,9,22),'Leave log'!$F$7:$F$306,"Pending")&gt;0,"P",""))))</f>
        <v/>
      </c>
      <c r="X279" s="23" t="str">
        <f>IF(A279="","",IF(IF(OR(DATE($B$3,9,23)&gt;EOMONTH(DATE($B$3,9,1),0),NETWORKDAYS.INTL(DATE($B$3,9,23),DATE($B$3,9,23),1,'Non-working days'!$A$6:$A$45)=0),"",IF(COUNTIFS('Leave log'!$A$7:$A$306,Employees!$A$6,'Leave log'!$B$7:$B$306,"&lt;="&amp;DATE($B$3,9,23),'Leave log'!$C$7:$C$306,"&gt;="&amp;DATE($B$3,9,23),'Leave log'!$F$7:$F$306,"Approved")&gt;0,"A",""))="A","A",IF(OR(DATE($B$3,9,23)&gt;EOMONTH(DATE($B$3,9,1),0),NETWORKDAYS.INTL(DATE($B$3,9,23),DATE($B$3,9,23),1,'Non-working days'!$A$6:$A$45)=0),"",IF(COUNTIFS('Leave log'!$A$7:$A$306,Employees!$A$6,'Leave log'!$B$7:$B$306,"&lt;="&amp;DATE($B$3,9,23),'Leave log'!$C$7:$C$306,"&gt;="&amp;DATE($B$3,9,23),'Leave log'!$F$7:$F$306,"Pending")&gt;0,"P",""))))</f>
        <v/>
      </c>
      <c r="Y279" s="23" t="str">
        <f>IF(A279="","",IF(IF(OR(DATE($B$3,9,24)&gt;EOMONTH(DATE($B$3,9,1),0),NETWORKDAYS.INTL(DATE($B$3,9,24),DATE($B$3,9,24),1,'Non-working days'!$A$6:$A$45)=0),"",IF(COUNTIFS('Leave log'!$A$7:$A$306,Employees!$A$6,'Leave log'!$B$7:$B$306,"&lt;="&amp;DATE($B$3,9,24),'Leave log'!$C$7:$C$306,"&gt;="&amp;DATE($B$3,9,24),'Leave log'!$F$7:$F$306,"Approved")&gt;0,"A",""))="A","A",IF(OR(DATE($B$3,9,24)&gt;EOMONTH(DATE($B$3,9,1),0),NETWORKDAYS.INTL(DATE($B$3,9,24),DATE($B$3,9,24),1,'Non-working days'!$A$6:$A$45)=0),"",IF(COUNTIFS('Leave log'!$A$7:$A$306,Employees!$A$6,'Leave log'!$B$7:$B$306,"&lt;="&amp;DATE($B$3,9,24),'Leave log'!$C$7:$C$306,"&gt;="&amp;DATE($B$3,9,24),'Leave log'!$F$7:$F$306,"Pending")&gt;0,"P",""))))</f>
        <v/>
      </c>
      <c r="Z279" s="23" t="str">
        <f>IF(A279="","",IF(IF(OR(DATE($B$3,9,25)&gt;EOMONTH(DATE($B$3,9,1),0),NETWORKDAYS.INTL(DATE($B$3,9,25),DATE($B$3,9,25),1,'Non-working days'!$A$6:$A$45)=0),"",IF(COUNTIFS('Leave log'!$A$7:$A$306,Employees!$A$6,'Leave log'!$B$7:$B$306,"&lt;="&amp;DATE($B$3,9,25),'Leave log'!$C$7:$C$306,"&gt;="&amp;DATE($B$3,9,25),'Leave log'!$F$7:$F$306,"Approved")&gt;0,"A",""))="A","A",IF(OR(DATE($B$3,9,25)&gt;EOMONTH(DATE($B$3,9,1),0),NETWORKDAYS.INTL(DATE($B$3,9,25),DATE($B$3,9,25),1,'Non-working days'!$A$6:$A$45)=0),"",IF(COUNTIFS('Leave log'!$A$7:$A$306,Employees!$A$6,'Leave log'!$B$7:$B$306,"&lt;="&amp;DATE($B$3,9,25),'Leave log'!$C$7:$C$306,"&gt;="&amp;DATE($B$3,9,25),'Leave log'!$F$7:$F$306,"Pending")&gt;0,"P",""))))</f>
        <v/>
      </c>
      <c r="AA279" s="23" t="str">
        <f>IF(A279="","",IF(IF(OR(DATE($B$3,9,26)&gt;EOMONTH(DATE($B$3,9,1),0),NETWORKDAYS.INTL(DATE($B$3,9,26),DATE($B$3,9,26),1,'Non-working days'!$A$6:$A$45)=0),"",IF(COUNTIFS('Leave log'!$A$7:$A$306,Employees!$A$6,'Leave log'!$B$7:$B$306,"&lt;="&amp;DATE($B$3,9,26),'Leave log'!$C$7:$C$306,"&gt;="&amp;DATE($B$3,9,26),'Leave log'!$F$7:$F$306,"Approved")&gt;0,"A",""))="A","A",IF(OR(DATE($B$3,9,26)&gt;EOMONTH(DATE($B$3,9,1),0),NETWORKDAYS.INTL(DATE($B$3,9,26),DATE($B$3,9,26),1,'Non-working days'!$A$6:$A$45)=0),"",IF(COUNTIFS('Leave log'!$A$7:$A$306,Employees!$A$6,'Leave log'!$B$7:$B$306,"&lt;="&amp;DATE($B$3,9,26),'Leave log'!$C$7:$C$306,"&gt;="&amp;DATE($B$3,9,26),'Leave log'!$F$7:$F$306,"Pending")&gt;0,"P",""))))</f>
        <v/>
      </c>
      <c r="AB279" s="23" t="str">
        <f>IF(A279="","",IF(IF(OR(DATE($B$3,9,27)&gt;EOMONTH(DATE($B$3,9,1),0),NETWORKDAYS.INTL(DATE($B$3,9,27),DATE($B$3,9,27),1,'Non-working days'!$A$6:$A$45)=0),"",IF(COUNTIFS('Leave log'!$A$7:$A$306,Employees!$A$6,'Leave log'!$B$7:$B$306,"&lt;="&amp;DATE($B$3,9,27),'Leave log'!$C$7:$C$306,"&gt;="&amp;DATE($B$3,9,27),'Leave log'!$F$7:$F$306,"Approved")&gt;0,"A",""))="A","A",IF(OR(DATE($B$3,9,27)&gt;EOMONTH(DATE($B$3,9,1),0),NETWORKDAYS.INTL(DATE($B$3,9,27),DATE($B$3,9,27),1,'Non-working days'!$A$6:$A$45)=0),"",IF(COUNTIFS('Leave log'!$A$7:$A$306,Employees!$A$6,'Leave log'!$B$7:$B$306,"&lt;="&amp;DATE($B$3,9,27),'Leave log'!$C$7:$C$306,"&gt;="&amp;DATE($B$3,9,27),'Leave log'!$F$7:$F$306,"Pending")&gt;0,"P",""))))</f>
        <v/>
      </c>
      <c r="AC279" s="23" t="str">
        <f>IF(A279="","",IF(IF(OR(DATE($B$3,9,28)&gt;EOMONTH(DATE($B$3,9,1),0),NETWORKDAYS.INTL(DATE($B$3,9,28),DATE($B$3,9,28),1,'Non-working days'!$A$6:$A$45)=0),"",IF(COUNTIFS('Leave log'!$A$7:$A$306,Employees!$A$6,'Leave log'!$B$7:$B$306,"&lt;="&amp;DATE($B$3,9,28),'Leave log'!$C$7:$C$306,"&gt;="&amp;DATE($B$3,9,28),'Leave log'!$F$7:$F$306,"Approved")&gt;0,"A",""))="A","A",IF(OR(DATE($B$3,9,28)&gt;EOMONTH(DATE($B$3,9,1),0),NETWORKDAYS.INTL(DATE($B$3,9,28),DATE($B$3,9,28),1,'Non-working days'!$A$6:$A$45)=0),"",IF(COUNTIFS('Leave log'!$A$7:$A$306,Employees!$A$6,'Leave log'!$B$7:$B$306,"&lt;="&amp;DATE($B$3,9,28),'Leave log'!$C$7:$C$306,"&gt;="&amp;DATE($B$3,9,28),'Leave log'!$F$7:$F$306,"Pending")&gt;0,"P",""))))</f>
        <v/>
      </c>
      <c r="AD279" s="23" t="str">
        <f>IF(A279="","",IF(IF(OR(DATE($B$3,9,29)&gt;EOMONTH(DATE($B$3,9,1),0),NETWORKDAYS.INTL(DATE($B$3,9,29),DATE($B$3,9,29),1,'Non-working days'!$A$6:$A$45)=0),"",IF(COUNTIFS('Leave log'!$A$7:$A$306,Employees!$A$6,'Leave log'!$B$7:$B$306,"&lt;="&amp;DATE($B$3,9,29),'Leave log'!$C$7:$C$306,"&gt;="&amp;DATE($B$3,9,29),'Leave log'!$F$7:$F$306,"Approved")&gt;0,"A",""))="A","A",IF(OR(DATE($B$3,9,29)&gt;EOMONTH(DATE($B$3,9,1),0),NETWORKDAYS.INTL(DATE($B$3,9,29),DATE($B$3,9,29),1,'Non-working days'!$A$6:$A$45)=0),"",IF(COUNTIFS('Leave log'!$A$7:$A$306,Employees!$A$6,'Leave log'!$B$7:$B$306,"&lt;="&amp;DATE($B$3,9,29),'Leave log'!$C$7:$C$306,"&gt;="&amp;DATE($B$3,9,29),'Leave log'!$F$7:$F$306,"Pending")&gt;0,"P",""))))</f>
        <v/>
      </c>
      <c r="AE279" s="23" t="str">
        <f>IF(A279="","",IF(IF(OR(DATE($B$3,9,30)&gt;EOMONTH(DATE($B$3,9,1),0),NETWORKDAYS.INTL(DATE($B$3,9,30),DATE($B$3,9,30),1,'Non-working days'!$A$6:$A$45)=0),"",IF(COUNTIFS('Leave log'!$A$7:$A$306,Employees!$A$6,'Leave log'!$B$7:$B$306,"&lt;="&amp;DATE($B$3,9,30),'Leave log'!$C$7:$C$306,"&gt;="&amp;DATE($B$3,9,30),'Leave log'!$F$7:$F$306,"Approved")&gt;0,"A",""))="A","A",IF(OR(DATE($B$3,9,30)&gt;EOMONTH(DATE($B$3,9,1),0),NETWORKDAYS.INTL(DATE($B$3,9,30),DATE($B$3,9,30),1,'Non-working days'!$A$6:$A$45)=0),"",IF(COUNTIFS('Leave log'!$A$7:$A$306,Employees!$A$6,'Leave log'!$B$7:$B$306,"&lt;="&amp;DATE($B$3,9,30),'Leave log'!$C$7:$C$306,"&gt;="&amp;DATE($B$3,9,30),'Leave log'!$F$7:$F$306,"Pending")&gt;0,"P",""))))</f>
        <v/>
      </c>
      <c r="AF279" s="23" t="str">
        <f>IF(A279="","",IF(IF(OR(DATE($B$3,9,31)&gt;EOMONTH(DATE($B$3,9,1),0),NETWORKDAYS.INTL(DATE($B$3,9,31),DATE($B$3,9,31),1,'Non-working days'!$A$6:$A$45)=0),"",IF(COUNTIFS('Leave log'!$A$7:$A$306,Employees!$A$6,'Leave log'!$B$7:$B$306,"&lt;="&amp;DATE($B$3,9,31),'Leave log'!$C$7:$C$306,"&gt;="&amp;DATE($B$3,9,31),'Leave log'!$F$7:$F$306,"Approved")&gt;0,"A",""))="A","A",IF(OR(DATE($B$3,9,31)&gt;EOMONTH(DATE($B$3,9,1),0),NETWORKDAYS.INTL(DATE($B$3,9,31),DATE($B$3,9,31),1,'Non-working days'!$A$6:$A$45)=0),"",IF(COUNTIFS('Leave log'!$A$7:$A$306,Employees!$A$6,'Leave log'!$B$7:$B$306,"&lt;="&amp;DATE($B$3,9,31),'Leave log'!$C$7:$C$306,"&gt;="&amp;DATE($B$3,9,31),'Leave log'!$F$7:$F$306,"Pending")&gt;0,"P",""))))</f>
        <v/>
      </c>
    </row>
    <row r="280" spans="1:32" ht="18" customHeight="1" x14ac:dyDescent="0.3">
      <c r="A280" s="22" t="str">
        <f>IF(Employees!F7="Yes",Employees!B7,"")</f>
        <v/>
      </c>
      <c r="B280" s="23" t="str">
        <f>IF(A280="","",IF(IF(OR(DATE($B$3,9,1)&gt;EOMONTH(DATE($B$3,9,1),0),NETWORKDAYS.INTL(DATE($B$3,9,1),DATE($B$3,9,1),1,'Non-working days'!$A$6:$A$45)=0),"",IF(COUNTIFS('Leave log'!$A$7:$A$306,Employees!$A$7,'Leave log'!$B$7:$B$306,"&lt;="&amp;DATE($B$3,9,1),'Leave log'!$C$7:$C$306,"&gt;="&amp;DATE($B$3,9,1),'Leave log'!$F$7:$F$306,"Approved")&gt;0,"A",""))="A","A",IF(OR(DATE($B$3,9,1)&gt;EOMONTH(DATE($B$3,9,1),0),NETWORKDAYS.INTL(DATE($B$3,9,1),DATE($B$3,9,1),1,'Non-working days'!$A$6:$A$45)=0),"",IF(COUNTIFS('Leave log'!$A$7:$A$306,Employees!$A$7,'Leave log'!$B$7:$B$306,"&lt;="&amp;DATE($B$3,9,1),'Leave log'!$C$7:$C$306,"&gt;="&amp;DATE($B$3,9,1),'Leave log'!$F$7:$F$306,"Pending")&gt;0,"P",""))))</f>
        <v/>
      </c>
      <c r="C280" s="23" t="str">
        <f>IF(A280="","",IF(IF(OR(DATE($B$3,9,2)&gt;EOMONTH(DATE($B$3,9,1),0),NETWORKDAYS.INTL(DATE($B$3,9,2),DATE($B$3,9,2),1,'Non-working days'!$A$6:$A$45)=0),"",IF(COUNTIFS('Leave log'!$A$7:$A$306,Employees!$A$7,'Leave log'!$B$7:$B$306,"&lt;="&amp;DATE($B$3,9,2),'Leave log'!$C$7:$C$306,"&gt;="&amp;DATE($B$3,9,2),'Leave log'!$F$7:$F$306,"Approved")&gt;0,"A",""))="A","A",IF(OR(DATE($B$3,9,2)&gt;EOMONTH(DATE($B$3,9,1),0),NETWORKDAYS.INTL(DATE($B$3,9,2),DATE($B$3,9,2),1,'Non-working days'!$A$6:$A$45)=0),"",IF(COUNTIFS('Leave log'!$A$7:$A$306,Employees!$A$7,'Leave log'!$B$7:$B$306,"&lt;="&amp;DATE($B$3,9,2),'Leave log'!$C$7:$C$306,"&gt;="&amp;DATE($B$3,9,2),'Leave log'!$F$7:$F$306,"Pending")&gt;0,"P",""))))</f>
        <v/>
      </c>
      <c r="D280" s="23" t="str">
        <f>IF(A280="","",IF(IF(OR(DATE($B$3,9,3)&gt;EOMONTH(DATE($B$3,9,1),0),NETWORKDAYS.INTL(DATE($B$3,9,3),DATE($B$3,9,3),1,'Non-working days'!$A$6:$A$45)=0),"",IF(COUNTIFS('Leave log'!$A$7:$A$306,Employees!$A$7,'Leave log'!$B$7:$B$306,"&lt;="&amp;DATE($B$3,9,3),'Leave log'!$C$7:$C$306,"&gt;="&amp;DATE($B$3,9,3),'Leave log'!$F$7:$F$306,"Approved")&gt;0,"A",""))="A","A",IF(OR(DATE($B$3,9,3)&gt;EOMONTH(DATE($B$3,9,1),0),NETWORKDAYS.INTL(DATE($B$3,9,3),DATE($B$3,9,3),1,'Non-working days'!$A$6:$A$45)=0),"",IF(COUNTIFS('Leave log'!$A$7:$A$306,Employees!$A$7,'Leave log'!$B$7:$B$306,"&lt;="&amp;DATE($B$3,9,3),'Leave log'!$C$7:$C$306,"&gt;="&amp;DATE($B$3,9,3),'Leave log'!$F$7:$F$306,"Pending")&gt;0,"P",""))))</f>
        <v/>
      </c>
      <c r="E280" s="23" t="str">
        <f>IF(A280="","",IF(IF(OR(DATE($B$3,9,4)&gt;EOMONTH(DATE($B$3,9,1),0),NETWORKDAYS.INTL(DATE($B$3,9,4),DATE($B$3,9,4),1,'Non-working days'!$A$6:$A$45)=0),"",IF(COUNTIFS('Leave log'!$A$7:$A$306,Employees!$A$7,'Leave log'!$B$7:$B$306,"&lt;="&amp;DATE($B$3,9,4),'Leave log'!$C$7:$C$306,"&gt;="&amp;DATE($B$3,9,4),'Leave log'!$F$7:$F$306,"Approved")&gt;0,"A",""))="A","A",IF(OR(DATE($B$3,9,4)&gt;EOMONTH(DATE($B$3,9,1),0),NETWORKDAYS.INTL(DATE($B$3,9,4),DATE($B$3,9,4),1,'Non-working days'!$A$6:$A$45)=0),"",IF(COUNTIFS('Leave log'!$A$7:$A$306,Employees!$A$7,'Leave log'!$B$7:$B$306,"&lt;="&amp;DATE($B$3,9,4),'Leave log'!$C$7:$C$306,"&gt;="&amp;DATE($B$3,9,4),'Leave log'!$F$7:$F$306,"Pending")&gt;0,"P",""))))</f>
        <v/>
      </c>
      <c r="F280" s="23" t="str">
        <f>IF(A280="","",IF(IF(OR(DATE($B$3,9,5)&gt;EOMONTH(DATE($B$3,9,1),0),NETWORKDAYS.INTL(DATE($B$3,9,5),DATE($B$3,9,5),1,'Non-working days'!$A$6:$A$45)=0),"",IF(COUNTIFS('Leave log'!$A$7:$A$306,Employees!$A$7,'Leave log'!$B$7:$B$306,"&lt;="&amp;DATE($B$3,9,5),'Leave log'!$C$7:$C$306,"&gt;="&amp;DATE($B$3,9,5),'Leave log'!$F$7:$F$306,"Approved")&gt;0,"A",""))="A","A",IF(OR(DATE($B$3,9,5)&gt;EOMONTH(DATE($B$3,9,1),0),NETWORKDAYS.INTL(DATE($B$3,9,5),DATE($B$3,9,5),1,'Non-working days'!$A$6:$A$45)=0),"",IF(COUNTIFS('Leave log'!$A$7:$A$306,Employees!$A$7,'Leave log'!$B$7:$B$306,"&lt;="&amp;DATE($B$3,9,5),'Leave log'!$C$7:$C$306,"&gt;="&amp;DATE($B$3,9,5),'Leave log'!$F$7:$F$306,"Pending")&gt;0,"P",""))))</f>
        <v/>
      </c>
      <c r="G280" s="23" t="str">
        <f>IF(A280="","",IF(IF(OR(DATE($B$3,9,6)&gt;EOMONTH(DATE($B$3,9,1),0),NETWORKDAYS.INTL(DATE($B$3,9,6),DATE($B$3,9,6),1,'Non-working days'!$A$6:$A$45)=0),"",IF(COUNTIFS('Leave log'!$A$7:$A$306,Employees!$A$7,'Leave log'!$B$7:$B$306,"&lt;="&amp;DATE($B$3,9,6),'Leave log'!$C$7:$C$306,"&gt;="&amp;DATE($B$3,9,6),'Leave log'!$F$7:$F$306,"Approved")&gt;0,"A",""))="A","A",IF(OR(DATE($B$3,9,6)&gt;EOMONTH(DATE($B$3,9,1),0),NETWORKDAYS.INTL(DATE($B$3,9,6),DATE($B$3,9,6),1,'Non-working days'!$A$6:$A$45)=0),"",IF(COUNTIFS('Leave log'!$A$7:$A$306,Employees!$A$7,'Leave log'!$B$7:$B$306,"&lt;="&amp;DATE($B$3,9,6),'Leave log'!$C$7:$C$306,"&gt;="&amp;DATE($B$3,9,6),'Leave log'!$F$7:$F$306,"Pending")&gt;0,"P",""))))</f>
        <v/>
      </c>
      <c r="H280" s="23" t="str">
        <f>IF(A280="","",IF(IF(OR(DATE($B$3,9,7)&gt;EOMONTH(DATE($B$3,9,1),0),NETWORKDAYS.INTL(DATE($B$3,9,7),DATE($B$3,9,7),1,'Non-working days'!$A$6:$A$45)=0),"",IF(COUNTIFS('Leave log'!$A$7:$A$306,Employees!$A$7,'Leave log'!$B$7:$B$306,"&lt;="&amp;DATE($B$3,9,7),'Leave log'!$C$7:$C$306,"&gt;="&amp;DATE($B$3,9,7),'Leave log'!$F$7:$F$306,"Approved")&gt;0,"A",""))="A","A",IF(OR(DATE($B$3,9,7)&gt;EOMONTH(DATE($B$3,9,1),0),NETWORKDAYS.INTL(DATE($B$3,9,7),DATE($B$3,9,7),1,'Non-working days'!$A$6:$A$45)=0),"",IF(COUNTIFS('Leave log'!$A$7:$A$306,Employees!$A$7,'Leave log'!$B$7:$B$306,"&lt;="&amp;DATE($B$3,9,7),'Leave log'!$C$7:$C$306,"&gt;="&amp;DATE($B$3,9,7),'Leave log'!$F$7:$F$306,"Pending")&gt;0,"P",""))))</f>
        <v/>
      </c>
      <c r="I280" s="23" t="str">
        <f>IF(A280="","",IF(IF(OR(DATE($B$3,9,8)&gt;EOMONTH(DATE($B$3,9,1),0),NETWORKDAYS.INTL(DATE($B$3,9,8),DATE($B$3,9,8),1,'Non-working days'!$A$6:$A$45)=0),"",IF(COUNTIFS('Leave log'!$A$7:$A$306,Employees!$A$7,'Leave log'!$B$7:$B$306,"&lt;="&amp;DATE($B$3,9,8),'Leave log'!$C$7:$C$306,"&gt;="&amp;DATE($B$3,9,8),'Leave log'!$F$7:$F$306,"Approved")&gt;0,"A",""))="A","A",IF(OR(DATE($B$3,9,8)&gt;EOMONTH(DATE($B$3,9,1),0),NETWORKDAYS.INTL(DATE($B$3,9,8),DATE($B$3,9,8),1,'Non-working days'!$A$6:$A$45)=0),"",IF(COUNTIFS('Leave log'!$A$7:$A$306,Employees!$A$7,'Leave log'!$B$7:$B$306,"&lt;="&amp;DATE($B$3,9,8),'Leave log'!$C$7:$C$306,"&gt;="&amp;DATE($B$3,9,8),'Leave log'!$F$7:$F$306,"Pending")&gt;0,"P",""))))</f>
        <v/>
      </c>
      <c r="J280" s="23" t="str">
        <f>IF(A280="","",IF(IF(OR(DATE($B$3,9,9)&gt;EOMONTH(DATE($B$3,9,1),0),NETWORKDAYS.INTL(DATE($B$3,9,9),DATE($B$3,9,9),1,'Non-working days'!$A$6:$A$45)=0),"",IF(COUNTIFS('Leave log'!$A$7:$A$306,Employees!$A$7,'Leave log'!$B$7:$B$306,"&lt;="&amp;DATE($B$3,9,9),'Leave log'!$C$7:$C$306,"&gt;="&amp;DATE($B$3,9,9),'Leave log'!$F$7:$F$306,"Approved")&gt;0,"A",""))="A","A",IF(OR(DATE($B$3,9,9)&gt;EOMONTH(DATE($B$3,9,1),0),NETWORKDAYS.INTL(DATE($B$3,9,9),DATE($B$3,9,9),1,'Non-working days'!$A$6:$A$45)=0),"",IF(COUNTIFS('Leave log'!$A$7:$A$306,Employees!$A$7,'Leave log'!$B$7:$B$306,"&lt;="&amp;DATE($B$3,9,9),'Leave log'!$C$7:$C$306,"&gt;="&amp;DATE($B$3,9,9),'Leave log'!$F$7:$F$306,"Pending")&gt;0,"P",""))))</f>
        <v/>
      </c>
      <c r="K280" s="23" t="str">
        <f>IF(A280="","",IF(IF(OR(DATE($B$3,9,10)&gt;EOMONTH(DATE($B$3,9,1),0),NETWORKDAYS.INTL(DATE($B$3,9,10),DATE($B$3,9,10),1,'Non-working days'!$A$6:$A$45)=0),"",IF(COUNTIFS('Leave log'!$A$7:$A$306,Employees!$A$7,'Leave log'!$B$7:$B$306,"&lt;="&amp;DATE($B$3,9,10),'Leave log'!$C$7:$C$306,"&gt;="&amp;DATE($B$3,9,10),'Leave log'!$F$7:$F$306,"Approved")&gt;0,"A",""))="A","A",IF(OR(DATE($B$3,9,10)&gt;EOMONTH(DATE($B$3,9,1),0),NETWORKDAYS.INTL(DATE($B$3,9,10),DATE($B$3,9,10),1,'Non-working days'!$A$6:$A$45)=0),"",IF(COUNTIFS('Leave log'!$A$7:$A$306,Employees!$A$7,'Leave log'!$B$7:$B$306,"&lt;="&amp;DATE($B$3,9,10),'Leave log'!$C$7:$C$306,"&gt;="&amp;DATE($B$3,9,10),'Leave log'!$F$7:$F$306,"Pending")&gt;0,"P",""))))</f>
        <v/>
      </c>
      <c r="L280" s="23" t="str">
        <f>IF(A280="","",IF(IF(OR(DATE($B$3,9,11)&gt;EOMONTH(DATE($B$3,9,1),0),NETWORKDAYS.INTL(DATE($B$3,9,11),DATE($B$3,9,11),1,'Non-working days'!$A$6:$A$45)=0),"",IF(COUNTIFS('Leave log'!$A$7:$A$306,Employees!$A$7,'Leave log'!$B$7:$B$306,"&lt;="&amp;DATE($B$3,9,11),'Leave log'!$C$7:$C$306,"&gt;="&amp;DATE($B$3,9,11),'Leave log'!$F$7:$F$306,"Approved")&gt;0,"A",""))="A","A",IF(OR(DATE($B$3,9,11)&gt;EOMONTH(DATE($B$3,9,1),0),NETWORKDAYS.INTL(DATE($B$3,9,11),DATE($B$3,9,11),1,'Non-working days'!$A$6:$A$45)=0),"",IF(COUNTIFS('Leave log'!$A$7:$A$306,Employees!$A$7,'Leave log'!$B$7:$B$306,"&lt;="&amp;DATE($B$3,9,11),'Leave log'!$C$7:$C$306,"&gt;="&amp;DATE($B$3,9,11),'Leave log'!$F$7:$F$306,"Pending")&gt;0,"P",""))))</f>
        <v/>
      </c>
      <c r="M280" s="23" t="str">
        <f>IF(A280="","",IF(IF(OR(DATE($B$3,9,12)&gt;EOMONTH(DATE($B$3,9,1),0),NETWORKDAYS.INTL(DATE($B$3,9,12),DATE($B$3,9,12),1,'Non-working days'!$A$6:$A$45)=0),"",IF(COUNTIFS('Leave log'!$A$7:$A$306,Employees!$A$7,'Leave log'!$B$7:$B$306,"&lt;="&amp;DATE($B$3,9,12),'Leave log'!$C$7:$C$306,"&gt;="&amp;DATE($B$3,9,12),'Leave log'!$F$7:$F$306,"Approved")&gt;0,"A",""))="A","A",IF(OR(DATE($B$3,9,12)&gt;EOMONTH(DATE($B$3,9,1),0),NETWORKDAYS.INTL(DATE($B$3,9,12),DATE($B$3,9,12),1,'Non-working days'!$A$6:$A$45)=0),"",IF(COUNTIFS('Leave log'!$A$7:$A$306,Employees!$A$7,'Leave log'!$B$7:$B$306,"&lt;="&amp;DATE($B$3,9,12),'Leave log'!$C$7:$C$306,"&gt;="&amp;DATE($B$3,9,12),'Leave log'!$F$7:$F$306,"Pending")&gt;0,"P",""))))</f>
        <v/>
      </c>
      <c r="N280" s="23" t="str">
        <f>IF(A280="","",IF(IF(OR(DATE($B$3,9,13)&gt;EOMONTH(DATE($B$3,9,1),0),NETWORKDAYS.INTL(DATE($B$3,9,13),DATE($B$3,9,13),1,'Non-working days'!$A$6:$A$45)=0),"",IF(COUNTIFS('Leave log'!$A$7:$A$306,Employees!$A$7,'Leave log'!$B$7:$B$306,"&lt;="&amp;DATE($B$3,9,13),'Leave log'!$C$7:$C$306,"&gt;="&amp;DATE($B$3,9,13),'Leave log'!$F$7:$F$306,"Approved")&gt;0,"A",""))="A","A",IF(OR(DATE($B$3,9,13)&gt;EOMONTH(DATE($B$3,9,1),0),NETWORKDAYS.INTL(DATE($B$3,9,13),DATE($B$3,9,13),1,'Non-working days'!$A$6:$A$45)=0),"",IF(COUNTIFS('Leave log'!$A$7:$A$306,Employees!$A$7,'Leave log'!$B$7:$B$306,"&lt;="&amp;DATE($B$3,9,13),'Leave log'!$C$7:$C$306,"&gt;="&amp;DATE($B$3,9,13),'Leave log'!$F$7:$F$306,"Pending")&gt;0,"P",""))))</f>
        <v/>
      </c>
      <c r="O280" s="23" t="str">
        <f>IF(A280="","",IF(IF(OR(DATE($B$3,9,14)&gt;EOMONTH(DATE($B$3,9,1),0),NETWORKDAYS.INTL(DATE($B$3,9,14),DATE($B$3,9,14),1,'Non-working days'!$A$6:$A$45)=0),"",IF(COUNTIFS('Leave log'!$A$7:$A$306,Employees!$A$7,'Leave log'!$B$7:$B$306,"&lt;="&amp;DATE($B$3,9,14),'Leave log'!$C$7:$C$306,"&gt;="&amp;DATE($B$3,9,14),'Leave log'!$F$7:$F$306,"Approved")&gt;0,"A",""))="A","A",IF(OR(DATE($B$3,9,14)&gt;EOMONTH(DATE($B$3,9,1),0),NETWORKDAYS.INTL(DATE($B$3,9,14),DATE($B$3,9,14),1,'Non-working days'!$A$6:$A$45)=0),"",IF(COUNTIFS('Leave log'!$A$7:$A$306,Employees!$A$7,'Leave log'!$B$7:$B$306,"&lt;="&amp;DATE($B$3,9,14),'Leave log'!$C$7:$C$306,"&gt;="&amp;DATE($B$3,9,14),'Leave log'!$F$7:$F$306,"Pending")&gt;0,"P",""))))</f>
        <v/>
      </c>
      <c r="P280" s="23" t="str">
        <f>IF(A280="","",IF(IF(OR(DATE($B$3,9,15)&gt;EOMONTH(DATE($B$3,9,1),0),NETWORKDAYS.INTL(DATE($B$3,9,15),DATE($B$3,9,15),1,'Non-working days'!$A$6:$A$45)=0),"",IF(COUNTIFS('Leave log'!$A$7:$A$306,Employees!$A$7,'Leave log'!$B$7:$B$306,"&lt;="&amp;DATE($B$3,9,15),'Leave log'!$C$7:$C$306,"&gt;="&amp;DATE($B$3,9,15),'Leave log'!$F$7:$F$306,"Approved")&gt;0,"A",""))="A","A",IF(OR(DATE($B$3,9,15)&gt;EOMONTH(DATE($B$3,9,1),0),NETWORKDAYS.INTL(DATE($B$3,9,15),DATE($B$3,9,15),1,'Non-working days'!$A$6:$A$45)=0),"",IF(COUNTIFS('Leave log'!$A$7:$A$306,Employees!$A$7,'Leave log'!$B$7:$B$306,"&lt;="&amp;DATE($B$3,9,15),'Leave log'!$C$7:$C$306,"&gt;="&amp;DATE($B$3,9,15),'Leave log'!$F$7:$F$306,"Pending")&gt;0,"P",""))))</f>
        <v/>
      </c>
      <c r="Q280" s="23" t="str">
        <f>IF(A280="","",IF(IF(OR(DATE($B$3,9,16)&gt;EOMONTH(DATE($B$3,9,1),0),NETWORKDAYS.INTL(DATE($B$3,9,16),DATE($B$3,9,16),1,'Non-working days'!$A$6:$A$45)=0),"",IF(COUNTIFS('Leave log'!$A$7:$A$306,Employees!$A$7,'Leave log'!$B$7:$B$306,"&lt;="&amp;DATE($B$3,9,16),'Leave log'!$C$7:$C$306,"&gt;="&amp;DATE($B$3,9,16),'Leave log'!$F$7:$F$306,"Approved")&gt;0,"A",""))="A","A",IF(OR(DATE($B$3,9,16)&gt;EOMONTH(DATE($B$3,9,1),0),NETWORKDAYS.INTL(DATE($B$3,9,16),DATE($B$3,9,16),1,'Non-working days'!$A$6:$A$45)=0),"",IF(COUNTIFS('Leave log'!$A$7:$A$306,Employees!$A$7,'Leave log'!$B$7:$B$306,"&lt;="&amp;DATE($B$3,9,16),'Leave log'!$C$7:$C$306,"&gt;="&amp;DATE($B$3,9,16),'Leave log'!$F$7:$F$306,"Pending")&gt;0,"P",""))))</f>
        <v/>
      </c>
      <c r="R280" s="23" t="str">
        <f>IF(A280="","",IF(IF(OR(DATE($B$3,9,17)&gt;EOMONTH(DATE($B$3,9,1),0),NETWORKDAYS.INTL(DATE($B$3,9,17),DATE($B$3,9,17),1,'Non-working days'!$A$6:$A$45)=0),"",IF(COUNTIFS('Leave log'!$A$7:$A$306,Employees!$A$7,'Leave log'!$B$7:$B$306,"&lt;="&amp;DATE($B$3,9,17),'Leave log'!$C$7:$C$306,"&gt;="&amp;DATE($B$3,9,17),'Leave log'!$F$7:$F$306,"Approved")&gt;0,"A",""))="A","A",IF(OR(DATE($B$3,9,17)&gt;EOMONTH(DATE($B$3,9,1),0),NETWORKDAYS.INTL(DATE($B$3,9,17),DATE($B$3,9,17),1,'Non-working days'!$A$6:$A$45)=0),"",IF(COUNTIFS('Leave log'!$A$7:$A$306,Employees!$A$7,'Leave log'!$B$7:$B$306,"&lt;="&amp;DATE($B$3,9,17),'Leave log'!$C$7:$C$306,"&gt;="&amp;DATE($B$3,9,17),'Leave log'!$F$7:$F$306,"Pending")&gt;0,"P",""))))</f>
        <v/>
      </c>
      <c r="S280" s="23" t="str">
        <f>IF(A280="","",IF(IF(OR(DATE($B$3,9,18)&gt;EOMONTH(DATE($B$3,9,1),0),NETWORKDAYS.INTL(DATE($B$3,9,18),DATE($B$3,9,18),1,'Non-working days'!$A$6:$A$45)=0),"",IF(COUNTIFS('Leave log'!$A$7:$A$306,Employees!$A$7,'Leave log'!$B$7:$B$306,"&lt;="&amp;DATE($B$3,9,18),'Leave log'!$C$7:$C$306,"&gt;="&amp;DATE($B$3,9,18),'Leave log'!$F$7:$F$306,"Approved")&gt;0,"A",""))="A","A",IF(OR(DATE($B$3,9,18)&gt;EOMONTH(DATE($B$3,9,1),0),NETWORKDAYS.INTL(DATE($B$3,9,18),DATE($B$3,9,18),1,'Non-working days'!$A$6:$A$45)=0),"",IF(COUNTIFS('Leave log'!$A$7:$A$306,Employees!$A$7,'Leave log'!$B$7:$B$306,"&lt;="&amp;DATE($B$3,9,18),'Leave log'!$C$7:$C$306,"&gt;="&amp;DATE($B$3,9,18),'Leave log'!$F$7:$F$306,"Pending")&gt;0,"P",""))))</f>
        <v/>
      </c>
      <c r="T280" s="23" t="str">
        <f>IF(A280="","",IF(IF(OR(DATE($B$3,9,19)&gt;EOMONTH(DATE($B$3,9,1),0),NETWORKDAYS.INTL(DATE($B$3,9,19),DATE($B$3,9,19),1,'Non-working days'!$A$6:$A$45)=0),"",IF(COUNTIFS('Leave log'!$A$7:$A$306,Employees!$A$7,'Leave log'!$B$7:$B$306,"&lt;="&amp;DATE($B$3,9,19),'Leave log'!$C$7:$C$306,"&gt;="&amp;DATE($B$3,9,19),'Leave log'!$F$7:$F$306,"Approved")&gt;0,"A",""))="A","A",IF(OR(DATE($B$3,9,19)&gt;EOMONTH(DATE($B$3,9,1),0),NETWORKDAYS.INTL(DATE($B$3,9,19),DATE($B$3,9,19),1,'Non-working days'!$A$6:$A$45)=0),"",IF(COUNTIFS('Leave log'!$A$7:$A$306,Employees!$A$7,'Leave log'!$B$7:$B$306,"&lt;="&amp;DATE($B$3,9,19),'Leave log'!$C$7:$C$306,"&gt;="&amp;DATE($B$3,9,19),'Leave log'!$F$7:$F$306,"Pending")&gt;0,"P",""))))</f>
        <v/>
      </c>
      <c r="U280" s="23" t="str">
        <f>IF(A280="","",IF(IF(OR(DATE($B$3,9,20)&gt;EOMONTH(DATE($B$3,9,1),0),NETWORKDAYS.INTL(DATE($B$3,9,20),DATE($B$3,9,20),1,'Non-working days'!$A$6:$A$45)=0),"",IF(COUNTIFS('Leave log'!$A$7:$A$306,Employees!$A$7,'Leave log'!$B$7:$B$306,"&lt;="&amp;DATE($B$3,9,20),'Leave log'!$C$7:$C$306,"&gt;="&amp;DATE($B$3,9,20),'Leave log'!$F$7:$F$306,"Approved")&gt;0,"A",""))="A","A",IF(OR(DATE($B$3,9,20)&gt;EOMONTH(DATE($B$3,9,1),0),NETWORKDAYS.INTL(DATE($B$3,9,20),DATE($B$3,9,20),1,'Non-working days'!$A$6:$A$45)=0),"",IF(COUNTIFS('Leave log'!$A$7:$A$306,Employees!$A$7,'Leave log'!$B$7:$B$306,"&lt;="&amp;DATE($B$3,9,20),'Leave log'!$C$7:$C$306,"&gt;="&amp;DATE($B$3,9,20),'Leave log'!$F$7:$F$306,"Pending")&gt;0,"P",""))))</f>
        <v/>
      </c>
      <c r="V280" s="23" t="str">
        <f>IF(A280="","",IF(IF(OR(DATE($B$3,9,21)&gt;EOMONTH(DATE($B$3,9,1),0),NETWORKDAYS.INTL(DATE($B$3,9,21),DATE($B$3,9,21),1,'Non-working days'!$A$6:$A$45)=0),"",IF(COUNTIFS('Leave log'!$A$7:$A$306,Employees!$A$7,'Leave log'!$B$7:$B$306,"&lt;="&amp;DATE($B$3,9,21),'Leave log'!$C$7:$C$306,"&gt;="&amp;DATE($B$3,9,21),'Leave log'!$F$7:$F$306,"Approved")&gt;0,"A",""))="A","A",IF(OR(DATE($B$3,9,21)&gt;EOMONTH(DATE($B$3,9,1),0),NETWORKDAYS.INTL(DATE($B$3,9,21),DATE($B$3,9,21),1,'Non-working days'!$A$6:$A$45)=0),"",IF(COUNTIFS('Leave log'!$A$7:$A$306,Employees!$A$7,'Leave log'!$B$7:$B$306,"&lt;="&amp;DATE($B$3,9,21),'Leave log'!$C$7:$C$306,"&gt;="&amp;DATE($B$3,9,21),'Leave log'!$F$7:$F$306,"Pending")&gt;0,"P",""))))</f>
        <v/>
      </c>
      <c r="W280" s="23" t="str">
        <f>IF(A280="","",IF(IF(OR(DATE($B$3,9,22)&gt;EOMONTH(DATE($B$3,9,1),0),NETWORKDAYS.INTL(DATE($B$3,9,22),DATE($B$3,9,22),1,'Non-working days'!$A$6:$A$45)=0),"",IF(COUNTIFS('Leave log'!$A$7:$A$306,Employees!$A$7,'Leave log'!$B$7:$B$306,"&lt;="&amp;DATE($B$3,9,22),'Leave log'!$C$7:$C$306,"&gt;="&amp;DATE($B$3,9,22),'Leave log'!$F$7:$F$306,"Approved")&gt;0,"A",""))="A","A",IF(OR(DATE($B$3,9,22)&gt;EOMONTH(DATE($B$3,9,1),0),NETWORKDAYS.INTL(DATE($B$3,9,22),DATE($B$3,9,22),1,'Non-working days'!$A$6:$A$45)=0),"",IF(COUNTIFS('Leave log'!$A$7:$A$306,Employees!$A$7,'Leave log'!$B$7:$B$306,"&lt;="&amp;DATE($B$3,9,22),'Leave log'!$C$7:$C$306,"&gt;="&amp;DATE($B$3,9,22),'Leave log'!$F$7:$F$306,"Pending")&gt;0,"P",""))))</f>
        <v/>
      </c>
      <c r="X280" s="23" t="str">
        <f>IF(A280="","",IF(IF(OR(DATE($B$3,9,23)&gt;EOMONTH(DATE($B$3,9,1),0),NETWORKDAYS.INTL(DATE($B$3,9,23),DATE($B$3,9,23),1,'Non-working days'!$A$6:$A$45)=0),"",IF(COUNTIFS('Leave log'!$A$7:$A$306,Employees!$A$7,'Leave log'!$B$7:$B$306,"&lt;="&amp;DATE($B$3,9,23),'Leave log'!$C$7:$C$306,"&gt;="&amp;DATE($B$3,9,23),'Leave log'!$F$7:$F$306,"Approved")&gt;0,"A",""))="A","A",IF(OR(DATE($B$3,9,23)&gt;EOMONTH(DATE($B$3,9,1),0),NETWORKDAYS.INTL(DATE($B$3,9,23),DATE($B$3,9,23),1,'Non-working days'!$A$6:$A$45)=0),"",IF(COUNTIFS('Leave log'!$A$7:$A$306,Employees!$A$7,'Leave log'!$B$7:$B$306,"&lt;="&amp;DATE($B$3,9,23),'Leave log'!$C$7:$C$306,"&gt;="&amp;DATE($B$3,9,23),'Leave log'!$F$7:$F$306,"Pending")&gt;0,"P",""))))</f>
        <v/>
      </c>
      <c r="Y280" s="23" t="str">
        <f>IF(A280="","",IF(IF(OR(DATE($B$3,9,24)&gt;EOMONTH(DATE($B$3,9,1),0),NETWORKDAYS.INTL(DATE($B$3,9,24),DATE($B$3,9,24),1,'Non-working days'!$A$6:$A$45)=0),"",IF(COUNTIFS('Leave log'!$A$7:$A$306,Employees!$A$7,'Leave log'!$B$7:$B$306,"&lt;="&amp;DATE($B$3,9,24),'Leave log'!$C$7:$C$306,"&gt;="&amp;DATE($B$3,9,24),'Leave log'!$F$7:$F$306,"Approved")&gt;0,"A",""))="A","A",IF(OR(DATE($B$3,9,24)&gt;EOMONTH(DATE($B$3,9,1),0),NETWORKDAYS.INTL(DATE($B$3,9,24),DATE($B$3,9,24),1,'Non-working days'!$A$6:$A$45)=0),"",IF(COUNTIFS('Leave log'!$A$7:$A$306,Employees!$A$7,'Leave log'!$B$7:$B$306,"&lt;="&amp;DATE($B$3,9,24),'Leave log'!$C$7:$C$306,"&gt;="&amp;DATE($B$3,9,24),'Leave log'!$F$7:$F$306,"Pending")&gt;0,"P",""))))</f>
        <v/>
      </c>
      <c r="Z280" s="23" t="str">
        <f>IF(A280="","",IF(IF(OR(DATE($B$3,9,25)&gt;EOMONTH(DATE($B$3,9,1),0),NETWORKDAYS.INTL(DATE($B$3,9,25),DATE($B$3,9,25),1,'Non-working days'!$A$6:$A$45)=0),"",IF(COUNTIFS('Leave log'!$A$7:$A$306,Employees!$A$7,'Leave log'!$B$7:$B$306,"&lt;="&amp;DATE($B$3,9,25),'Leave log'!$C$7:$C$306,"&gt;="&amp;DATE($B$3,9,25),'Leave log'!$F$7:$F$306,"Approved")&gt;0,"A",""))="A","A",IF(OR(DATE($B$3,9,25)&gt;EOMONTH(DATE($B$3,9,1),0),NETWORKDAYS.INTL(DATE($B$3,9,25),DATE($B$3,9,25),1,'Non-working days'!$A$6:$A$45)=0),"",IF(COUNTIFS('Leave log'!$A$7:$A$306,Employees!$A$7,'Leave log'!$B$7:$B$306,"&lt;="&amp;DATE($B$3,9,25),'Leave log'!$C$7:$C$306,"&gt;="&amp;DATE($B$3,9,25),'Leave log'!$F$7:$F$306,"Pending")&gt;0,"P",""))))</f>
        <v/>
      </c>
      <c r="AA280" s="23" t="str">
        <f>IF(A280="","",IF(IF(OR(DATE($B$3,9,26)&gt;EOMONTH(DATE($B$3,9,1),0),NETWORKDAYS.INTL(DATE($B$3,9,26),DATE($B$3,9,26),1,'Non-working days'!$A$6:$A$45)=0),"",IF(COUNTIFS('Leave log'!$A$7:$A$306,Employees!$A$7,'Leave log'!$B$7:$B$306,"&lt;="&amp;DATE($B$3,9,26),'Leave log'!$C$7:$C$306,"&gt;="&amp;DATE($B$3,9,26),'Leave log'!$F$7:$F$306,"Approved")&gt;0,"A",""))="A","A",IF(OR(DATE($B$3,9,26)&gt;EOMONTH(DATE($B$3,9,1),0),NETWORKDAYS.INTL(DATE($B$3,9,26),DATE($B$3,9,26),1,'Non-working days'!$A$6:$A$45)=0),"",IF(COUNTIFS('Leave log'!$A$7:$A$306,Employees!$A$7,'Leave log'!$B$7:$B$306,"&lt;="&amp;DATE($B$3,9,26),'Leave log'!$C$7:$C$306,"&gt;="&amp;DATE($B$3,9,26),'Leave log'!$F$7:$F$306,"Pending")&gt;0,"P",""))))</f>
        <v/>
      </c>
      <c r="AB280" s="23" t="str">
        <f>IF(A280="","",IF(IF(OR(DATE($B$3,9,27)&gt;EOMONTH(DATE($B$3,9,1),0),NETWORKDAYS.INTL(DATE($B$3,9,27),DATE($B$3,9,27),1,'Non-working days'!$A$6:$A$45)=0),"",IF(COUNTIFS('Leave log'!$A$7:$A$306,Employees!$A$7,'Leave log'!$B$7:$B$306,"&lt;="&amp;DATE($B$3,9,27),'Leave log'!$C$7:$C$306,"&gt;="&amp;DATE($B$3,9,27),'Leave log'!$F$7:$F$306,"Approved")&gt;0,"A",""))="A","A",IF(OR(DATE($B$3,9,27)&gt;EOMONTH(DATE($B$3,9,1),0),NETWORKDAYS.INTL(DATE($B$3,9,27),DATE($B$3,9,27),1,'Non-working days'!$A$6:$A$45)=0),"",IF(COUNTIFS('Leave log'!$A$7:$A$306,Employees!$A$7,'Leave log'!$B$7:$B$306,"&lt;="&amp;DATE($B$3,9,27),'Leave log'!$C$7:$C$306,"&gt;="&amp;DATE($B$3,9,27),'Leave log'!$F$7:$F$306,"Pending")&gt;0,"P",""))))</f>
        <v/>
      </c>
      <c r="AC280" s="23" t="str">
        <f>IF(A280="","",IF(IF(OR(DATE($B$3,9,28)&gt;EOMONTH(DATE($B$3,9,1),0),NETWORKDAYS.INTL(DATE($B$3,9,28),DATE($B$3,9,28),1,'Non-working days'!$A$6:$A$45)=0),"",IF(COUNTIFS('Leave log'!$A$7:$A$306,Employees!$A$7,'Leave log'!$B$7:$B$306,"&lt;="&amp;DATE($B$3,9,28),'Leave log'!$C$7:$C$306,"&gt;="&amp;DATE($B$3,9,28),'Leave log'!$F$7:$F$306,"Approved")&gt;0,"A",""))="A","A",IF(OR(DATE($B$3,9,28)&gt;EOMONTH(DATE($B$3,9,1),0),NETWORKDAYS.INTL(DATE($B$3,9,28),DATE($B$3,9,28),1,'Non-working days'!$A$6:$A$45)=0),"",IF(COUNTIFS('Leave log'!$A$7:$A$306,Employees!$A$7,'Leave log'!$B$7:$B$306,"&lt;="&amp;DATE($B$3,9,28),'Leave log'!$C$7:$C$306,"&gt;="&amp;DATE($B$3,9,28),'Leave log'!$F$7:$F$306,"Pending")&gt;0,"P",""))))</f>
        <v/>
      </c>
      <c r="AD280" s="23" t="str">
        <f>IF(A280="","",IF(IF(OR(DATE($B$3,9,29)&gt;EOMONTH(DATE($B$3,9,1),0),NETWORKDAYS.INTL(DATE($B$3,9,29),DATE($B$3,9,29),1,'Non-working days'!$A$6:$A$45)=0),"",IF(COUNTIFS('Leave log'!$A$7:$A$306,Employees!$A$7,'Leave log'!$B$7:$B$306,"&lt;="&amp;DATE($B$3,9,29),'Leave log'!$C$7:$C$306,"&gt;="&amp;DATE($B$3,9,29),'Leave log'!$F$7:$F$306,"Approved")&gt;0,"A",""))="A","A",IF(OR(DATE($B$3,9,29)&gt;EOMONTH(DATE($B$3,9,1),0),NETWORKDAYS.INTL(DATE($B$3,9,29),DATE($B$3,9,29),1,'Non-working days'!$A$6:$A$45)=0),"",IF(COUNTIFS('Leave log'!$A$7:$A$306,Employees!$A$7,'Leave log'!$B$7:$B$306,"&lt;="&amp;DATE($B$3,9,29),'Leave log'!$C$7:$C$306,"&gt;="&amp;DATE($B$3,9,29),'Leave log'!$F$7:$F$306,"Pending")&gt;0,"P",""))))</f>
        <v/>
      </c>
      <c r="AE280" s="23" t="str">
        <f>IF(A280="","",IF(IF(OR(DATE($B$3,9,30)&gt;EOMONTH(DATE($B$3,9,1),0),NETWORKDAYS.INTL(DATE($B$3,9,30),DATE($B$3,9,30),1,'Non-working days'!$A$6:$A$45)=0),"",IF(COUNTIFS('Leave log'!$A$7:$A$306,Employees!$A$7,'Leave log'!$B$7:$B$306,"&lt;="&amp;DATE($B$3,9,30),'Leave log'!$C$7:$C$306,"&gt;="&amp;DATE($B$3,9,30),'Leave log'!$F$7:$F$306,"Approved")&gt;0,"A",""))="A","A",IF(OR(DATE($B$3,9,30)&gt;EOMONTH(DATE($B$3,9,1),0),NETWORKDAYS.INTL(DATE($B$3,9,30),DATE($B$3,9,30),1,'Non-working days'!$A$6:$A$45)=0),"",IF(COUNTIFS('Leave log'!$A$7:$A$306,Employees!$A$7,'Leave log'!$B$7:$B$306,"&lt;="&amp;DATE($B$3,9,30),'Leave log'!$C$7:$C$306,"&gt;="&amp;DATE($B$3,9,30),'Leave log'!$F$7:$F$306,"Pending")&gt;0,"P",""))))</f>
        <v/>
      </c>
      <c r="AF280" s="23" t="str">
        <f>IF(A280="","",IF(IF(OR(DATE($B$3,9,31)&gt;EOMONTH(DATE($B$3,9,1),0),NETWORKDAYS.INTL(DATE($B$3,9,31),DATE($B$3,9,31),1,'Non-working days'!$A$6:$A$45)=0),"",IF(COUNTIFS('Leave log'!$A$7:$A$306,Employees!$A$7,'Leave log'!$B$7:$B$306,"&lt;="&amp;DATE($B$3,9,31),'Leave log'!$C$7:$C$306,"&gt;="&amp;DATE($B$3,9,31),'Leave log'!$F$7:$F$306,"Approved")&gt;0,"A",""))="A","A",IF(OR(DATE($B$3,9,31)&gt;EOMONTH(DATE($B$3,9,1),0),NETWORKDAYS.INTL(DATE($B$3,9,31),DATE($B$3,9,31),1,'Non-working days'!$A$6:$A$45)=0),"",IF(COUNTIFS('Leave log'!$A$7:$A$306,Employees!$A$7,'Leave log'!$B$7:$B$306,"&lt;="&amp;DATE($B$3,9,31),'Leave log'!$C$7:$C$306,"&gt;="&amp;DATE($B$3,9,31),'Leave log'!$F$7:$F$306,"Pending")&gt;0,"P",""))))</f>
        <v/>
      </c>
    </row>
    <row r="281" spans="1:32" ht="18" customHeight="1" x14ac:dyDescent="0.3">
      <c r="A281" s="22" t="str">
        <f>IF(Employees!F8="Yes",Employees!B8,"")</f>
        <v/>
      </c>
      <c r="B281" s="23" t="str">
        <f>IF(A281="","",IF(IF(OR(DATE($B$3,9,1)&gt;EOMONTH(DATE($B$3,9,1),0),NETWORKDAYS.INTL(DATE($B$3,9,1),DATE($B$3,9,1),1,'Non-working days'!$A$6:$A$45)=0),"",IF(COUNTIFS('Leave log'!$A$7:$A$306,Employees!$A$8,'Leave log'!$B$7:$B$306,"&lt;="&amp;DATE($B$3,9,1),'Leave log'!$C$7:$C$306,"&gt;="&amp;DATE($B$3,9,1),'Leave log'!$F$7:$F$306,"Approved")&gt;0,"A",""))="A","A",IF(OR(DATE($B$3,9,1)&gt;EOMONTH(DATE($B$3,9,1),0),NETWORKDAYS.INTL(DATE($B$3,9,1),DATE($B$3,9,1),1,'Non-working days'!$A$6:$A$45)=0),"",IF(COUNTIFS('Leave log'!$A$7:$A$306,Employees!$A$8,'Leave log'!$B$7:$B$306,"&lt;="&amp;DATE($B$3,9,1),'Leave log'!$C$7:$C$306,"&gt;="&amp;DATE($B$3,9,1),'Leave log'!$F$7:$F$306,"Pending")&gt;0,"P",""))))</f>
        <v/>
      </c>
      <c r="C281" s="23" t="str">
        <f>IF(A281="","",IF(IF(OR(DATE($B$3,9,2)&gt;EOMONTH(DATE($B$3,9,1),0),NETWORKDAYS.INTL(DATE($B$3,9,2),DATE($B$3,9,2),1,'Non-working days'!$A$6:$A$45)=0),"",IF(COUNTIFS('Leave log'!$A$7:$A$306,Employees!$A$8,'Leave log'!$B$7:$B$306,"&lt;="&amp;DATE($B$3,9,2),'Leave log'!$C$7:$C$306,"&gt;="&amp;DATE($B$3,9,2),'Leave log'!$F$7:$F$306,"Approved")&gt;0,"A",""))="A","A",IF(OR(DATE($B$3,9,2)&gt;EOMONTH(DATE($B$3,9,1),0),NETWORKDAYS.INTL(DATE($B$3,9,2),DATE($B$3,9,2),1,'Non-working days'!$A$6:$A$45)=0),"",IF(COUNTIFS('Leave log'!$A$7:$A$306,Employees!$A$8,'Leave log'!$B$7:$B$306,"&lt;="&amp;DATE($B$3,9,2),'Leave log'!$C$7:$C$306,"&gt;="&amp;DATE($B$3,9,2),'Leave log'!$F$7:$F$306,"Pending")&gt;0,"P",""))))</f>
        <v/>
      </c>
      <c r="D281" s="23" t="str">
        <f>IF(A281="","",IF(IF(OR(DATE($B$3,9,3)&gt;EOMONTH(DATE($B$3,9,1),0),NETWORKDAYS.INTL(DATE($B$3,9,3),DATE($B$3,9,3),1,'Non-working days'!$A$6:$A$45)=0),"",IF(COUNTIFS('Leave log'!$A$7:$A$306,Employees!$A$8,'Leave log'!$B$7:$B$306,"&lt;="&amp;DATE($B$3,9,3),'Leave log'!$C$7:$C$306,"&gt;="&amp;DATE($B$3,9,3),'Leave log'!$F$7:$F$306,"Approved")&gt;0,"A",""))="A","A",IF(OR(DATE($B$3,9,3)&gt;EOMONTH(DATE($B$3,9,1),0),NETWORKDAYS.INTL(DATE($B$3,9,3),DATE($B$3,9,3),1,'Non-working days'!$A$6:$A$45)=0),"",IF(COUNTIFS('Leave log'!$A$7:$A$306,Employees!$A$8,'Leave log'!$B$7:$B$306,"&lt;="&amp;DATE($B$3,9,3),'Leave log'!$C$7:$C$306,"&gt;="&amp;DATE($B$3,9,3),'Leave log'!$F$7:$F$306,"Pending")&gt;0,"P",""))))</f>
        <v/>
      </c>
      <c r="E281" s="23" t="str">
        <f>IF(A281="","",IF(IF(OR(DATE($B$3,9,4)&gt;EOMONTH(DATE($B$3,9,1),0),NETWORKDAYS.INTL(DATE($B$3,9,4),DATE($B$3,9,4),1,'Non-working days'!$A$6:$A$45)=0),"",IF(COUNTIFS('Leave log'!$A$7:$A$306,Employees!$A$8,'Leave log'!$B$7:$B$306,"&lt;="&amp;DATE($B$3,9,4),'Leave log'!$C$7:$C$306,"&gt;="&amp;DATE($B$3,9,4),'Leave log'!$F$7:$F$306,"Approved")&gt;0,"A",""))="A","A",IF(OR(DATE($B$3,9,4)&gt;EOMONTH(DATE($B$3,9,1),0),NETWORKDAYS.INTL(DATE($B$3,9,4),DATE($B$3,9,4),1,'Non-working days'!$A$6:$A$45)=0),"",IF(COUNTIFS('Leave log'!$A$7:$A$306,Employees!$A$8,'Leave log'!$B$7:$B$306,"&lt;="&amp;DATE($B$3,9,4),'Leave log'!$C$7:$C$306,"&gt;="&amp;DATE($B$3,9,4),'Leave log'!$F$7:$F$306,"Pending")&gt;0,"P",""))))</f>
        <v/>
      </c>
      <c r="F281" s="23" t="str">
        <f>IF(A281="","",IF(IF(OR(DATE($B$3,9,5)&gt;EOMONTH(DATE($B$3,9,1),0),NETWORKDAYS.INTL(DATE($B$3,9,5),DATE($B$3,9,5),1,'Non-working days'!$A$6:$A$45)=0),"",IF(COUNTIFS('Leave log'!$A$7:$A$306,Employees!$A$8,'Leave log'!$B$7:$B$306,"&lt;="&amp;DATE($B$3,9,5),'Leave log'!$C$7:$C$306,"&gt;="&amp;DATE($B$3,9,5),'Leave log'!$F$7:$F$306,"Approved")&gt;0,"A",""))="A","A",IF(OR(DATE($B$3,9,5)&gt;EOMONTH(DATE($B$3,9,1),0),NETWORKDAYS.INTL(DATE($B$3,9,5),DATE($B$3,9,5),1,'Non-working days'!$A$6:$A$45)=0),"",IF(COUNTIFS('Leave log'!$A$7:$A$306,Employees!$A$8,'Leave log'!$B$7:$B$306,"&lt;="&amp;DATE($B$3,9,5),'Leave log'!$C$7:$C$306,"&gt;="&amp;DATE($B$3,9,5),'Leave log'!$F$7:$F$306,"Pending")&gt;0,"P",""))))</f>
        <v/>
      </c>
      <c r="G281" s="23" t="str">
        <f>IF(A281="","",IF(IF(OR(DATE($B$3,9,6)&gt;EOMONTH(DATE($B$3,9,1),0),NETWORKDAYS.INTL(DATE($B$3,9,6),DATE($B$3,9,6),1,'Non-working days'!$A$6:$A$45)=0),"",IF(COUNTIFS('Leave log'!$A$7:$A$306,Employees!$A$8,'Leave log'!$B$7:$B$306,"&lt;="&amp;DATE($B$3,9,6),'Leave log'!$C$7:$C$306,"&gt;="&amp;DATE($B$3,9,6),'Leave log'!$F$7:$F$306,"Approved")&gt;0,"A",""))="A","A",IF(OR(DATE($B$3,9,6)&gt;EOMONTH(DATE($B$3,9,1),0),NETWORKDAYS.INTL(DATE($B$3,9,6),DATE($B$3,9,6),1,'Non-working days'!$A$6:$A$45)=0),"",IF(COUNTIFS('Leave log'!$A$7:$A$306,Employees!$A$8,'Leave log'!$B$7:$B$306,"&lt;="&amp;DATE($B$3,9,6),'Leave log'!$C$7:$C$306,"&gt;="&amp;DATE($B$3,9,6),'Leave log'!$F$7:$F$306,"Pending")&gt;0,"P",""))))</f>
        <v/>
      </c>
      <c r="H281" s="23" t="str">
        <f>IF(A281="","",IF(IF(OR(DATE($B$3,9,7)&gt;EOMONTH(DATE($B$3,9,1),0),NETWORKDAYS.INTL(DATE($B$3,9,7),DATE($B$3,9,7),1,'Non-working days'!$A$6:$A$45)=0),"",IF(COUNTIFS('Leave log'!$A$7:$A$306,Employees!$A$8,'Leave log'!$B$7:$B$306,"&lt;="&amp;DATE($B$3,9,7),'Leave log'!$C$7:$C$306,"&gt;="&amp;DATE($B$3,9,7),'Leave log'!$F$7:$F$306,"Approved")&gt;0,"A",""))="A","A",IF(OR(DATE($B$3,9,7)&gt;EOMONTH(DATE($B$3,9,1),0),NETWORKDAYS.INTL(DATE($B$3,9,7),DATE($B$3,9,7),1,'Non-working days'!$A$6:$A$45)=0),"",IF(COUNTIFS('Leave log'!$A$7:$A$306,Employees!$A$8,'Leave log'!$B$7:$B$306,"&lt;="&amp;DATE($B$3,9,7),'Leave log'!$C$7:$C$306,"&gt;="&amp;DATE($B$3,9,7),'Leave log'!$F$7:$F$306,"Pending")&gt;0,"P",""))))</f>
        <v/>
      </c>
      <c r="I281" s="23" t="str">
        <f>IF(A281="","",IF(IF(OR(DATE($B$3,9,8)&gt;EOMONTH(DATE($B$3,9,1),0),NETWORKDAYS.INTL(DATE($B$3,9,8),DATE($B$3,9,8),1,'Non-working days'!$A$6:$A$45)=0),"",IF(COUNTIFS('Leave log'!$A$7:$A$306,Employees!$A$8,'Leave log'!$B$7:$B$306,"&lt;="&amp;DATE($B$3,9,8),'Leave log'!$C$7:$C$306,"&gt;="&amp;DATE($B$3,9,8),'Leave log'!$F$7:$F$306,"Approved")&gt;0,"A",""))="A","A",IF(OR(DATE($B$3,9,8)&gt;EOMONTH(DATE($B$3,9,1),0),NETWORKDAYS.INTL(DATE($B$3,9,8),DATE($B$3,9,8),1,'Non-working days'!$A$6:$A$45)=0),"",IF(COUNTIFS('Leave log'!$A$7:$A$306,Employees!$A$8,'Leave log'!$B$7:$B$306,"&lt;="&amp;DATE($B$3,9,8),'Leave log'!$C$7:$C$306,"&gt;="&amp;DATE($B$3,9,8),'Leave log'!$F$7:$F$306,"Pending")&gt;0,"P",""))))</f>
        <v/>
      </c>
      <c r="J281" s="23" t="str">
        <f>IF(A281="","",IF(IF(OR(DATE($B$3,9,9)&gt;EOMONTH(DATE($B$3,9,1),0),NETWORKDAYS.INTL(DATE($B$3,9,9),DATE($B$3,9,9),1,'Non-working days'!$A$6:$A$45)=0),"",IF(COUNTIFS('Leave log'!$A$7:$A$306,Employees!$A$8,'Leave log'!$B$7:$B$306,"&lt;="&amp;DATE($B$3,9,9),'Leave log'!$C$7:$C$306,"&gt;="&amp;DATE($B$3,9,9),'Leave log'!$F$7:$F$306,"Approved")&gt;0,"A",""))="A","A",IF(OR(DATE($B$3,9,9)&gt;EOMONTH(DATE($B$3,9,1),0),NETWORKDAYS.INTL(DATE($B$3,9,9),DATE($B$3,9,9),1,'Non-working days'!$A$6:$A$45)=0),"",IF(COUNTIFS('Leave log'!$A$7:$A$306,Employees!$A$8,'Leave log'!$B$7:$B$306,"&lt;="&amp;DATE($B$3,9,9),'Leave log'!$C$7:$C$306,"&gt;="&amp;DATE($B$3,9,9),'Leave log'!$F$7:$F$306,"Pending")&gt;0,"P",""))))</f>
        <v/>
      </c>
      <c r="K281" s="23" t="str">
        <f>IF(A281="","",IF(IF(OR(DATE($B$3,9,10)&gt;EOMONTH(DATE($B$3,9,1),0),NETWORKDAYS.INTL(DATE($B$3,9,10),DATE($B$3,9,10),1,'Non-working days'!$A$6:$A$45)=0),"",IF(COUNTIFS('Leave log'!$A$7:$A$306,Employees!$A$8,'Leave log'!$B$7:$B$306,"&lt;="&amp;DATE($B$3,9,10),'Leave log'!$C$7:$C$306,"&gt;="&amp;DATE($B$3,9,10),'Leave log'!$F$7:$F$306,"Approved")&gt;0,"A",""))="A","A",IF(OR(DATE($B$3,9,10)&gt;EOMONTH(DATE($B$3,9,1),0),NETWORKDAYS.INTL(DATE($B$3,9,10),DATE($B$3,9,10),1,'Non-working days'!$A$6:$A$45)=0),"",IF(COUNTIFS('Leave log'!$A$7:$A$306,Employees!$A$8,'Leave log'!$B$7:$B$306,"&lt;="&amp;DATE($B$3,9,10),'Leave log'!$C$7:$C$306,"&gt;="&amp;DATE($B$3,9,10),'Leave log'!$F$7:$F$306,"Pending")&gt;0,"P",""))))</f>
        <v/>
      </c>
      <c r="L281" s="23" t="str">
        <f>IF(A281="","",IF(IF(OR(DATE($B$3,9,11)&gt;EOMONTH(DATE($B$3,9,1),0),NETWORKDAYS.INTL(DATE($B$3,9,11),DATE($B$3,9,11),1,'Non-working days'!$A$6:$A$45)=0),"",IF(COUNTIFS('Leave log'!$A$7:$A$306,Employees!$A$8,'Leave log'!$B$7:$B$306,"&lt;="&amp;DATE($B$3,9,11),'Leave log'!$C$7:$C$306,"&gt;="&amp;DATE($B$3,9,11),'Leave log'!$F$7:$F$306,"Approved")&gt;0,"A",""))="A","A",IF(OR(DATE($B$3,9,11)&gt;EOMONTH(DATE($B$3,9,1),0),NETWORKDAYS.INTL(DATE($B$3,9,11),DATE($B$3,9,11),1,'Non-working days'!$A$6:$A$45)=0),"",IF(COUNTIFS('Leave log'!$A$7:$A$306,Employees!$A$8,'Leave log'!$B$7:$B$306,"&lt;="&amp;DATE($B$3,9,11),'Leave log'!$C$7:$C$306,"&gt;="&amp;DATE($B$3,9,11),'Leave log'!$F$7:$F$306,"Pending")&gt;0,"P",""))))</f>
        <v/>
      </c>
      <c r="M281" s="23" t="str">
        <f>IF(A281="","",IF(IF(OR(DATE($B$3,9,12)&gt;EOMONTH(DATE($B$3,9,1),0),NETWORKDAYS.INTL(DATE($B$3,9,12),DATE($B$3,9,12),1,'Non-working days'!$A$6:$A$45)=0),"",IF(COUNTIFS('Leave log'!$A$7:$A$306,Employees!$A$8,'Leave log'!$B$7:$B$306,"&lt;="&amp;DATE($B$3,9,12),'Leave log'!$C$7:$C$306,"&gt;="&amp;DATE($B$3,9,12),'Leave log'!$F$7:$F$306,"Approved")&gt;0,"A",""))="A","A",IF(OR(DATE($B$3,9,12)&gt;EOMONTH(DATE($B$3,9,1),0),NETWORKDAYS.INTL(DATE($B$3,9,12),DATE($B$3,9,12),1,'Non-working days'!$A$6:$A$45)=0),"",IF(COUNTIFS('Leave log'!$A$7:$A$306,Employees!$A$8,'Leave log'!$B$7:$B$306,"&lt;="&amp;DATE($B$3,9,12),'Leave log'!$C$7:$C$306,"&gt;="&amp;DATE($B$3,9,12),'Leave log'!$F$7:$F$306,"Pending")&gt;0,"P",""))))</f>
        <v/>
      </c>
      <c r="N281" s="23" t="str">
        <f>IF(A281="","",IF(IF(OR(DATE($B$3,9,13)&gt;EOMONTH(DATE($B$3,9,1),0),NETWORKDAYS.INTL(DATE($B$3,9,13),DATE($B$3,9,13),1,'Non-working days'!$A$6:$A$45)=0),"",IF(COUNTIFS('Leave log'!$A$7:$A$306,Employees!$A$8,'Leave log'!$B$7:$B$306,"&lt;="&amp;DATE($B$3,9,13),'Leave log'!$C$7:$C$306,"&gt;="&amp;DATE($B$3,9,13),'Leave log'!$F$7:$F$306,"Approved")&gt;0,"A",""))="A","A",IF(OR(DATE($B$3,9,13)&gt;EOMONTH(DATE($B$3,9,1),0),NETWORKDAYS.INTL(DATE($B$3,9,13),DATE($B$3,9,13),1,'Non-working days'!$A$6:$A$45)=0),"",IF(COUNTIFS('Leave log'!$A$7:$A$306,Employees!$A$8,'Leave log'!$B$7:$B$306,"&lt;="&amp;DATE($B$3,9,13),'Leave log'!$C$7:$C$306,"&gt;="&amp;DATE($B$3,9,13),'Leave log'!$F$7:$F$306,"Pending")&gt;0,"P",""))))</f>
        <v/>
      </c>
      <c r="O281" s="23" t="str">
        <f>IF(A281="","",IF(IF(OR(DATE($B$3,9,14)&gt;EOMONTH(DATE($B$3,9,1),0),NETWORKDAYS.INTL(DATE($B$3,9,14),DATE($B$3,9,14),1,'Non-working days'!$A$6:$A$45)=0),"",IF(COUNTIFS('Leave log'!$A$7:$A$306,Employees!$A$8,'Leave log'!$B$7:$B$306,"&lt;="&amp;DATE($B$3,9,14),'Leave log'!$C$7:$C$306,"&gt;="&amp;DATE($B$3,9,14),'Leave log'!$F$7:$F$306,"Approved")&gt;0,"A",""))="A","A",IF(OR(DATE($B$3,9,14)&gt;EOMONTH(DATE($B$3,9,1),0),NETWORKDAYS.INTL(DATE($B$3,9,14),DATE($B$3,9,14),1,'Non-working days'!$A$6:$A$45)=0),"",IF(COUNTIFS('Leave log'!$A$7:$A$306,Employees!$A$8,'Leave log'!$B$7:$B$306,"&lt;="&amp;DATE($B$3,9,14),'Leave log'!$C$7:$C$306,"&gt;="&amp;DATE($B$3,9,14),'Leave log'!$F$7:$F$306,"Pending")&gt;0,"P",""))))</f>
        <v/>
      </c>
      <c r="P281" s="23" t="str">
        <f>IF(A281="","",IF(IF(OR(DATE($B$3,9,15)&gt;EOMONTH(DATE($B$3,9,1),0),NETWORKDAYS.INTL(DATE($B$3,9,15),DATE($B$3,9,15),1,'Non-working days'!$A$6:$A$45)=0),"",IF(COUNTIFS('Leave log'!$A$7:$A$306,Employees!$A$8,'Leave log'!$B$7:$B$306,"&lt;="&amp;DATE($B$3,9,15),'Leave log'!$C$7:$C$306,"&gt;="&amp;DATE($B$3,9,15),'Leave log'!$F$7:$F$306,"Approved")&gt;0,"A",""))="A","A",IF(OR(DATE($B$3,9,15)&gt;EOMONTH(DATE($B$3,9,1),0),NETWORKDAYS.INTL(DATE($B$3,9,15),DATE($B$3,9,15),1,'Non-working days'!$A$6:$A$45)=0),"",IF(COUNTIFS('Leave log'!$A$7:$A$306,Employees!$A$8,'Leave log'!$B$7:$B$306,"&lt;="&amp;DATE($B$3,9,15),'Leave log'!$C$7:$C$306,"&gt;="&amp;DATE($B$3,9,15),'Leave log'!$F$7:$F$306,"Pending")&gt;0,"P",""))))</f>
        <v/>
      </c>
      <c r="Q281" s="23" t="str">
        <f>IF(A281="","",IF(IF(OR(DATE($B$3,9,16)&gt;EOMONTH(DATE($B$3,9,1),0),NETWORKDAYS.INTL(DATE($B$3,9,16),DATE($B$3,9,16),1,'Non-working days'!$A$6:$A$45)=0),"",IF(COUNTIFS('Leave log'!$A$7:$A$306,Employees!$A$8,'Leave log'!$B$7:$B$306,"&lt;="&amp;DATE($B$3,9,16),'Leave log'!$C$7:$C$306,"&gt;="&amp;DATE($B$3,9,16),'Leave log'!$F$7:$F$306,"Approved")&gt;0,"A",""))="A","A",IF(OR(DATE($B$3,9,16)&gt;EOMONTH(DATE($B$3,9,1),0),NETWORKDAYS.INTL(DATE($B$3,9,16),DATE($B$3,9,16),1,'Non-working days'!$A$6:$A$45)=0),"",IF(COUNTIFS('Leave log'!$A$7:$A$306,Employees!$A$8,'Leave log'!$B$7:$B$306,"&lt;="&amp;DATE($B$3,9,16),'Leave log'!$C$7:$C$306,"&gt;="&amp;DATE($B$3,9,16),'Leave log'!$F$7:$F$306,"Pending")&gt;0,"P",""))))</f>
        <v/>
      </c>
      <c r="R281" s="23" t="str">
        <f>IF(A281="","",IF(IF(OR(DATE($B$3,9,17)&gt;EOMONTH(DATE($B$3,9,1),0),NETWORKDAYS.INTL(DATE($B$3,9,17),DATE($B$3,9,17),1,'Non-working days'!$A$6:$A$45)=0),"",IF(COUNTIFS('Leave log'!$A$7:$A$306,Employees!$A$8,'Leave log'!$B$7:$B$306,"&lt;="&amp;DATE($B$3,9,17),'Leave log'!$C$7:$C$306,"&gt;="&amp;DATE($B$3,9,17),'Leave log'!$F$7:$F$306,"Approved")&gt;0,"A",""))="A","A",IF(OR(DATE($B$3,9,17)&gt;EOMONTH(DATE($B$3,9,1),0),NETWORKDAYS.INTL(DATE($B$3,9,17),DATE($B$3,9,17),1,'Non-working days'!$A$6:$A$45)=0),"",IF(COUNTIFS('Leave log'!$A$7:$A$306,Employees!$A$8,'Leave log'!$B$7:$B$306,"&lt;="&amp;DATE($B$3,9,17),'Leave log'!$C$7:$C$306,"&gt;="&amp;DATE($B$3,9,17),'Leave log'!$F$7:$F$306,"Pending")&gt;0,"P",""))))</f>
        <v/>
      </c>
      <c r="S281" s="23" t="str">
        <f>IF(A281="","",IF(IF(OR(DATE($B$3,9,18)&gt;EOMONTH(DATE($B$3,9,1),0),NETWORKDAYS.INTL(DATE($B$3,9,18),DATE($B$3,9,18),1,'Non-working days'!$A$6:$A$45)=0),"",IF(COUNTIFS('Leave log'!$A$7:$A$306,Employees!$A$8,'Leave log'!$B$7:$B$306,"&lt;="&amp;DATE($B$3,9,18),'Leave log'!$C$7:$C$306,"&gt;="&amp;DATE($B$3,9,18),'Leave log'!$F$7:$F$306,"Approved")&gt;0,"A",""))="A","A",IF(OR(DATE($B$3,9,18)&gt;EOMONTH(DATE($B$3,9,1),0),NETWORKDAYS.INTL(DATE($B$3,9,18),DATE($B$3,9,18),1,'Non-working days'!$A$6:$A$45)=0),"",IF(COUNTIFS('Leave log'!$A$7:$A$306,Employees!$A$8,'Leave log'!$B$7:$B$306,"&lt;="&amp;DATE($B$3,9,18),'Leave log'!$C$7:$C$306,"&gt;="&amp;DATE($B$3,9,18),'Leave log'!$F$7:$F$306,"Pending")&gt;0,"P",""))))</f>
        <v/>
      </c>
      <c r="T281" s="23" t="str">
        <f>IF(A281="","",IF(IF(OR(DATE($B$3,9,19)&gt;EOMONTH(DATE($B$3,9,1),0),NETWORKDAYS.INTL(DATE($B$3,9,19),DATE($B$3,9,19),1,'Non-working days'!$A$6:$A$45)=0),"",IF(COUNTIFS('Leave log'!$A$7:$A$306,Employees!$A$8,'Leave log'!$B$7:$B$306,"&lt;="&amp;DATE($B$3,9,19),'Leave log'!$C$7:$C$306,"&gt;="&amp;DATE($B$3,9,19),'Leave log'!$F$7:$F$306,"Approved")&gt;0,"A",""))="A","A",IF(OR(DATE($B$3,9,19)&gt;EOMONTH(DATE($B$3,9,1),0),NETWORKDAYS.INTL(DATE($B$3,9,19),DATE($B$3,9,19),1,'Non-working days'!$A$6:$A$45)=0),"",IF(COUNTIFS('Leave log'!$A$7:$A$306,Employees!$A$8,'Leave log'!$B$7:$B$306,"&lt;="&amp;DATE($B$3,9,19),'Leave log'!$C$7:$C$306,"&gt;="&amp;DATE($B$3,9,19),'Leave log'!$F$7:$F$306,"Pending")&gt;0,"P",""))))</f>
        <v/>
      </c>
      <c r="U281" s="23" t="str">
        <f>IF(A281="","",IF(IF(OR(DATE($B$3,9,20)&gt;EOMONTH(DATE($B$3,9,1),0),NETWORKDAYS.INTL(DATE($B$3,9,20),DATE($B$3,9,20),1,'Non-working days'!$A$6:$A$45)=0),"",IF(COUNTIFS('Leave log'!$A$7:$A$306,Employees!$A$8,'Leave log'!$B$7:$B$306,"&lt;="&amp;DATE($B$3,9,20),'Leave log'!$C$7:$C$306,"&gt;="&amp;DATE($B$3,9,20),'Leave log'!$F$7:$F$306,"Approved")&gt;0,"A",""))="A","A",IF(OR(DATE($B$3,9,20)&gt;EOMONTH(DATE($B$3,9,1),0),NETWORKDAYS.INTL(DATE($B$3,9,20),DATE($B$3,9,20),1,'Non-working days'!$A$6:$A$45)=0),"",IF(COUNTIFS('Leave log'!$A$7:$A$306,Employees!$A$8,'Leave log'!$B$7:$B$306,"&lt;="&amp;DATE($B$3,9,20),'Leave log'!$C$7:$C$306,"&gt;="&amp;DATE($B$3,9,20),'Leave log'!$F$7:$F$306,"Pending")&gt;0,"P",""))))</f>
        <v/>
      </c>
      <c r="V281" s="23" t="str">
        <f>IF(A281="","",IF(IF(OR(DATE($B$3,9,21)&gt;EOMONTH(DATE($B$3,9,1),0),NETWORKDAYS.INTL(DATE($B$3,9,21),DATE($B$3,9,21),1,'Non-working days'!$A$6:$A$45)=0),"",IF(COUNTIFS('Leave log'!$A$7:$A$306,Employees!$A$8,'Leave log'!$B$7:$B$306,"&lt;="&amp;DATE($B$3,9,21),'Leave log'!$C$7:$C$306,"&gt;="&amp;DATE($B$3,9,21),'Leave log'!$F$7:$F$306,"Approved")&gt;0,"A",""))="A","A",IF(OR(DATE($B$3,9,21)&gt;EOMONTH(DATE($B$3,9,1),0),NETWORKDAYS.INTL(DATE($B$3,9,21),DATE($B$3,9,21),1,'Non-working days'!$A$6:$A$45)=0),"",IF(COUNTIFS('Leave log'!$A$7:$A$306,Employees!$A$8,'Leave log'!$B$7:$B$306,"&lt;="&amp;DATE($B$3,9,21),'Leave log'!$C$7:$C$306,"&gt;="&amp;DATE($B$3,9,21),'Leave log'!$F$7:$F$306,"Pending")&gt;0,"P",""))))</f>
        <v/>
      </c>
      <c r="W281" s="23" t="str">
        <f>IF(A281="","",IF(IF(OR(DATE($B$3,9,22)&gt;EOMONTH(DATE($B$3,9,1),0),NETWORKDAYS.INTL(DATE($B$3,9,22),DATE($B$3,9,22),1,'Non-working days'!$A$6:$A$45)=0),"",IF(COUNTIFS('Leave log'!$A$7:$A$306,Employees!$A$8,'Leave log'!$B$7:$B$306,"&lt;="&amp;DATE($B$3,9,22),'Leave log'!$C$7:$C$306,"&gt;="&amp;DATE($B$3,9,22),'Leave log'!$F$7:$F$306,"Approved")&gt;0,"A",""))="A","A",IF(OR(DATE($B$3,9,22)&gt;EOMONTH(DATE($B$3,9,1),0),NETWORKDAYS.INTL(DATE($B$3,9,22),DATE($B$3,9,22),1,'Non-working days'!$A$6:$A$45)=0),"",IF(COUNTIFS('Leave log'!$A$7:$A$306,Employees!$A$8,'Leave log'!$B$7:$B$306,"&lt;="&amp;DATE($B$3,9,22),'Leave log'!$C$7:$C$306,"&gt;="&amp;DATE($B$3,9,22),'Leave log'!$F$7:$F$306,"Pending")&gt;0,"P",""))))</f>
        <v/>
      </c>
      <c r="X281" s="23" t="str">
        <f>IF(A281="","",IF(IF(OR(DATE($B$3,9,23)&gt;EOMONTH(DATE($B$3,9,1),0),NETWORKDAYS.INTL(DATE($B$3,9,23),DATE($B$3,9,23),1,'Non-working days'!$A$6:$A$45)=0),"",IF(COUNTIFS('Leave log'!$A$7:$A$306,Employees!$A$8,'Leave log'!$B$7:$B$306,"&lt;="&amp;DATE($B$3,9,23),'Leave log'!$C$7:$C$306,"&gt;="&amp;DATE($B$3,9,23),'Leave log'!$F$7:$F$306,"Approved")&gt;0,"A",""))="A","A",IF(OR(DATE($B$3,9,23)&gt;EOMONTH(DATE($B$3,9,1),0),NETWORKDAYS.INTL(DATE($B$3,9,23),DATE($B$3,9,23),1,'Non-working days'!$A$6:$A$45)=0),"",IF(COUNTIFS('Leave log'!$A$7:$A$306,Employees!$A$8,'Leave log'!$B$7:$B$306,"&lt;="&amp;DATE($B$3,9,23),'Leave log'!$C$7:$C$306,"&gt;="&amp;DATE($B$3,9,23),'Leave log'!$F$7:$F$306,"Pending")&gt;0,"P",""))))</f>
        <v/>
      </c>
      <c r="Y281" s="23" t="str">
        <f>IF(A281="","",IF(IF(OR(DATE($B$3,9,24)&gt;EOMONTH(DATE($B$3,9,1),0),NETWORKDAYS.INTL(DATE($B$3,9,24),DATE($B$3,9,24),1,'Non-working days'!$A$6:$A$45)=0),"",IF(COUNTIFS('Leave log'!$A$7:$A$306,Employees!$A$8,'Leave log'!$B$7:$B$306,"&lt;="&amp;DATE($B$3,9,24),'Leave log'!$C$7:$C$306,"&gt;="&amp;DATE($B$3,9,24),'Leave log'!$F$7:$F$306,"Approved")&gt;0,"A",""))="A","A",IF(OR(DATE($B$3,9,24)&gt;EOMONTH(DATE($B$3,9,1),0),NETWORKDAYS.INTL(DATE($B$3,9,24),DATE($B$3,9,24),1,'Non-working days'!$A$6:$A$45)=0),"",IF(COUNTIFS('Leave log'!$A$7:$A$306,Employees!$A$8,'Leave log'!$B$7:$B$306,"&lt;="&amp;DATE($B$3,9,24),'Leave log'!$C$7:$C$306,"&gt;="&amp;DATE($B$3,9,24),'Leave log'!$F$7:$F$306,"Pending")&gt;0,"P",""))))</f>
        <v/>
      </c>
      <c r="Z281" s="23" t="str">
        <f>IF(A281="","",IF(IF(OR(DATE($B$3,9,25)&gt;EOMONTH(DATE($B$3,9,1),0),NETWORKDAYS.INTL(DATE($B$3,9,25),DATE($B$3,9,25),1,'Non-working days'!$A$6:$A$45)=0),"",IF(COUNTIFS('Leave log'!$A$7:$A$306,Employees!$A$8,'Leave log'!$B$7:$B$306,"&lt;="&amp;DATE($B$3,9,25),'Leave log'!$C$7:$C$306,"&gt;="&amp;DATE($B$3,9,25),'Leave log'!$F$7:$F$306,"Approved")&gt;0,"A",""))="A","A",IF(OR(DATE($B$3,9,25)&gt;EOMONTH(DATE($B$3,9,1),0),NETWORKDAYS.INTL(DATE($B$3,9,25),DATE($B$3,9,25),1,'Non-working days'!$A$6:$A$45)=0),"",IF(COUNTIFS('Leave log'!$A$7:$A$306,Employees!$A$8,'Leave log'!$B$7:$B$306,"&lt;="&amp;DATE($B$3,9,25),'Leave log'!$C$7:$C$306,"&gt;="&amp;DATE($B$3,9,25),'Leave log'!$F$7:$F$306,"Pending")&gt;0,"P",""))))</f>
        <v/>
      </c>
      <c r="AA281" s="23" t="str">
        <f>IF(A281="","",IF(IF(OR(DATE($B$3,9,26)&gt;EOMONTH(DATE($B$3,9,1),0),NETWORKDAYS.INTL(DATE($B$3,9,26),DATE($B$3,9,26),1,'Non-working days'!$A$6:$A$45)=0),"",IF(COUNTIFS('Leave log'!$A$7:$A$306,Employees!$A$8,'Leave log'!$B$7:$B$306,"&lt;="&amp;DATE($B$3,9,26),'Leave log'!$C$7:$C$306,"&gt;="&amp;DATE($B$3,9,26),'Leave log'!$F$7:$F$306,"Approved")&gt;0,"A",""))="A","A",IF(OR(DATE($B$3,9,26)&gt;EOMONTH(DATE($B$3,9,1),0),NETWORKDAYS.INTL(DATE($B$3,9,26),DATE($B$3,9,26),1,'Non-working days'!$A$6:$A$45)=0),"",IF(COUNTIFS('Leave log'!$A$7:$A$306,Employees!$A$8,'Leave log'!$B$7:$B$306,"&lt;="&amp;DATE($B$3,9,26),'Leave log'!$C$7:$C$306,"&gt;="&amp;DATE($B$3,9,26),'Leave log'!$F$7:$F$306,"Pending")&gt;0,"P",""))))</f>
        <v/>
      </c>
      <c r="AB281" s="23" t="str">
        <f>IF(A281="","",IF(IF(OR(DATE($B$3,9,27)&gt;EOMONTH(DATE($B$3,9,1),0),NETWORKDAYS.INTL(DATE($B$3,9,27),DATE($B$3,9,27),1,'Non-working days'!$A$6:$A$45)=0),"",IF(COUNTIFS('Leave log'!$A$7:$A$306,Employees!$A$8,'Leave log'!$B$7:$B$306,"&lt;="&amp;DATE($B$3,9,27),'Leave log'!$C$7:$C$306,"&gt;="&amp;DATE($B$3,9,27),'Leave log'!$F$7:$F$306,"Approved")&gt;0,"A",""))="A","A",IF(OR(DATE($B$3,9,27)&gt;EOMONTH(DATE($B$3,9,1),0),NETWORKDAYS.INTL(DATE($B$3,9,27),DATE($B$3,9,27),1,'Non-working days'!$A$6:$A$45)=0),"",IF(COUNTIFS('Leave log'!$A$7:$A$306,Employees!$A$8,'Leave log'!$B$7:$B$306,"&lt;="&amp;DATE($B$3,9,27),'Leave log'!$C$7:$C$306,"&gt;="&amp;DATE($B$3,9,27),'Leave log'!$F$7:$F$306,"Pending")&gt;0,"P",""))))</f>
        <v/>
      </c>
      <c r="AC281" s="23" t="str">
        <f>IF(A281="","",IF(IF(OR(DATE($B$3,9,28)&gt;EOMONTH(DATE($B$3,9,1),0),NETWORKDAYS.INTL(DATE($B$3,9,28),DATE($B$3,9,28),1,'Non-working days'!$A$6:$A$45)=0),"",IF(COUNTIFS('Leave log'!$A$7:$A$306,Employees!$A$8,'Leave log'!$B$7:$B$306,"&lt;="&amp;DATE($B$3,9,28),'Leave log'!$C$7:$C$306,"&gt;="&amp;DATE($B$3,9,28),'Leave log'!$F$7:$F$306,"Approved")&gt;0,"A",""))="A","A",IF(OR(DATE($B$3,9,28)&gt;EOMONTH(DATE($B$3,9,1),0),NETWORKDAYS.INTL(DATE($B$3,9,28),DATE($B$3,9,28),1,'Non-working days'!$A$6:$A$45)=0),"",IF(COUNTIFS('Leave log'!$A$7:$A$306,Employees!$A$8,'Leave log'!$B$7:$B$306,"&lt;="&amp;DATE($B$3,9,28),'Leave log'!$C$7:$C$306,"&gt;="&amp;DATE($B$3,9,28),'Leave log'!$F$7:$F$306,"Pending")&gt;0,"P",""))))</f>
        <v/>
      </c>
      <c r="AD281" s="23" t="str">
        <f>IF(A281="","",IF(IF(OR(DATE($B$3,9,29)&gt;EOMONTH(DATE($B$3,9,1),0),NETWORKDAYS.INTL(DATE($B$3,9,29),DATE($B$3,9,29),1,'Non-working days'!$A$6:$A$45)=0),"",IF(COUNTIFS('Leave log'!$A$7:$A$306,Employees!$A$8,'Leave log'!$B$7:$B$306,"&lt;="&amp;DATE($B$3,9,29),'Leave log'!$C$7:$C$306,"&gt;="&amp;DATE($B$3,9,29),'Leave log'!$F$7:$F$306,"Approved")&gt;0,"A",""))="A","A",IF(OR(DATE($B$3,9,29)&gt;EOMONTH(DATE($B$3,9,1),0),NETWORKDAYS.INTL(DATE($B$3,9,29),DATE($B$3,9,29),1,'Non-working days'!$A$6:$A$45)=0),"",IF(COUNTIFS('Leave log'!$A$7:$A$306,Employees!$A$8,'Leave log'!$B$7:$B$306,"&lt;="&amp;DATE($B$3,9,29),'Leave log'!$C$7:$C$306,"&gt;="&amp;DATE($B$3,9,29),'Leave log'!$F$7:$F$306,"Pending")&gt;0,"P",""))))</f>
        <v/>
      </c>
      <c r="AE281" s="23" t="str">
        <f>IF(A281="","",IF(IF(OR(DATE($B$3,9,30)&gt;EOMONTH(DATE($B$3,9,1),0),NETWORKDAYS.INTL(DATE($B$3,9,30),DATE($B$3,9,30),1,'Non-working days'!$A$6:$A$45)=0),"",IF(COUNTIFS('Leave log'!$A$7:$A$306,Employees!$A$8,'Leave log'!$B$7:$B$306,"&lt;="&amp;DATE($B$3,9,30),'Leave log'!$C$7:$C$306,"&gt;="&amp;DATE($B$3,9,30),'Leave log'!$F$7:$F$306,"Approved")&gt;0,"A",""))="A","A",IF(OR(DATE($B$3,9,30)&gt;EOMONTH(DATE($B$3,9,1),0),NETWORKDAYS.INTL(DATE($B$3,9,30),DATE($B$3,9,30),1,'Non-working days'!$A$6:$A$45)=0),"",IF(COUNTIFS('Leave log'!$A$7:$A$306,Employees!$A$8,'Leave log'!$B$7:$B$306,"&lt;="&amp;DATE($B$3,9,30),'Leave log'!$C$7:$C$306,"&gt;="&amp;DATE($B$3,9,30),'Leave log'!$F$7:$F$306,"Pending")&gt;0,"P",""))))</f>
        <v/>
      </c>
      <c r="AF281" s="23" t="str">
        <f>IF(A281="","",IF(IF(OR(DATE($B$3,9,31)&gt;EOMONTH(DATE($B$3,9,1),0),NETWORKDAYS.INTL(DATE($B$3,9,31),DATE($B$3,9,31),1,'Non-working days'!$A$6:$A$45)=0),"",IF(COUNTIFS('Leave log'!$A$7:$A$306,Employees!$A$8,'Leave log'!$B$7:$B$306,"&lt;="&amp;DATE($B$3,9,31),'Leave log'!$C$7:$C$306,"&gt;="&amp;DATE($B$3,9,31),'Leave log'!$F$7:$F$306,"Approved")&gt;0,"A",""))="A","A",IF(OR(DATE($B$3,9,31)&gt;EOMONTH(DATE($B$3,9,1),0),NETWORKDAYS.INTL(DATE($B$3,9,31),DATE($B$3,9,31),1,'Non-working days'!$A$6:$A$45)=0),"",IF(COUNTIFS('Leave log'!$A$7:$A$306,Employees!$A$8,'Leave log'!$B$7:$B$306,"&lt;="&amp;DATE($B$3,9,31),'Leave log'!$C$7:$C$306,"&gt;="&amp;DATE($B$3,9,31),'Leave log'!$F$7:$F$306,"Pending")&gt;0,"P",""))))</f>
        <v/>
      </c>
    </row>
    <row r="282" spans="1:32" ht="18" customHeight="1" x14ac:dyDescent="0.3">
      <c r="A282" s="22" t="str">
        <f>IF(Employees!F9="Yes",Employees!B9,"")</f>
        <v/>
      </c>
      <c r="B282" s="23" t="str">
        <f>IF(A282="","",IF(IF(OR(DATE($B$3,9,1)&gt;EOMONTH(DATE($B$3,9,1),0),NETWORKDAYS.INTL(DATE($B$3,9,1),DATE($B$3,9,1),1,'Non-working days'!$A$6:$A$45)=0),"",IF(COUNTIFS('Leave log'!$A$7:$A$306,Employees!$A$9,'Leave log'!$B$7:$B$306,"&lt;="&amp;DATE($B$3,9,1),'Leave log'!$C$7:$C$306,"&gt;="&amp;DATE($B$3,9,1),'Leave log'!$F$7:$F$306,"Approved")&gt;0,"A",""))="A","A",IF(OR(DATE($B$3,9,1)&gt;EOMONTH(DATE($B$3,9,1),0),NETWORKDAYS.INTL(DATE($B$3,9,1),DATE($B$3,9,1),1,'Non-working days'!$A$6:$A$45)=0),"",IF(COUNTIFS('Leave log'!$A$7:$A$306,Employees!$A$9,'Leave log'!$B$7:$B$306,"&lt;="&amp;DATE($B$3,9,1),'Leave log'!$C$7:$C$306,"&gt;="&amp;DATE($B$3,9,1),'Leave log'!$F$7:$F$306,"Pending")&gt;0,"P",""))))</f>
        <v/>
      </c>
      <c r="C282" s="23" t="str">
        <f>IF(A282="","",IF(IF(OR(DATE($B$3,9,2)&gt;EOMONTH(DATE($B$3,9,1),0),NETWORKDAYS.INTL(DATE($B$3,9,2),DATE($B$3,9,2),1,'Non-working days'!$A$6:$A$45)=0),"",IF(COUNTIFS('Leave log'!$A$7:$A$306,Employees!$A$9,'Leave log'!$B$7:$B$306,"&lt;="&amp;DATE($B$3,9,2),'Leave log'!$C$7:$C$306,"&gt;="&amp;DATE($B$3,9,2),'Leave log'!$F$7:$F$306,"Approved")&gt;0,"A",""))="A","A",IF(OR(DATE($B$3,9,2)&gt;EOMONTH(DATE($B$3,9,1),0),NETWORKDAYS.INTL(DATE($B$3,9,2),DATE($B$3,9,2),1,'Non-working days'!$A$6:$A$45)=0),"",IF(COUNTIFS('Leave log'!$A$7:$A$306,Employees!$A$9,'Leave log'!$B$7:$B$306,"&lt;="&amp;DATE($B$3,9,2),'Leave log'!$C$7:$C$306,"&gt;="&amp;DATE($B$3,9,2),'Leave log'!$F$7:$F$306,"Pending")&gt;0,"P",""))))</f>
        <v/>
      </c>
      <c r="D282" s="23" t="str">
        <f>IF(A282="","",IF(IF(OR(DATE($B$3,9,3)&gt;EOMONTH(DATE($B$3,9,1),0),NETWORKDAYS.INTL(DATE($B$3,9,3),DATE($B$3,9,3),1,'Non-working days'!$A$6:$A$45)=0),"",IF(COUNTIFS('Leave log'!$A$7:$A$306,Employees!$A$9,'Leave log'!$B$7:$B$306,"&lt;="&amp;DATE($B$3,9,3),'Leave log'!$C$7:$C$306,"&gt;="&amp;DATE($B$3,9,3),'Leave log'!$F$7:$F$306,"Approved")&gt;0,"A",""))="A","A",IF(OR(DATE($B$3,9,3)&gt;EOMONTH(DATE($B$3,9,1),0),NETWORKDAYS.INTL(DATE($B$3,9,3),DATE($B$3,9,3),1,'Non-working days'!$A$6:$A$45)=0),"",IF(COUNTIFS('Leave log'!$A$7:$A$306,Employees!$A$9,'Leave log'!$B$7:$B$306,"&lt;="&amp;DATE($B$3,9,3),'Leave log'!$C$7:$C$306,"&gt;="&amp;DATE($B$3,9,3),'Leave log'!$F$7:$F$306,"Pending")&gt;0,"P",""))))</f>
        <v/>
      </c>
      <c r="E282" s="23" t="str">
        <f>IF(A282="","",IF(IF(OR(DATE($B$3,9,4)&gt;EOMONTH(DATE($B$3,9,1),0),NETWORKDAYS.INTL(DATE($B$3,9,4),DATE($B$3,9,4),1,'Non-working days'!$A$6:$A$45)=0),"",IF(COUNTIFS('Leave log'!$A$7:$A$306,Employees!$A$9,'Leave log'!$B$7:$B$306,"&lt;="&amp;DATE($B$3,9,4),'Leave log'!$C$7:$C$306,"&gt;="&amp;DATE($B$3,9,4),'Leave log'!$F$7:$F$306,"Approved")&gt;0,"A",""))="A","A",IF(OR(DATE($B$3,9,4)&gt;EOMONTH(DATE($B$3,9,1),0),NETWORKDAYS.INTL(DATE($B$3,9,4),DATE($B$3,9,4),1,'Non-working days'!$A$6:$A$45)=0),"",IF(COUNTIFS('Leave log'!$A$7:$A$306,Employees!$A$9,'Leave log'!$B$7:$B$306,"&lt;="&amp;DATE($B$3,9,4),'Leave log'!$C$7:$C$306,"&gt;="&amp;DATE($B$3,9,4),'Leave log'!$F$7:$F$306,"Pending")&gt;0,"P",""))))</f>
        <v/>
      </c>
      <c r="F282" s="23" t="str">
        <f>IF(A282="","",IF(IF(OR(DATE($B$3,9,5)&gt;EOMONTH(DATE($B$3,9,1),0),NETWORKDAYS.INTL(DATE($B$3,9,5),DATE($B$3,9,5),1,'Non-working days'!$A$6:$A$45)=0),"",IF(COUNTIFS('Leave log'!$A$7:$A$306,Employees!$A$9,'Leave log'!$B$7:$B$306,"&lt;="&amp;DATE($B$3,9,5),'Leave log'!$C$7:$C$306,"&gt;="&amp;DATE($B$3,9,5),'Leave log'!$F$7:$F$306,"Approved")&gt;0,"A",""))="A","A",IF(OR(DATE($B$3,9,5)&gt;EOMONTH(DATE($B$3,9,1),0),NETWORKDAYS.INTL(DATE($B$3,9,5),DATE($B$3,9,5),1,'Non-working days'!$A$6:$A$45)=0),"",IF(COUNTIFS('Leave log'!$A$7:$A$306,Employees!$A$9,'Leave log'!$B$7:$B$306,"&lt;="&amp;DATE($B$3,9,5),'Leave log'!$C$7:$C$306,"&gt;="&amp;DATE($B$3,9,5),'Leave log'!$F$7:$F$306,"Pending")&gt;0,"P",""))))</f>
        <v/>
      </c>
      <c r="G282" s="23" t="str">
        <f>IF(A282="","",IF(IF(OR(DATE($B$3,9,6)&gt;EOMONTH(DATE($B$3,9,1),0),NETWORKDAYS.INTL(DATE($B$3,9,6),DATE($B$3,9,6),1,'Non-working days'!$A$6:$A$45)=0),"",IF(COUNTIFS('Leave log'!$A$7:$A$306,Employees!$A$9,'Leave log'!$B$7:$B$306,"&lt;="&amp;DATE($B$3,9,6),'Leave log'!$C$7:$C$306,"&gt;="&amp;DATE($B$3,9,6),'Leave log'!$F$7:$F$306,"Approved")&gt;0,"A",""))="A","A",IF(OR(DATE($B$3,9,6)&gt;EOMONTH(DATE($B$3,9,1),0),NETWORKDAYS.INTL(DATE($B$3,9,6),DATE($B$3,9,6),1,'Non-working days'!$A$6:$A$45)=0),"",IF(COUNTIFS('Leave log'!$A$7:$A$306,Employees!$A$9,'Leave log'!$B$7:$B$306,"&lt;="&amp;DATE($B$3,9,6),'Leave log'!$C$7:$C$306,"&gt;="&amp;DATE($B$3,9,6),'Leave log'!$F$7:$F$306,"Pending")&gt;0,"P",""))))</f>
        <v/>
      </c>
      <c r="H282" s="23" t="str">
        <f>IF(A282="","",IF(IF(OR(DATE($B$3,9,7)&gt;EOMONTH(DATE($B$3,9,1),0),NETWORKDAYS.INTL(DATE($B$3,9,7),DATE($B$3,9,7),1,'Non-working days'!$A$6:$A$45)=0),"",IF(COUNTIFS('Leave log'!$A$7:$A$306,Employees!$A$9,'Leave log'!$B$7:$B$306,"&lt;="&amp;DATE($B$3,9,7),'Leave log'!$C$7:$C$306,"&gt;="&amp;DATE($B$3,9,7),'Leave log'!$F$7:$F$306,"Approved")&gt;0,"A",""))="A","A",IF(OR(DATE($B$3,9,7)&gt;EOMONTH(DATE($B$3,9,1),0),NETWORKDAYS.INTL(DATE($B$3,9,7),DATE($B$3,9,7),1,'Non-working days'!$A$6:$A$45)=0),"",IF(COUNTIFS('Leave log'!$A$7:$A$306,Employees!$A$9,'Leave log'!$B$7:$B$306,"&lt;="&amp;DATE($B$3,9,7),'Leave log'!$C$7:$C$306,"&gt;="&amp;DATE($B$3,9,7),'Leave log'!$F$7:$F$306,"Pending")&gt;0,"P",""))))</f>
        <v/>
      </c>
      <c r="I282" s="23" t="str">
        <f>IF(A282="","",IF(IF(OR(DATE($B$3,9,8)&gt;EOMONTH(DATE($B$3,9,1),0),NETWORKDAYS.INTL(DATE($B$3,9,8),DATE($B$3,9,8),1,'Non-working days'!$A$6:$A$45)=0),"",IF(COUNTIFS('Leave log'!$A$7:$A$306,Employees!$A$9,'Leave log'!$B$7:$B$306,"&lt;="&amp;DATE($B$3,9,8),'Leave log'!$C$7:$C$306,"&gt;="&amp;DATE($B$3,9,8),'Leave log'!$F$7:$F$306,"Approved")&gt;0,"A",""))="A","A",IF(OR(DATE($B$3,9,8)&gt;EOMONTH(DATE($B$3,9,1),0),NETWORKDAYS.INTL(DATE($B$3,9,8),DATE($B$3,9,8),1,'Non-working days'!$A$6:$A$45)=0),"",IF(COUNTIFS('Leave log'!$A$7:$A$306,Employees!$A$9,'Leave log'!$B$7:$B$306,"&lt;="&amp;DATE($B$3,9,8),'Leave log'!$C$7:$C$306,"&gt;="&amp;DATE($B$3,9,8),'Leave log'!$F$7:$F$306,"Pending")&gt;0,"P",""))))</f>
        <v/>
      </c>
      <c r="J282" s="23" t="str">
        <f>IF(A282="","",IF(IF(OR(DATE($B$3,9,9)&gt;EOMONTH(DATE($B$3,9,1),0),NETWORKDAYS.INTL(DATE($B$3,9,9),DATE($B$3,9,9),1,'Non-working days'!$A$6:$A$45)=0),"",IF(COUNTIFS('Leave log'!$A$7:$A$306,Employees!$A$9,'Leave log'!$B$7:$B$306,"&lt;="&amp;DATE($B$3,9,9),'Leave log'!$C$7:$C$306,"&gt;="&amp;DATE($B$3,9,9),'Leave log'!$F$7:$F$306,"Approved")&gt;0,"A",""))="A","A",IF(OR(DATE($B$3,9,9)&gt;EOMONTH(DATE($B$3,9,1),0),NETWORKDAYS.INTL(DATE($B$3,9,9),DATE($B$3,9,9),1,'Non-working days'!$A$6:$A$45)=0),"",IF(COUNTIFS('Leave log'!$A$7:$A$306,Employees!$A$9,'Leave log'!$B$7:$B$306,"&lt;="&amp;DATE($B$3,9,9),'Leave log'!$C$7:$C$306,"&gt;="&amp;DATE($B$3,9,9),'Leave log'!$F$7:$F$306,"Pending")&gt;0,"P",""))))</f>
        <v/>
      </c>
      <c r="K282" s="23" t="str">
        <f>IF(A282="","",IF(IF(OR(DATE($B$3,9,10)&gt;EOMONTH(DATE($B$3,9,1),0),NETWORKDAYS.INTL(DATE($B$3,9,10),DATE($B$3,9,10),1,'Non-working days'!$A$6:$A$45)=0),"",IF(COUNTIFS('Leave log'!$A$7:$A$306,Employees!$A$9,'Leave log'!$B$7:$B$306,"&lt;="&amp;DATE($B$3,9,10),'Leave log'!$C$7:$C$306,"&gt;="&amp;DATE($B$3,9,10),'Leave log'!$F$7:$F$306,"Approved")&gt;0,"A",""))="A","A",IF(OR(DATE($B$3,9,10)&gt;EOMONTH(DATE($B$3,9,1),0),NETWORKDAYS.INTL(DATE($B$3,9,10),DATE($B$3,9,10),1,'Non-working days'!$A$6:$A$45)=0),"",IF(COUNTIFS('Leave log'!$A$7:$A$306,Employees!$A$9,'Leave log'!$B$7:$B$306,"&lt;="&amp;DATE($B$3,9,10),'Leave log'!$C$7:$C$306,"&gt;="&amp;DATE($B$3,9,10),'Leave log'!$F$7:$F$306,"Pending")&gt;0,"P",""))))</f>
        <v/>
      </c>
      <c r="L282" s="23" t="str">
        <f>IF(A282="","",IF(IF(OR(DATE($B$3,9,11)&gt;EOMONTH(DATE($B$3,9,1),0),NETWORKDAYS.INTL(DATE($B$3,9,11),DATE($B$3,9,11),1,'Non-working days'!$A$6:$A$45)=0),"",IF(COUNTIFS('Leave log'!$A$7:$A$306,Employees!$A$9,'Leave log'!$B$7:$B$306,"&lt;="&amp;DATE($B$3,9,11),'Leave log'!$C$7:$C$306,"&gt;="&amp;DATE($B$3,9,11),'Leave log'!$F$7:$F$306,"Approved")&gt;0,"A",""))="A","A",IF(OR(DATE($B$3,9,11)&gt;EOMONTH(DATE($B$3,9,1),0),NETWORKDAYS.INTL(DATE($B$3,9,11),DATE($B$3,9,11),1,'Non-working days'!$A$6:$A$45)=0),"",IF(COUNTIFS('Leave log'!$A$7:$A$306,Employees!$A$9,'Leave log'!$B$7:$B$306,"&lt;="&amp;DATE($B$3,9,11),'Leave log'!$C$7:$C$306,"&gt;="&amp;DATE($B$3,9,11),'Leave log'!$F$7:$F$306,"Pending")&gt;0,"P",""))))</f>
        <v/>
      </c>
      <c r="M282" s="23" t="str">
        <f>IF(A282="","",IF(IF(OR(DATE($B$3,9,12)&gt;EOMONTH(DATE($B$3,9,1),0),NETWORKDAYS.INTL(DATE($B$3,9,12),DATE($B$3,9,12),1,'Non-working days'!$A$6:$A$45)=0),"",IF(COUNTIFS('Leave log'!$A$7:$A$306,Employees!$A$9,'Leave log'!$B$7:$B$306,"&lt;="&amp;DATE($B$3,9,12),'Leave log'!$C$7:$C$306,"&gt;="&amp;DATE($B$3,9,12),'Leave log'!$F$7:$F$306,"Approved")&gt;0,"A",""))="A","A",IF(OR(DATE($B$3,9,12)&gt;EOMONTH(DATE($B$3,9,1),0),NETWORKDAYS.INTL(DATE($B$3,9,12),DATE($B$3,9,12),1,'Non-working days'!$A$6:$A$45)=0),"",IF(COUNTIFS('Leave log'!$A$7:$A$306,Employees!$A$9,'Leave log'!$B$7:$B$306,"&lt;="&amp;DATE($B$3,9,12),'Leave log'!$C$7:$C$306,"&gt;="&amp;DATE($B$3,9,12),'Leave log'!$F$7:$F$306,"Pending")&gt;0,"P",""))))</f>
        <v/>
      </c>
      <c r="N282" s="23" t="str">
        <f>IF(A282="","",IF(IF(OR(DATE($B$3,9,13)&gt;EOMONTH(DATE($B$3,9,1),0),NETWORKDAYS.INTL(DATE($B$3,9,13),DATE($B$3,9,13),1,'Non-working days'!$A$6:$A$45)=0),"",IF(COUNTIFS('Leave log'!$A$7:$A$306,Employees!$A$9,'Leave log'!$B$7:$B$306,"&lt;="&amp;DATE($B$3,9,13),'Leave log'!$C$7:$C$306,"&gt;="&amp;DATE($B$3,9,13),'Leave log'!$F$7:$F$306,"Approved")&gt;0,"A",""))="A","A",IF(OR(DATE($B$3,9,13)&gt;EOMONTH(DATE($B$3,9,1),0),NETWORKDAYS.INTL(DATE($B$3,9,13),DATE($B$3,9,13),1,'Non-working days'!$A$6:$A$45)=0),"",IF(COUNTIFS('Leave log'!$A$7:$A$306,Employees!$A$9,'Leave log'!$B$7:$B$306,"&lt;="&amp;DATE($B$3,9,13),'Leave log'!$C$7:$C$306,"&gt;="&amp;DATE($B$3,9,13),'Leave log'!$F$7:$F$306,"Pending")&gt;0,"P",""))))</f>
        <v/>
      </c>
      <c r="O282" s="23" t="str">
        <f>IF(A282="","",IF(IF(OR(DATE($B$3,9,14)&gt;EOMONTH(DATE($B$3,9,1),0),NETWORKDAYS.INTL(DATE($B$3,9,14),DATE($B$3,9,14),1,'Non-working days'!$A$6:$A$45)=0),"",IF(COUNTIFS('Leave log'!$A$7:$A$306,Employees!$A$9,'Leave log'!$B$7:$B$306,"&lt;="&amp;DATE($B$3,9,14),'Leave log'!$C$7:$C$306,"&gt;="&amp;DATE($B$3,9,14),'Leave log'!$F$7:$F$306,"Approved")&gt;0,"A",""))="A","A",IF(OR(DATE($B$3,9,14)&gt;EOMONTH(DATE($B$3,9,1),0),NETWORKDAYS.INTL(DATE($B$3,9,14),DATE($B$3,9,14),1,'Non-working days'!$A$6:$A$45)=0),"",IF(COUNTIFS('Leave log'!$A$7:$A$306,Employees!$A$9,'Leave log'!$B$7:$B$306,"&lt;="&amp;DATE($B$3,9,14),'Leave log'!$C$7:$C$306,"&gt;="&amp;DATE($B$3,9,14),'Leave log'!$F$7:$F$306,"Pending")&gt;0,"P",""))))</f>
        <v/>
      </c>
      <c r="P282" s="23" t="str">
        <f>IF(A282="","",IF(IF(OR(DATE($B$3,9,15)&gt;EOMONTH(DATE($B$3,9,1),0),NETWORKDAYS.INTL(DATE($B$3,9,15),DATE($B$3,9,15),1,'Non-working days'!$A$6:$A$45)=0),"",IF(COUNTIFS('Leave log'!$A$7:$A$306,Employees!$A$9,'Leave log'!$B$7:$B$306,"&lt;="&amp;DATE($B$3,9,15),'Leave log'!$C$7:$C$306,"&gt;="&amp;DATE($B$3,9,15),'Leave log'!$F$7:$F$306,"Approved")&gt;0,"A",""))="A","A",IF(OR(DATE($B$3,9,15)&gt;EOMONTH(DATE($B$3,9,1),0),NETWORKDAYS.INTL(DATE($B$3,9,15),DATE($B$3,9,15),1,'Non-working days'!$A$6:$A$45)=0),"",IF(COUNTIFS('Leave log'!$A$7:$A$306,Employees!$A$9,'Leave log'!$B$7:$B$306,"&lt;="&amp;DATE($B$3,9,15),'Leave log'!$C$7:$C$306,"&gt;="&amp;DATE($B$3,9,15),'Leave log'!$F$7:$F$306,"Pending")&gt;0,"P",""))))</f>
        <v/>
      </c>
      <c r="Q282" s="23" t="str">
        <f>IF(A282="","",IF(IF(OR(DATE($B$3,9,16)&gt;EOMONTH(DATE($B$3,9,1),0),NETWORKDAYS.INTL(DATE($B$3,9,16),DATE($B$3,9,16),1,'Non-working days'!$A$6:$A$45)=0),"",IF(COUNTIFS('Leave log'!$A$7:$A$306,Employees!$A$9,'Leave log'!$B$7:$B$306,"&lt;="&amp;DATE($B$3,9,16),'Leave log'!$C$7:$C$306,"&gt;="&amp;DATE($B$3,9,16),'Leave log'!$F$7:$F$306,"Approved")&gt;0,"A",""))="A","A",IF(OR(DATE($B$3,9,16)&gt;EOMONTH(DATE($B$3,9,1),0),NETWORKDAYS.INTL(DATE($B$3,9,16),DATE($B$3,9,16),1,'Non-working days'!$A$6:$A$45)=0),"",IF(COUNTIFS('Leave log'!$A$7:$A$306,Employees!$A$9,'Leave log'!$B$7:$B$306,"&lt;="&amp;DATE($B$3,9,16),'Leave log'!$C$7:$C$306,"&gt;="&amp;DATE($B$3,9,16),'Leave log'!$F$7:$F$306,"Pending")&gt;0,"P",""))))</f>
        <v/>
      </c>
      <c r="R282" s="23" t="str">
        <f>IF(A282="","",IF(IF(OR(DATE($B$3,9,17)&gt;EOMONTH(DATE($B$3,9,1),0),NETWORKDAYS.INTL(DATE($B$3,9,17),DATE($B$3,9,17),1,'Non-working days'!$A$6:$A$45)=0),"",IF(COUNTIFS('Leave log'!$A$7:$A$306,Employees!$A$9,'Leave log'!$B$7:$B$306,"&lt;="&amp;DATE($B$3,9,17),'Leave log'!$C$7:$C$306,"&gt;="&amp;DATE($B$3,9,17),'Leave log'!$F$7:$F$306,"Approved")&gt;0,"A",""))="A","A",IF(OR(DATE($B$3,9,17)&gt;EOMONTH(DATE($B$3,9,1),0),NETWORKDAYS.INTL(DATE($B$3,9,17),DATE($B$3,9,17),1,'Non-working days'!$A$6:$A$45)=0),"",IF(COUNTIFS('Leave log'!$A$7:$A$306,Employees!$A$9,'Leave log'!$B$7:$B$306,"&lt;="&amp;DATE($B$3,9,17),'Leave log'!$C$7:$C$306,"&gt;="&amp;DATE($B$3,9,17),'Leave log'!$F$7:$F$306,"Pending")&gt;0,"P",""))))</f>
        <v/>
      </c>
      <c r="S282" s="23" t="str">
        <f>IF(A282="","",IF(IF(OR(DATE($B$3,9,18)&gt;EOMONTH(DATE($B$3,9,1),0),NETWORKDAYS.INTL(DATE($B$3,9,18),DATE($B$3,9,18),1,'Non-working days'!$A$6:$A$45)=0),"",IF(COUNTIFS('Leave log'!$A$7:$A$306,Employees!$A$9,'Leave log'!$B$7:$B$306,"&lt;="&amp;DATE($B$3,9,18),'Leave log'!$C$7:$C$306,"&gt;="&amp;DATE($B$3,9,18),'Leave log'!$F$7:$F$306,"Approved")&gt;0,"A",""))="A","A",IF(OR(DATE($B$3,9,18)&gt;EOMONTH(DATE($B$3,9,1),0),NETWORKDAYS.INTL(DATE($B$3,9,18),DATE($B$3,9,18),1,'Non-working days'!$A$6:$A$45)=0),"",IF(COUNTIFS('Leave log'!$A$7:$A$306,Employees!$A$9,'Leave log'!$B$7:$B$306,"&lt;="&amp;DATE($B$3,9,18),'Leave log'!$C$7:$C$306,"&gt;="&amp;DATE($B$3,9,18),'Leave log'!$F$7:$F$306,"Pending")&gt;0,"P",""))))</f>
        <v/>
      </c>
      <c r="T282" s="23" t="str">
        <f>IF(A282="","",IF(IF(OR(DATE($B$3,9,19)&gt;EOMONTH(DATE($B$3,9,1),0),NETWORKDAYS.INTL(DATE($B$3,9,19),DATE($B$3,9,19),1,'Non-working days'!$A$6:$A$45)=0),"",IF(COUNTIFS('Leave log'!$A$7:$A$306,Employees!$A$9,'Leave log'!$B$7:$B$306,"&lt;="&amp;DATE($B$3,9,19),'Leave log'!$C$7:$C$306,"&gt;="&amp;DATE($B$3,9,19),'Leave log'!$F$7:$F$306,"Approved")&gt;0,"A",""))="A","A",IF(OR(DATE($B$3,9,19)&gt;EOMONTH(DATE($B$3,9,1),0),NETWORKDAYS.INTL(DATE($B$3,9,19),DATE($B$3,9,19),1,'Non-working days'!$A$6:$A$45)=0),"",IF(COUNTIFS('Leave log'!$A$7:$A$306,Employees!$A$9,'Leave log'!$B$7:$B$306,"&lt;="&amp;DATE($B$3,9,19),'Leave log'!$C$7:$C$306,"&gt;="&amp;DATE($B$3,9,19),'Leave log'!$F$7:$F$306,"Pending")&gt;0,"P",""))))</f>
        <v/>
      </c>
      <c r="U282" s="23" t="str">
        <f>IF(A282="","",IF(IF(OR(DATE($B$3,9,20)&gt;EOMONTH(DATE($B$3,9,1),0),NETWORKDAYS.INTL(DATE($B$3,9,20),DATE($B$3,9,20),1,'Non-working days'!$A$6:$A$45)=0),"",IF(COUNTIFS('Leave log'!$A$7:$A$306,Employees!$A$9,'Leave log'!$B$7:$B$306,"&lt;="&amp;DATE($B$3,9,20),'Leave log'!$C$7:$C$306,"&gt;="&amp;DATE($B$3,9,20),'Leave log'!$F$7:$F$306,"Approved")&gt;0,"A",""))="A","A",IF(OR(DATE($B$3,9,20)&gt;EOMONTH(DATE($B$3,9,1),0),NETWORKDAYS.INTL(DATE($B$3,9,20),DATE($B$3,9,20),1,'Non-working days'!$A$6:$A$45)=0),"",IF(COUNTIFS('Leave log'!$A$7:$A$306,Employees!$A$9,'Leave log'!$B$7:$B$306,"&lt;="&amp;DATE($B$3,9,20),'Leave log'!$C$7:$C$306,"&gt;="&amp;DATE($B$3,9,20),'Leave log'!$F$7:$F$306,"Pending")&gt;0,"P",""))))</f>
        <v/>
      </c>
      <c r="V282" s="23" t="str">
        <f>IF(A282="","",IF(IF(OR(DATE($B$3,9,21)&gt;EOMONTH(DATE($B$3,9,1),0),NETWORKDAYS.INTL(DATE($B$3,9,21),DATE($B$3,9,21),1,'Non-working days'!$A$6:$A$45)=0),"",IF(COUNTIFS('Leave log'!$A$7:$A$306,Employees!$A$9,'Leave log'!$B$7:$B$306,"&lt;="&amp;DATE($B$3,9,21),'Leave log'!$C$7:$C$306,"&gt;="&amp;DATE($B$3,9,21),'Leave log'!$F$7:$F$306,"Approved")&gt;0,"A",""))="A","A",IF(OR(DATE($B$3,9,21)&gt;EOMONTH(DATE($B$3,9,1),0),NETWORKDAYS.INTL(DATE($B$3,9,21),DATE($B$3,9,21),1,'Non-working days'!$A$6:$A$45)=0),"",IF(COUNTIFS('Leave log'!$A$7:$A$306,Employees!$A$9,'Leave log'!$B$7:$B$306,"&lt;="&amp;DATE($B$3,9,21),'Leave log'!$C$7:$C$306,"&gt;="&amp;DATE($B$3,9,21),'Leave log'!$F$7:$F$306,"Pending")&gt;0,"P",""))))</f>
        <v/>
      </c>
      <c r="W282" s="23" t="str">
        <f>IF(A282="","",IF(IF(OR(DATE($B$3,9,22)&gt;EOMONTH(DATE($B$3,9,1),0),NETWORKDAYS.INTL(DATE($B$3,9,22),DATE($B$3,9,22),1,'Non-working days'!$A$6:$A$45)=0),"",IF(COUNTIFS('Leave log'!$A$7:$A$306,Employees!$A$9,'Leave log'!$B$7:$B$306,"&lt;="&amp;DATE($B$3,9,22),'Leave log'!$C$7:$C$306,"&gt;="&amp;DATE($B$3,9,22),'Leave log'!$F$7:$F$306,"Approved")&gt;0,"A",""))="A","A",IF(OR(DATE($B$3,9,22)&gt;EOMONTH(DATE($B$3,9,1),0),NETWORKDAYS.INTL(DATE($B$3,9,22),DATE($B$3,9,22),1,'Non-working days'!$A$6:$A$45)=0),"",IF(COUNTIFS('Leave log'!$A$7:$A$306,Employees!$A$9,'Leave log'!$B$7:$B$306,"&lt;="&amp;DATE($B$3,9,22),'Leave log'!$C$7:$C$306,"&gt;="&amp;DATE($B$3,9,22),'Leave log'!$F$7:$F$306,"Pending")&gt;0,"P",""))))</f>
        <v/>
      </c>
      <c r="X282" s="23" t="str">
        <f>IF(A282="","",IF(IF(OR(DATE($B$3,9,23)&gt;EOMONTH(DATE($B$3,9,1),0),NETWORKDAYS.INTL(DATE($B$3,9,23),DATE($B$3,9,23),1,'Non-working days'!$A$6:$A$45)=0),"",IF(COUNTIFS('Leave log'!$A$7:$A$306,Employees!$A$9,'Leave log'!$B$7:$B$306,"&lt;="&amp;DATE($B$3,9,23),'Leave log'!$C$7:$C$306,"&gt;="&amp;DATE($B$3,9,23),'Leave log'!$F$7:$F$306,"Approved")&gt;0,"A",""))="A","A",IF(OR(DATE($B$3,9,23)&gt;EOMONTH(DATE($B$3,9,1),0),NETWORKDAYS.INTL(DATE($B$3,9,23),DATE($B$3,9,23),1,'Non-working days'!$A$6:$A$45)=0),"",IF(COUNTIFS('Leave log'!$A$7:$A$306,Employees!$A$9,'Leave log'!$B$7:$B$306,"&lt;="&amp;DATE($B$3,9,23),'Leave log'!$C$7:$C$306,"&gt;="&amp;DATE($B$3,9,23),'Leave log'!$F$7:$F$306,"Pending")&gt;0,"P",""))))</f>
        <v/>
      </c>
      <c r="Y282" s="23" t="str">
        <f>IF(A282="","",IF(IF(OR(DATE($B$3,9,24)&gt;EOMONTH(DATE($B$3,9,1),0),NETWORKDAYS.INTL(DATE($B$3,9,24),DATE($B$3,9,24),1,'Non-working days'!$A$6:$A$45)=0),"",IF(COUNTIFS('Leave log'!$A$7:$A$306,Employees!$A$9,'Leave log'!$B$7:$B$306,"&lt;="&amp;DATE($B$3,9,24),'Leave log'!$C$7:$C$306,"&gt;="&amp;DATE($B$3,9,24),'Leave log'!$F$7:$F$306,"Approved")&gt;0,"A",""))="A","A",IF(OR(DATE($B$3,9,24)&gt;EOMONTH(DATE($B$3,9,1),0),NETWORKDAYS.INTL(DATE($B$3,9,24),DATE($B$3,9,24),1,'Non-working days'!$A$6:$A$45)=0),"",IF(COUNTIFS('Leave log'!$A$7:$A$306,Employees!$A$9,'Leave log'!$B$7:$B$306,"&lt;="&amp;DATE($B$3,9,24),'Leave log'!$C$7:$C$306,"&gt;="&amp;DATE($B$3,9,24),'Leave log'!$F$7:$F$306,"Pending")&gt;0,"P",""))))</f>
        <v/>
      </c>
      <c r="Z282" s="23" t="str">
        <f>IF(A282="","",IF(IF(OR(DATE($B$3,9,25)&gt;EOMONTH(DATE($B$3,9,1),0),NETWORKDAYS.INTL(DATE($B$3,9,25),DATE($B$3,9,25),1,'Non-working days'!$A$6:$A$45)=0),"",IF(COUNTIFS('Leave log'!$A$7:$A$306,Employees!$A$9,'Leave log'!$B$7:$B$306,"&lt;="&amp;DATE($B$3,9,25),'Leave log'!$C$7:$C$306,"&gt;="&amp;DATE($B$3,9,25),'Leave log'!$F$7:$F$306,"Approved")&gt;0,"A",""))="A","A",IF(OR(DATE($B$3,9,25)&gt;EOMONTH(DATE($B$3,9,1),0),NETWORKDAYS.INTL(DATE($B$3,9,25),DATE($B$3,9,25),1,'Non-working days'!$A$6:$A$45)=0),"",IF(COUNTIFS('Leave log'!$A$7:$A$306,Employees!$A$9,'Leave log'!$B$7:$B$306,"&lt;="&amp;DATE($B$3,9,25),'Leave log'!$C$7:$C$306,"&gt;="&amp;DATE($B$3,9,25),'Leave log'!$F$7:$F$306,"Pending")&gt;0,"P",""))))</f>
        <v/>
      </c>
      <c r="AA282" s="23" t="str">
        <f>IF(A282="","",IF(IF(OR(DATE($B$3,9,26)&gt;EOMONTH(DATE($B$3,9,1),0),NETWORKDAYS.INTL(DATE($B$3,9,26),DATE($B$3,9,26),1,'Non-working days'!$A$6:$A$45)=0),"",IF(COUNTIFS('Leave log'!$A$7:$A$306,Employees!$A$9,'Leave log'!$B$7:$B$306,"&lt;="&amp;DATE($B$3,9,26),'Leave log'!$C$7:$C$306,"&gt;="&amp;DATE($B$3,9,26),'Leave log'!$F$7:$F$306,"Approved")&gt;0,"A",""))="A","A",IF(OR(DATE($B$3,9,26)&gt;EOMONTH(DATE($B$3,9,1),0),NETWORKDAYS.INTL(DATE($B$3,9,26),DATE($B$3,9,26),1,'Non-working days'!$A$6:$A$45)=0),"",IF(COUNTIFS('Leave log'!$A$7:$A$306,Employees!$A$9,'Leave log'!$B$7:$B$306,"&lt;="&amp;DATE($B$3,9,26),'Leave log'!$C$7:$C$306,"&gt;="&amp;DATE($B$3,9,26),'Leave log'!$F$7:$F$306,"Pending")&gt;0,"P",""))))</f>
        <v/>
      </c>
      <c r="AB282" s="23" t="str">
        <f>IF(A282="","",IF(IF(OR(DATE($B$3,9,27)&gt;EOMONTH(DATE($B$3,9,1),0),NETWORKDAYS.INTL(DATE($B$3,9,27),DATE($B$3,9,27),1,'Non-working days'!$A$6:$A$45)=0),"",IF(COUNTIFS('Leave log'!$A$7:$A$306,Employees!$A$9,'Leave log'!$B$7:$B$306,"&lt;="&amp;DATE($B$3,9,27),'Leave log'!$C$7:$C$306,"&gt;="&amp;DATE($B$3,9,27),'Leave log'!$F$7:$F$306,"Approved")&gt;0,"A",""))="A","A",IF(OR(DATE($B$3,9,27)&gt;EOMONTH(DATE($B$3,9,1),0),NETWORKDAYS.INTL(DATE($B$3,9,27),DATE($B$3,9,27),1,'Non-working days'!$A$6:$A$45)=0),"",IF(COUNTIFS('Leave log'!$A$7:$A$306,Employees!$A$9,'Leave log'!$B$7:$B$306,"&lt;="&amp;DATE($B$3,9,27),'Leave log'!$C$7:$C$306,"&gt;="&amp;DATE($B$3,9,27),'Leave log'!$F$7:$F$306,"Pending")&gt;0,"P",""))))</f>
        <v/>
      </c>
      <c r="AC282" s="23" t="str">
        <f>IF(A282="","",IF(IF(OR(DATE($B$3,9,28)&gt;EOMONTH(DATE($B$3,9,1),0),NETWORKDAYS.INTL(DATE($B$3,9,28),DATE($B$3,9,28),1,'Non-working days'!$A$6:$A$45)=0),"",IF(COUNTIFS('Leave log'!$A$7:$A$306,Employees!$A$9,'Leave log'!$B$7:$B$306,"&lt;="&amp;DATE($B$3,9,28),'Leave log'!$C$7:$C$306,"&gt;="&amp;DATE($B$3,9,28),'Leave log'!$F$7:$F$306,"Approved")&gt;0,"A",""))="A","A",IF(OR(DATE($B$3,9,28)&gt;EOMONTH(DATE($B$3,9,1),0),NETWORKDAYS.INTL(DATE($B$3,9,28),DATE($B$3,9,28),1,'Non-working days'!$A$6:$A$45)=0),"",IF(COUNTIFS('Leave log'!$A$7:$A$306,Employees!$A$9,'Leave log'!$B$7:$B$306,"&lt;="&amp;DATE($B$3,9,28),'Leave log'!$C$7:$C$306,"&gt;="&amp;DATE($B$3,9,28),'Leave log'!$F$7:$F$306,"Pending")&gt;0,"P",""))))</f>
        <v/>
      </c>
      <c r="AD282" s="23" t="str">
        <f>IF(A282="","",IF(IF(OR(DATE($B$3,9,29)&gt;EOMONTH(DATE($B$3,9,1),0),NETWORKDAYS.INTL(DATE($B$3,9,29),DATE($B$3,9,29),1,'Non-working days'!$A$6:$A$45)=0),"",IF(COUNTIFS('Leave log'!$A$7:$A$306,Employees!$A$9,'Leave log'!$B$7:$B$306,"&lt;="&amp;DATE($B$3,9,29),'Leave log'!$C$7:$C$306,"&gt;="&amp;DATE($B$3,9,29),'Leave log'!$F$7:$F$306,"Approved")&gt;0,"A",""))="A","A",IF(OR(DATE($B$3,9,29)&gt;EOMONTH(DATE($B$3,9,1),0),NETWORKDAYS.INTL(DATE($B$3,9,29),DATE($B$3,9,29),1,'Non-working days'!$A$6:$A$45)=0),"",IF(COUNTIFS('Leave log'!$A$7:$A$306,Employees!$A$9,'Leave log'!$B$7:$B$306,"&lt;="&amp;DATE($B$3,9,29),'Leave log'!$C$7:$C$306,"&gt;="&amp;DATE($B$3,9,29),'Leave log'!$F$7:$F$306,"Pending")&gt;0,"P",""))))</f>
        <v/>
      </c>
      <c r="AE282" s="23" t="str">
        <f>IF(A282="","",IF(IF(OR(DATE($B$3,9,30)&gt;EOMONTH(DATE($B$3,9,1),0),NETWORKDAYS.INTL(DATE($B$3,9,30),DATE($B$3,9,30),1,'Non-working days'!$A$6:$A$45)=0),"",IF(COUNTIFS('Leave log'!$A$7:$A$306,Employees!$A$9,'Leave log'!$B$7:$B$306,"&lt;="&amp;DATE($B$3,9,30),'Leave log'!$C$7:$C$306,"&gt;="&amp;DATE($B$3,9,30),'Leave log'!$F$7:$F$306,"Approved")&gt;0,"A",""))="A","A",IF(OR(DATE($B$3,9,30)&gt;EOMONTH(DATE($B$3,9,1),0),NETWORKDAYS.INTL(DATE($B$3,9,30),DATE($B$3,9,30),1,'Non-working days'!$A$6:$A$45)=0),"",IF(COUNTIFS('Leave log'!$A$7:$A$306,Employees!$A$9,'Leave log'!$B$7:$B$306,"&lt;="&amp;DATE($B$3,9,30),'Leave log'!$C$7:$C$306,"&gt;="&amp;DATE($B$3,9,30),'Leave log'!$F$7:$F$306,"Pending")&gt;0,"P",""))))</f>
        <v/>
      </c>
      <c r="AF282" s="23" t="str">
        <f>IF(A282="","",IF(IF(OR(DATE($B$3,9,31)&gt;EOMONTH(DATE($B$3,9,1),0),NETWORKDAYS.INTL(DATE($B$3,9,31),DATE($B$3,9,31),1,'Non-working days'!$A$6:$A$45)=0),"",IF(COUNTIFS('Leave log'!$A$7:$A$306,Employees!$A$9,'Leave log'!$B$7:$B$306,"&lt;="&amp;DATE($B$3,9,31),'Leave log'!$C$7:$C$306,"&gt;="&amp;DATE($B$3,9,31),'Leave log'!$F$7:$F$306,"Approved")&gt;0,"A",""))="A","A",IF(OR(DATE($B$3,9,31)&gt;EOMONTH(DATE($B$3,9,1),0),NETWORKDAYS.INTL(DATE($B$3,9,31),DATE($B$3,9,31),1,'Non-working days'!$A$6:$A$45)=0),"",IF(COUNTIFS('Leave log'!$A$7:$A$306,Employees!$A$9,'Leave log'!$B$7:$B$306,"&lt;="&amp;DATE($B$3,9,31),'Leave log'!$C$7:$C$306,"&gt;="&amp;DATE($B$3,9,31),'Leave log'!$F$7:$F$306,"Pending")&gt;0,"P",""))))</f>
        <v/>
      </c>
    </row>
    <row r="283" spans="1:32" ht="18" customHeight="1" x14ac:dyDescent="0.3">
      <c r="A283" s="22" t="str">
        <f>IF(Employees!F10="Yes",Employees!B10,"")</f>
        <v/>
      </c>
      <c r="B283" s="23" t="str">
        <f>IF(A283="","",IF(IF(OR(DATE($B$3,9,1)&gt;EOMONTH(DATE($B$3,9,1),0),NETWORKDAYS.INTL(DATE($B$3,9,1),DATE($B$3,9,1),1,'Non-working days'!$A$6:$A$45)=0),"",IF(COUNTIFS('Leave log'!$A$7:$A$306,Employees!$A$10,'Leave log'!$B$7:$B$306,"&lt;="&amp;DATE($B$3,9,1),'Leave log'!$C$7:$C$306,"&gt;="&amp;DATE($B$3,9,1),'Leave log'!$F$7:$F$306,"Approved")&gt;0,"A",""))="A","A",IF(OR(DATE($B$3,9,1)&gt;EOMONTH(DATE($B$3,9,1),0),NETWORKDAYS.INTL(DATE($B$3,9,1),DATE($B$3,9,1),1,'Non-working days'!$A$6:$A$45)=0),"",IF(COUNTIFS('Leave log'!$A$7:$A$306,Employees!$A$10,'Leave log'!$B$7:$B$306,"&lt;="&amp;DATE($B$3,9,1),'Leave log'!$C$7:$C$306,"&gt;="&amp;DATE($B$3,9,1),'Leave log'!$F$7:$F$306,"Pending")&gt;0,"P",""))))</f>
        <v/>
      </c>
      <c r="C283" s="23" t="str">
        <f>IF(A283="","",IF(IF(OR(DATE($B$3,9,2)&gt;EOMONTH(DATE($B$3,9,1),0),NETWORKDAYS.INTL(DATE($B$3,9,2),DATE($B$3,9,2),1,'Non-working days'!$A$6:$A$45)=0),"",IF(COUNTIFS('Leave log'!$A$7:$A$306,Employees!$A$10,'Leave log'!$B$7:$B$306,"&lt;="&amp;DATE($B$3,9,2),'Leave log'!$C$7:$C$306,"&gt;="&amp;DATE($B$3,9,2),'Leave log'!$F$7:$F$306,"Approved")&gt;0,"A",""))="A","A",IF(OR(DATE($B$3,9,2)&gt;EOMONTH(DATE($B$3,9,1),0),NETWORKDAYS.INTL(DATE($B$3,9,2),DATE($B$3,9,2),1,'Non-working days'!$A$6:$A$45)=0),"",IF(COUNTIFS('Leave log'!$A$7:$A$306,Employees!$A$10,'Leave log'!$B$7:$B$306,"&lt;="&amp;DATE($B$3,9,2),'Leave log'!$C$7:$C$306,"&gt;="&amp;DATE($B$3,9,2),'Leave log'!$F$7:$F$306,"Pending")&gt;0,"P",""))))</f>
        <v/>
      </c>
      <c r="D283" s="23" t="str">
        <f>IF(A283="","",IF(IF(OR(DATE($B$3,9,3)&gt;EOMONTH(DATE($B$3,9,1),0),NETWORKDAYS.INTL(DATE($B$3,9,3),DATE($B$3,9,3),1,'Non-working days'!$A$6:$A$45)=0),"",IF(COUNTIFS('Leave log'!$A$7:$A$306,Employees!$A$10,'Leave log'!$B$7:$B$306,"&lt;="&amp;DATE($B$3,9,3),'Leave log'!$C$7:$C$306,"&gt;="&amp;DATE($B$3,9,3),'Leave log'!$F$7:$F$306,"Approved")&gt;0,"A",""))="A","A",IF(OR(DATE($B$3,9,3)&gt;EOMONTH(DATE($B$3,9,1),0),NETWORKDAYS.INTL(DATE($B$3,9,3),DATE($B$3,9,3),1,'Non-working days'!$A$6:$A$45)=0),"",IF(COUNTIFS('Leave log'!$A$7:$A$306,Employees!$A$10,'Leave log'!$B$7:$B$306,"&lt;="&amp;DATE($B$3,9,3),'Leave log'!$C$7:$C$306,"&gt;="&amp;DATE($B$3,9,3),'Leave log'!$F$7:$F$306,"Pending")&gt;0,"P",""))))</f>
        <v/>
      </c>
      <c r="E283" s="23" t="str">
        <f>IF(A283="","",IF(IF(OR(DATE($B$3,9,4)&gt;EOMONTH(DATE($B$3,9,1),0),NETWORKDAYS.INTL(DATE($B$3,9,4),DATE($B$3,9,4),1,'Non-working days'!$A$6:$A$45)=0),"",IF(COUNTIFS('Leave log'!$A$7:$A$306,Employees!$A$10,'Leave log'!$B$7:$B$306,"&lt;="&amp;DATE($B$3,9,4),'Leave log'!$C$7:$C$306,"&gt;="&amp;DATE($B$3,9,4),'Leave log'!$F$7:$F$306,"Approved")&gt;0,"A",""))="A","A",IF(OR(DATE($B$3,9,4)&gt;EOMONTH(DATE($B$3,9,1),0),NETWORKDAYS.INTL(DATE($B$3,9,4),DATE($B$3,9,4),1,'Non-working days'!$A$6:$A$45)=0),"",IF(COUNTIFS('Leave log'!$A$7:$A$306,Employees!$A$10,'Leave log'!$B$7:$B$306,"&lt;="&amp;DATE($B$3,9,4),'Leave log'!$C$7:$C$306,"&gt;="&amp;DATE($B$3,9,4),'Leave log'!$F$7:$F$306,"Pending")&gt;0,"P",""))))</f>
        <v/>
      </c>
      <c r="F283" s="23" t="str">
        <f>IF(A283="","",IF(IF(OR(DATE($B$3,9,5)&gt;EOMONTH(DATE($B$3,9,1),0),NETWORKDAYS.INTL(DATE($B$3,9,5),DATE($B$3,9,5),1,'Non-working days'!$A$6:$A$45)=0),"",IF(COUNTIFS('Leave log'!$A$7:$A$306,Employees!$A$10,'Leave log'!$B$7:$B$306,"&lt;="&amp;DATE($B$3,9,5),'Leave log'!$C$7:$C$306,"&gt;="&amp;DATE($B$3,9,5),'Leave log'!$F$7:$F$306,"Approved")&gt;0,"A",""))="A","A",IF(OR(DATE($B$3,9,5)&gt;EOMONTH(DATE($B$3,9,1),0),NETWORKDAYS.INTL(DATE($B$3,9,5),DATE($B$3,9,5),1,'Non-working days'!$A$6:$A$45)=0),"",IF(COUNTIFS('Leave log'!$A$7:$A$306,Employees!$A$10,'Leave log'!$B$7:$B$306,"&lt;="&amp;DATE($B$3,9,5),'Leave log'!$C$7:$C$306,"&gt;="&amp;DATE($B$3,9,5),'Leave log'!$F$7:$F$306,"Pending")&gt;0,"P",""))))</f>
        <v/>
      </c>
      <c r="G283" s="23" t="str">
        <f>IF(A283="","",IF(IF(OR(DATE($B$3,9,6)&gt;EOMONTH(DATE($B$3,9,1),0),NETWORKDAYS.INTL(DATE($B$3,9,6),DATE($B$3,9,6),1,'Non-working days'!$A$6:$A$45)=0),"",IF(COUNTIFS('Leave log'!$A$7:$A$306,Employees!$A$10,'Leave log'!$B$7:$B$306,"&lt;="&amp;DATE($B$3,9,6),'Leave log'!$C$7:$C$306,"&gt;="&amp;DATE($B$3,9,6),'Leave log'!$F$7:$F$306,"Approved")&gt;0,"A",""))="A","A",IF(OR(DATE($B$3,9,6)&gt;EOMONTH(DATE($B$3,9,1),0),NETWORKDAYS.INTL(DATE($B$3,9,6),DATE($B$3,9,6),1,'Non-working days'!$A$6:$A$45)=0),"",IF(COUNTIFS('Leave log'!$A$7:$A$306,Employees!$A$10,'Leave log'!$B$7:$B$306,"&lt;="&amp;DATE($B$3,9,6),'Leave log'!$C$7:$C$306,"&gt;="&amp;DATE($B$3,9,6),'Leave log'!$F$7:$F$306,"Pending")&gt;0,"P",""))))</f>
        <v/>
      </c>
      <c r="H283" s="23" t="str">
        <f>IF(A283="","",IF(IF(OR(DATE($B$3,9,7)&gt;EOMONTH(DATE($B$3,9,1),0),NETWORKDAYS.INTL(DATE($B$3,9,7),DATE($B$3,9,7),1,'Non-working days'!$A$6:$A$45)=0),"",IF(COUNTIFS('Leave log'!$A$7:$A$306,Employees!$A$10,'Leave log'!$B$7:$B$306,"&lt;="&amp;DATE($B$3,9,7),'Leave log'!$C$7:$C$306,"&gt;="&amp;DATE($B$3,9,7),'Leave log'!$F$7:$F$306,"Approved")&gt;0,"A",""))="A","A",IF(OR(DATE($B$3,9,7)&gt;EOMONTH(DATE($B$3,9,1),0),NETWORKDAYS.INTL(DATE($B$3,9,7),DATE($B$3,9,7),1,'Non-working days'!$A$6:$A$45)=0),"",IF(COUNTIFS('Leave log'!$A$7:$A$306,Employees!$A$10,'Leave log'!$B$7:$B$306,"&lt;="&amp;DATE($B$3,9,7),'Leave log'!$C$7:$C$306,"&gt;="&amp;DATE($B$3,9,7),'Leave log'!$F$7:$F$306,"Pending")&gt;0,"P",""))))</f>
        <v/>
      </c>
      <c r="I283" s="23" t="str">
        <f>IF(A283="","",IF(IF(OR(DATE($B$3,9,8)&gt;EOMONTH(DATE($B$3,9,1),0),NETWORKDAYS.INTL(DATE($B$3,9,8),DATE($B$3,9,8),1,'Non-working days'!$A$6:$A$45)=0),"",IF(COUNTIFS('Leave log'!$A$7:$A$306,Employees!$A$10,'Leave log'!$B$7:$B$306,"&lt;="&amp;DATE($B$3,9,8),'Leave log'!$C$7:$C$306,"&gt;="&amp;DATE($B$3,9,8),'Leave log'!$F$7:$F$306,"Approved")&gt;0,"A",""))="A","A",IF(OR(DATE($B$3,9,8)&gt;EOMONTH(DATE($B$3,9,1),0),NETWORKDAYS.INTL(DATE($B$3,9,8),DATE($B$3,9,8),1,'Non-working days'!$A$6:$A$45)=0),"",IF(COUNTIFS('Leave log'!$A$7:$A$306,Employees!$A$10,'Leave log'!$B$7:$B$306,"&lt;="&amp;DATE($B$3,9,8),'Leave log'!$C$7:$C$306,"&gt;="&amp;DATE($B$3,9,8),'Leave log'!$F$7:$F$306,"Pending")&gt;0,"P",""))))</f>
        <v/>
      </c>
      <c r="J283" s="23" t="str">
        <f>IF(A283="","",IF(IF(OR(DATE($B$3,9,9)&gt;EOMONTH(DATE($B$3,9,1),0),NETWORKDAYS.INTL(DATE($B$3,9,9),DATE($B$3,9,9),1,'Non-working days'!$A$6:$A$45)=0),"",IF(COUNTIFS('Leave log'!$A$7:$A$306,Employees!$A$10,'Leave log'!$B$7:$B$306,"&lt;="&amp;DATE($B$3,9,9),'Leave log'!$C$7:$C$306,"&gt;="&amp;DATE($B$3,9,9),'Leave log'!$F$7:$F$306,"Approved")&gt;0,"A",""))="A","A",IF(OR(DATE($B$3,9,9)&gt;EOMONTH(DATE($B$3,9,1),0),NETWORKDAYS.INTL(DATE($B$3,9,9),DATE($B$3,9,9),1,'Non-working days'!$A$6:$A$45)=0),"",IF(COUNTIFS('Leave log'!$A$7:$A$306,Employees!$A$10,'Leave log'!$B$7:$B$306,"&lt;="&amp;DATE($B$3,9,9),'Leave log'!$C$7:$C$306,"&gt;="&amp;DATE($B$3,9,9),'Leave log'!$F$7:$F$306,"Pending")&gt;0,"P",""))))</f>
        <v/>
      </c>
      <c r="K283" s="23" t="str">
        <f>IF(A283="","",IF(IF(OR(DATE($B$3,9,10)&gt;EOMONTH(DATE($B$3,9,1),0),NETWORKDAYS.INTL(DATE($B$3,9,10),DATE($B$3,9,10),1,'Non-working days'!$A$6:$A$45)=0),"",IF(COUNTIFS('Leave log'!$A$7:$A$306,Employees!$A$10,'Leave log'!$B$7:$B$306,"&lt;="&amp;DATE($B$3,9,10),'Leave log'!$C$7:$C$306,"&gt;="&amp;DATE($B$3,9,10),'Leave log'!$F$7:$F$306,"Approved")&gt;0,"A",""))="A","A",IF(OR(DATE($B$3,9,10)&gt;EOMONTH(DATE($B$3,9,1),0),NETWORKDAYS.INTL(DATE($B$3,9,10),DATE($B$3,9,10),1,'Non-working days'!$A$6:$A$45)=0),"",IF(COUNTIFS('Leave log'!$A$7:$A$306,Employees!$A$10,'Leave log'!$B$7:$B$306,"&lt;="&amp;DATE($B$3,9,10),'Leave log'!$C$7:$C$306,"&gt;="&amp;DATE($B$3,9,10),'Leave log'!$F$7:$F$306,"Pending")&gt;0,"P",""))))</f>
        <v/>
      </c>
      <c r="L283" s="23" t="str">
        <f>IF(A283="","",IF(IF(OR(DATE($B$3,9,11)&gt;EOMONTH(DATE($B$3,9,1),0),NETWORKDAYS.INTL(DATE($B$3,9,11),DATE($B$3,9,11),1,'Non-working days'!$A$6:$A$45)=0),"",IF(COUNTIFS('Leave log'!$A$7:$A$306,Employees!$A$10,'Leave log'!$B$7:$B$306,"&lt;="&amp;DATE($B$3,9,11),'Leave log'!$C$7:$C$306,"&gt;="&amp;DATE($B$3,9,11),'Leave log'!$F$7:$F$306,"Approved")&gt;0,"A",""))="A","A",IF(OR(DATE($B$3,9,11)&gt;EOMONTH(DATE($B$3,9,1),0),NETWORKDAYS.INTL(DATE($B$3,9,11),DATE($B$3,9,11),1,'Non-working days'!$A$6:$A$45)=0),"",IF(COUNTIFS('Leave log'!$A$7:$A$306,Employees!$A$10,'Leave log'!$B$7:$B$306,"&lt;="&amp;DATE($B$3,9,11),'Leave log'!$C$7:$C$306,"&gt;="&amp;DATE($B$3,9,11),'Leave log'!$F$7:$F$306,"Pending")&gt;0,"P",""))))</f>
        <v/>
      </c>
      <c r="M283" s="23" t="str">
        <f>IF(A283="","",IF(IF(OR(DATE($B$3,9,12)&gt;EOMONTH(DATE($B$3,9,1),0),NETWORKDAYS.INTL(DATE($B$3,9,12),DATE($B$3,9,12),1,'Non-working days'!$A$6:$A$45)=0),"",IF(COUNTIFS('Leave log'!$A$7:$A$306,Employees!$A$10,'Leave log'!$B$7:$B$306,"&lt;="&amp;DATE($B$3,9,12),'Leave log'!$C$7:$C$306,"&gt;="&amp;DATE($B$3,9,12),'Leave log'!$F$7:$F$306,"Approved")&gt;0,"A",""))="A","A",IF(OR(DATE($B$3,9,12)&gt;EOMONTH(DATE($B$3,9,1),0),NETWORKDAYS.INTL(DATE($B$3,9,12),DATE($B$3,9,12),1,'Non-working days'!$A$6:$A$45)=0),"",IF(COUNTIFS('Leave log'!$A$7:$A$306,Employees!$A$10,'Leave log'!$B$7:$B$306,"&lt;="&amp;DATE($B$3,9,12),'Leave log'!$C$7:$C$306,"&gt;="&amp;DATE($B$3,9,12),'Leave log'!$F$7:$F$306,"Pending")&gt;0,"P",""))))</f>
        <v/>
      </c>
      <c r="N283" s="23" t="str">
        <f>IF(A283="","",IF(IF(OR(DATE($B$3,9,13)&gt;EOMONTH(DATE($B$3,9,1),0),NETWORKDAYS.INTL(DATE($B$3,9,13),DATE($B$3,9,13),1,'Non-working days'!$A$6:$A$45)=0),"",IF(COUNTIFS('Leave log'!$A$7:$A$306,Employees!$A$10,'Leave log'!$B$7:$B$306,"&lt;="&amp;DATE($B$3,9,13),'Leave log'!$C$7:$C$306,"&gt;="&amp;DATE($B$3,9,13),'Leave log'!$F$7:$F$306,"Approved")&gt;0,"A",""))="A","A",IF(OR(DATE($B$3,9,13)&gt;EOMONTH(DATE($B$3,9,1),0),NETWORKDAYS.INTL(DATE($B$3,9,13),DATE($B$3,9,13),1,'Non-working days'!$A$6:$A$45)=0),"",IF(COUNTIFS('Leave log'!$A$7:$A$306,Employees!$A$10,'Leave log'!$B$7:$B$306,"&lt;="&amp;DATE($B$3,9,13),'Leave log'!$C$7:$C$306,"&gt;="&amp;DATE($B$3,9,13),'Leave log'!$F$7:$F$306,"Pending")&gt;0,"P",""))))</f>
        <v/>
      </c>
      <c r="O283" s="23" t="str">
        <f>IF(A283="","",IF(IF(OR(DATE($B$3,9,14)&gt;EOMONTH(DATE($B$3,9,1),0),NETWORKDAYS.INTL(DATE($B$3,9,14),DATE($B$3,9,14),1,'Non-working days'!$A$6:$A$45)=0),"",IF(COUNTIFS('Leave log'!$A$7:$A$306,Employees!$A$10,'Leave log'!$B$7:$B$306,"&lt;="&amp;DATE($B$3,9,14),'Leave log'!$C$7:$C$306,"&gt;="&amp;DATE($B$3,9,14),'Leave log'!$F$7:$F$306,"Approved")&gt;0,"A",""))="A","A",IF(OR(DATE($B$3,9,14)&gt;EOMONTH(DATE($B$3,9,1),0),NETWORKDAYS.INTL(DATE($B$3,9,14),DATE($B$3,9,14),1,'Non-working days'!$A$6:$A$45)=0),"",IF(COUNTIFS('Leave log'!$A$7:$A$306,Employees!$A$10,'Leave log'!$B$7:$B$306,"&lt;="&amp;DATE($B$3,9,14),'Leave log'!$C$7:$C$306,"&gt;="&amp;DATE($B$3,9,14),'Leave log'!$F$7:$F$306,"Pending")&gt;0,"P",""))))</f>
        <v/>
      </c>
      <c r="P283" s="23" t="str">
        <f>IF(A283="","",IF(IF(OR(DATE($B$3,9,15)&gt;EOMONTH(DATE($B$3,9,1),0),NETWORKDAYS.INTL(DATE($B$3,9,15),DATE($B$3,9,15),1,'Non-working days'!$A$6:$A$45)=0),"",IF(COUNTIFS('Leave log'!$A$7:$A$306,Employees!$A$10,'Leave log'!$B$7:$B$306,"&lt;="&amp;DATE($B$3,9,15),'Leave log'!$C$7:$C$306,"&gt;="&amp;DATE($B$3,9,15),'Leave log'!$F$7:$F$306,"Approved")&gt;0,"A",""))="A","A",IF(OR(DATE($B$3,9,15)&gt;EOMONTH(DATE($B$3,9,1),0),NETWORKDAYS.INTL(DATE($B$3,9,15),DATE($B$3,9,15),1,'Non-working days'!$A$6:$A$45)=0),"",IF(COUNTIFS('Leave log'!$A$7:$A$306,Employees!$A$10,'Leave log'!$B$7:$B$306,"&lt;="&amp;DATE($B$3,9,15),'Leave log'!$C$7:$C$306,"&gt;="&amp;DATE($B$3,9,15),'Leave log'!$F$7:$F$306,"Pending")&gt;0,"P",""))))</f>
        <v/>
      </c>
      <c r="Q283" s="23" t="str">
        <f>IF(A283="","",IF(IF(OR(DATE($B$3,9,16)&gt;EOMONTH(DATE($B$3,9,1),0),NETWORKDAYS.INTL(DATE($B$3,9,16),DATE($B$3,9,16),1,'Non-working days'!$A$6:$A$45)=0),"",IF(COUNTIFS('Leave log'!$A$7:$A$306,Employees!$A$10,'Leave log'!$B$7:$B$306,"&lt;="&amp;DATE($B$3,9,16),'Leave log'!$C$7:$C$306,"&gt;="&amp;DATE($B$3,9,16),'Leave log'!$F$7:$F$306,"Approved")&gt;0,"A",""))="A","A",IF(OR(DATE($B$3,9,16)&gt;EOMONTH(DATE($B$3,9,1),0),NETWORKDAYS.INTL(DATE($B$3,9,16),DATE($B$3,9,16),1,'Non-working days'!$A$6:$A$45)=0),"",IF(COUNTIFS('Leave log'!$A$7:$A$306,Employees!$A$10,'Leave log'!$B$7:$B$306,"&lt;="&amp;DATE($B$3,9,16),'Leave log'!$C$7:$C$306,"&gt;="&amp;DATE($B$3,9,16),'Leave log'!$F$7:$F$306,"Pending")&gt;0,"P",""))))</f>
        <v/>
      </c>
      <c r="R283" s="23" t="str">
        <f>IF(A283="","",IF(IF(OR(DATE($B$3,9,17)&gt;EOMONTH(DATE($B$3,9,1),0),NETWORKDAYS.INTL(DATE($B$3,9,17),DATE($B$3,9,17),1,'Non-working days'!$A$6:$A$45)=0),"",IF(COUNTIFS('Leave log'!$A$7:$A$306,Employees!$A$10,'Leave log'!$B$7:$B$306,"&lt;="&amp;DATE($B$3,9,17),'Leave log'!$C$7:$C$306,"&gt;="&amp;DATE($B$3,9,17),'Leave log'!$F$7:$F$306,"Approved")&gt;0,"A",""))="A","A",IF(OR(DATE($B$3,9,17)&gt;EOMONTH(DATE($B$3,9,1),0),NETWORKDAYS.INTL(DATE($B$3,9,17),DATE($B$3,9,17),1,'Non-working days'!$A$6:$A$45)=0),"",IF(COUNTIFS('Leave log'!$A$7:$A$306,Employees!$A$10,'Leave log'!$B$7:$B$306,"&lt;="&amp;DATE($B$3,9,17),'Leave log'!$C$7:$C$306,"&gt;="&amp;DATE($B$3,9,17),'Leave log'!$F$7:$F$306,"Pending")&gt;0,"P",""))))</f>
        <v/>
      </c>
      <c r="S283" s="23" t="str">
        <f>IF(A283="","",IF(IF(OR(DATE($B$3,9,18)&gt;EOMONTH(DATE($B$3,9,1),0),NETWORKDAYS.INTL(DATE($B$3,9,18),DATE($B$3,9,18),1,'Non-working days'!$A$6:$A$45)=0),"",IF(COUNTIFS('Leave log'!$A$7:$A$306,Employees!$A$10,'Leave log'!$B$7:$B$306,"&lt;="&amp;DATE($B$3,9,18),'Leave log'!$C$7:$C$306,"&gt;="&amp;DATE($B$3,9,18),'Leave log'!$F$7:$F$306,"Approved")&gt;0,"A",""))="A","A",IF(OR(DATE($B$3,9,18)&gt;EOMONTH(DATE($B$3,9,1),0),NETWORKDAYS.INTL(DATE($B$3,9,18),DATE($B$3,9,18),1,'Non-working days'!$A$6:$A$45)=0),"",IF(COUNTIFS('Leave log'!$A$7:$A$306,Employees!$A$10,'Leave log'!$B$7:$B$306,"&lt;="&amp;DATE($B$3,9,18),'Leave log'!$C$7:$C$306,"&gt;="&amp;DATE($B$3,9,18),'Leave log'!$F$7:$F$306,"Pending")&gt;0,"P",""))))</f>
        <v/>
      </c>
      <c r="T283" s="23" t="str">
        <f>IF(A283="","",IF(IF(OR(DATE($B$3,9,19)&gt;EOMONTH(DATE($B$3,9,1),0),NETWORKDAYS.INTL(DATE($B$3,9,19),DATE($B$3,9,19),1,'Non-working days'!$A$6:$A$45)=0),"",IF(COUNTIFS('Leave log'!$A$7:$A$306,Employees!$A$10,'Leave log'!$B$7:$B$306,"&lt;="&amp;DATE($B$3,9,19),'Leave log'!$C$7:$C$306,"&gt;="&amp;DATE($B$3,9,19),'Leave log'!$F$7:$F$306,"Approved")&gt;0,"A",""))="A","A",IF(OR(DATE($B$3,9,19)&gt;EOMONTH(DATE($B$3,9,1),0),NETWORKDAYS.INTL(DATE($B$3,9,19),DATE($B$3,9,19),1,'Non-working days'!$A$6:$A$45)=0),"",IF(COUNTIFS('Leave log'!$A$7:$A$306,Employees!$A$10,'Leave log'!$B$7:$B$306,"&lt;="&amp;DATE($B$3,9,19),'Leave log'!$C$7:$C$306,"&gt;="&amp;DATE($B$3,9,19),'Leave log'!$F$7:$F$306,"Pending")&gt;0,"P",""))))</f>
        <v/>
      </c>
      <c r="U283" s="23" t="str">
        <f>IF(A283="","",IF(IF(OR(DATE($B$3,9,20)&gt;EOMONTH(DATE($B$3,9,1),0),NETWORKDAYS.INTL(DATE($B$3,9,20),DATE($B$3,9,20),1,'Non-working days'!$A$6:$A$45)=0),"",IF(COUNTIFS('Leave log'!$A$7:$A$306,Employees!$A$10,'Leave log'!$B$7:$B$306,"&lt;="&amp;DATE($B$3,9,20),'Leave log'!$C$7:$C$306,"&gt;="&amp;DATE($B$3,9,20),'Leave log'!$F$7:$F$306,"Approved")&gt;0,"A",""))="A","A",IF(OR(DATE($B$3,9,20)&gt;EOMONTH(DATE($B$3,9,1),0),NETWORKDAYS.INTL(DATE($B$3,9,20),DATE($B$3,9,20),1,'Non-working days'!$A$6:$A$45)=0),"",IF(COUNTIFS('Leave log'!$A$7:$A$306,Employees!$A$10,'Leave log'!$B$7:$B$306,"&lt;="&amp;DATE($B$3,9,20),'Leave log'!$C$7:$C$306,"&gt;="&amp;DATE($B$3,9,20),'Leave log'!$F$7:$F$306,"Pending")&gt;0,"P",""))))</f>
        <v/>
      </c>
      <c r="V283" s="23" t="str">
        <f>IF(A283="","",IF(IF(OR(DATE($B$3,9,21)&gt;EOMONTH(DATE($B$3,9,1),0),NETWORKDAYS.INTL(DATE($B$3,9,21),DATE($B$3,9,21),1,'Non-working days'!$A$6:$A$45)=0),"",IF(COUNTIFS('Leave log'!$A$7:$A$306,Employees!$A$10,'Leave log'!$B$7:$B$306,"&lt;="&amp;DATE($B$3,9,21),'Leave log'!$C$7:$C$306,"&gt;="&amp;DATE($B$3,9,21),'Leave log'!$F$7:$F$306,"Approved")&gt;0,"A",""))="A","A",IF(OR(DATE($B$3,9,21)&gt;EOMONTH(DATE($B$3,9,1),0),NETWORKDAYS.INTL(DATE($B$3,9,21),DATE($B$3,9,21),1,'Non-working days'!$A$6:$A$45)=0),"",IF(COUNTIFS('Leave log'!$A$7:$A$306,Employees!$A$10,'Leave log'!$B$7:$B$306,"&lt;="&amp;DATE($B$3,9,21),'Leave log'!$C$7:$C$306,"&gt;="&amp;DATE($B$3,9,21),'Leave log'!$F$7:$F$306,"Pending")&gt;0,"P",""))))</f>
        <v/>
      </c>
      <c r="W283" s="23" t="str">
        <f>IF(A283="","",IF(IF(OR(DATE($B$3,9,22)&gt;EOMONTH(DATE($B$3,9,1),0),NETWORKDAYS.INTL(DATE($B$3,9,22),DATE($B$3,9,22),1,'Non-working days'!$A$6:$A$45)=0),"",IF(COUNTIFS('Leave log'!$A$7:$A$306,Employees!$A$10,'Leave log'!$B$7:$B$306,"&lt;="&amp;DATE($B$3,9,22),'Leave log'!$C$7:$C$306,"&gt;="&amp;DATE($B$3,9,22),'Leave log'!$F$7:$F$306,"Approved")&gt;0,"A",""))="A","A",IF(OR(DATE($B$3,9,22)&gt;EOMONTH(DATE($B$3,9,1),0),NETWORKDAYS.INTL(DATE($B$3,9,22),DATE($B$3,9,22),1,'Non-working days'!$A$6:$A$45)=0),"",IF(COUNTIFS('Leave log'!$A$7:$A$306,Employees!$A$10,'Leave log'!$B$7:$B$306,"&lt;="&amp;DATE($B$3,9,22),'Leave log'!$C$7:$C$306,"&gt;="&amp;DATE($B$3,9,22),'Leave log'!$F$7:$F$306,"Pending")&gt;0,"P",""))))</f>
        <v/>
      </c>
      <c r="X283" s="23" t="str">
        <f>IF(A283="","",IF(IF(OR(DATE($B$3,9,23)&gt;EOMONTH(DATE($B$3,9,1),0),NETWORKDAYS.INTL(DATE($B$3,9,23),DATE($B$3,9,23),1,'Non-working days'!$A$6:$A$45)=0),"",IF(COUNTIFS('Leave log'!$A$7:$A$306,Employees!$A$10,'Leave log'!$B$7:$B$306,"&lt;="&amp;DATE($B$3,9,23),'Leave log'!$C$7:$C$306,"&gt;="&amp;DATE($B$3,9,23),'Leave log'!$F$7:$F$306,"Approved")&gt;0,"A",""))="A","A",IF(OR(DATE($B$3,9,23)&gt;EOMONTH(DATE($B$3,9,1),0),NETWORKDAYS.INTL(DATE($B$3,9,23),DATE($B$3,9,23),1,'Non-working days'!$A$6:$A$45)=0),"",IF(COUNTIFS('Leave log'!$A$7:$A$306,Employees!$A$10,'Leave log'!$B$7:$B$306,"&lt;="&amp;DATE($B$3,9,23),'Leave log'!$C$7:$C$306,"&gt;="&amp;DATE($B$3,9,23),'Leave log'!$F$7:$F$306,"Pending")&gt;0,"P",""))))</f>
        <v/>
      </c>
      <c r="Y283" s="23" t="str">
        <f>IF(A283="","",IF(IF(OR(DATE($B$3,9,24)&gt;EOMONTH(DATE($B$3,9,1),0),NETWORKDAYS.INTL(DATE($B$3,9,24),DATE($B$3,9,24),1,'Non-working days'!$A$6:$A$45)=0),"",IF(COUNTIFS('Leave log'!$A$7:$A$306,Employees!$A$10,'Leave log'!$B$7:$B$306,"&lt;="&amp;DATE($B$3,9,24),'Leave log'!$C$7:$C$306,"&gt;="&amp;DATE($B$3,9,24),'Leave log'!$F$7:$F$306,"Approved")&gt;0,"A",""))="A","A",IF(OR(DATE($B$3,9,24)&gt;EOMONTH(DATE($B$3,9,1),0),NETWORKDAYS.INTL(DATE($B$3,9,24),DATE($B$3,9,24),1,'Non-working days'!$A$6:$A$45)=0),"",IF(COUNTIFS('Leave log'!$A$7:$A$306,Employees!$A$10,'Leave log'!$B$7:$B$306,"&lt;="&amp;DATE($B$3,9,24),'Leave log'!$C$7:$C$306,"&gt;="&amp;DATE($B$3,9,24),'Leave log'!$F$7:$F$306,"Pending")&gt;0,"P",""))))</f>
        <v/>
      </c>
      <c r="Z283" s="23" t="str">
        <f>IF(A283="","",IF(IF(OR(DATE($B$3,9,25)&gt;EOMONTH(DATE($B$3,9,1),0),NETWORKDAYS.INTL(DATE($B$3,9,25),DATE($B$3,9,25),1,'Non-working days'!$A$6:$A$45)=0),"",IF(COUNTIFS('Leave log'!$A$7:$A$306,Employees!$A$10,'Leave log'!$B$7:$B$306,"&lt;="&amp;DATE($B$3,9,25),'Leave log'!$C$7:$C$306,"&gt;="&amp;DATE($B$3,9,25),'Leave log'!$F$7:$F$306,"Approved")&gt;0,"A",""))="A","A",IF(OR(DATE($B$3,9,25)&gt;EOMONTH(DATE($B$3,9,1),0),NETWORKDAYS.INTL(DATE($B$3,9,25),DATE($B$3,9,25),1,'Non-working days'!$A$6:$A$45)=0),"",IF(COUNTIFS('Leave log'!$A$7:$A$306,Employees!$A$10,'Leave log'!$B$7:$B$306,"&lt;="&amp;DATE($B$3,9,25),'Leave log'!$C$7:$C$306,"&gt;="&amp;DATE($B$3,9,25),'Leave log'!$F$7:$F$306,"Pending")&gt;0,"P",""))))</f>
        <v/>
      </c>
      <c r="AA283" s="23" t="str">
        <f>IF(A283="","",IF(IF(OR(DATE($B$3,9,26)&gt;EOMONTH(DATE($B$3,9,1),0),NETWORKDAYS.INTL(DATE($B$3,9,26),DATE($B$3,9,26),1,'Non-working days'!$A$6:$A$45)=0),"",IF(COUNTIFS('Leave log'!$A$7:$A$306,Employees!$A$10,'Leave log'!$B$7:$B$306,"&lt;="&amp;DATE($B$3,9,26),'Leave log'!$C$7:$C$306,"&gt;="&amp;DATE($B$3,9,26),'Leave log'!$F$7:$F$306,"Approved")&gt;0,"A",""))="A","A",IF(OR(DATE($B$3,9,26)&gt;EOMONTH(DATE($B$3,9,1),0),NETWORKDAYS.INTL(DATE($B$3,9,26),DATE($B$3,9,26),1,'Non-working days'!$A$6:$A$45)=0),"",IF(COUNTIFS('Leave log'!$A$7:$A$306,Employees!$A$10,'Leave log'!$B$7:$B$306,"&lt;="&amp;DATE($B$3,9,26),'Leave log'!$C$7:$C$306,"&gt;="&amp;DATE($B$3,9,26),'Leave log'!$F$7:$F$306,"Pending")&gt;0,"P",""))))</f>
        <v/>
      </c>
      <c r="AB283" s="23" t="str">
        <f>IF(A283="","",IF(IF(OR(DATE($B$3,9,27)&gt;EOMONTH(DATE($B$3,9,1),0),NETWORKDAYS.INTL(DATE($B$3,9,27),DATE($B$3,9,27),1,'Non-working days'!$A$6:$A$45)=0),"",IF(COUNTIFS('Leave log'!$A$7:$A$306,Employees!$A$10,'Leave log'!$B$7:$B$306,"&lt;="&amp;DATE($B$3,9,27),'Leave log'!$C$7:$C$306,"&gt;="&amp;DATE($B$3,9,27),'Leave log'!$F$7:$F$306,"Approved")&gt;0,"A",""))="A","A",IF(OR(DATE($B$3,9,27)&gt;EOMONTH(DATE($B$3,9,1),0),NETWORKDAYS.INTL(DATE($B$3,9,27),DATE($B$3,9,27),1,'Non-working days'!$A$6:$A$45)=0),"",IF(COUNTIFS('Leave log'!$A$7:$A$306,Employees!$A$10,'Leave log'!$B$7:$B$306,"&lt;="&amp;DATE($B$3,9,27),'Leave log'!$C$7:$C$306,"&gt;="&amp;DATE($B$3,9,27),'Leave log'!$F$7:$F$306,"Pending")&gt;0,"P",""))))</f>
        <v/>
      </c>
      <c r="AC283" s="23" t="str">
        <f>IF(A283="","",IF(IF(OR(DATE($B$3,9,28)&gt;EOMONTH(DATE($B$3,9,1),0),NETWORKDAYS.INTL(DATE($B$3,9,28),DATE($B$3,9,28),1,'Non-working days'!$A$6:$A$45)=0),"",IF(COUNTIFS('Leave log'!$A$7:$A$306,Employees!$A$10,'Leave log'!$B$7:$B$306,"&lt;="&amp;DATE($B$3,9,28),'Leave log'!$C$7:$C$306,"&gt;="&amp;DATE($B$3,9,28),'Leave log'!$F$7:$F$306,"Approved")&gt;0,"A",""))="A","A",IF(OR(DATE($B$3,9,28)&gt;EOMONTH(DATE($B$3,9,1),0),NETWORKDAYS.INTL(DATE($B$3,9,28),DATE($B$3,9,28),1,'Non-working days'!$A$6:$A$45)=0),"",IF(COUNTIFS('Leave log'!$A$7:$A$306,Employees!$A$10,'Leave log'!$B$7:$B$306,"&lt;="&amp;DATE($B$3,9,28),'Leave log'!$C$7:$C$306,"&gt;="&amp;DATE($B$3,9,28),'Leave log'!$F$7:$F$306,"Pending")&gt;0,"P",""))))</f>
        <v/>
      </c>
      <c r="AD283" s="23" t="str">
        <f>IF(A283="","",IF(IF(OR(DATE($B$3,9,29)&gt;EOMONTH(DATE($B$3,9,1),0),NETWORKDAYS.INTL(DATE($B$3,9,29),DATE($B$3,9,29),1,'Non-working days'!$A$6:$A$45)=0),"",IF(COUNTIFS('Leave log'!$A$7:$A$306,Employees!$A$10,'Leave log'!$B$7:$B$306,"&lt;="&amp;DATE($B$3,9,29),'Leave log'!$C$7:$C$306,"&gt;="&amp;DATE($B$3,9,29),'Leave log'!$F$7:$F$306,"Approved")&gt;0,"A",""))="A","A",IF(OR(DATE($B$3,9,29)&gt;EOMONTH(DATE($B$3,9,1),0),NETWORKDAYS.INTL(DATE($B$3,9,29),DATE($B$3,9,29),1,'Non-working days'!$A$6:$A$45)=0),"",IF(COUNTIFS('Leave log'!$A$7:$A$306,Employees!$A$10,'Leave log'!$B$7:$B$306,"&lt;="&amp;DATE($B$3,9,29),'Leave log'!$C$7:$C$306,"&gt;="&amp;DATE($B$3,9,29),'Leave log'!$F$7:$F$306,"Pending")&gt;0,"P",""))))</f>
        <v/>
      </c>
      <c r="AE283" s="23" t="str">
        <f>IF(A283="","",IF(IF(OR(DATE($B$3,9,30)&gt;EOMONTH(DATE($B$3,9,1),0),NETWORKDAYS.INTL(DATE($B$3,9,30),DATE($B$3,9,30),1,'Non-working days'!$A$6:$A$45)=0),"",IF(COUNTIFS('Leave log'!$A$7:$A$306,Employees!$A$10,'Leave log'!$B$7:$B$306,"&lt;="&amp;DATE($B$3,9,30),'Leave log'!$C$7:$C$306,"&gt;="&amp;DATE($B$3,9,30),'Leave log'!$F$7:$F$306,"Approved")&gt;0,"A",""))="A","A",IF(OR(DATE($B$3,9,30)&gt;EOMONTH(DATE($B$3,9,1),0),NETWORKDAYS.INTL(DATE($B$3,9,30),DATE($B$3,9,30),1,'Non-working days'!$A$6:$A$45)=0),"",IF(COUNTIFS('Leave log'!$A$7:$A$306,Employees!$A$10,'Leave log'!$B$7:$B$306,"&lt;="&amp;DATE($B$3,9,30),'Leave log'!$C$7:$C$306,"&gt;="&amp;DATE($B$3,9,30),'Leave log'!$F$7:$F$306,"Pending")&gt;0,"P",""))))</f>
        <v/>
      </c>
      <c r="AF283" s="23" t="str">
        <f>IF(A283="","",IF(IF(OR(DATE($B$3,9,31)&gt;EOMONTH(DATE($B$3,9,1),0),NETWORKDAYS.INTL(DATE($B$3,9,31),DATE($B$3,9,31),1,'Non-working days'!$A$6:$A$45)=0),"",IF(COUNTIFS('Leave log'!$A$7:$A$306,Employees!$A$10,'Leave log'!$B$7:$B$306,"&lt;="&amp;DATE($B$3,9,31),'Leave log'!$C$7:$C$306,"&gt;="&amp;DATE($B$3,9,31),'Leave log'!$F$7:$F$306,"Approved")&gt;0,"A",""))="A","A",IF(OR(DATE($B$3,9,31)&gt;EOMONTH(DATE($B$3,9,1),0),NETWORKDAYS.INTL(DATE($B$3,9,31),DATE($B$3,9,31),1,'Non-working days'!$A$6:$A$45)=0),"",IF(COUNTIFS('Leave log'!$A$7:$A$306,Employees!$A$10,'Leave log'!$B$7:$B$306,"&lt;="&amp;DATE($B$3,9,31),'Leave log'!$C$7:$C$306,"&gt;="&amp;DATE($B$3,9,31),'Leave log'!$F$7:$F$306,"Pending")&gt;0,"P",""))))</f>
        <v/>
      </c>
    </row>
    <row r="284" spans="1:32" ht="18" customHeight="1" x14ac:dyDescent="0.3">
      <c r="A284" s="22" t="str">
        <f>IF(Employees!F11="Yes",Employees!B11,"")</f>
        <v/>
      </c>
      <c r="B284" s="23" t="str">
        <f>IF(A284="","",IF(IF(OR(DATE($B$3,9,1)&gt;EOMONTH(DATE($B$3,9,1),0),NETWORKDAYS.INTL(DATE($B$3,9,1),DATE($B$3,9,1),1,'Non-working days'!$A$6:$A$45)=0),"",IF(COUNTIFS('Leave log'!$A$7:$A$306,Employees!$A$11,'Leave log'!$B$7:$B$306,"&lt;="&amp;DATE($B$3,9,1),'Leave log'!$C$7:$C$306,"&gt;="&amp;DATE($B$3,9,1),'Leave log'!$F$7:$F$306,"Approved")&gt;0,"A",""))="A","A",IF(OR(DATE($B$3,9,1)&gt;EOMONTH(DATE($B$3,9,1),0),NETWORKDAYS.INTL(DATE($B$3,9,1),DATE($B$3,9,1),1,'Non-working days'!$A$6:$A$45)=0),"",IF(COUNTIFS('Leave log'!$A$7:$A$306,Employees!$A$11,'Leave log'!$B$7:$B$306,"&lt;="&amp;DATE($B$3,9,1),'Leave log'!$C$7:$C$306,"&gt;="&amp;DATE($B$3,9,1),'Leave log'!$F$7:$F$306,"Pending")&gt;0,"P",""))))</f>
        <v/>
      </c>
      <c r="C284" s="23" t="str">
        <f>IF(A284="","",IF(IF(OR(DATE($B$3,9,2)&gt;EOMONTH(DATE($B$3,9,1),0),NETWORKDAYS.INTL(DATE($B$3,9,2),DATE($B$3,9,2),1,'Non-working days'!$A$6:$A$45)=0),"",IF(COUNTIFS('Leave log'!$A$7:$A$306,Employees!$A$11,'Leave log'!$B$7:$B$306,"&lt;="&amp;DATE($B$3,9,2),'Leave log'!$C$7:$C$306,"&gt;="&amp;DATE($B$3,9,2),'Leave log'!$F$7:$F$306,"Approved")&gt;0,"A",""))="A","A",IF(OR(DATE($B$3,9,2)&gt;EOMONTH(DATE($B$3,9,1),0),NETWORKDAYS.INTL(DATE($B$3,9,2),DATE($B$3,9,2),1,'Non-working days'!$A$6:$A$45)=0),"",IF(COUNTIFS('Leave log'!$A$7:$A$306,Employees!$A$11,'Leave log'!$B$7:$B$306,"&lt;="&amp;DATE($B$3,9,2),'Leave log'!$C$7:$C$306,"&gt;="&amp;DATE($B$3,9,2),'Leave log'!$F$7:$F$306,"Pending")&gt;0,"P",""))))</f>
        <v/>
      </c>
      <c r="D284" s="23" t="str">
        <f>IF(A284="","",IF(IF(OR(DATE($B$3,9,3)&gt;EOMONTH(DATE($B$3,9,1),0),NETWORKDAYS.INTL(DATE($B$3,9,3),DATE($B$3,9,3),1,'Non-working days'!$A$6:$A$45)=0),"",IF(COUNTIFS('Leave log'!$A$7:$A$306,Employees!$A$11,'Leave log'!$B$7:$B$306,"&lt;="&amp;DATE($B$3,9,3),'Leave log'!$C$7:$C$306,"&gt;="&amp;DATE($B$3,9,3),'Leave log'!$F$7:$F$306,"Approved")&gt;0,"A",""))="A","A",IF(OR(DATE($B$3,9,3)&gt;EOMONTH(DATE($B$3,9,1),0),NETWORKDAYS.INTL(DATE($B$3,9,3),DATE($B$3,9,3),1,'Non-working days'!$A$6:$A$45)=0),"",IF(COUNTIFS('Leave log'!$A$7:$A$306,Employees!$A$11,'Leave log'!$B$7:$B$306,"&lt;="&amp;DATE($B$3,9,3),'Leave log'!$C$7:$C$306,"&gt;="&amp;DATE($B$3,9,3),'Leave log'!$F$7:$F$306,"Pending")&gt;0,"P",""))))</f>
        <v/>
      </c>
      <c r="E284" s="23" t="str">
        <f>IF(A284="","",IF(IF(OR(DATE($B$3,9,4)&gt;EOMONTH(DATE($B$3,9,1),0),NETWORKDAYS.INTL(DATE($B$3,9,4),DATE($B$3,9,4),1,'Non-working days'!$A$6:$A$45)=0),"",IF(COUNTIFS('Leave log'!$A$7:$A$306,Employees!$A$11,'Leave log'!$B$7:$B$306,"&lt;="&amp;DATE($B$3,9,4),'Leave log'!$C$7:$C$306,"&gt;="&amp;DATE($B$3,9,4),'Leave log'!$F$7:$F$306,"Approved")&gt;0,"A",""))="A","A",IF(OR(DATE($B$3,9,4)&gt;EOMONTH(DATE($B$3,9,1),0),NETWORKDAYS.INTL(DATE($B$3,9,4),DATE($B$3,9,4),1,'Non-working days'!$A$6:$A$45)=0),"",IF(COUNTIFS('Leave log'!$A$7:$A$306,Employees!$A$11,'Leave log'!$B$7:$B$306,"&lt;="&amp;DATE($B$3,9,4),'Leave log'!$C$7:$C$306,"&gt;="&amp;DATE($B$3,9,4),'Leave log'!$F$7:$F$306,"Pending")&gt;0,"P",""))))</f>
        <v/>
      </c>
      <c r="F284" s="23" t="str">
        <f>IF(A284="","",IF(IF(OR(DATE($B$3,9,5)&gt;EOMONTH(DATE($B$3,9,1),0),NETWORKDAYS.INTL(DATE($B$3,9,5),DATE($B$3,9,5),1,'Non-working days'!$A$6:$A$45)=0),"",IF(COUNTIFS('Leave log'!$A$7:$A$306,Employees!$A$11,'Leave log'!$B$7:$B$306,"&lt;="&amp;DATE($B$3,9,5),'Leave log'!$C$7:$C$306,"&gt;="&amp;DATE($B$3,9,5),'Leave log'!$F$7:$F$306,"Approved")&gt;0,"A",""))="A","A",IF(OR(DATE($B$3,9,5)&gt;EOMONTH(DATE($B$3,9,1),0),NETWORKDAYS.INTL(DATE($B$3,9,5),DATE($B$3,9,5),1,'Non-working days'!$A$6:$A$45)=0),"",IF(COUNTIFS('Leave log'!$A$7:$A$306,Employees!$A$11,'Leave log'!$B$7:$B$306,"&lt;="&amp;DATE($B$3,9,5),'Leave log'!$C$7:$C$306,"&gt;="&amp;DATE($B$3,9,5),'Leave log'!$F$7:$F$306,"Pending")&gt;0,"P",""))))</f>
        <v/>
      </c>
      <c r="G284" s="23" t="str">
        <f>IF(A284="","",IF(IF(OR(DATE($B$3,9,6)&gt;EOMONTH(DATE($B$3,9,1),0),NETWORKDAYS.INTL(DATE($B$3,9,6),DATE($B$3,9,6),1,'Non-working days'!$A$6:$A$45)=0),"",IF(COUNTIFS('Leave log'!$A$7:$A$306,Employees!$A$11,'Leave log'!$B$7:$B$306,"&lt;="&amp;DATE($B$3,9,6),'Leave log'!$C$7:$C$306,"&gt;="&amp;DATE($B$3,9,6),'Leave log'!$F$7:$F$306,"Approved")&gt;0,"A",""))="A","A",IF(OR(DATE($B$3,9,6)&gt;EOMONTH(DATE($B$3,9,1),0),NETWORKDAYS.INTL(DATE($B$3,9,6),DATE($B$3,9,6),1,'Non-working days'!$A$6:$A$45)=0),"",IF(COUNTIFS('Leave log'!$A$7:$A$306,Employees!$A$11,'Leave log'!$B$7:$B$306,"&lt;="&amp;DATE($B$3,9,6),'Leave log'!$C$7:$C$306,"&gt;="&amp;DATE($B$3,9,6),'Leave log'!$F$7:$F$306,"Pending")&gt;0,"P",""))))</f>
        <v/>
      </c>
      <c r="H284" s="23" t="str">
        <f>IF(A284="","",IF(IF(OR(DATE($B$3,9,7)&gt;EOMONTH(DATE($B$3,9,1),0),NETWORKDAYS.INTL(DATE($B$3,9,7),DATE($B$3,9,7),1,'Non-working days'!$A$6:$A$45)=0),"",IF(COUNTIFS('Leave log'!$A$7:$A$306,Employees!$A$11,'Leave log'!$B$7:$B$306,"&lt;="&amp;DATE($B$3,9,7),'Leave log'!$C$7:$C$306,"&gt;="&amp;DATE($B$3,9,7),'Leave log'!$F$7:$F$306,"Approved")&gt;0,"A",""))="A","A",IF(OR(DATE($B$3,9,7)&gt;EOMONTH(DATE($B$3,9,1),0),NETWORKDAYS.INTL(DATE($B$3,9,7),DATE($B$3,9,7),1,'Non-working days'!$A$6:$A$45)=0),"",IF(COUNTIFS('Leave log'!$A$7:$A$306,Employees!$A$11,'Leave log'!$B$7:$B$306,"&lt;="&amp;DATE($B$3,9,7),'Leave log'!$C$7:$C$306,"&gt;="&amp;DATE($B$3,9,7),'Leave log'!$F$7:$F$306,"Pending")&gt;0,"P",""))))</f>
        <v/>
      </c>
      <c r="I284" s="23" t="str">
        <f>IF(A284="","",IF(IF(OR(DATE($B$3,9,8)&gt;EOMONTH(DATE($B$3,9,1),0),NETWORKDAYS.INTL(DATE($B$3,9,8),DATE($B$3,9,8),1,'Non-working days'!$A$6:$A$45)=0),"",IF(COUNTIFS('Leave log'!$A$7:$A$306,Employees!$A$11,'Leave log'!$B$7:$B$306,"&lt;="&amp;DATE($B$3,9,8),'Leave log'!$C$7:$C$306,"&gt;="&amp;DATE($B$3,9,8),'Leave log'!$F$7:$F$306,"Approved")&gt;0,"A",""))="A","A",IF(OR(DATE($B$3,9,8)&gt;EOMONTH(DATE($B$3,9,1),0),NETWORKDAYS.INTL(DATE($B$3,9,8),DATE($B$3,9,8),1,'Non-working days'!$A$6:$A$45)=0),"",IF(COUNTIFS('Leave log'!$A$7:$A$306,Employees!$A$11,'Leave log'!$B$7:$B$306,"&lt;="&amp;DATE($B$3,9,8),'Leave log'!$C$7:$C$306,"&gt;="&amp;DATE($B$3,9,8),'Leave log'!$F$7:$F$306,"Pending")&gt;0,"P",""))))</f>
        <v/>
      </c>
      <c r="J284" s="23" t="str">
        <f>IF(A284="","",IF(IF(OR(DATE($B$3,9,9)&gt;EOMONTH(DATE($B$3,9,1),0),NETWORKDAYS.INTL(DATE($B$3,9,9),DATE($B$3,9,9),1,'Non-working days'!$A$6:$A$45)=0),"",IF(COUNTIFS('Leave log'!$A$7:$A$306,Employees!$A$11,'Leave log'!$B$7:$B$306,"&lt;="&amp;DATE($B$3,9,9),'Leave log'!$C$7:$C$306,"&gt;="&amp;DATE($B$3,9,9),'Leave log'!$F$7:$F$306,"Approved")&gt;0,"A",""))="A","A",IF(OR(DATE($B$3,9,9)&gt;EOMONTH(DATE($B$3,9,1),0),NETWORKDAYS.INTL(DATE($B$3,9,9),DATE($B$3,9,9),1,'Non-working days'!$A$6:$A$45)=0),"",IF(COUNTIFS('Leave log'!$A$7:$A$306,Employees!$A$11,'Leave log'!$B$7:$B$306,"&lt;="&amp;DATE($B$3,9,9),'Leave log'!$C$7:$C$306,"&gt;="&amp;DATE($B$3,9,9),'Leave log'!$F$7:$F$306,"Pending")&gt;0,"P",""))))</f>
        <v/>
      </c>
      <c r="K284" s="23" t="str">
        <f>IF(A284="","",IF(IF(OR(DATE($B$3,9,10)&gt;EOMONTH(DATE($B$3,9,1),0),NETWORKDAYS.INTL(DATE($B$3,9,10),DATE($B$3,9,10),1,'Non-working days'!$A$6:$A$45)=0),"",IF(COUNTIFS('Leave log'!$A$7:$A$306,Employees!$A$11,'Leave log'!$B$7:$B$306,"&lt;="&amp;DATE($B$3,9,10),'Leave log'!$C$7:$C$306,"&gt;="&amp;DATE($B$3,9,10),'Leave log'!$F$7:$F$306,"Approved")&gt;0,"A",""))="A","A",IF(OR(DATE($B$3,9,10)&gt;EOMONTH(DATE($B$3,9,1),0),NETWORKDAYS.INTL(DATE($B$3,9,10),DATE($B$3,9,10),1,'Non-working days'!$A$6:$A$45)=0),"",IF(COUNTIFS('Leave log'!$A$7:$A$306,Employees!$A$11,'Leave log'!$B$7:$B$306,"&lt;="&amp;DATE($B$3,9,10),'Leave log'!$C$7:$C$306,"&gt;="&amp;DATE($B$3,9,10),'Leave log'!$F$7:$F$306,"Pending")&gt;0,"P",""))))</f>
        <v/>
      </c>
      <c r="L284" s="23" t="str">
        <f>IF(A284="","",IF(IF(OR(DATE($B$3,9,11)&gt;EOMONTH(DATE($B$3,9,1),0),NETWORKDAYS.INTL(DATE($B$3,9,11),DATE($B$3,9,11),1,'Non-working days'!$A$6:$A$45)=0),"",IF(COUNTIFS('Leave log'!$A$7:$A$306,Employees!$A$11,'Leave log'!$B$7:$B$306,"&lt;="&amp;DATE($B$3,9,11),'Leave log'!$C$7:$C$306,"&gt;="&amp;DATE($B$3,9,11),'Leave log'!$F$7:$F$306,"Approved")&gt;0,"A",""))="A","A",IF(OR(DATE($B$3,9,11)&gt;EOMONTH(DATE($B$3,9,1),0),NETWORKDAYS.INTL(DATE($B$3,9,11),DATE($B$3,9,11),1,'Non-working days'!$A$6:$A$45)=0),"",IF(COUNTIFS('Leave log'!$A$7:$A$306,Employees!$A$11,'Leave log'!$B$7:$B$306,"&lt;="&amp;DATE($B$3,9,11),'Leave log'!$C$7:$C$306,"&gt;="&amp;DATE($B$3,9,11),'Leave log'!$F$7:$F$306,"Pending")&gt;0,"P",""))))</f>
        <v/>
      </c>
      <c r="M284" s="23" t="str">
        <f>IF(A284="","",IF(IF(OR(DATE($B$3,9,12)&gt;EOMONTH(DATE($B$3,9,1),0),NETWORKDAYS.INTL(DATE($B$3,9,12),DATE($B$3,9,12),1,'Non-working days'!$A$6:$A$45)=0),"",IF(COUNTIFS('Leave log'!$A$7:$A$306,Employees!$A$11,'Leave log'!$B$7:$B$306,"&lt;="&amp;DATE($B$3,9,12),'Leave log'!$C$7:$C$306,"&gt;="&amp;DATE($B$3,9,12),'Leave log'!$F$7:$F$306,"Approved")&gt;0,"A",""))="A","A",IF(OR(DATE($B$3,9,12)&gt;EOMONTH(DATE($B$3,9,1),0),NETWORKDAYS.INTL(DATE($B$3,9,12),DATE($B$3,9,12),1,'Non-working days'!$A$6:$A$45)=0),"",IF(COUNTIFS('Leave log'!$A$7:$A$306,Employees!$A$11,'Leave log'!$B$7:$B$306,"&lt;="&amp;DATE($B$3,9,12),'Leave log'!$C$7:$C$306,"&gt;="&amp;DATE($B$3,9,12),'Leave log'!$F$7:$F$306,"Pending")&gt;0,"P",""))))</f>
        <v/>
      </c>
      <c r="N284" s="23" t="str">
        <f>IF(A284="","",IF(IF(OR(DATE($B$3,9,13)&gt;EOMONTH(DATE($B$3,9,1),0),NETWORKDAYS.INTL(DATE($B$3,9,13),DATE($B$3,9,13),1,'Non-working days'!$A$6:$A$45)=0),"",IF(COUNTIFS('Leave log'!$A$7:$A$306,Employees!$A$11,'Leave log'!$B$7:$B$306,"&lt;="&amp;DATE($B$3,9,13),'Leave log'!$C$7:$C$306,"&gt;="&amp;DATE($B$3,9,13),'Leave log'!$F$7:$F$306,"Approved")&gt;0,"A",""))="A","A",IF(OR(DATE($B$3,9,13)&gt;EOMONTH(DATE($B$3,9,1),0),NETWORKDAYS.INTL(DATE($B$3,9,13),DATE($B$3,9,13),1,'Non-working days'!$A$6:$A$45)=0),"",IF(COUNTIFS('Leave log'!$A$7:$A$306,Employees!$A$11,'Leave log'!$B$7:$B$306,"&lt;="&amp;DATE($B$3,9,13),'Leave log'!$C$7:$C$306,"&gt;="&amp;DATE($B$3,9,13),'Leave log'!$F$7:$F$306,"Pending")&gt;0,"P",""))))</f>
        <v/>
      </c>
      <c r="O284" s="23" t="str">
        <f>IF(A284="","",IF(IF(OR(DATE($B$3,9,14)&gt;EOMONTH(DATE($B$3,9,1),0),NETWORKDAYS.INTL(DATE($B$3,9,14),DATE($B$3,9,14),1,'Non-working days'!$A$6:$A$45)=0),"",IF(COUNTIFS('Leave log'!$A$7:$A$306,Employees!$A$11,'Leave log'!$B$7:$B$306,"&lt;="&amp;DATE($B$3,9,14),'Leave log'!$C$7:$C$306,"&gt;="&amp;DATE($B$3,9,14),'Leave log'!$F$7:$F$306,"Approved")&gt;0,"A",""))="A","A",IF(OR(DATE($B$3,9,14)&gt;EOMONTH(DATE($B$3,9,1),0),NETWORKDAYS.INTL(DATE($B$3,9,14),DATE($B$3,9,14),1,'Non-working days'!$A$6:$A$45)=0),"",IF(COUNTIFS('Leave log'!$A$7:$A$306,Employees!$A$11,'Leave log'!$B$7:$B$306,"&lt;="&amp;DATE($B$3,9,14),'Leave log'!$C$7:$C$306,"&gt;="&amp;DATE($B$3,9,14),'Leave log'!$F$7:$F$306,"Pending")&gt;0,"P",""))))</f>
        <v/>
      </c>
      <c r="P284" s="23" t="str">
        <f>IF(A284="","",IF(IF(OR(DATE($B$3,9,15)&gt;EOMONTH(DATE($B$3,9,1),0),NETWORKDAYS.INTL(DATE($B$3,9,15),DATE($B$3,9,15),1,'Non-working days'!$A$6:$A$45)=0),"",IF(COUNTIFS('Leave log'!$A$7:$A$306,Employees!$A$11,'Leave log'!$B$7:$B$306,"&lt;="&amp;DATE($B$3,9,15),'Leave log'!$C$7:$C$306,"&gt;="&amp;DATE($B$3,9,15),'Leave log'!$F$7:$F$306,"Approved")&gt;0,"A",""))="A","A",IF(OR(DATE($B$3,9,15)&gt;EOMONTH(DATE($B$3,9,1),0),NETWORKDAYS.INTL(DATE($B$3,9,15),DATE($B$3,9,15),1,'Non-working days'!$A$6:$A$45)=0),"",IF(COUNTIFS('Leave log'!$A$7:$A$306,Employees!$A$11,'Leave log'!$B$7:$B$306,"&lt;="&amp;DATE($B$3,9,15),'Leave log'!$C$7:$C$306,"&gt;="&amp;DATE($B$3,9,15),'Leave log'!$F$7:$F$306,"Pending")&gt;0,"P",""))))</f>
        <v/>
      </c>
      <c r="Q284" s="23" t="str">
        <f>IF(A284="","",IF(IF(OR(DATE($B$3,9,16)&gt;EOMONTH(DATE($B$3,9,1),0),NETWORKDAYS.INTL(DATE($B$3,9,16),DATE($B$3,9,16),1,'Non-working days'!$A$6:$A$45)=0),"",IF(COUNTIFS('Leave log'!$A$7:$A$306,Employees!$A$11,'Leave log'!$B$7:$B$306,"&lt;="&amp;DATE($B$3,9,16),'Leave log'!$C$7:$C$306,"&gt;="&amp;DATE($B$3,9,16),'Leave log'!$F$7:$F$306,"Approved")&gt;0,"A",""))="A","A",IF(OR(DATE($B$3,9,16)&gt;EOMONTH(DATE($B$3,9,1),0),NETWORKDAYS.INTL(DATE($B$3,9,16),DATE($B$3,9,16),1,'Non-working days'!$A$6:$A$45)=0),"",IF(COUNTIFS('Leave log'!$A$7:$A$306,Employees!$A$11,'Leave log'!$B$7:$B$306,"&lt;="&amp;DATE($B$3,9,16),'Leave log'!$C$7:$C$306,"&gt;="&amp;DATE($B$3,9,16),'Leave log'!$F$7:$F$306,"Pending")&gt;0,"P",""))))</f>
        <v/>
      </c>
      <c r="R284" s="23" t="str">
        <f>IF(A284="","",IF(IF(OR(DATE($B$3,9,17)&gt;EOMONTH(DATE($B$3,9,1),0),NETWORKDAYS.INTL(DATE($B$3,9,17),DATE($B$3,9,17),1,'Non-working days'!$A$6:$A$45)=0),"",IF(COUNTIFS('Leave log'!$A$7:$A$306,Employees!$A$11,'Leave log'!$B$7:$B$306,"&lt;="&amp;DATE($B$3,9,17),'Leave log'!$C$7:$C$306,"&gt;="&amp;DATE($B$3,9,17),'Leave log'!$F$7:$F$306,"Approved")&gt;0,"A",""))="A","A",IF(OR(DATE($B$3,9,17)&gt;EOMONTH(DATE($B$3,9,1),0),NETWORKDAYS.INTL(DATE($B$3,9,17),DATE($B$3,9,17),1,'Non-working days'!$A$6:$A$45)=0),"",IF(COUNTIFS('Leave log'!$A$7:$A$306,Employees!$A$11,'Leave log'!$B$7:$B$306,"&lt;="&amp;DATE($B$3,9,17),'Leave log'!$C$7:$C$306,"&gt;="&amp;DATE($B$3,9,17),'Leave log'!$F$7:$F$306,"Pending")&gt;0,"P",""))))</f>
        <v/>
      </c>
      <c r="S284" s="23" t="str">
        <f>IF(A284="","",IF(IF(OR(DATE($B$3,9,18)&gt;EOMONTH(DATE($B$3,9,1),0),NETWORKDAYS.INTL(DATE($B$3,9,18),DATE($B$3,9,18),1,'Non-working days'!$A$6:$A$45)=0),"",IF(COUNTIFS('Leave log'!$A$7:$A$306,Employees!$A$11,'Leave log'!$B$7:$B$306,"&lt;="&amp;DATE($B$3,9,18),'Leave log'!$C$7:$C$306,"&gt;="&amp;DATE($B$3,9,18),'Leave log'!$F$7:$F$306,"Approved")&gt;0,"A",""))="A","A",IF(OR(DATE($B$3,9,18)&gt;EOMONTH(DATE($B$3,9,1),0),NETWORKDAYS.INTL(DATE($B$3,9,18),DATE($B$3,9,18),1,'Non-working days'!$A$6:$A$45)=0),"",IF(COUNTIFS('Leave log'!$A$7:$A$306,Employees!$A$11,'Leave log'!$B$7:$B$306,"&lt;="&amp;DATE($B$3,9,18),'Leave log'!$C$7:$C$306,"&gt;="&amp;DATE($B$3,9,18),'Leave log'!$F$7:$F$306,"Pending")&gt;0,"P",""))))</f>
        <v/>
      </c>
      <c r="T284" s="23" t="str">
        <f>IF(A284="","",IF(IF(OR(DATE($B$3,9,19)&gt;EOMONTH(DATE($B$3,9,1),0),NETWORKDAYS.INTL(DATE($B$3,9,19),DATE($B$3,9,19),1,'Non-working days'!$A$6:$A$45)=0),"",IF(COUNTIFS('Leave log'!$A$7:$A$306,Employees!$A$11,'Leave log'!$B$7:$B$306,"&lt;="&amp;DATE($B$3,9,19),'Leave log'!$C$7:$C$306,"&gt;="&amp;DATE($B$3,9,19),'Leave log'!$F$7:$F$306,"Approved")&gt;0,"A",""))="A","A",IF(OR(DATE($B$3,9,19)&gt;EOMONTH(DATE($B$3,9,1),0),NETWORKDAYS.INTL(DATE($B$3,9,19),DATE($B$3,9,19),1,'Non-working days'!$A$6:$A$45)=0),"",IF(COUNTIFS('Leave log'!$A$7:$A$306,Employees!$A$11,'Leave log'!$B$7:$B$306,"&lt;="&amp;DATE($B$3,9,19),'Leave log'!$C$7:$C$306,"&gt;="&amp;DATE($B$3,9,19),'Leave log'!$F$7:$F$306,"Pending")&gt;0,"P",""))))</f>
        <v/>
      </c>
      <c r="U284" s="23" t="str">
        <f>IF(A284="","",IF(IF(OR(DATE($B$3,9,20)&gt;EOMONTH(DATE($B$3,9,1),0),NETWORKDAYS.INTL(DATE($B$3,9,20),DATE($B$3,9,20),1,'Non-working days'!$A$6:$A$45)=0),"",IF(COUNTIFS('Leave log'!$A$7:$A$306,Employees!$A$11,'Leave log'!$B$7:$B$306,"&lt;="&amp;DATE($B$3,9,20),'Leave log'!$C$7:$C$306,"&gt;="&amp;DATE($B$3,9,20),'Leave log'!$F$7:$F$306,"Approved")&gt;0,"A",""))="A","A",IF(OR(DATE($B$3,9,20)&gt;EOMONTH(DATE($B$3,9,1),0),NETWORKDAYS.INTL(DATE($B$3,9,20),DATE($B$3,9,20),1,'Non-working days'!$A$6:$A$45)=0),"",IF(COUNTIFS('Leave log'!$A$7:$A$306,Employees!$A$11,'Leave log'!$B$7:$B$306,"&lt;="&amp;DATE($B$3,9,20),'Leave log'!$C$7:$C$306,"&gt;="&amp;DATE($B$3,9,20),'Leave log'!$F$7:$F$306,"Pending")&gt;0,"P",""))))</f>
        <v/>
      </c>
      <c r="V284" s="23" t="str">
        <f>IF(A284="","",IF(IF(OR(DATE($B$3,9,21)&gt;EOMONTH(DATE($B$3,9,1),0),NETWORKDAYS.INTL(DATE($B$3,9,21),DATE($B$3,9,21),1,'Non-working days'!$A$6:$A$45)=0),"",IF(COUNTIFS('Leave log'!$A$7:$A$306,Employees!$A$11,'Leave log'!$B$7:$B$306,"&lt;="&amp;DATE($B$3,9,21),'Leave log'!$C$7:$C$306,"&gt;="&amp;DATE($B$3,9,21),'Leave log'!$F$7:$F$306,"Approved")&gt;0,"A",""))="A","A",IF(OR(DATE($B$3,9,21)&gt;EOMONTH(DATE($B$3,9,1),0),NETWORKDAYS.INTL(DATE($B$3,9,21),DATE($B$3,9,21),1,'Non-working days'!$A$6:$A$45)=0),"",IF(COUNTIFS('Leave log'!$A$7:$A$306,Employees!$A$11,'Leave log'!$B$7:$B$306,"&lt;="&amp;DATE($B$3,9,21),'Leave log'!$C$7:$C$306,"&gt;="&amp;DATE($B$3,9,21),'Leave log'!$F$7:$F$306,"Pending")&gt;0,"P",""))))</f>
        <v/>
      </c>
      <c r="W284" s="23" t="str">
        <f>IF(A284="","",IF(IF(OR(DATE($B$3,9,22)&gt;EOMONTH(DATE($B$3,9,1),0),NETWORKDAYS.INTL(DATE($B$3,9,22),DATE($B$3,9,22),1,'Non-working days'!$A$6:$A$45)=0),"",IF(COUNTIFS('Leave log'!$A$7:$A$306,Employees!$A$11,'Leave log'!$B$7:$B$306,"&lt;="&amp;DATE($B$3,9,22),'Leave log'!$C$7:$C$306,"&gt;="&amp;DATE($B$3,9,22),'Leave log'!$F$7:$F$306,"Approved")&gt;0,"A",""))="A","A",IF(OR(DATE($B$3,9,22)&gt;EOMONTH(DATE($B$3,9,1),0),NETWORKDAYS.INTL(DATE($B$3,9,22),DATE($B$3,9,22),1,'Non-working days'!$A$6:$A$45)=0),"",IF(COUNTIFS('Leave log'!$A$7:$A$306,Employees!$A$11,'Leave log'!$B$7:$B$306,"&lt;="&amp;DATE($B$3,9,22),'Leave log'!$C$7:$C$306,"&gt;="&amp;DATE($B$3,9,22),'Leave log'!$F$7:$F$306,"Pending")&gt;0,"P",""))))</f>
        <v/>
      </c>
      <c r="X284" s="23" t="str">
        <f>IF(A284="","",IF(IF(OR(DATE($B$3,9,23)&gt;EOMONTH(DATE($B$3,9,1),0),NETWORKDAYS.INTL(DATE($B$3,9,23),DATE($B$3,9,23),1,'Non-working days'!$A$6:$A$45)=0),"",IF(COUNTIFS('Leave log'!$A$7:$A$306,Employees!$A$11,'Leave log'!$B$7:$B$306,"&lt;="&amp;DATE($B$3,9,23),'Leave log'!$C$7:$C$306,"&gt;="&amp;DATE($B$3,9,23),'Leave log'!$F$7:$F$306,"Approved")&gt;0,"A",""))="A","A",IF(OR(DATE($B$3,9,23)&gt;EOMONTH(DATE($B$3,9,1),0),NETWORKDAYS.INTL(DATE($B$3,9,23),DATE($B$3,9,23),1,'Non-working days'!$A$6:$A$45)=0),"",IF(COUNTIFS('Leave log'!$A$7:$A$306,Employees!$A$11,'Leave log'!$B$7:$B$306,"&lt;="&amp;DATE($B$3,9,23),'Leave log'!$C$7:$C$306,"&gt;="&amp;DATE($B$3,9,23),'Leave log'!$F$7:$F$306,"Pending")&gt;0,"P",""))))</f>
        <v/>
      </c>
      <c r="Y284" s="23" t="str">
        <f>IF(A284="","",IF(IF(OR(DATE($B$3,9,24)&gt;EOMONTH(DATE($B$3,9,1),0),NETWORKDAYS.INTL(DATE($B$3,9,24),DATE($B$3,9,24),1,'Non-working days'!$A$6:$A$45)=0),"",IF(COUNTIFS('Leave log'!$A$7:$A$306,Employees!$A$11,'Leave log'!$B$7:$B$306,"&lt;="&amp;DATE($B$3,9,24),'Leave log'!$C$7:$C$306,"&gt;="&amp;DATE($B$3,9,24),'Leave log'!$F$7:$F$306,"Approved")&gt;0,"A",""))="A","A",IF(OR(DATE($B$3,9,24)&gt;EOMONTH(DATE($B$3,9,1),0),NETWORKDAYS.INTL(DATE($B$3,9,24),DATE($B$3,9,24),1,'Non-working days'!$A$6:$A$45)=0),"",IF(COUNTIFS('Leave log'!$A$7:$A$306,Employees!$A$11,'Leave log'!$B$7:$B$306,"&lt;="&amp;DATE($B$3,9,24),'Leave log'!$C$7:$C$306,"&gt;="&amp;DATE($B$3,9,24),'Leave log'!$F$7:$F$306,"Pending")&gt;0,"P",""))))</f>
        <v/>
      </c>
      <c r="Z284" s="23" t="str">
        <f>IF(A284="","",IF(IF(OR(DATE($B$3,9,25)&gt;EOMONTH(DATE($B$3,9,1),0),NETWORKDAYS.INTL(DATE($B$3,9,25),DATE($B$3,9,25),1,'Non-working days'!$A$6:$A$45)=0),"",IF(COUNTIFS('Leave log'!$A$7:$A$306,Employees!$A$11,'Leave log'!$B$7:$B$306,"&lt;="&amp;DATE($B$3,9,25),'Leave log'!$C$7:$C$306,"&gt;="&amp;DATE($B$3,9,25),'Leave log'!$F$7:$F$306,"Approved")&gt;0,"A",""))="A","A",IF(OR(DATE($B$3,9,25)&gt;EOMONTH(DATE($B$3,9,1),0),NETWORKDAYS.INTL(DATE($B$3,9,25),DATE($B$3,9,25),1,'Non-working days'!$A$6:$A$45)=0),"",IF(COUNTIFS('Leave log'!$A$7:$A$306,Employees!$A$11,'Leave log'!$B$7:$B$306,"&lt;="&amp;DATE($B$3,9,25),'Leave log'!$C$7:$C$306,"&gt;="&amp;DATE($B$3,9,25),'Leave log'!$F$7:$F$306,"Pending")&gt;0,"P",""))))</f>
        <v/>
      </c>
      <c r="AA284" s="23" t="str">
        <f>IF(A284="","",IF(IF(OR(DATE($B$3,9,26)&gt;EOMONTH(DATE($B$3,9,1),0),NETWORKDAYS.INTL(DATE($B$3,9,26),DATE($B$3,9,26),1,'Non-working days'!$A$6:$A$45)=0),"",IF(COUNTIFS('Leave log'!$A$7:$A$306,Employees!$A$11,'Leave log'!$B$7:$B$306,"&lt;="&amp;DATE($B$3,9,26),'Leave log'!$C$7:$C$306,"&gt;="&amp;DATE($B$3,9,26),'Leave log'!$F$7:$F$306,"Approved")&gt;0,"A",""))="A","A",IF(OR(DATE($B$3,9,26)&gt;EOMONTH(DATE($B$3,9,1),0),NETWORKDAYS.INTL(DATE($B$3,9,26),DATE($B$3,9,26),1,'Non-working days'!$A$6:$A$45)=0),"",IF(COUNTIFS('Leave log'!$A$7:$A$306,Employees!$A$11,'Leave log'!$B$7:$B$306,"&lt;="&amp;DATE($B$3,9,26),'Leave log'!$C$7:$C$306,"&gt;="&amp;DATE($B$3,9,26),'Leave log'!$F$7:$F$306,"Pending")&gt;0,"P",""))))</f>
        <v/>
      </c>
      <c r="AB284" s="23" t="str">
        <f>IF(A284="","",IF(IF(OR(DATE($B$3,9,27)&gt;EOMONTH(DATE($B$3,9,1),0),NETWORKDAYS.INTL(DATE($B$3,9,27),DATE($B$3,9,27),1,'Non-working days'!$A$6:$A$45)=0),"",IF(COUNTIFS('Leave log'!$A$7:$A$306,Employees!$A$11,'Leave log'!$B$7:$B$306,"&lt;="&amp;DATE($B$3,9,27),'Leave log'!$C$7:$C$306,"&gt;="&amp;DATE($B$3,9,27),'Leave log'!$F$7:$F$306,"Approved")&gt;0,"A",""))="A","A",IF(OR(DATE($B$3,9,27)&gt;EOMONTH(DATE($B$3,9,1),0),NETWORKDAYS.INTL(DATE($B$3,9,27),DATE($B$3,9,27),1,'Non-working days'!$A$6:$A$45)=0),"",IF(COUNTIFS('Leave log'!$A$7:$A$306,Employees!$A$11,'Leave log'!$B$7:$B$306,"&lt;="&amp;DATE($B$3,9,27),'Leave log'!$C$7:$C$306,"&gt;="&amp;DATE($B$3,9,27),'Leave log'!$F$7:$F$306,"Pending")&gt;0,"P",""))))</f>
        <v/>
      </c>
      <c r="AC284" s="23" t="str">
        <f>IF(A284="","",IF(IF(OR(DATE($B$3,9,28)&gt;EOMONTH(DATE($B$3,9,1),0),NETWORKDAYS.INTL(DATE($B$3,9,28),DATE($B$3,9,28),1,'Non-working days'!$A$6:$A$45)=0),"",IF(COUNTIFS('Leave log'!$A$7:$A$306,Employees!$A$11,'Leave log'!$B$7:$B$306,"&lt;="&amp;DATE($B$3,9,28),'Leave log'!$C$7:$C$306,"&gt;="&amp;DATE($B$3,9,28),'Leave log'!$F$7:$F$306,"Approved")&gt;0,"A",""))="A","A",IF(OR(DATE($B$3,9,28)&gt;EOMONTH(DATE($B$3,9,1),0),NETWORKDAYS.INTL(DATE($B$3,9,28),DATE($B$3,9,28),1,'Non-working days'!$A$6:$A$45)=0),"",IF(COUNTIFS('Leave log'!$A$7:$A$306,Employees!$A$11,'Leave log'!$B$7:$B$306,"&lt;="&amp;DATE($B$3,9,28),'Leave log'!$C$7:$C$306,"&gt;="&amp;DATE($B$3,9,28),'Leave log'!$F$7:$F$306,"Pending")&gt;0,"P",""))))</f>
        <v/>
      </c>
      <c r="AD284" s="23" t="str">
        <f>IF(A284="","",IF(IF(OR(DATE($B$3,9,29)&gt;EOMONTH(DATE($B$3,9,1),0),NETWORKDAYS.INTL(DATE($B$3,9,29),DATE($B$3,9,29),1,'Non-working days'!$A$6:$A$45)=0),"",IF(COUNTIFS('Leave log'!$A$7:$A$306,Employees!$A$11,'Leave log'!$B$7:$B$306,"&lt;="&amp;DATE($B$3,9,29),'Leave log'!$C$7:$C$306,"&gt;="&amp;DATE($B$3,9,29),'Leave log'!$F$7:$F$306,"Approved")&gt;0,"A",""))="A","A",IF(OR(DATE($B$3,9,29)&gt;EOMONTH(DATE($B$3,9,1),0),NETWORKDAYS.INTL(DATE($B$3,9,29),DATE($B$3,9,29),1,'Non-working days'!$A$6:$A$45)=0),"",IF(COUNTIFS('Leave log'!$A$7:$A$306,Employees!$A$11,'Leave log'!$B$7:$B$306,"&lt;="&amp;DATE($B$3,9,29),'Leave log'!$C$7:$C$306,"&gt;="&amp;DATE($B$3,9,29),'Leave log'!$F$7:$F$306,"Pending")&gt;0,"P",""))))</f>
        <v/>
      </c>
      <c r="AE284" s="23" t="str">
        <f>IF(A284="","",IF(IF(OR(DATE($B$3,9,30)&gt;EOMONTH(DATE($B$3,9,1),0),NETWORKDAYS.INTL(DATE($B$3,9,30),DATE($B$3,9,30),1,'Non-working days'!$A$6:$A$45)=0),"",IF(COUNTIFS('Leave log'!$A$7:$A$306,Employees!$A$11,'Leave log'!$B$7:$B$306,"&lt;="&amp;DATE($B$3,9,30),'Leave log'!$C$7:$C$306,"&gt;="&amp;DATE($B$3,9,30),'Leave log'!$F$7:$F$306,"Approved")&gt;0,"A",""))="A","A",IF(OR(DATE($B$3,9,30)&gt;EOMONTH(DATE($B$3,9,1),0),NETWORKDAYS.INTL(DATE($B$3,9,30),DATE($B$3,9,30),1,'Non-working days'!$A$6:$A$45)=0),"",IF(COUNTIFS('Leave log'!$A$7:$A$306,Employees!$A$11,'Leave log'!$B$7:$B$306,"&lt;="&amp;DATE($B$3,9,30),'Leave log'!$C$7:$C$306,"&gt;="&amp;DATE($B$3,9,30),'Leave log'!$F$7:$F$306,"Pending")&gt;0,"P",""))))</f>
        <v/>
      </c>
      <c r="AF284" s="23" t="str">
        <f>IF(A284="","",IF(IF(OR(DATE($B$3,9,31)&gt;EOMONTH(DATE($B$3,9,1),0),NETWORKDAYS.INTL(DATE($B$3,9,31),DATE($B$3,9,31),1,'Non-working days'!$A$6:$A$45)=0),"",IF(COUNTIFS('Leave log'!$A$7:$A$306,Employees!$A$11,'Leave log'!$B$7:$B$306,"&lt;="&amp;DATE($B$3,9,31),'Leave log'!$C$7:$C$306,"&gt;="&amp;DATE($B$3,9,31),'Leave log'!$F$7:$F$306,"Approved")&gt;0,"A",""))="A","A",IF(OR(DATE($B$3,9,31)&gt;EOMONTH(DATE($B$3,9,1),0),NETWORKDAYS.INTL(DATE($B$3,9,31),DATE($B$3,9,31),1,'Non-working days'!$A$6:$A$45)=0),"",IF(COUNTIFS('Leave log'!$A$7:$A$306,Employees!$A$11,'Leave log'!$B$7:$B$306,"&lt;="&amp;DATE($B$3,9,31),'Leave log'!$C$7:$C$306,"&gt;="&amp;DATE($B$3,9,31),'Leave log'!$F$7:$F$306,"Pending")&gt;0,"P",""))))</f>
        <v/>
      </c>
    </row>
    <row r="285" spans="1:32" ht="18" customHeight="1" x14ac:dyDescent="0.3">
      <c r="A285" s="22" t="str">
        <f>IF(Employees!F12="Yes",Employees!B12,"")</f>
        <v/>
      </c>
      <c r="B285" s="23" t="str">
        <f>IF(A285="","",IF(IF(OR(DATE($B$3,9,1)&gt;EOMONTH(DATE($B$3,9,1),0),NETWORKDAYS.INTL(DATE($B$3,9,1),DATE($B$3,9,1),1,'Non-working days'!$A$6:$A$45)=0),"",IF(COUNTIFS('Leave log'!$A$7:$A$306,Employees!$A$12,'Leave log'!$B$7:$B$306,"&lt;="&amp;DATE($B$3,9,1),'Leave log'!$C$7:$C$306,"&gt;="&amp;DATE($B$3,9,1),'Leave log'!$F$7:$F$306,"Approved")&gt;0,"A",""))="A","A",IF(OR(DATE($B$3,9,1)&gt;EOMONTH(DATE($B$3,9,1),0),NETWORKDAYS.INTL(DATE($B$3,9,1),DATE($B$3,9,1),1,'Non-working days'!$A$6:$A$45)=0),"",IF(COUNTIFS('Leave log'!$A$7:$A$306,Employees!$A$12,'Leave log'!$B$7:$B$306,"&lt;="&amp;DATE($B$3,9,1),'Leave log'!$C$7:$C$306,"&gt;="&amp;DATE($B$3,9,1),'Leave log'!$F$7:$F$306,"Pending")&gt;0,"P",""))))</f>
        <v/>
      </c>
      <c r="C285" s="23" t="str">
        <f>IF(A285="","",IF(IF(OR(DATE($B$3,9,2)&gt;EOMONTH(DATE($B$3,9,1),0),NETWORKDAYS.INTL(DATE($B$3,9,2),DATE($B$3,9,2),1,'Non-working days'!$A$6:$A$45)=0),"",IF(COUNTIFS('Leave log'!$A$7:$A$306,Employees!$A$12,'Leave log'!$B$7:$B$306,"&lt;="&amp;DATE($B$3,9,2),'Leave log'!$C$7:$C$306,"&gt;="&amp;DATE($B$3,9,2),'Leave log'!$F$7:$F$306,"Approved")&gt;0,"A",""))="A","A",IF(OR(DATE($B$3,9,2)&gt;EOMONTH(DATE($B$3,9,1),0),NETWORKDAYS.INTL(DATE($B$3,9,2),DATE($B$3,9,2),1,'Non-working days'!$A$6:$A$45)=0),"",IF(COUNTIFS('Leave log'!$A$7:$A$306,Employees!$A$12,'Leave log'!$B$7:$B$306,"&lt;="&amp;DATE($B$3,9,2),'Leave log'!$C$7:$C$306,"&gt;="&amp;DATE($B$3,9,2),'Leave log'!$F$7:$F$306,"Pending")&gt;0,"P",""))))</f>
        <v/>
      </c>
      <c r="D285" s="23" t="str">
        <f>IF(A285="","",IF(IF(OR(DATE($B$3,9,3)&gt;EOMONTH(DATE($B$3,9,1),0),NETWORKDAYS.INTL(DATE($B$3,9,3),DATE($B$3,9,3),1,'Non-working days'!$A$6:$A$45)=0),"",IF(COUNTIFS('Leave log'!$A$7:$A$306,Employees!$A$12,'Leave log'!$B$7:$B$306,"&lt;="&amp;DATE($B$3,9,3),'Leave log'!$C$7:$C$306,"&gt;="&amp;DATE($B$3,9,3),'Leave log'!$F$7:$F$306,"Approved")&gt;0,"A",""))="A","A",IF(OR(DATE($B$3,9,3)&gt;EOMONTH(DATE($B$3,9,1),0),NETWORKDAYS.INTL(DATE($B$3,9,3),DATE($B$3,9,3),1,'Non-working days'!$A$6:$A$45)=0),"",IF(COUNTIFS('Leave log'!$A$7:$A$306,Employees!$A$12,'Leave log'!$B$7:$B$306,"&lt;="&amp;DATE($B$3,9,3),'Leave log'!$C$7:$C$306,"&gt;="&amp;DATE($B$3,9,3),'Leave log'!$F$7:$F$306,"Pending")&gt;0,"P",""))))</f>
        <v/>
      </c>
      <c r="E285" s="23" t="str">
        <f>IF(A285="","",IF(IF(OR(DATE($B$3,9,4)&gt;EOMONTH(DATE($B$3,9,1),0),NETWORKDAYS.INTL(DATE($B$3,9,4),DATE($B$3,9,4),1,'Non-working days'!$A$6:$A$45)=0),"",IF(COUNTIFS('Leave log'!$A$7:$A$306,Employees!$A$12,'Leave log'!$B$7:$B$306,"&lt;="&amp;DATE($B$3,9,4),'Leave log'!$C$7:$C$306,"&gt;="&amp;DATE($B$3,9,4),'Leave log'!$F$7:$F$306,"Approved")&gt;0,"A",""))="A","A",IF(OR(DATE($B$3,9,4)&gt;EOMONTH(DATE($B$3,9,1),0),NETWORKDAYS.INTL(DATE($B$3,9,4),DATE($B$3,9,4),1,'Non-working days'!$A$6:$A$45)=0),"",IF(COUNTIFS('Leave log'!$A$7:$A$306,Employees!$A$12,'Leave log'!$B$7:$B$306,"&lt;="&amp;DATE($B$3,9,4),'Leave log'!$C$7:$C$306,"&gt;="&amp;DATE($B$3,9,4),'Leave log'!$F$7:$F$306,"Pending")&gt;0,"P",""))))</f>
        <v/>
      </c>
      <c r="F285" s="23" t="str">
        <f>IF(A285="","",IF(IF(OR(DATE($B$3,9,5)&gt;EOMONTH(DATE($B$3,9,1),0),NETWORKDAYS.INTL(DATE($B$3,9,5),DATE($B$3,9,5),1,'Non-working days'!$A$6:$A$45)=0),"",IF(COUNTIFS('Leave log'!$A$7:$A$306,Employees!$A$12,'Leave log'!$B$7:$B$306,"&lt;="&amp;DATE($B$3,9,5),'Leave log'!$C$7:$C$306,"&gt;="&amp;DATE($B$3,9,5),'Leave log'!$F$7:$F$306,"Approved")&gt;0,"A",""))="A","A",IF(OR(DATE($B$3,9,5)&gt;EOMONTH(DATE($B$3,9,1),0),NETWORKDAYS.INTL(DATE($B$3,9,5),DATE($B$3,9,5),1,'Non-working days'!$A$6:$A$45)=0),"",IF(COUNTIFS('Leave log'!$A$7:$A$306,Employees!$A$12,'Leave log'!$B$7:$B$306,"&lt;="&amp;DATE($B$3,9,5),'Leave log'!$C$7:$C$306,"&gt;="&amp;DATE($B$3,9,5),'Leave log'!$F$7:$F$306,"Pending")&gt;0,"P",""))))</f>
        <v/>
      </c>
      <c r="G285" s="23" t="str">
        <f>IF(A285="","",IF(IF(OR(DATE($B$3,9,6)&gt;EOMONTH(DATE($B$3,9,1),0),NETWORKDAYS.INTL(DATE($B$3,9,6),DATE($B$3,9,6),1,'Non-working days'!$A$6:$A$45)=0),"",IF(COUNTIFS('Leave log'!$A$7:$A$306,Employees!$A$12,'Leave log'!$B$7:$B$306,"&lt;="&amp;DATE($B$3,9,6),'Leave log'!$C$7:$C$306,"&gt;="&amp;DATE($B$3,9,6),'Leave log'!$F$7:$F$306,"Approved")&gt;0,"A",""))="A","A",IF(OR(DATE($B$3,9,6)&gt;EOMONTH(DATE($B$3,9,1),0),NETWORKDAYS.INTL(DATE($B$3,9,6),DATE($B$3,9,6),1,'Non-working days'!$A$6:$A$45)=0),"",IF(COUNTIFS('Leave log'!$A$7:$A$306,Employees!$A$12,'Leave log'!$B$7:$B$306,"&lt;="&amp;DATE($B$3,9,6),'Leave log'!$C$7:$C$306,"&gt;="&amp;DATE($B$3,9,6),'Leave log'!$F$7:$F$306,"Pending")&gt;0,"P",""))))</f>
        <v/>
      </c>
      <c r="H285" s="23" t="str">
        <f>IF(A285="","",IF(IF(OR(DATE($B$3,9,7)&gt;EOMONTH(DATE($B$3,9,1),0),NETWORKDAYS.INTL(DATE($B$3,9,7),DATE($B$3,9,7),1,'Non-working days'!$A$6:$A$45)=0),"",IF(COUNTIFS('Leave log'!$A$7:$A$306,Employees!$A$12,'Leave log'!$B$7:$B$306,"&lt;="&amp;DATE($B$3,9,7),'Leave log'!$C$7:$C$306,"&gt;="&amp;DATE($B$3,9,7),'Leave log'!$F$7:$F$306,"Approved")&gt;0,"A",""))="A","A",IF(OR(DATE($B$3,9,7)&gt;EOMONTH(DATE($B$3,9,1),0),NETWORKDAYS.INTL(DATE($B$3,9,7),DATE($B$3,9,7),1,'Non-working days'!$A$6:$A$45)=0),"",IF(COUNTIFS('Leave log'!$A$7:$A$306,Employees!$A$12,'Leave log'!$B$7:$B$306,"&lt;="&amp;DATE($B$3,9,7),'Leave log'!$C$7:$C$306,"&gt;="&amp;DATE($B$3,9,7),'Leave log'!$F$7:$F$306,"Pending")&gt;0,"P",""))))</f>
        <v/>
      </c>
      <c r="I285" s="23" t="str">
        <f>IF(A285="","",IF(IF(OR(DATE($B$3,9,8)&gt;EOMONTH(DATE($B$3,9,1),0),NETWORKDAYS.INTL(DATE($B$3,9,8),DATE($B$3,9,8),1,'Non-working days'!$A$6:$A$45)=0),"",IF(COUNTIFS('Leave log'!$A$7:$A$306,Employees!$A$12,'Leave log'!$B$7:$B$306,"&lt;="&amp;DATE($B$3,9,8),'Leave log'!$C$7:$C$306,"&gt;="&amp;DATE($B$3,9,8),'Leave log'!$F$7:$F$306,"Approved")&gt;0,"A",""))="A","A",IF(OR(DATE($B$3,9,8)&gt;EOMONTH(DATE($B$3,9,1),0),NETWORKDAYS.INTL(DATE($B$3,9,8),DATE($B$3,9,8),1,'Non-working days'!$A$6:$A$45)=0),"",IF(COUNTIFS('Leave log'!$A$7:$A$306,Employees!$A$12,'Leave log'!$B$7:$B$306,"&lt;="&amp;DATE($B$3,9,8),'Leave log'!$C$7:$C$306,"&gt;="&amp;DATE($B$3,9,8),'Leave log'!$F$7:$F$306,"Pending")&gt;0,"P",""))))</f>
        <v/>
      </c>
      <c r="J285" s="23" t="str">
        <f>IF(A285="","",IF(IF(OR(DATE($B$3,9,9)&gt;EOMONTH(DATE($B$3,9,1),0),NETWORKDAYS.INTL(DATE($B$3,9,9),DATE($B$3,9,9),1,'Non-working days'!$A$6:$A$45)=0),"",IF(COUNTIFS('Leave log'!$A$7:$A$306,Employees!$A$12,'Leave log'!$B$7:$B$306,"&lt;="&amp;DATE($B$3,9,9),'Leave log'!$C$7:$C$306,"&gt;="&amp;DATE($B$3,9,9),'Leave log'!$F$7:$F$306,"Approved")&gt;0,"A",""))="A","A",IF(OR(DATE($B$3,9,9)&gt;EOMONTH(DATE($B$3,9,1),0),NETWORKDAYS.INTL(DATE($B$3,9,9),DATE($B$3,9,9),1,'Non-working days'!$A$6:$A$45)=0),"",IF(COUNTIFS('Leave log'!$A$7:$A$306,Employees!$A$12,'Leave log'!$B$7:$B$306,"&lt;="&amp;DATE($B$3,9,9),'Leave log'!$C$7:$C$306,"&gt;="&amp;DATE($B$3,9,9),'Leave log'!$F$7:$F$306,"Pending")&gt;0,"P",""))))</f>
        <v/>
      </c>
      <c r="K285" s="23" t="str">
        <f>IF(A285="","",IF(IF(OR(DATE($B$3,9,10)&gt;EOMONTH(DATE($B$3,9,1),0),NETWORKDAYS.INTL(DATE($B$3,9,10),DATE($B$3,9,10),1,'Non-working days'!$A$6:$A$45)=0),"",IF(COUNTIFS('Leave log'!$A$7:$A$306,Employees!$A$12,'Leave log'!$B$7:$B$306,"&lt;="&amp;DATE($B$3,9,10),'Leave log'!$C$7:$C$306,"&gt;="&amp;DATE($B$3,9,10),'Leave log'!$F$7:$F$306,"Approved")&gt;0,"A",""))="A","A",IF(OR(DATE($B$3,9,10)&gt;EOMONTH(DATE($B$3,9,1),0),NETWORKDAYS.INTL(DATE($B$3,9,10),DATE($B$3,9,10),1,'Non-working days'!$A$6:$A$45)=0),"",IF(COUNTIFS('Leave log'!$A$7:$A$306,Employees!$A$12,'Leave log'!$B$7:$B$306,"&lt;="&amp;DATE($B$3,9,10),'Leave log'!$C$7:$C$306,"&gt;="&amp;DATE($B$3,9,10),'Leave log'!$F$7:$F$306,"Pending")&gt;0,"P",""))))</f>
        <v/>
      </c>
      <c r="L285" s="23" t="str">
        <f>IF(A285="","",IF(IF(OR(DATE($B$3,9,11)&gt;EOMONTH(DATE($B$3,9,1),0),NETWORKDAYS.INTL(DATE($B$3,9,11),DATE($B$3,9,11),1,'Non-working days'!$A$6:$A$45)=0),"",IF(COUNTIFS('Leave log'!$A$7:$A$306,Employees!$A$12,'Leave log'!$B$7:$B$306,"&lt;="&amp;DATE($B$3,9,11),'Leave log'!$C$7:$C$306,"&gt;="&amp;DATE($B$3,9,11),'Leave log'!$F$7:$F$306,"Approved")&gt;0,"A",""))="A","A",IF(OR(DATE($B$3,9,11)&gt;EOMONTH(DATE($B$3,9,1),0),NETWORKDAYS.INTL(DATE($B$3,9,11),DATE($B$3,9,11),1,'Non-working days'!$A$6:$A$45)=0),"",IF(COUNTIFS('Leave log'!$A$7:$A$306,Employees!$A$12,'Leave log'!$B$7:$B$306,"&lt;="&amp;DATE($B$3,9,11),'Leave log'!$C$7:$C$306,"&gt;="&amp;DATE($B$3,9,11),'Leave log'!$F$7:$F$306,"Pending")&gt;0,"P",""))))</f>
        <v/>
      </c>
      <c r="M285" s="23" t="str">
        <f>IF(A285="","",IF(IF(OR(DATE($B$3,9,12)&gt;EOMONTH(DATE($B$3,9,1),0),NETWORKDAYS.INTL(DATE($B$3,9,12),DATE($B$3,9,12),1,'Non-working days'!$A$6:$A$45)=0),"",IF(COUNTIFS('Leave log'!$A$7:$A$306,Employees!$A$12,'Leave log'!$B$7:$B$306,"&lt;="&amp;DATE($B$3,9,12),'Leave log'!$C$7:$C$306,"&gt;="&amp;DATE($B$3,9,12),'Leave log'!$F$7:$F$306,"Approved")&gt;0,"A",""))="A","A",IF(OR(DATE($B$3,9,12)&gt;EOMONTH(DATE($B$3,9,1),0),NETWORKDAYS.INTL(DATE($B$3,9,12),DATE($B$3,9,12),1,'Non-working days'!$A$6:$A$45)=0),"",IF(COUNTIFS('Leave log'!$A$7:$A$306,Employees!$A$12,'Leave log'!$B$7:$B$306,"&lt;="&amp;DATE($B$3,9,12),'Leave log'!$C$7:$C$306,"&gt;="&amp;DATE($B$3,9,12),'Leave log'!$F$7:$F$306,"Pending")&gt;0,"P",""))))</f>
        <v/>
      </c>
      <c r="N285" s="23" t="str">
        <f>IF(A285="","",IF(IF(OR(DATE($B$3,9,13)&gt;EOMONTH(DATE($B$3,9,1),0),NETWORKDAYS.INTL(DATE($B$3,9,13),DATE($B$3,9,13),1,'Non-working days'!$A$6:$A$45)=0),"",IF(COUNTIFS('Leave log'!$A$7:$A$306,Employees!$A$12,'Leave log'!$B$7:$B$306,"&lt;="&amp;DATE($B$3,9,13),'Leave log'!$C$7:$C$306,"&gt;="&amp;DATE($B$3,9,13),'Leave log'!$F$7:$F$306,"Approved")&gt;0,"A",""))="A","A",IF(OR(DATE($B$3,9,13)&gt;EOMONTH(DATE($B$3,9,1),0),NETWORKDAYS.INTL(DATE($B$3,9,13),DATE($B$3,9,13),1,'Non-working days'!$A$6:$A$45)=0),"",IF(COUNTIFS('Leave log'!$A$7:$A$306,Employees!$A$12,'Leave log'!$B$7:$B$306,"&lt;="&amp;DATE($B$3,9,13),'Leave log'!$C$7:$C$306,"&gt;="&amp;DATE($B$3,9,13),'Leave log'!$F$7:$F$306,"Pending")&gt;0,"P",""))))</f>
        <v/>
      </c>
      <c r="O285" s="23" t="str">
        <f>IF(A285="","",IF(IF(OR(DATE($B$3,9,14)&gt;EOMONTH(DATE($B$3,9,1),0),NETWORKDAYS.INTL(DATE($B$3,9,14),DATE($B$3,9,14),1,'Non-working days'!$A$6:$A$45)=0),"",IF(COUNTIFS('Leave log'!$A$7:$A$306,Employees!$A$12,'Leave log'!$B$7:$B$306,"&lt;="&amp;DATE($B$3,9,14),'Leave log'!$C$7:$C$306,"&gt;="&amp;DATE($B$3,9,14),'Leave log'!$F$7:$F$306,"Approved")&gt;0,"A",""))="A","A",IF(OR(DATE($B$3,9,14)&gt;EOMONTH(DATE($B$3,9,1),0),NETWORKDAYS.INTL(DATE($B$3,9,14),DATE($B$3,9,14),1,'Non-working days'!$A$6:$A$45)=0),"",IF(COUNTIFS('Leave log'!$A$7:$A$306,Employees!$A$12,'Leave log'!$B$7:$B$306,"&lt;="&amp;DATE($B$3,9,14),'Leave log'!$C$7:$C$306,"&gt;="&amp;DATE($B$3,9,14),'Leave log'!$F$7:$F$306,"Pending")&gt;0,"P",""))))</f>
        <v/>
      </c>
      <c r="P285" s="23" t="str">
        <f>IF(A285="","",IF(IF(OR(DATE($B$3,9,15)&gt;EOMONTH(DATE($B$3,9,1),0),NETWORKDAYS.INTL(DATE($B$3,9,15),DATE($B$3,9,15),1,'Non-working days'!$A$6:$A$45)=0),"",IF(COUNTIFS('Leave log'!$A$7:$A$306,Employees!$A$12,'Leave log'!$B$7:$B$306,"&lt;="&amp;DATE($B$3,9,15),'Leave log'!$C$7:$C$306,"&gt;="&amp;DATE($B$3,9,15),'Leave log'!$F$7:$F$306,"Approved")&gt;0,"A",""))="A","A",IF(OR(DATE($B$3,9,15)&gt;EOMONTH(DATE($B$3,9,1),0),NETWORKDAYS.INTL(DATE($B$3,9,15),DATE($B$3,9,15),1,'Non-working days'!$A$6:$A$45)=0),"",IF(COUNTIFS('Leave log'!$A$7:$A$306,Employees!$A$12,'Leave log'!$B$7:$B$306,"&lt;="&amp;DATE($B$3,9,15),'Leave log'!$C$7:$C$306,"&gt;="&amp;DATE($B$3,9,15),'Leave log'!$F$7:$F$306,"Pending")&gt;0,"P",""))))</f>
        <v/>
      </c>
      <c r="Q285" s="23" t="str">
        <f>IF(A285="","",IF(IF(OR(DATE($B$3,9,16)&gt;EOMONTH(DATE($B$3,9,1),0),NETWORKDAYS.INTL(DATE($B$3,9,16),DATE($B$3,9,16),1,'Non-working days'!$A$6:$A$45)=0),"",IF(COUNTIFS('Leave log'!$A$7:$A$306,Employees!$A$12,'Leave log'!$B$7:$B$306,"&lt;="&amp;DATE($B$3,9,16),'Leave log'!$C$7:$C$306,"&gt;="&amp;DATE($B$3,9,16),'Leave log'!$F$7:$F$306,"Approved")&gt;0,"A",""))="A","A",IF(OR(DATE($B$3,9,16)&gt;EOMONTH(DATE($B$3,9,1),0),NETWORKDAYS.INTL(DATE($B$3,9,16),DATE($B$3,9,16),1,'Non-working days'!$A$6:$A$45)=0),"",IF(COUNTIFS('Leave log'!$A$7:$A$306,Employees!$A$12,'Leave log'!$B$7:$B$306,"&lt;="&amp;DATE($B$3,9,16),'Leave log'!$C$7:$C$306,"&gt;="&amp;DATE($B$3,9,16),'Leave log'!$F$7:$F$306,"Pending")&gt;0,"P",""))))</f>
        <v/>
      </c>
      <c r="R285" s="23" t="str">
        <f>IF(A285="","",IF(IF(OR(DATE($B$3,9,17)&gt;EOMONTH(DATE($B$3,9,1),0),NETWORKDAYS.INTL(DATE($B$3,9,17),DATE($B$3,9,17),1,'Non-working days'!$A$6:$A$45)=0),"",IF(COUNTIFS('Leave log'!$A$7:$A$306,Employees!$A$12,'Leave log'!$B$7:$B$306,"&lt;="&amp;DATE($B$3,9,17),'Leave log'!$C$7:$C$306,"&gt;="&amp;DATE($B$3,9,17),'Leave log'!$F$7:$F$306,"Approved")&gt;0,"A",""))="A","A",IF(OR(DATE($B$3,9,17)&gt;EOMONTH(DATE($B$3,9,1),0),NETWORKDAYS.INTL(DATE($B$3,9,17),DATE($B$3,9,17),1,'Non-working days'!$A$6:$A$45)=0),"",IF(COUNTIFS('Leave log'!$A$7:$A$306,Employees!$A$12,'Leave log'!$B$7:$B$306,"&lt;="&amp;DATE($B$3,9,17),'Leave log'!$C$7:$C$306,"&gt;="&amp;DATE($B$3,9,17),'Leave log'!$F$7:$F$306,"Pending")&gt;0,"P",""))))</f>
        <v/>
      </c>
      <c r="S285" s="23" t="str">
        <f>IF(A285="","",IF(IF(OR(DATE($B$3,9,18)&gt;EOMONTH(DATE($B$3,9,1),0),NETWORKDAYS.INTL(DATE($B$3,9,18),DATE($B$3,9,18),1,'Non-working days'!$A$6:$A$45)=0),"",IF(COUNTIFS('Leave log'!$A$7:$A$306,Employees!$A$12,'Leave log'!$B$7:$B$306,"&lt;="&amp;DATE($B$3,9,18),'Leave log'!$C$7:$C$306,"&gt;="&amp;DATE($B$3,9,18),'Leave log'!$F$7:$F$306,"Approved")&gt;0,"A",""))="A","A",IF(OR(DATE($B$3,9,18)&gt;EOMONTH(DATE($B$3,9,1),0),NETWORKDAYS.INTL(DATE($B$3,9,18),DATE($B$3,9,18),1,'Non-working days'!$A$6:$A$45)=0),"",IF(COUNTIFS('Leave log'!$A$7:$A$306,Employees!$A$12,'Leave log'!$B$7:$B$306,"&lt;="&amp;DATE($B$3,9,18),'Leave log'!$C$7:$C$306,"&gt;="&amp;DATE($B$3,9,18),'Leave log'!$F$7:$F$306,"Pending")&gt;0,"P",""))))</f>
        <v/>
      </c>
      <c r="T285" s="23" t="str">
        <f>IF(A285="","",IF(IF(OR(DATE($B$3,9,19)&gt;EOMONTH(DATE($B$3,9,1),0),NETWORKDAYS.INTL(DATE($B$3,9,19),DATE($B$3,9,19),1,'Non-working days'!$A$6:$A$45)=0),"",IF(COUNTIFS('Leave log'!$A$7:$A$306,Employees!$A$12,'Leave log'!$B$7:$B$306,"&lt;="&amp;DATE($B$3,9,19),'Leave log'!$C$7:$C$306,"&gt;="&amp;DATE($B$3,9,19),'Leave log'!$F$7:$F$306,"Approved")&gt;0,"A",""))="A","A",IF(OR(DATE($B$3,9,19)&gt;EOMONTH(DATE($B$3,9,1),0),NETWORKDAYS.INTL(DATE($B$3,9,19),DATE($B$3,9,19),1,'Non-working days'!$A$6:$A$45)=0),"",IF(COUNTIFS('Leave log'!$A$7:$A$306,Employees!$A$12,'Leave log'!$B$7:$B$306,"&lt;="&amp;DATE($B$3,9,19),'Leave log'!$C$7:$C$306,"&gt;="&amp;DATE($B$3,9,19),'Leave log'!$F$7:$F$306,"Pending")&gt;0,"P",""))))</f>
        <v/>
      </c>
      <c r="U285" s="23" t="str">
        <f>IF(A285="","",IF(IF(OR(DATE($B$3,9,20)&gt;EOMONTH(DATE($B$3,9,1),0),NETWORKDAYS.INTL(DATE($B$3,9,20),DATE($B$3,9,20),1,'Non-working days'!$A$6:$A$45)=0),"",IF(COUNTIFS('Leave log'!$A$7:$A$306,Employees!$A$12,'Leave log'!$B$7:$B$306,"&lt;="&amp;DATE($B$3,9,20),'Leave log'!$C$7:$C$306,"&gt;="&amp;DATE($B$3,9,20),'Leave log'!$F$7:$F$306,"Approved")&gt;0,"A",""))="A","A",IF(OR(DATE($B$3,9,20)&gt;EOMONTH(DATE($B$3,9,1),0),NETWORKDAYS.INTL(DATE($B$3,9,20),DATE($B$3,9,20),1,'Non-working days'!$A$6:$A$45)=0),"",IF(COUNTIFS('Leave log'!$A$7:$A$306,Employees!$A$12,'Leave log'!$B$7:$B$306,"&lt;="&amp;DATE($B$3,9,20),'Leave log'!$C$7:$C$306,"&gt;="&amp;DATE($B$3,9,20),'Leave log'!$F$7:$F$306,"Pending")&gt;0,"P",""))))</f>
        <v/>
      </c>
      <c r="V285" s="23" t="str">
        <f>IF(A285="","",IF(IF(OR(DATE($B$3,9,21)&gt;EOMONTH(DATE($B$3,9,1),0),NETWORKDAYS.INTL(DATE($B$3,9,21),DATE($B$3,9,21),1,'Non-working days'!$A$6:$A$45)=0),"",IF(COUNTIFS('Leave log'!$A$7:$A$306,Employees!$A$12,'Leave log'!$B$7:$B$306,"&lt;="&amp;DATE($B$3,9,21),'Leave log'!$C$7:$C$306,"&gt;="&amp;DATE($B$3,9,21),'Leave log'!$F$7:$F$306,"Approved")&gt;0,"A",""))="A","A",IF(OR(DATE($B$3,9,21)&gt;EOMONTH(DATE($B$3,9,1),0),NETWORKDAYS.INTL(DATE($B$3,9,21),DATE($B$3,9,21),1,'Non-working days'!$A$6:$A$45)=0),"",IF(COUNTIFS('Leave log'!$A$7:$A$306,Employees!$A$12,'Leave log'!$B$7:$B$306,"&lt;="&amp;DATE($B$3,9,21),'Leave log'!$C$7:$C$306,"&gt;="&amp;DATE($B$3,9,21),'Leave log'!$F$7:$F$306,"Pending")&gt;0,"P",""))))</f>
        <v/>
      </c>
      <c r="W285" s="23" t="str">
        <f>IF(A285="","",IF(IF(OR(DATE($B$3,9,22)&gt;EOMONTH(DATE($B$3,9,1),0),NETWORKDAYS.INTL(DATE($B$3,9,22),DATE($B$3,9,22),1,'Non-working days'!$A$6:$A$45)=0),"",IF(COUNTIFS('Leave log'!$A$7:$A$306,Employees!$A$12,'Leave log'!$B$7:$B$306,"&lt;="&amp;DATE($B$3,9,22),'Leave log'!$C$7:$C$306,"&gt;="&amp;DATE($B$3,9,22),'Leave log'!$F$7:$F$306,"Approved")&gt;0,"A",""))="A","A",IF(OR(DATE($B$3,9,22)&gt;EOMONTH(DATE($B$3,9,1),0),NETWORKDAYS.INTL(DATE($B$3,9,22),DATE($B$3,9,22),1,'Non-working days'!$A$6:$A$45)=0),"",IF(COUNTIFS('Leave log'!$A$7:$A$306,Employees!$A$12,'Leave log'!$B$7:$B$306,"&lt;="&amp;DATE($B$3,9,22),'Leave log'!$C$7:$C$306,"&gt;="&amp;DATE($B$3,9,22),'Leave log'!$F$7:$F$306,"Pending")&gt;0,"P",""))))</f>
        <v/>
      </c>
      <c r="X285" s="23" t="str">
        <f>IF(A285="","",IF(IF(OR(DATE($B$3,9,23)&gt;EOMONTH(DATE($B$3,9,1),0),NETWORKDAYS.INTL(DATE($B$3,9,23),DATE($B$3,9,23),1,'Non-working days'!$A$6:$A$45)=0),"",IF(COUNTIFS('Leave log'!$A$7:$A$306,Employees!$A$12,'Leave log'!$B$7:$B$306,"&lt;="&amp;DATE($B$3,9,23),'Leave log'!$C$7:$C$306,"&gt;="&amp;DATE($B$3,9,23),'Leave log'!$F$7:$F$306,"Approved")&gt;0,"A",""))="A","A",IF(OR(DATE($B$3,9,23)&gt;EOMONTH(DATE($B$3,9,1),0),NETWORKDAYS.INTL(DATE($B$3,9,23),DATE($B$3,9,23),1,'Non-working days'!$A$6:$A$45)=0),"",IF(COUNTIFS('Leave log'!$A$7:$A$306,Employees!$A$12,'Leave log'!$B$7:$B$306,"&lt;="&amp;DATE($B$3,9,23),'Leave log'!$C$7:$C$306,"&gt;="&amp;DATE($B$3,9,23),'Leave log'!$F$7:$F$306,"Pending")&gt;0,"P",""))))</f>
        <v/>
      </c>
      <c r="Y285" s="23" t="str">
        <f>IF(A285="","",IF(IF(OR(DATE($B$3,9,24)&gt;EOMONTH(DATE($B$3,9,1),0),NETWORKDAYS.INTL(DATE($B$3,9,24),DATE($B$3,9,24),1,'Non-working days'!$A$6:$A$45)=0),"",IF(COUNTIFS('Leave log'!$A$7:$A$306,Employees!$A$12,'Leave log'!$B$7:$B$306,"&lt;="&amp;DATE($B$3,9,24),'Leave log'!$C$7:$C$306,"&gt;="&amp;DATE($B$3,9,24),'Leave log'!$F$7:$F$306,"Approved")&gt;0,"A",""))="A","A",IF(OR(DATE($B$3,9,24)&gt;EOMONTH(DATE($B$3,9,1),0),NETWORKDAYS.INTL(DATE($B$3,9,24),DATE($B$3,9,24),1,'Non-working days'!$A$6:$A$45)=0),"",IF(COUNTIFS('Leave log'!$A$7:$A$306,Employees!$A$12,'Leave log'!$B$7:$B$306,"&lt;="&amp;DATE($B$3,9,24),'Leave log'!$C$7:$C$306,"&gt;="&amp;DATE($B$3,9,24),'Leave log'!$F$7:$F$306,"Pending")&gt;0,"P",""))))</f>
        <v/>
      </c>
      <c r="Z285" s="23" t="str">
        <f>IF(A285="","",IF(IF(OR(DATE($B$3,9,25)&gt;EOMONTH(DATE($B$3,9,1),0),NETWORKDAYS.INTL(DATE($B$3,9,25),DATE($B$3,9,25),1,'Non-working days'!$A$6:$A$45)=0),"",IF(COUNTIFS('Leave log'!$A$7:$A$306,Employees!$A$12,'Leave log'!$B$7:$B$306,"&lt;="&amp;DATE($B$3,9,25),'Leave log'!$C$7:$C$306,"&gt;="&amp;DATE($B$3,9,25),'Leave log'!$F$7:$F$306,"Approved")&gt;0,"A",""))="A","A",IF(OR(DATE($B$3,9,25)&gt;EOMONTH(DATE($B$3,9,1),0),NETWORKDAYS.INTL(DATE($B$3,9,25),DATE($B$3,9,25),1,'Non-working days'!$A$6:$A$45)=0),"",IF(COUNTIFS('Leave log'!$A$7:$A$306,Employees!$A$12,'Leave log'!$B$7:$B$306,"&lt;="&amp;DATE($B$3,9,25),'Leave log'!$C$7:$C$306,"&gt;="&amp;DATE($B$3,9,25),'Leave log'!$F$7:$F$306,"Pending")&gt;0,"P",""))))</f>
        <v/>
      </c>
      <c r="AA285" s="23" t="str">
        <f>IF(A285="","",IF(IF(OR(DATE($B$3,9,26)&gt;EOMONTH(DATE($B$3,9,1),0),NETWORKDAYS.INTL(DATE($B$3,9,26),DATE($B$3,9,26),1,'Non-working days'!$A$6:$A$45)=0),"",IF(COUNTIFS('Leave log'!$A$7:$A$306,Employees!$A$12,'Leave log'!$B$7:$B$306,"&lt;="&amp;DATE($B$3,9,26),'Leave log'!$C$7:$C$306,"&gt;="&amp;DATE($B$3,9,26),'Leave log'!$F$7:$F$306,"Approved")&gt;0,"A",""))="A","A",IF(OR(DATE($B$3,9,26)&gt;EOMONTH(DATE($B$3,9,1),0),NETWORKDAYS.INTL(DATE($B$3,9,26),DATE($B$3,9,26),1,'Non-working days'!$A$6:$A$45)=0),"",IF(COUNTIFS('Leave log'!$A$7:$A$306,Employees!$A$12,'Leave log'!$B$7:$B$306,"&lt;="&amp;DATE($B$3,9,26),'Leave log'!$C$7:$C$306,"&gt;="&amp;DATE($B$3,9,26),'Leave log'!$F$7:$F$306,"Pending")&gt;0,"P",""))))</f>
        <v/>
      </c>
      <c r="AB285" s="23" t="str">
        <f>IF(A285="","",IF(IF(OR(DATE($B$3,9,27)&gt;EOMONTH(DATE($B$3,9,1),0),NETWORKDAYS.INTL(DATE($B$3,9,27),DATE($B$3,9,27),1,'Non-working days'!$A$6:$A$45)=0),"",IF(COUNTIFS('Leave log'!$A$7:$A$306,Employees!$A$12,'Leave log'!$B$7:$B$306,"&lt;="&amp;DATE($B$3,9,27),'Leave log'!$C$7:$C$306,"&gt;="&amp;DATE($B$3,9,27),'Leave log'!$F$7:$F$306,"Approved")&gt;0,"A",""))="A","A",IF(OR(DATE($B$3,9,27)&gt;EOMONTH(DATE($B$3,9,1),0),NETWORKDAYS.INTL(DATE($B$3,9,27),DATE($B$3,9,27),1,'Non-working days'!$A$6:$A$45)=0),"",IF(COUNTIFS('Leave log'!$A$7:$A$306,Employees!$A$12,'Leave log'!$B$7:$B$306,"&lt;="&amp;DATE($B$3,9,27),'Leave log'!$C$7:$C$306,"&gt;="&amp;DATE($B$3,9,27),'Leave log'!$F$7:$F$306,"Pending")&gt;0,"P",""))))</f>
        <v/>
      </c>
      <c r="AC285" s="23" t="str">
        <f>IF(A285="","",IF(IF(OR(DATE($B$3,9,28)&gt;EOMONTH(DATE($B$3,9,1),0),NETWORKDAYS.INTL(DATE($B$3,9,28),DATE($B$3,9,28),1,'Non-working days'!$A$6:$A$45)=0),"",IF(COUNTIFS('Leave log'!$A$7:$A$306,Employees!$A$12,'Leave log'!$B$7:$B$306,"&lt;="&amp;DATE($B$3,9,28),'Leave log'!$C$7:$C$306,"&gt;="&amp;DATE($B$3,9,28),'Leave log'!$F$7:$F$306,"Approved")&gt;0,"A",""))="A","A",IF(OR(DATE($B$3,9,28)&gt;EOMONTH(DATE($B$3,9,1),0),NETWORKDAYS.INTL(DATE($B$3,9,28),DATE($B$3,9,28),1,'Non-working days'!$A$6:$A$45)=0),"",IF(COUNTIFS('Leave log'!$A$7:$A$306,Employees!$A$12,'Leave log'!$B$7:$B$306,"&lt;="&amp;DATE($B$3,9,28),'Leave log'!$C$7:$C$306,"&gt;="&amp;DATE($B$3,9,28),'Leave log'!$F$7:$F$306,"Pending")&gt;0,"P",""))))</f>
        <v/>
      </c>
      <c r="AD285" s="23" t="str">
        <f>IF(A285="","",IF(IF(OR(DATE($B$3,9,29)&gt;EOMONTH(DATE($B$3,9,1),0),NETWORKDAYS.INTL(DATE($B$3,9,29),DATE($B$3,9,29),1,'Non-working days'!$A$6:$A$45)=0),"",IF(COUNTIFS('Leave log'!$A$7:$A$306,Employees!$A$12,'Leave log'!$B$7:$B$306,"&lt;="&amp;DATE($B$3,9,29),'Leave log'!$C$7:$C$306,"&gt;="&amp;DATE($B$3,9,29),'Leave log'!$F$7:$F$306,"Approved")&gt;0,"A",""))="A","A",IF(OR(DATE($B$3,9,29)&gt;EOMONTH(DATE($B$3,9,1),0),NETWORKDAYS.INTL(DATE($B$3,9,29),DATE($B$3,9,29),1,'Non-working days'!$A$6:$A$45)=0),"",IF(COUNTIFS('Leave log'!$A$7:$A$306,Employees!$A$12,'Leave log'!$B$7:$B$306,"&lt;="&amp;DATE($B$3,9,29),'Leave log'!$C$7:$C$306,"&gt;="&amp;DATE($B$3,9,29),'Leave log'!$F$7:$F$306,"Pending")&gt;0,"P",""))))</f>
        <v/>
      </c>
      <c r="AE285" s="23" t="str">
        <f>IF(A285="","",IF(IF(OR(DATE($B$3,9,30)&gt;EOMONTH(DATE($B$3,9,1),0),NETWORKDAYS.INTL(DATE($B$3,9,30),DATE($B$3,9,30),1,'Non-working days'!$A$6:$A$45)=0),"",IF(COUNTIFS('Leave log'!$A$7:$A$306,Employees!$A$12,'Leave log'!$B$7:$B$306,"&lt;="&amp;DATE($B$3,9,30),'Leave log'!$C$7:$C$306,"&gt;="&amp;DATE($B$3,9,30),'Leave log'!$F$7:$F$306,"Approved")&gt;0,"A",""))="A","A",IF(OR(DATE($B$3,9,30)&gt;EOMONTH(DATE($B$3,9,1),0),NETWORKDAYS.INTL(DATE($B$3,9,30),DATE($B$3,9,30),1,'Non-working days'!$A$6:$A$45)=0),"",IF(COUNTIFS('Leave log'!$A$7:$A$306,Employees!$A$12,'Leave log'!$B$7:$B$306,"&lt;="&amp;DATE($B$3,9,30),'Leave log'!$C$7:$C$306,"&gt;="&amp;DATE($B$3,9,30),'Leave log'!$F$7:$F$306,"Pending")&gt;0,"P",""))))</f>
        <v/>
      </c>
      <c r="AF285" s="23" t="str">
        <f>IF(A285="","",IF(IF(OR(DATE($B$3,9,31)&gt;EOMONTH(DATE($B$3,9,1),0),NETWORKDAYS.INTL(DATE($B$3,9,31),DATE($B$3,9,31),1,'Non-working days'!$A$6:$A$45)=0),"",IF(COUNTIFS('Leave log'!$A$7:$A$306,Employees!$A$12,'Leave log'!$B$7:$B$306,"&lt;="&amp;DATE($B$3,9,31),'Leave log'!$C$7:$C$306,"&gt;="&amp;DATE($B$3,9,31),'Leave log'!$F$7:$F$306,"Approved")&gt;0,"A",""))="A","A",IF(OR(DATE($B$3,9,31)&gt;EOMONTH(DATE($B$3,9,1),0),NETWORKDAYS.INTL(DATE($B$3,9,31),DATE($B$3,9,31),1,'Non-working days'!$A$6:$A$45)=0),"",IF(COUNTIFS('Leave log'!$A$7:$A$306,Employees!$A$12,'Leave log'!$B$7:$B$306,"&lt;="&amp;DATE($B$3,9,31),'Leave log'!$C$7:$C$306,"&gt;="&amp;DATE($B$3,9,31),'Leave log'!$F$7:$F$306,"Pending")&gt;0,"P",""))))</f>
        <v/>
      </c>
    </row>
    <row r="286" spans="1:32" ht="18" customHeight="1" x14ac:dyDescent="0.3">
      <c r="A286" s="22" t="str">
        <f>IF(Employees!F13="Yes",Employees!B13,"")</f>
        <v/>
      </c>
      <c r="B286" s="23" t="str">
        <f>IF(A286="","",IF(IF(OR(DATE($B$3,9,1)&gt;EOMONTH(DATE($B$3,9,1),0),NETWORKDAYS.INTL(DATE($B$3,9,1),DATE($B$3,9,1),1,'Non-working days'!$A$6:$A$45)=0),"",IF(COUNTIFS('Leave log'!$A$7:$A$306,Employees!$A$13,'Leave log'!$B$7:$B$306,"&lt;="&amp;DATE($B$3,9,1),'Leave log'!$C$7:$C$306,"&gt;="&amp;DATE($B$3,9,1),'Leave log'!$F$7:$F$306,"Approved")&gt;0,"A",""))="A","A",IF(OR(DATE($B$3,9,1)&gt;EOMONTH(DATE($B$3,9,1),0),NETWORKDAYS.INTL(DATE($B$3,9,1),DATE($B$3,9,1),1,'Non-working days'!$A$6:$A$45)=0),"",IF(COUNTIFS('Leave log'!$A$7:$A$306,Employees!$A$13,'Leave log'!$B$7:$B$306,"&lt;="&amp;DATE($B$3,9,1),'Leave log'!$C$7:$C$306,"&gt;="&amp;DATE($B$3,9,1),'Leave log'!$F$7:$F$306,"Pending")&gt;0,"P",""))))</f>
        <v/>
      </c>
      <c r="C286" s="23" t="str">
        <f>IF(A286="","",IF(IF(OR(DATE($B$3,9,2)&gt;EOMONTH(DATE($B$3,9,1),0),NETWORKDAYS.INTL(DATE($B$3,9,2),DATE($B$3,9,2),1,'Non-working days'!$A$6:$A$45)=0),"",IF(COUNTIFS('Leave log'!$A$7:$A$306,Employees!$A$13,'Leave log'!$B$7:$B$306,"&lt;="&amp;DATE($B$3,9,2),'Leave log'!$C$7:$C$306,"&gt;="&amp;DATE($B$3,9,2),'Leave log'!$F$7:$F$306,"Approved")&gt;0,"A",""))="A","A",IF(OR(DATE($B$3,9,2)&gt;EOMONTH(DATE($B$3,9,1),0),NETWORKDAYS.INTL(DATE($B$3,9,2),DATE($B$3,9,2),1,'Non-working days'!$A$6:$A$45)=0),"",IF(COUNTIFS('Leave log'!$A$7:$A$306,Employees!$A$13,'Leave log'!$B$7:$B$306,"&lt;="&amp;DATE($B$3,9,2),'Leave log'!$C$7:$C$306,"&gt;="&amp;DATE($B$3,9,2),'Leave log'!$F$7:$F$306,"Pending")&gt;0,"P",""))))</f>
        <v/>
      </c>
      <c r="D286" s="23" t="str">
        <f>IF(A286="","",IF(IF(OR(DATE($B$3,9,3)&gt;EOMONTH(DATE($B$3,9,1),0),NETWORKDAYS.INTL(DATE($B$3,9,3),DATE($B$3,9,3),1,'Non-working days'!$A$6:$A$45)=0),"",IF(COUNTIFS('Leave log'!$A$7:$A$306,Employees!$A$13,'Leave log'!$B$7:$B$306,"&lt;="&amp;DATE($B$3,9,3),'Leave log'!$C$7:$C$306,"&gt;="&amp;DATE($B$3,9,3),'Leave log'!$F$7:$F$306,"Approved")&gt;0,"A",""))="A","A",IF(OR(DATE($B$3,9,3)&gt;EOMONTH(DATE($B$3,9,1),0),NETWORKDAYS.INTL(DATE($B$3,9,3),DATE($B$3,9,3),1,'Non-working days'!$A$6:$A$45)=0),"",IF(COUNTIFS('Leave log'!$A$7:$A$306,Employees!$A$13,'Leave log'!$B$7:$B$306,"&lt;="&amp;DATE($B$3,9,3),'Leave log'!$C$7:$C$306,"&gt;="&amp;DATE($B$3,9,3),'Leave log'!$F$7:$F$306,"Pending")&gt;0,"P",""))))</f>
        <v/>
      </c>
      <c r="E286" s="23" t="str">
        <f>IF(A286="","",IF(IF(OR(DATE($B$3,9,4)&gt;EOMONTH(DATE($B$3,9,1),0),NETWORKDAYS.INTL(DATE($B$3,9,4),DATE($B$3,9,4),1,'Non-working days'!$A$6:$A$45)=0),"",IF(COUNTIFS('Leave log'!$A$7:$A$306,Employees!$A$13,'Leave log'!$B$7:$B$306,"&lt;="&amp;DATE($B$3,9,4),'Leave log'!$C$7:$C$306,"&gt;="&amp;DATE($B$3,9,4),'Leave log'!$F$7:$F$306,"Approved")&gt;0,"A",""))="A","A",IF(OR(DATE($B$3,9,4)&gt;EOMONTH(DATE($B$3,9,1),0),NETWORKDAYS.INTL(DATE($B$3,9,4),DATE($B$3,9,4),1,'Non-working days'!$A$6:$A$45)=0),"",IF(COUNTIFS('Leave log'!$A$7:$A$306,Employees!$A$13,'Leave log'!$B$7:$B$306,"&lt;="&amp;DATE($B$3,9,4),'Leave log'!$C$7:$C$306,"&gt;="&amp;DATE($B$3,9,4),'Leave log'!$F$7:$F$306,"Pending")&gt;0,"P",""))))</f>
        <v/>
      </c>
      <c r="F286" s="23" t="str">
        <f>IF(A286="","",IF(IF(OR(DATE($B$3,9,5)&gt;EOMONTH(DATE($B$3,9,1),0),NETWORKDAYS.INTL(DATE($B$3,9,5),DATE($B$3,9,5),1,'Non-working days'!$A$6:$A$45)=0),"",IF(COUNTIFS('Leave log'!$A$7:$A$306,Employees!$A$13,'Leave log'!$B$7:$B$306,"&lt;="&amp;DATE($B$3,9,5),'Leave log'!$C$7:$C$306,"&gt;="&amp;DATE($B$3,9,5),'Leave log'!$F$7:$F$306,"Approved")&gt;0,"A",""))="A","A",IF(OR(DATE($B$3,9,5)&gt;EOMONTH(DATE($B$3,9,1),0),NETWORKDAYS.INTL(DATE($B$3,9,5),DATE($B$3,9,5),1,'Non-working days'!$A$6:$A$45)=0),"",IF(COUNTIFS('Leave log'!$A$7:$A$306,Employees!$A$13,'Leave log'!$B$7:$B$306,"&lt;="&amp;DATE($B$3,9,5),'Leave log'!$C$7:$C$306,"&gt;="&amp;DATE($B$3,9,5),'Leave log'!$F$7:$F$306,"Pending")&gt;0,"P",""))))</f>
        <v/>
      </c>
      <c r="G286" s="23" t="str">
        <f>IF(A286="","",IF(IF(OR(DATE($B$3,9,6)&gt;EOMONTH(DATE($B$3,9,1),0),NETWORKDAYS.INTL(DATE($B$3,9,6),DATE($B$3,9,6),1,'Non-working days'!$A$6:$A$45)=0),"",IF(COUNTIFS('Leave log'!$A$7:$A$306,Employees!$A$13,'Leave log'!$B$7:$B$306,"&lt;="&amp;DATE($B$3,9,6),'Leave log'!$C$7:$C$306,"&gt;="&amp;DATE($B$3,9,6),'Leave log'!$F$7:$F$306,"Approved")&gt;0,"A",""))="A","A",IF(OR(DATE($B$3,9,6)&gt;EOMONTH(DATE($B$3,9,1),0),NETWORKDAYS.INTL(DATE($B$3,9,6),DATE($B$3,9,6),1,'Non-working days'!$A$6:$A$45)=0),"",IF(COUNTIFS('Leave log'!$A$7:$A$306,Employees!$A$13,'Leave log'!$B$7:$B$306,"&lt;="&amp;DATE($B$3,9,6),'Leave log'!$C$7:$C$306,"&gt;="&amp;DATE($B$3,9,6),'Leave log'!$F$7:$F$306,"Pending")&gt;0,"P",""))))</f>
        <v/>
      </c>
      <c r="H286" s="23" t="str">
        <f>IF(A286="","",IF(IF(OR(DATE($B$3,9,7)&gt;EOMONTH(DATE($B$3,9,1),0),NETWORKDAYS.INTL(DATE($B$3,9,7),DATE($B$3,9,7),1,'Non-working days'!$A$6:$A$45)=0),"",IF(COUNTIFS('Leave log'!$A$7:$A$306,Employees!$A$13,'Leave log'!$B$7:$B$306,"&lt;="&amp;DATE($B$3,9,7),'Leave log'!$C$7:$C$306,"&gt;="&amp;DATE($B$3,9,7),'Leave log'!$F$7:$F$306,"Approved")&gt;0,"A",""))="A","A",IF(OR(DATE($B$3,9,7)&gt;EOMONTH(DATE($B$3,9,1),0),NETWORKDAYS.INTL(DATE($B$3,9,7),DATE($B$3,9,7),1,'Non-working days'!$A$6:$A$45)=0),"",IF(COUNTIFS('Leave log'!$A$7:$A$306,Employees!$A$13,'Leave log'!$B$7:$B$306,"&lt;="&amp;DATE($B$3,9,7),'Leave log'!$C$7:$C$306,"&gt;="&amp;DATE($B$3,9,7),'Leave log'!$F$7:$F$306,"Pending")&gt;0,"P",""))))</f>
        <v/>
      </c>
      <c r="I286" s="23" t="str">
        <f>IF(A286="","",IF(IF(OR(DATE($B$3,9,8)&gt;EOMONTH(DATE($B$3,9,1),0),NETWORKDAYS.INTL(DATE($B$3,9,8),DATE($B$3,9,8),1,'Non-working days'!$A$6:$A$45)=0),"",IF(COUNTIFS('Leave log'!$A$7:$A$306,Employees!$A$13,'Leave log'!$B$7:$B$306,"&lt;="&amp;DATE($B$3,9,8),'Leave log'!$C$7:$C$306,"&gt;="&amp;DATE($B$3,9,8),'Leave log'!$F$7:$F$306,"Approved")&gt;0,"A",""))="A","A",IF(OR(DATE($B$3,9,8)&gt;EOMONTH(DATE($B$3,9,1),0),NETWORKDAYS.INTL(DATE($B$3,9,8),DATE($B$3,9,8),1,'Non-working days'!$A$6:$A$45)=0),"",IF(COUNTIFS('Leave log'!$A$7:$A$306,Employees!$A$13,'Leave log'!$B$7:$B$306,"&lt;="&amp;DATE($B$3,9,8),'Leave log'!$C$7:$C$306,"&gt;="&amp;DATE($B$3,9,8),'Leave log'!$F$7:$F$306,"Pending")&gt;0,"P",""))))</f>
        <v/>
      </c>
      <c r="J286" s="23" t="str">
        <f>IF(A286="","",IF(IF(OR(DATE($B$3,9,9)&gt;EOMONTH(DATE($B$3,9,1),0),NETWORKDAYS.INTL(DATE($B$3,9,9),DATE($B$3,9,9),1,'Non-working days'!$A$6:$A$45)=0),"",IF(COUNTIFS('Leave log'!$A$7:$A$306,Employees!$A$13,'Leave log'!$B$7:$B$306,"&lt;="&amp;DATE($B$3,9,9),'Leave log'!$C$7:$C$306,"&gt;="&amp;DATE($B$3,9,9),'Leave log'!$F$7:$F$306,"Approved")&gt;0,"A",""))="A","A",IF(OR(DATE($B$3,9,9)&gt;EOMONTH(DATE($B$3,9,1),0),NETWORKDAYS.INTL(DATE($B$3,9,9),DATE($B$3,9,9),1,'Non-working days'!$A$6:$A$45)=0),"",IF(COUNTIFS('Leave log'!$A$7:$A$306,Employees!$A$13,'Leave log'!$B$7:$B$306,"&lt;="&amp;DATE($B$3,9,9),'Leave log'!$C$7:$C$306,"&gt;="&amp;DATE($B$3,9,9),'Leave log'!$F$7:$F$306,"Pending")&gt;0,"P",""))))</f>
        <v/>
      </c>
      <c r="K286" s="23" t="str">
        <f>IF(A286="","",IF(IF(OR(DATE($B$3,9,10)&gt;EOMONTH(DATE($B$3,9,1),0),NETWORKDAYS.INTL(DATE($B$3,9,10),DATE($B$3,9,10),1,'Non-working days'!$A$6:$A$45)=0),"",IF(COUNTIFS('Leave log'!$A$7:$A$306,Employees!$A$13,'Leave log'!$B$7:$B$306,"&lt;="&amp;DATE($B$3,9,10),'Leave log'!$C$7:$C$306,"&gt;="&amp;DATE($B$3,9,10),'Leave log'!$F$7:$F$306,"Approved")&gt;0,"A",""))="A","A",IF(OR(DATE($B$3,9,10)&gt;EOMONTH(DATE($B$3,9,1),0),NETWORKDAYS.INTL(DATE($B$3,9,10),DATE($B$3,9,10),1,'Non-working days'!$A$6:$A$45)=0),"",IF(COUNTIFS('Leave log'!$A$7:$A$306,Employees!$A$13,'Leave log'!$B$7:$B$306,"&lt;="&amp;DATE($B$3,9,10),'Leave log'!$C$7:$C$306,"&gt;="&amp;DATE($B$3,9,10),'Leave log'!$F$7:$F$306,"Pending")&gt;0,"P",""))))</f>
        <v/>
      </c>
      <c r="L286" s="23" t="str">
        <f>IF(A286="","",IF(IF(OR(DATE($B$3,9,11)&gt;EOMONTH(DATE($B$3,9,1),0),NETWORKDAYS.INTL(DATE($B$3,9,11),DATE($B$3,9,11),1,'Non-working days'!$A$6:$A$45)=0),"",IF(COUNTIFS('Leave log'!$A$7:$A$306,Employees!$A$13,'Leave log'!$B$7:$B$306,"&lt;="&amp;DATE($B$3,9,11),'Leave log'!$C$7:$C$306,"&gt;="&amp;DATE($B$3,9,11),'Leave log'!$F$7:$F$306,"Approved")&gt;0,"A",""))="A","A",IF(OR(DATE($B$3,9,11)&gt;EOMONTH(DATE($B$3,9,1),0),NETWORKDAYS.INTL(DATE($B$3,9,11),DATE($B$3,9,11),1,'Non-working days'!$A$6:$A$45)=0),"",IF(COUNTIFS('Leave log'!$A$7:$A$306,Employees!$A$13,'Leave log'!$B$7:$B$306,"&lt;="&amp;DATE($B$3,9,11),'Leave log'!$C$7:$C$306,"&gt;="&amp;DATE($B$3,9,11),'Leave log'!$F$7:$F$306,"Pending")&gt;0,"P",""))))</f>
        <v/>
      </c>
      <c r="M286" s="23" t="str">
        <f>IF(A286="","",IF(IF(OR(DATE($B$3,9,12)&gt;EOMONTH(DATE($B$3,9,1),0),NETWORKDAYS.INTL(DATE($B$3,9,12),DATE($B$3,9,12),1,'Non-working days'!$A$6:$A$45)=0),"",IF(COUNTIFS('Leave log'!$A$7:$A$306,Employees!$A$13,'Leave log'!$B$7:$B$306,"&lt;="&amp;DATE($B$3,9,12),'Leave log'!$C$7:$C$306,"&gt;="&amp;DATE($B$3,9,12),'Leave log'!$F$7:$F$306,"Approved")&gt;0,"A",""))="A","A",IF(OR(DATE($B$3,9,12)&gt;EOMONTH(DATE($B$3,9,1),0),NETWORKDAYS.INTL(DATE($B$3,9,12),DATE($B$3,9,12),1,'Non-working days'!$A$6:$A$45)=0),"",IF(COUNTIFS('Leave log'!$A$7:$A$306,Employees!$A$13,'Leave log'!$B$7:$B$306,"&lt;="&amp;DATE($B$3,9,12),'Leave log'!$C$7:$C$306,"&gt;="&amp;DATE($B$3,9,12),'Leave log'!$F$7:$F$306,"Pending")&gt;0,"P",""))))</f>
        <v/>
      </c>
      <c r="N286" s="23" t="str">
        <f>IF(A286="","",IF(IF(OR(DATE($B$3,9,13)&gt;EOMONTH(DATE($B$3,9,1),0),NETWORKDAYS.INTL(DATE($B$3,9,13),DATE($B$3,9,13),1,'Non-working days'!$A$6:$A$45)=0),"",IF(COUNTIFS('Leave log'!$A$7:$A$306,Employees!$A$13,'Leave log'!$B$7:$B$306,"&lt;="&amp;DATE($B$3,9,13),'Leave log'!$C$7:$C$306,"&gt;="&amp;DATE($B$3,9,13),'Leave log'!$F$7:$F$306,"Approved")&gt;0,"A",""))="A","A",IF(OR(DATE($B$3,9,13)&gt;EOMONTH(DATE($B$3,9,1),0),NETWORKDAYS.INTL(DATE($B$3,9,13),DATE($B$3,9,13),1,'Non-working days'!$A$6:$A$45)=0),"",IF(COUNTIFS('Leave log'!$A$7:$A$306,Employees!$A$13,'Leave log'!$B$7:$B$306,"&lt;="&amp;DATE($B$3,9,13),'Leave log'!$C$7:$C$306,"&gt;="&amp;DATE($B$3,9,13),'Leave log'!$F$7:$F$306,"Pending")&gt;0,"P",""))))</f>
        <v/>
      </c>
      <c r="O286" s="23" t="str">
        <f>IF(A286="","",IF(IF(OR(DATE($B$3,9,14)&gt;EOMONTH(DATE($B$3,9,1),0),NETWORKDAYS.INTL(DATE($B$3,9,14),DATE($B$3,9,14),1,'Non-working days'!$A$6:$A$45)=0),"",IF(COUNTIFS('Leave log'!$A$7:$A$306,Employees!$A$13,'Leave log'!$B$7:$B$306,"&lt;="&amp;DATE($B$3,9,14),'Leave log'!$C$7:$C$306,"&gt;="&amp;DATE($B$3,9,14),'Leave log'!$F$7:$F$306,"Approved")&gt;0,"A",""))="A","A",IF(OR(DATE($B$3,9,14)&gt;EOMONTH(DATE($B$3,9,1),0),NETWORKDAYS.INTL(DATE($B$3,9,14),DATE($B$3,9,14),1,'Non-working days'!$A$6:$A$45)=0),"",IF(COUNTIFS('Leave log'!$A$7:$A$306,Employees!$A$13,'Leave log'!$B$7:$B$306,"&lt;="&amp;DATE($B$3,9,14),'Leave log'!$C$7:$C$306,"&gt;="&amp;DATE($B$3,9,14),'Leave log'!$F$7:$F$306,"Pending")&gt;0,"P",""))))</f>
        <v/>
      </c>
      <c r="P286" s="23" t="str">
        <f>IF(A286="","",IF(IF(OR(DATE($B$3,9,15)&gt;EOMONTH(DATE($B$3,9,1),0),NETWORKDAYS.INTL(DATE($B$3,9,15),DATE($B$3,9,15),1,'Non-working days'!$A$6:$A$45)=0),"",IF(COUNTIFS('Leave log'!$A$7:$A$306,Employees!$A$13,'Leave log'!$B$7:$B$306,"&lt;="&amp;DATE($B$3,9,15),'Leave log'!$C$7:$C$306,"&gt;="&amp;DATE($B$3,9,15),'Leave log'!$F$7:$F$306,"Approved")&gt;0,"A",""))="A","A",IF(OR(DATE($B$3,9,15)&gt;EOMONTH(DATE($B$3,9,1),0),NETWORKDAYS.INTL(DATE($B$3,9,15),DATE($B$3,9,15),1,'Non-working days'!$A$6:$A$45)=0),"",IF(COUNTIFS('Leave log'!$A$7:$A$306,Employees!$A$13,'Leave log'!$B$7:$B$306,"&lt;="&amp;DATE($B$3,9,15),'Leave log'!$C$7:$C$306,"&gt;="&amp;DATE($B$3,9,15),'Leave log'!$F$7:$F$306,"Pending")&gt;0,"P",""))))</f>
        <v/>
      </c>
      <c r="Q286" s="23" t="str">
        <f>IF(A286="","",IF(IF(OR(DATE($B$3,9,16)&gt;EOMONTH(DATE($B$3,9,1),0),NETWORKDAYS.INTL(DATE($B$3,9,16),DATE($B$3,9,16),1,'Non-working days'!$A$6:$A$45)=0),"",IF(COUNTIFS('Leave log'!$A$7:$A$306,Employees!$A$13,'Leave log'!$B$7:$B$306,"&lt;="&amp;DATE($B$3,9,16),'Leave log'!$C$7:$C$306,"&gt;="&amp;DATE($B$3,9,16),'Leave log'!$F$7:$F$306,"Approved")&gt;0,"A",""))="A","A",IF(OR(DATE($B$3,9,16)&gt;EOMONTH(DATE($B$3,9,1),0),NETWORKDAYS.INTL(DATE($B$3,9,16),DATE($B$3,9,16),1,'Non-working days'!$A$6:$A$45)=0),"",IF(COUNTIFS('Leave log'!$A$7:$A$306,Employees!$A$13,'Leave log'!$B$7:$B$306,"&lt;="&amp;DATE($B$3,9,16),'Leave log'!$C$7:$C$306,"&gt;="&amp;DATE($B$3,9,16),'Leave log'!$F$7:$F$306,"Pending")&gt;0,"P",""))))</f>
        <v/>
      </c>
      <c r="R286" s="23" t="str">
        <f>IF(A286="","",IF(IF(OR(DATE($B$3,9,17)&gt;EOMONTH(DATE($B$3,9,1),0),NETWORKDAYS.INTL(DATE($B$3,9,17),DATE($B$3,9,17),1,'Non-working days'!$A$6:$A$45)=0),"",IF(COUNTIFS('Leave log'!$A$7:$A$306,Employees!$A$13,'Leave log'!$B$7:$B$306,"&lt;="&amp;DATE($B$3,9,17),'Leave log'!$C$7:$C$306,"&gt;="&amp;DATE($B$3,9,17),'Leave log'!$F$7:$F$306,"Approved")&gt;0,"A",""))="A","A",IF(OR(DATE($B$3,9,17)&gt;EOMONTH(DATE($B$3,9,1),0),NETWORKDAYS.INTL(DATE($B$3,9,17),DATE($B$3,9,17),1,'Non-working days'!$A$6:$A$45)=0),"",IF(COUNTIFS('Leave log'!$A$7:$A$306,Employees!$A$13,'Leave log'!$B$7:$B$306,"&lt;="&amp;DATE($B$3,9,17),'Leave log'!$C$7:$C$306,"&gt;="&amp;DATE($B$3,9,17),'Leave log'!$F$7:$F$306,"Pending")&gt;0,"P",""))))</f>
        <v/>
      </c>
      <c r="S286" s="23" t="str">
        <f>IF(A286="","",IF(IF(OR(DATE($B$3,9,18)&gt;EOMONTH(DATE($B$3,9,1),0),NETWORKDAYS.INTL(DATE($B$3,9,18),DATE($B$3,9,18),1,'Non-working days'!$A$6:$A$45)=0),"",IF(COUNTIFS('Leave log'!$A$7:$A$306,Employees!$A$13,'Leave log'!$B$7:$B$306,"&lt;="&amp;DATE($B$3,9,18),'Leave log'!$C$7:$C$306,"&gt;="&amp;DATE($B$3,9,18),'Leave log'!$F$7:$F$306,"Approved")&gt;0,"A",""))="A","A",IF(OR(DATE($B$3,9,18)&gt;EOMONTH(DATE($B$3,9,1),0),NETWORKDAYS.INTL(DATE($B$3,9,18),DATE($B$3,9,18),1,'Non-working days'!$A$6:$A$45)=0),"",IF(COUNTIFS('Leave log'!$A$7:$A$306,Employees!$A$13,'Leave log'!$B$7:$B$306,"&lt;="&amp;DATE($B$3,9,18),'Leave log'!$C$7:$C$306,"&gt;="&amp;DATE($B$3,9,18),'Leave log'!$F$7:$F$306,"Pending")&gt;0,"P",""))))</f>
        <v/>
      </c>
      <c r="T286" s="23" t="str">
        <f>IF(A286="","",IF(IF(OR(DATE($B$3,9,19)&gt;EOMONTH(DATE($B$3,9,1),0),NETWORKDAYS.INTL(DATE($B$3,9,19),DATE($B$3,9,19),1,'Non-working days'!$A$6:$A$45)=0),"",IF(COUNTIFS('Leave log'!$A$7:$A$306,Employees!$A$13,'Leave log'!$B$7:$B$306,"&lt;="&amp;DATE($B$3,9,19),'Leave log'!$C$7:$C$306,"&gt;="&amp;DATE($B$3,9,19),'Leave log'!$F$7:$F$306,"Approved")&gt;0,"A",""))="A","A",IF(OR(DATE($B$3,9,19)&gt;EOMONTH(DATE($B$3,9,1),0),NETWORKDAYS.INTL(DATE($B$3,9,19),DATE($B$3,9,19),1,'Non-working days'!$A$6:$A$45)=0),"",IF(COUNTIFS('Leave log'!$A$7:$A$306,Employees!$A$13,'Leave log'!$B$7:$B$306,"&lt;="&amp;DATE($B$3,9,19),'Leave log'!$C$7:$C$306,"&gt;="&amp;DATE($B$3,9,19),'Leave log'!$F$7:$F$306,"Pending")&gt;0,"P",""))))</f>
        <v/>
      </c>
      <c r="U286" s="23" t="str">
        <f>IF(A286="","",IF(IF(OR(DATE($B$3,9,20)&gt;EOMONTH(DATE($B$3,9,1),0),NETWORKDAYS.INTL(DATE($B$3,9,20),DATE($B$3,9,20),1,'Non-working days'!$A$6:$A$45)=0),"",IF(COUNTIFS('Leave log'!$A$7:$A$306,Employees!$A$13,'Leave log'!$B$7:$B$306,"&lt;="&amp;DATE($B$3,9,20),'Leave log'!$C$7:$C$306,"&gt;="&amp;DATE($B$3,9,20),'Leave log'!$F$7:$F$306,"Approved")&gt;0,"A",""))="A","A",IF(OR(DATE($B$3,9,20)&gt;EOMONTH(DATE($B$3,9,1),0),NETWORKDAYS.INTL(DATE($B$3,9,20),DATE($B$3,9,20),1,'Non-working days'!$A$6:$A$45)=0),"",IF(COUNTIFS('Leave log'!$A$7:$A$306,Employees!$A$13,'Leave log'!$B$7:$B$306,"&lt;="&amp;DATE($B$3,9,20),'Leave log'!$C$7:$C$306,"&gt;="&amp;DATE($B$3,9,20),'Leave log'!$F$7:$F$306,"Pending")&gt;0,"P",""))))</f>
        <v/>
      </c>
      <c r="V286" s="23" t="str">
        <f>IF(A286="","",IF(IF(OR(DATE($B$3,9,21)&gt;EOMONTH(DATE($B$3,9,1),0),NETWORKDAYS.INTL(DATE($B$3,9,21),DATE($B$3,9,21),1,'Non-working days'!$A$6:$A$45)=0),"",IF(COUNTIFS('Leave log'!$A$7:$A$306,Employees!$A$13,'Leave log'!$B$7:$B$306,"&lt;="&amp;DATE($B$3,9,21),'Leave log'!$C$7:$C$306,"&gt;="&amp;DATE($B$3,9,21),'Leave log'!$F$7:$F$306,"Approved")&gt;0,"A",""))="A","A",IF(OR(DATE($B$3,9,21)&gt;EOMONTH(DATE($B$3,9,1),0),NETWORKDAYS.INTL(DATE($B$3,9,21),DATE($B$3,9,21),1,'Non-working days'!$A$6:$A$45)=0),"",IF(COUNTIFS('Leave log'!$A$7:$A$306,Employees!$A$13,'Leave log'!$B$7:$B$306,"&lt;="&amp;DATE($B$3,9,21),'Leave log'!$C$7:$C$306,"&gt;="&amp;DATE($B$3,9,21),'Leave log'!$F$7:$F$306,"Pending")&gt;0,"P",""))))</f>
        <v/>
      </c>
      <c r="W286" s="23" t="str">
        <f>IF(A286="","",IF(IF(OR(DATE($B$3,9,22)&gt;EOMONTH(DATE($B$3,9,1),0),NETWORKDAYS.INTL(DATE($B$3,9,22),DATE($B$3,9,22),1,'Non-working days'!$A$6:$A$45)=0),"",IF(COUNTIFS('Leave log'!$A$7:$A$306,Employees!$A$13,'Leave log'!$B$7:$B$306,"&lt;="&amp;DATE($B$3,9,22),'Leave log'!$C$7:$C$306,"&gt;="&amp;DATE($B$3,9,22),'Leave log'!$F$7:$F$306,"Approved")&gt;0,"A",""))="A","A",IF(OR(DATE($B$3,9,22)&gt;EOMONTH(DATE($B$3,9,1),0),NETWORKDAYS.INTL(DATE($B$3,9,22),DATE($B$3,9,22),1,'Non-working days'!$A$6:$A$45)=0),"",IF(COUNTIFS('Leave log'!$A$7:$A$306,Employees!$A$13,'Leave log'!$B$7:$B$306,"&lt;="&amp;DATE($B$3,9,22),'Leave log'!$C$7:$C$306,"&gt;="&amp;DATE($B$3,9,22),'Leave log'!$F$7:$F$306,"Pending")&gt;0,"P",""))))</f>
        <v/>
      </c>
      <c r="X286" s="23" t="str">
        <f>IF(A286="","",IF(IF(OR(DATE($B$3,9,23)&gt;EOMONTH(DATE($B$3,9,1),0),NETWORKDAYS.INTL(DATE($B$3,9,23),DATE($B$3,9,23),1,'Non-working days'!$A$6:$A$45)=0),"",IF(COUNTIFS('Leave log'!$A$7:$A$306,Employees!$A$13,'Leave log'!$B$7:$B$306,"&lt;="&amp;DATE($B$3,9,23),'Leave log'!$C$7:$C$306,"&gt;="&amp;DATE($B$3,9,23),'Leave log'!$F$7:$F$306,"Approved")&gt;0,"A",""))="A","A",IF(OR(DATE($B$3,9,23)&gt;EOMONTH(DATE($B$3,9,1),0),NETWORKDAYS.INTL(DATE($B$3,9,23),DATE($B$3,9,23),1,'Non-working days'!$A$6:$A$45)=0),"",IF(COUNTIFS('Leave log'!$A$7:$A$306,Employees!$A$13,'Leave log'!$B$7:$B$306,"&lt;="&amp;DATE($B$3,9,23),'Leave log'!$C$7:$C$306,"&gt;="&amp;DATE($B$3,9,23),'Leave log'!$F$7:$F$306,"Pending")&gt;0,"P",""))))</f>
        <v/>
      </c>
      <c r="Y286" s="23" t="str">
        <f>IF(A286="","",IF(IF(OR(DATE($B$3,9,24)&gt;EOMONTH(DATE($B$3,9,1),0),NETWORKDAYS.INTL(DATE($B$3,9,24),DATE($B$3,9,24),1,'Non-working days'!$A$6:$A$45)=0),"",IF(COUNTIFS('Leave log'!$A$7:$A$306,Employees!$A$13,'Leave log'!$B$7:$B$306,"&lt;="&amp;DATE($B$3,9,24),'Leave log'!$C$7:$C$306,"&gt;="&amp;DATE($B$3,9,24),'Leave log'!$F$7:$F$306,"Approved")&gt;0,"A",""))="A","A",IF(OR(DATE($B$3,9,24)&gt;EOMONTH(DATE($B$3,9,1),0),NETWORKDAYS.INTL(DATE($B$3,9,24),DATE($B$3,9,24),1,'Non-working days'!$A$6:$A$45)=0),"",IF(COUNTIFS('Leave log'!$A$7:$A$306,Employees!$A$13,'Leave log'!$B$7:$B$306,"&lt;="&amp;DATE($B$3,9,24),'Leave log'!$C$7:$C$306,"&gt;="&amp;DATE($B$3,9,24),'Leave log'!$F$7:$F$306,"Pending")&gt;0,"P",""))))</f>
        <v/>
      </c>
      <c r="Z286" s="23" t="str">
        <f>IF(A286="","",IF(IF(OR(DATE($B$3,9,25)&gt;EOMONTH(DATE($B$3,9,1),0),NETWORKDAYS.INTL(DATE($B$3,9,25),DATE($B$3,9,25),1,'Non-working days'!$A$6:$A$45)=0),"",IF(COUNTIFS('Leave log'!$A$7:$A$306,Employees!$A$13,'Leave log'!$B$7:$B$306,"&lt;="&amp;DATE($B$3,9,25),'Leave log'!$C$7:$C$306,"&gt;="&amp;DATE($B$3,9,25),'Leave log'!$F$7:$F$306,"Approved")&gt;0,"A",""))="A","A",IF(OR(DATE($B$3,9,25)&gt;EOMONTH(DATE($B$3,9,1),0),NETWORKDAYS.INTL(DATE($B$3,9,25),DATE($B$3,9,25),1,'Non-working days'!$A$6:$A$45)=0),"",IF(COUNTIFS('Leave log'!$A$7:$A$306,Employees!$A$13,'Leave log'!$B$7:$B$306,"&lt;="&amp;DATE($B$3,9,25),'Leave log'!$C$7:$C$306,"&gt;="&amp;DATE($B$3,9,25),'Leave log'!$F$7:$F$306,"Pending")&gt;0,"P",""))))</f>
        <v/>
      </c>
      <c r="AA286" s="23" t="str">
        <f>IF(A286="","",IF(IF(OR(DATE($B$3,9,26)&gt;EOMONTH(DATE($B$3,9,1),0),NETWORKDAYS.INTL(DATE($B$3,9,26),DATE($B$3,9,26),1,'Non-working days'!$A$6:$A$45)=0),"",IF(COUNTIFS('Leave log'!$A$7:$A$306,Employees!$A$13,'Leave log'!$B$7:$B$306,"&lt;="&amp;DATE($B$3,9,26),'Leave log'!$C$7:$C$306,"&gt;="&amp;DATE($B$3,9,26),'Leave log'!$F$7:$F$306,"Approved")&gt;0,"A",""))="A","A",IF(OR(DATE($B$3,9,26)&gt;EOMONTH(DATE($B$3,9,1),0),NETWORKDAYS.INTL(DATE($B$3,9,26),DATE($B$3,9,26),1,'Non-working days'!$A$6:$A$45)=0),"",IF(COUNTIFS('Leave log'!$A$7:$A$306,Employees!$A$13,'Leave log'!$B$7:$B$306,"&lt;="&amp;DATE($B$3,9,26),'Leave log'!$C$7:$C$306,"&gt;="&amp;DATE($B$3,9,26),'Leave log'!$F$7:$F$306,"Pending")&gt;0,"P",""))))</f>
        <v/>
      </c>
      <c r="AB286" s="23" t="str">
        <f>IF(A286="","",IF(IF(OR(DATE($B$3,9,27)&gt;EOMONTH(DATE($B$3,9,1),0),NETWORKDAYS.INTL(DATE($B$3,9,27),DATE($B$3,9,27),1,'Non-working days'!$A$6:$A$45)=0),"",IF(COUNTIFS('Leave log'!$A$7:$A$306,Employees!$A$13,'Leave log'!$B$7:$B$306,"&lt;="&amp;DATE($B$3,9,27),'Leave log'!$C$7:$C$306,"&gt;="&amp;DATE($B$3,9,27),'Leave log'!$F$7:$F$306,"Approved")&gt;0,"A",""))="A","A",IF(OR(DATE($B$3,9,27)&gt;EOMONTH(DATE($B$3,9,1),0),NETWORKDAYS.INTL(DATE($B$3,9,27),DATE($B$3,9,27),1,'Non-working days'!$A$6:$A$45)=0),"",IF(COUNTIFS('Leave log'!$A$7:$A$306,Employees!$A$13,'Leave log'!$B$7:$B$306,"&lt;="&amp;DATE($B$3,9,27),'Leave log'!$C$7:$C$306,"&gt;="&amp;DATE($B$3,9,27),'Leave log'!$F$7:$F$306,"Pending")&gt;0,"P",""))))</f>
        <v/>
      </c>
      <c r="AC286" s="23" t="str">
        <f>IF(A286="","",IF(IF(OR(DATE($B$3,9,28)&gt;EOMONTH(DATE($B$3,9,1),0),NETWORKDAYS.INTL(DATE($B$3,9,28),DATE($B$3,9,28),1,'Non-working days'!$A$6:$A$45)=0),"",IF(COUNTIFS('Leave log'!$A$7:$A$306,Employees!$A$13,'Leave log'!$B$7:$B$306,"&lt;="&amp;DATE($B$3,9,28),'Leave log'!$C$7:$C$306,"&gt;="&amp;DATE($B$3,9,28),'Leave log'!$F$7:$F$306,"Approved")&gt;0,"A",""))="A","A",IF(OR(DATE($B$3,9,28)&gt;EOMONTH(DATE($B$3,9,1),0),NETWORKDAYS.INTL(DATE($B$3,9,28),DATE($B$3,9,28),1,'Non-working days'!$A$6:$A$45)=0),"",IF(COUNTIFS('Leave log'!$A$7:$A$306,Employees!$A$13,'Leave log'!$B$7:$B$306,"&lt;="&amp;DATE($B$3,9,28),'Leave log'!$C$7:$C$306,"&gt;="&amp;DATE($B$3,9,28),'Leave log'!$F$7:$F$306,"Pending")&gt;0,"P",""))))</f>
        <v/>
      </c>
      <c r="AD286" s="23" t="str">
        <f>IF(A286="","",IF(IF(OR(DATE($B$3,9,29)&gt;EOMONTH(DATE($B$3,9,1),0),NETWORKDAYS.INTL(DATE($B$3,9,29),DATE($B$3,9,29),1,'Non-working days'!$A$6:$A$45)=0),"",IF(COUNTIFS('Leave log'!$A$7:$A$306,Employees!$A$13,'Leave log'!$B$7:$B$306,"&lt;="&amp;DATE($B$3,9,29),'Leave log'!$C$7:$C$306,"&gt;="&amp;DATE($B$3,9,29),'Leave log'!$F$7:$F$306,"Approved")&gt;0,"A",""))="A","A",IF(OR(DATE($B$3,9,29)&gt;EOMONTH(DATE($B$3,9,1),0),NETWORKDAYS.INTL(DATE($B$3,9,29),DATE($B$3,9,29),1,'Non-working days'!$A$6:$A$45)=0),"",IF(COUNTIFS('Leave log'!$A$7:$A$306,Employees!$A$13,'Leave log'!$B$7:$B$306,"&lt;="&amp;DATE($B$3,9,29),'Leave log'!$C$7:$C$306,"&gt;="&amp;DATE($B$3,9,29),'Leave log'!$F$7:$F$306,"Pending")&gt;0,"P",""))))</f>
        <v/>
      </c>
      <c r="AE286" s="23" t="str">
        <f>IF(A286="","",IF(IF(OR(DATE($B$3,9,30)&gt;EOMONTH(DATE($B$3,9,1),0),NETWORKDAYS.INTL(DATE($B$3,9,30),DATE($B$3,9,30),1,'Non-working days'!$A$6:$A$45)=0),"",IF(COUNTIFS('Leave log'!$A$7:$A$306,Employees!$A$13,'Leave log'!$B$7:$B$306,"&lt;="&amp;DATE($B$3,9,30),'Leave log'!$C$7:$C$306,"&gt;="&amp;DATE($B$3,9,30),'Leave log'!$F$7:$F$306,"Approved")&gt;0,"A",""))="A","A",IF(OR(DATE($B$3,9,30)&gt;EOMONTH(DATE($B$3,9,1),0),NETWORKDAYS.INTL(DATE($B$3,9,30),DATE($B$3,9,30),1,'Non-working days'!$A$6:$A$45)=0),"",IF(COUNTIFS('Leave log'!$A$7:$A$306,Employees!$A$13,'Leave log'!$B$7:$B$306,"&lt;="&amp;DATE($B$3,9,30),'Leave log'!$C$7:$C$306,"&gt;="&amp;DATE($B$3,9,30),'Leave log'!$F$7:$F$306,"Pending")&gt;0,"P",""))))</f>
        <v/>
      </c>
      <c r="AF286" s="23" t="str">
        <f>IF(A286="","",IF(IF(OR(DATE($B$3,9,31)&gt;EOMONTH(DATE($B$3,9,1),0),NETWORKDAYS.INTL(DATE($B$3,9,31),DATE($B$3,9,31),1,'Non-working days'!$A$6:$A$45)=0),"",IF(COUNTIFS('Leave log'!$A$7:$A$306,Employees!$A$13,'Leave log'!$B$7:$B$306,"&lt;="&amp;DATE($B$3,9,31),'Leave log'!$C$7:$C$306,"&gt;="&amp;DATE($B$3,9,31),'Leave log'!$F$7:$F$306,"Approved")&gt;0,"A",""))="A","A",IF(OR(DATE($B$3,9,31)&gt;EOMONTH(DATE($B$3,9,1),0),NETWORKDAYS.INTL(DATE($B$3,9,31),DATE($B$3,9,31),1,'Non-working days'!$A$6:$A$45)=0),"",IF(COUNTIFS('Leave log'!$A$7:$A$306,Employees!$A$13,'Leave log'!$B$7:$B$306,"&lt;="&amp;DATE($B$3,9,31),'Leave log'!$C$7:$C$306,"&gt;="&amp;DATE($B$3,9,31),'Leave log'!$F$7:$F$306,"Pending")&gt;0,"P",""))))</f>
        <v/>
      </c>
    </row>
    <row r="287" spans="1:32" ht="18" customHeight="1" x14ac:dyDescent="0.3">
      <c r="A287" s="22" t="str">
        <f>IF(Employees!F14="Yes",Employees!B14,"")</f>
        <v/>
      </c>
      <c r="B287" s="23" t="str">
        <f>IF(A287="","",IF(IF(OR(DATE($B$3,9,1)&gt;EOMONTH(DATE($B$3,9,1),0),NETWORKDAYS.INTL(DATE($B$3,9,1),DATE($B$3,9,1),1,'Non-working days'!$A$6:$A$45)=0),"",IF(COUNTIFS('Leave log'!$A$7:$A$306,Employees!$A$14,'Leave log'!$B$7:$B$306,"&lt;="&amp;DATE($B$3,9,1),'Leave log'!$C$7:$C$306,"&gt;="&amp;DATE($B$3,9,1),'Leave log'!$F$7:$F$306,"Approved")&gt;0,"A",""))="A","A",IF(OR(DATE($B$3,9,1)&gt;EOMONTH(DATE($B$3,9,1),0),NETWORKDAYS.INTL(DATE($B$3,9,1),DATE($B$3,9,1),1,'Non-working days'!$A$6:$A$45)=0),"",IF(COUNTIFS('Leave log'!$A$7:$A$306,Employees!$A$14,'Leave log'!$B$7:$B$306,"&lt;="&amp;DATE($B$3,9,1),'Leave log'!$C$7:$C$306,"&gt;="&amp;DATE($B$3,9,1),'Leave log'!$F$7:$F$306,"Pending")&gt;0,"P",""))))</f>
        <v/>
      </c>
      <c r="C287" s="23" t="str">
        <f>IF(A287="","",IF(IF(OR(DATE($B$3,9,2)&gt;EOMONTH(DATE($B$3,9,1),0),NETWORKDAYS.INTL(DATE($B$3,9,2),DATE($B$3,9,2),1,'Non-working days'!$A$6:$A$45)=0),"",IF(COUNTIFS('Leave log'!$A$7:$A$306,Employees!$A$14,'Leave log'!$B$7:$B$306,"&lt;="&amp;DATE($B$3,9,2),'Leave log'!$C$7:$C$306,"&gt;="&amp;DATE($B$3,9,2),'Leave log'!$F$7:$F$306,"Approved")&gt;0,"A",""))="A","A",IF(OR(DATE($B$3,9,2)&gt;EOMONTH(DATE($B$3,9,1),0),NETWORKDAYS.INTL(DATE($B$3,9,2),DATE($B$3,9,2),1,'Non-working days'!$A$6:$A$45)=0),"",IF(COUNTIFS('Leave log'!$A$7:$A$306,Employees!$A$14,'Leave log'!$B$7:$B$306,"&lt;="&amp;DATE($B$3,9,2),'Leave log'!$C$7:$C$306,"&gt;="&amp;DATE($B$3,9,2),'Leave log'!$F$7:$F$306,"Pending")&gt;0,"P",""))))</f>
        <v/>
      </c>
      <c r="D287" s="23" t="str">
        <f>IF(A287="","",IF(IF(OR(DATE($B$3,9,3)&gt;EOMONTH(DATE($B$3,9,1),0),NETWORKDAYS.INTL(DATE($B$3,9,3),DATE($B$3,9,3),1,'Non-working days'!$A$6:$A$45)=0),"",IF(COUNTIFS('Leave log'!$A$7:$A$306,Employees!$A$14,'Leave log'!$B$7:$B$306,"&lt;="&amp;DATE($B$3,9,3),'Leave log'!$C$7:$C$306,"&gt;="&amp;DATE($B$3,9,3),'Leave log'!$F$7:$F$306,"Approved")&gt;0,"A",""))="A","A",IF(OR(DATE($B$3,9,3)&gt;EOMONTH(DATE($B$3,9,1),0),NETWORKDAYS.INTL(DATE($B$3,9,3),DATE($B$3,9,3),1,'Non-working days'!$A$6:$A$45)=0),"",IF(COUNTIFS('Leave log'!$A$7:$A$306,Employees!$A$14,'Leave log'!$B$7:$B$306,"&lt;="&amp;DATE($B$3,9,3),'Leave log'!$C$7:$C$306,"&gt;="&amp;DATE($B$3,9,3),'Leave log'!$F$7:$F$306,"Pending")&gt;0,"P",""))))</f>
        <v/>
      </c>
      <c r="E287" s="23" t="str">
        <f>IF(A287="","",IF(IF(OR(DATE($B$3,9,4)&gt;EOMONTH(DATE($B$3,9,1),0),NETWORKDAYS.INTL(DATE($B$3,9,4),DATE($B$3,9,4),1,'Non-working days'!$A$6:$A$45)=0),"",IF(COUNTIFS('Leave log'!$A$7:$A$306,Employees!$A$14,'Leave log'!$B$7:$B$306,"&lt;="&amp;DATE($B$3,9,4),'Leave log'!$C$7:$C$306,"&gt;="&amp;DATE($B$3,9,4),'Leave log'!$F$7:$F$306,"Approved")&gt;0,"A",""))="A","A",IF(OR(DATE($B$3,9,4)&gt;EOMONTH(DATE($B$3,9,1),0),NETWORKDAYS.INTL(DATE($B$3,9,4),DATE($B$3,9,4),1,'Non-working days'!$A$6:$A$45)=0),"",IF(COUNTIFS('Leave log'!$A$7:$A$306,Employees!$A$14,'Leave log'!$B$7:$B$306,"&lt;="&amp;DATE($B$3,9,4),'Leave log'!$C$7:$C$306,"&gt;="&amp;DATE($B$3,9,4),'Leave log'!$F$7:$F$306,"Pending")&gt;0,"P",""))))</f>
        <v/>
      </c>
      <c r="F287" s="23" t="str">
        <f>IF(A287="","",IF(IF(OR(DATE($B$3,9,5)&gt;EOMONTH(DATE($B$3,9,1),0),NETWORKDAYS.INTL(DATE($B$3,9,5),DATE($B$3,9,5),1,'Non-working days'!$A$6:$A$45)=0),"",IF(COUNTIFS('Leave log'!$A$7:$A$306,Employees!$A$14,'Leave log'!$B$7:$B$306,"&lt;="&amp;DATE($B$3,9,5),'Leave log'!$C$7:$C$306,"&gt;="&amp;DATE($B$3,9,5),'Leave log'!$F$7:$F$306,"Approved")&gt;0,"A",""))="A","A",IF(OR(DATE($B$3,9,5)&gt;EOMONTH(DATE($B$3,9,1),0),NETWORKDAYS.INTL(DATE($B$3,9,5),DATE($B$3,9,5),1,'Non-working days'!$A$6:$A$45)=0),"",IF(COUNTIFS('Leave log'!$A$7:$A$306,Employees!$A$14,'Leave log'!$B$7:$B$306,"&lt;="&amp;DATE($B$3,9,5),'Leave log'!$C$7:$C$306,"&gt;="&amp;DATE($B$3,9,5),'Leave log'!$F$7:$F$306,"Pending")&gt;0,"P",""))))</f>
        <v/>
      </c>
      <c r="G287" s="23" t="str">
        <f>IF(A287="","",IF(IF(OR(DATE($B$3,9,6)&gt;EOMONTH(DATE($B$3,9,1),0),NETWORKDAYS.INTL(DATE($B$3,9,6),DATE($B$3,9,6),1,'Non-working days'!$A$6:$A$45)=0),"",IF(COUNTIFS('Leave log'!$A$7:$A$306,Employees!$A$14,'Leave log'!$B$7:$B$306,"&lt;="&amp;DATE($B$3,9,6),'Leave log'!$C$7:$C$306,"&gt;="&amp;DATE($B$3,9,6),'Leave log'!$F$7:$F$306,"Approved")&gt;0,"A",""))="A","A",IF(OR(DATE($B$3,9,6)&gt;EOMONTH(DATE($B$3,9,1),0),NETWORKDAYS.INTL(DATE($B$3,9,6),DATE($B$3,9,6),1,'Non-working days'!$A$6:$A$45)=0),"",IF(COUNTIFS('Leave log'!$A$7:$A$306,Employees!$A$14,'Leave log'!$B$7:$B$306,"&lt;="&amp;DATE($B$3,9,6),'Leave log'!$C$7:$C$306,"&gt;="&amp;DATE($B$3,9,6),'Leave log'!$F$7:$F$306,"Pending")&gt;0,"P",""))))</f>
        <v/>
      </c>
      <c r="H287" s="23" t="str">
        <f>IF(A287="","",IF(IF(OR(DATE($B$3,9,7)&gt;EOMONTH(DATE($B$3,9,1),0),NETWORKDAYS.INTL(DATE($B$3,9,7),DATE($B$3,9,7),1,'Non-working days'!$A$6:$A$45)=0),"",IF(COUNTIFS('Leave log'!$A$7:$A$306,Employees!$A$14,'Leave log'!$B$7:$B$306,"&lt;="&amp;DATE($B$3,9,7),'Leave log'!$C$7:$C$306,"&gt;="&amp;DATE($B$3,9,7),'Leave log'!$F$7:$F$306,"Approved")&gt;0,"A",""))="A","A",IF(OR(DATE($B$3,9,7)&gt;EOMONTH(DATE($B$3,9,1),0),NETWORKDAYS.INTL(DATE($B$3,9,7),DATE($B$3,9,7),1,'Non-working days'!$A$6:$A$45)=0),"",IF(COUNTIFS('Leave log'!$A$7:$A$306,Employees!$A$14,'Leave log'!$B$7:$B$306,"&lt;="&amp;DATE($B$3,9,7),'Leave log'!$C$7:$C$306,"&gt;="&amp;DATE($B$3,9,7),'Leave log'!$F$7:$F$306,"Pending")&gt;0,"P",""))))</f>
        <v/>
      </c>
      <c r="I287" s="23" t="str">
        <f>IF(A287="","",IF(IF(OR(DATE($B$3,9,8)&gt;EOMONTH(DATE($B$3,9,1),0),NETWORKDAYS.INTL(DATE($B$3,9,8),DATE($B$3,9,8),1,'Non-working days'!$A$6:$A$45)=0),"",IF(COUNTIFS('Leave log'!$A$7:$A$306,Employees!$A$14,'Leave log'!$B$7:$B$306,"&lt;="&amp;DATE($B$3,9,8),'Leave log'!$C$7:$C$306,"&gt;="&amp;DATE($B$3,9,8),'Leave log'!$F$7:$F$306,"Approved")&gt;0,"A",""))="A","A",IF(OR(DATE($B$3,9,8)&gt;EOMONTH(DATE($B$3,9,1),0),NETWORKDAYS.INTL(DATE($B$3,9,8),DATE($B$3,9,8),1,'Non-working days'!$A$6:$A$45)=0),"",IF(COUNTIFS('Leave log'!$A$7:$A$306,Employees!$A$14,'Leave log'!$B$7:$B$306,"&lt;="&amp;DATE($B$3,9,8),'Leave log'!$C$7:$C$306,"&gt;="&amp;DATE($B$3,9,8),'Leave log'!$F$7:$F$306,"Pending")&gt;0,"P",""))))</f>
        <v/>
      </c>
      <c r="J287" s="23" t="str">
        <f>IF(A287="","",IF(IF(OR(DATE($B$3,9,9)&gt;EOMONTH(DATE($B$3,9,1),0),NETWORKDAYS.INTL(DATE($B$3,9,9),DATE($B$3,9,9),1,'Non-working days'!$A$6:$A$45)=0),"",IF(COUNTIFS('Leave log'!$A$7:$A$306,Employees!$A$14,'Leave log'!$B$7:$B$306,"&lt;="&amp;DATE($B$3,9,9),'Leave log'!$C$7:$C$306,"&gt;="&amp;DATE($B$3,9,9),'Leave log'!$F$7:$F$306,"Approved")&gt;0,"A",""))="A","A",IF(OR(DATE($B$3,9,9)&gt;EOMONTH(DATE($B$3,9,1),0),NETWORKDAYS.INTL(DATE($B$3,9,9),DATE($B$3,9,9),1,'Non-working days'!$A$6:$A$45)=0),"",IF(COUNTIFS('Leave log'!$A$7:$A$306,Employees!$A$14,'Leave log'!$B$7:$B$306,"&lt;="&amp;DATE($B$3,9,9),'Leave log'!$C$7:$C$306,"&gt;="&amp;DATE($B$3,9,9),'Leave log'!$F$7:$F$306,"Pending")&gt;0,"P",""))))</f>
        <v/>
      </c>
      <c r="K287" s="23" t="str">
        <f>IF(A287="","",IF(IF(OR(DATE($B$3,9,10)&gt;EOMONTH(DATE($B$3,9,1),0),NETWORKDAYS.INTL(DATE($B$3,9,10),DATE($B$3,9,10),1,'Non-working days'!$A$6:$A$45)=0),"",IF(COUNTIFS('Leave log'!$A$7:$A$306,Employees!$A$14,'Leave log'!$B$7:$B$306,"&lt;="&amp;DATE($B$3,9,10),'Leave log'!$C$7:$C$306,"&gt;="&amp;DATE($B$3,9,10),'Leave log'!$F$7:$F$306,"Approved")&gt;0,"A",""))="A","A",IF(OR(DATE($B$3,9,10)&gt;EOMONTH(DATE($B$3,9,1),0),NETWORKDAYS.INTL(DATE($B$3,9,10),DATE($B$3,9,10),1,'Non-working days'!$A$6:$A$45)=0),"",IF(COUNTIFS('Leave log'!$A$7:$A$306,Employees!$A$14,'Leave log'!$B$7:$B$306,"&lt;="&amp;DATE($B$3,9,10),'Leave log'!$C$7:$C$306,"&gt;="&amp;DATE($B$3,9,10),'Leave log'!$F$7:$F$306,"Pending")&gt;0,"P",""))))</f>
        <v/>
      </c>
      <c r="L287" s="23" t="str">
        <f>IF(A287="","",IF(IF(OR(DATE($B$3,9,11)&gt;EOMONTH(DATE($B$3,9,1),0),NETWORKDAYS.INTL(DATE($B$3,9,11),DATE($B$3,9,11),1,'Non-working days'!$A$6:$A$45)=0),"",IF(COUNTIFS('Leave log'!$A$7:$A$306,Employees!$A$14,'Leave log'!$B$7:$B$306,"&lt;="&amp;DATE($B$3,9,11),'Leave log'!$C$7:$C$306,"&gt;="&amp;DATE($B$3,9,11),'Leave log'!$F$7:$F$306,"Approved")&gt;0,"A",""))="A","A",IF(OR(DATE($B$3,9,11)&gt;EOMONTH(DATE($B$3,9,1),0),NETWORKDAYS.INTL(DATE($B$3,9,11),DATE($B$3,9,11),1,'Non-working days'!$A$6:$A$45)=0),"",IF(COUNTIFS('Leave log'!$A$7:$A$306,Employees!$A$14,'Leave log'!$B$7:$B$306,"&lt;="&amp;DATE($B$3,9,11),'Leave log'!$C$7:$C$306,"&gt;="&amp;DATE($B$3,9,11),'Leave log'!$F$7:$F$306,"Pending")&gt;0,"P",""))))</f>
        <v/>
      </c>
      <c r="M287" s="23" t="str">
        <f>IF(A287="","",IF(IF(OR(DATE($B$3,9,12)&gt;EOMONTH(DATE($B$3,9,1),0),NETWORKDAYS.INTL(DATE($B$3,9,12),DATE($B$3,9,12),1,'Non-working days'!$A$6:$A$45)=0),"",IF(COUNTIFS('Leave log'!$A$7:$A$306,Employees!$A$14,'Leave log'!$B$7:$B$306,"&lt;="&amp;DATE($B$3,9,12),'Leave log'!$C$7:$C$306,"&gt;="&amp;DATE($B$3,9,12),'Leave log'!$F$7:$F$306,"Approved")&gt;0,"A",""))="A","A",IF(OR(DATE($B$3,9,12)&gt;EOMONTH(DATE($B$3,9,1),0),NETWORKDAYS.INTL(DATE($B$3,9,12),DATE($B$3,9,12),1,'Non-working days'!$A$6:$A$45)=0),"",IF(COUNTIFS('Leave log'!$A$7:$A$306,Employees!$A$14,'Leave log'!$B$7:$B$306,"&lt;="&amp;DATE($B$3,9,12),'Leave log'!$C$7:$C$306,"&gt;="&amp;DATE($B$3,9,12),'Leave log'!$F$7:$F$306,"Pending")&gt;0,"P",""))))</f>
        <v/>
      </c>
      <c r="N287" s="23" t="str">
        <f>IF(A287="","",IF(IF(OR(DATE($B$3,9,13)&gt;EOMONTH(DATE($B$3,9,1),0),NETWORKDAYS.INTL(DATE($B$3,9,13),DATE($B$3,9,13),1,'Non-working days'!$A$6:$A$45)=0),"",IF(COUNTIFS('Leave log'!$A$7:$A$306,Employees!$A$14,'Leave log'!$B$7:$B$306,"&lt;="&amp;DATE($B$3,9,13),'Leave log'!$C$7:$C$306,"&gt;="&amp;DATE($B$3,9,13),'Leave log'!$F$7:$F$306,"Approved")&gt;0,"A",""))="A","A",IF(OR(DATE($B$3,9,13)&gt;EOMONTH(DATE($B$3,9,1),0),NETWORKDAYS.INTL(DATE($B$3,9,13),DATE($B$3,9,13),1,'Non-working days'!$A$6:$A$45)=0),"",IF(COUNTIFS('Leave log'!$A$7:$A$306,Employees!$A$14,'Leave log'!$B$7:$B$306,"&lt;="&amp;DATE($B$3,9,13),'Leave log'!$C$7:$C$306,"&gt;="&amp;DATE($B$3,9,13),'Leave log'!$F$7:$F$306,"Pending")&gt;0,"P",""))))</f>
        <v/>
      </c>
      <c r="O287" s="23" t="str">
        <f>IF(A287="","",IF(IF(OR(DATE($B$3,9,14)&gt;EOMONTH(DATE($B$3,9,1),0),NETWORKDAYS.INTL(DATE($B$3,9,14),DATE($B$3,9,14),1,'Non-working days'!$A$6:$A$45)=0),"",IF(COUNTIFS('Leave log'!$A$7:$A$306,Employees!$A$14,'Leave log'!$B$7:$B$306,"&lt;="&amp;DATE($B$3,9,14),'Leave log'!$C$7:$C$306,"&gt;="&amp;DATE($B$3,9,14),'Leave log'!$F$7:$F$306,"Approved")&gt;0,"A",""))="A","A",IF(OR(DATE($B$3,9,14)&gt;EOMONTH(DATE($B$3,9,1),0),NETWORKDAYS.INTL(DATE($B$3,9,14),DATE($B$3,9,14),1,'Non-working days'!$A$6:$A$45)=0),"",IF(COUNTIFS('Leave log'!$A$7:$A$306,Employees!$A$14,'Leave log'!$B$7:$B$306,"&lt;="&amp;DATE($B$3,9,14),'Leave log'!$C$7:$C$306,"&gt;="&amp;DATE($B$3,9,14),'Leave log'!$F$7:$F$306,"Pending")&gt;0,"P",""))))</f>
        <v/>
      </c>
      <c r="P287" s="23" t="str">
        <f>IF(A287="","",IF(IF(OR(DATE($B$3,9,15)&gt;EOMONTH(DATE($B$3,9,1),0),NETWORKDAYS.INTL(DATE($B$3,9,15),DATE($B$3,9,15),1,'Non-working days'!$A$6:$A$45)=0),"",IF(COUNTIFS('Leave log'!$A$7:$A$306,Employees!$A$14,'Leave log'!$B$7:$B$306,"&lt;="&amp;DATE($B$3,9,15),'Leave log'!$C$7:$C$306,"&gt;="&amp;DATE($B$3,9,15),'Leave log'!$F$7:$F$306,"Approved")&gt;0,"A",""))="A","A",IF(OR(DATE($B$3,9,15)&gt;EOMONTH(DATE($B$3,9,1),0),NETWORKDAYS.INTL(DATE($B$3,9,15),DATE($B$3,9,15),1,'Non-working days'!$A$6:$A$45)=0),"",IF(COUNTIFS('Leave log'!$A$7:$A$306,Employees!$A$14,'Leave log'!$B$7:$B$306,"&lt;="&amp;DATE($B$3,9,15),'Leave log'!$C$7:$C$306,"&gt;="&amp;DATE($B$3,9,15),'Leave log'!$F$7:$F$306,"Pending")&gt;0,"P",""))))</f>
        <v/>
      </c>
      <c r="Q287" s="23" t="str">
        <f>IF(A287="","",IF(IF(OR(DATE($B$3,9,16)&gt;EOMONTH(DATE($B$3,9,1),0),NETWORKDAYS.INTL(DATE($B$3,9,16),DATE($B$3,9,16),1,'Non-working days'!$A$6:$A$45)=0),"",IF(COUNTIFS('Leave log'!$A$7:$A$306,Employees!$A$14,'Leave log'!$B$7:$B$306,"&lt;="&amp;DATE($B$3,9,16),'Leave log'!$C$7:$C$306,"&gt;="&amp;DATE($B$3,9,16),'Leave log'!$F$7:$F$306,"Approved")&gt;0,"A",""))="A","A",IF(OR(DATE($B$3,9,16)&gt;EOMONTH(DATE($B$3,9,1),0),NETWORKDAYS.INTL(DATE($B$3,9,16),DATE($B$3,9,16),1,'Non-working days'!$A$6:$A$45)=0),"",IF(COUNTIFS('Leave log'!$A$7:$A$306,Employees!$A$14,'Leave log'!$B$7:$B$306,"&lt;="&amp;DATE($B$3,9,16),'Leave log'!$C$7:$C$306,"&gt;="&amp;DATE($B$3,9,16),'Leave log'!$F$7:$F$306,"Pending")&gt;0,"P",""))))</f>
        <v/>
      </c>
      <c r="R287" s="23" t="str">
        <f>IF(A287="","",IF(IF(OR(DATE($B$3,9,17)&gt;EOMONTH(DATE($B$3,9,1),0),NETWORKDAYS.INTL(DATE($B$3,9,17),DATE($B$3,9,17),1,'Non-working days'!$A$6:$A$45)=0),"",IF(COUNTIFS('Leave log'!$A$7:$A$306,Employees!$A$14,'Leave log'!$B$7:$B$306,"&lt;="&amp;DATE($B$3,9,17),'Leave log'!$C$7:$C$306,"&gt;="&amp;DATE($B$3,9,17),'Leave log'!$F$7:$F$306,"Approved")&gt;0,"A",""))="A","A",IF(OR(DATE($B$3,9,17)&gt;EOMONTH(DATE($B$3,9,1),0),NETWORKDAYS.INTL(DATE($B$3,9,17),DATE($B$3,9,17),1,'Non-working days'!$A$6:$A$45)=0),"",IF(COUNTIFS('Leave log'!$A$7:$A$306,Employees!$A$14,'Leave log'!$B$7:$B$306,"&lt;="&amp;DATE($B$3,9,17),'Leave log'!$C$7:$C$306,"&gt;="&amp;DATE($B$3,9,17),'Leave log'!$F$7:$F$306,"Pending")&gt;0,"P",""))))</f>
        <v/>
      </c>
      <c r="S287" s="23" t="str">
        <f>IF(A287="","",IF(IF(OR(DATE($B$3,9,18)&gt;EOMONTH(DATE($B$3,9,1),0),NETWORKDAYS.INTL(DATE($B$3,9,18),DATE($B$3,9,18),1,'Non-working days'!$A$6:$A$45)=0),"",IF(COUNTIFS('Leave log'!$A$7:$A$306,Employees!$A$14,'Leave log'!$B$7:$B$306,"&lt;="&amp;DATE($B$3,9,18),'Leave log'!$C$7:$C$306,"&gt;="&amp;DATE($B$3,9,18),'Leave log'!$F$7:$F$306,"Approved")&gt;0,"A",""))="A","A",IF(OR(DATE($B$3,9,18)&gt;EOMONTH(DATE($B$3,9,1),0),NETWORKDAYS.INTL(DATE($B$3,9,18),DATE($B$3,9,18),1,'Non-working days'!$A$6:$A$45)=0),"",IF(COUNTIFS('Leave log'!$A$7:$A$306,Employees!$A$14,'Leave log'!$B$7:$B$306,"&lt;="&amp;DATE($B$3,9,18),'Leave log'!$C$7:$C$306,"&gt;="&amp;DATE($B$3,9,18),'Leave log'!$F$7:$F$306,"Pending")&gt;0,"P",""))))</f>
        <v/>
      </c>
      <c r="T287" s="23" t="str">
        <f>IF(A287="","",IF(IF(OR(DATE($B$3,9,19)&gt;EOMONTH(DATE($B$3,9,1),0),NETWORKDAYS.INTL(DATE($B$3,9,19),DATE($B$3,9,19),1,'Non-working days'!$A$6:$A$45)=0),"",IF(COUNTIFS('Leave log'!$A$7:$A$306,Employees!$A$14,'Leave log'!$B$7:$B$306,"&lt;="&amp;DATE($B$3,9,19),'Leave log'!$C$7:$C$306,"&gt;="&amp;DATE($B$3,9,19),'Leave log'!$F$7:$F$306,"Approved")&gt;0,"A",""))="A","A",IF(OR(DATE($B$3,9,19)&gt;EOMONTH(DATE($B$3,9,1),0),NETWORKDAYS.INTL(DATE($B$3,9,19),DATE($B$3,9,19),1,'Non-working days'!$A$6:$A$45)=0),"",IF(COUNTIFS('Leave log'!$A$7:$A$306,Employees!$A$14,'Leave log'!$B$7:$B$306,"&lt;="&amp;DATE($B$3,9,19),'Leave log'!$C$7:$C$306,"&gt;="&amp;DATE($B$3,9,19),'Leave log'!$F$7:$F$306,"Pending")&gt;0,"P",""))))</f>
        <v/>
      </c>
      <c r="U287" s="23" t="str">
        <f>IF(A287="","",IF(IF(OR(DATE($B$3,9,20)&gt;EOMONTH(DATE($B$3,9,1),0),NETWORKDAYS.INTL(DATE($B$3,9,20),DATE($B$3,9,20),1,'Non-working days'!$A$6:$A$45)=0),"",IF(COUNTIFS('Leave log'!$A$7:$A$306,Employees!$A$14,'Leave log'!$B$7:$B$306,"&lt;="&amp;DATE($B$3,9,20),'Leave log'!$C$7:$C$306,"&gt;="&amp;DATE($B$3,9,20),'Leave log'!$F$7:$F$306,"Approved")&gt;0,"A",""))="A","A",IF(OR(DATE($B$3,9,20)&gt;EOMONTH(DATE($B$3,9,1),0),NETWORKDAYS.INTL(DATE($B$3,9,20),DATE($B$3,9,20),1,'Non-working days'!$A$6:$A$45)=0),"",IF(COUNTIFS('Leave log'!$A$7:$A$306,Employees!$A$14,'Leave log'!$B$7:$B$306,"&lt;="&amp;DATE($B$3,9,20),'Leave log'!$C$7:$C$306,"&gt;="&amp;DATE($B$3,9,20),'Leave log'!$F$7:$F$306,"Pending")&gt;0,"P",""))))</f>
        <v/>
      </c>
      <c r="V287" s="23" t="str">
        <f>IF(A287="","",IF(IF(OR(DATE($B$3,9,21)&gt;EOMONTH(DATE($B$3,9,1),0),NETWORKDAYS.INTL(DATE($B$3,9,21),DATE($B$3,9,21),1,'Non-working days'!$A$6:$A$45)=0),"",IF(COUNTIFS('Leave log'!$A$7:$A$306,Employees!$A$14,'Leave log'!$B$7:$B$306,"&lt;="&amp;DATE($B$3,9,21),'Leave log'!$C$7:$C$306,"&gt;="&amp;DATE($B$3,9,21),'Leave log'!$F$7:$F$306,"Approved")&gt;0,"A",""))="A","A",IF(OR(DATE($B$3,9,21)&gt;EOMONTH(DATE($B$3,9,1),0),NETWORKDAYS.INTL(DATE($B$3,9,21),DATE($B$3,9,21),1,'Non-working days'!$A$6:$A$45)=0),"",IF(COUNTIFS('Leave log'!$A$7:$A$306,Employees!$A$14,'Leave log'!$B$7:$B$306,"&lt;="&amp;DATE($B$3,9,21),'Leave log'!$C$7:$C$306,"&gt;="&amp;DATE($B$3,9,21),'Leave log'!$F$7:$F$306,"Pending")&gt;0,"P",""))))</f>
        <v/>
      </c>
      <c r="W287" s="23" t="str">
        <f>IF(A287="","",IF(IF(OR(DATE($B$3,9,22)&gt;EOMONTH(DATE($B$3,9,1),0),NETWORKDAYS.INTL(DATE($B$3,9,22),DATE($B$3,9,22),1,'Non-working days'!$A$6:$A$45)=0),"",IF(COUNTIFS('Leave log'!$A$7:$A$306,Employees!$A$14,'Leave log'!$B$7:$B$306,"&lt;="&amp;DATE($B$3,9,22),'Leave log'!$C$7:$C$306,"&gt;="&amp;DATE($B$3,9,22),'Leave log'!$F$7:$F$306,"Approved")&gt;0,"A",""))="A","A",IF(OR(DATE($B$3,9,22)&gt;EOMONTH(DATE($B$3,9,1),0),NETWORKDAYS.INTL(DATE($B$3,9,22),DATE($B$3,9,22),1,'Non-working days'!$A$6:$A$45)=0),"",IF(COUNTIFS('Leave log'!$A$7:$A$306,Employees!$A$14,'Leave log'!$B$7:$B$306,"&lt;="&amp;DATE($B$3,9,22),'Leave log'!$C$7:$C$306,"&gt;="&amp;DATE($B$3,9,22),'Leave log'!$F$7:$F$306,"Pending")&gt;0,"P",""))))</f>
        <v/>
      </c>
      <c r="X287" s="23" t="str">
        <f>IF(A287="","",IF(IF(OR(DATE($B$3,9,23)&gt;EOMONTH(DATE($B$3,9,1),0),NETWORKDAYS.INTL(DATE($B$3,9,23),DATE($B$3,9,23),1,'Non-working days'!$A$6:$A$45)=0),"",IF(COUNTIFS('Leave log'!$A$7:$A$306,Employees!$A$14,'Leave log'!$B$7:$B$306,"&lt;="&amp;DATE($B$3,9,23),'Leave log'!$C$7:$C$306,"&gt;="&amp;DATE($B$3,9,23),'Leave log'!$F$7:$F$306,"Approved")&gt;0,"A",""))="A","A",IF(OR(DATE($B$3,9,23)&gt;EOMONTH(DATE($B$3,9,1),0),NETWORKDAYS.INTL(DATE($B$3,9,23),DATE($B$3,9,23),1,'Non-working days'!$A$6:$A$45)=0),"",IF(COUNTIFS('Leave log'!$A$7:$A$306,Employees!$A$14,'Leave log'!$B$7:$B$306,"&lt;="&amp;DATE($B$3,9,23),'Leave log'!$C$7:$C$306,"&gt;="&amp;DATE($B$3,9,23),'Leave log'!$F$7:$F$306,"Pending")&gt;0,"P",""))))</f>
        <v/>
      </c>
      <c r="Y287" s="23" t="str">
        <f>IF(A287="","",IF(IF(OR(DATE($B$3,9,24)&gt;EOMONTH(DATE($B$3,9,1),0),NETWORKDAYS.INTL(DATE($B$3,9,24),DATE($B$3,9,24),1,'Non-working days'!$A$6:$A$45)=0),"",IF(COUNTIFS('Leave log'!$A$7:$A$306,Employees!$A$14,'Leave log'!$B$7:$B$306,"&lt;="&amp;DATE($B$3,9,24),'Leave log'!$C$7:$C$306,"&gt;="&amp;DATE($B$3,9,24),'Leave log'!$F$7:$F$306,"Approved")&gt;0,"A",""))="A","A",IF(OR(DATE($B$3,9,24)&gt;EOMONTH(DATE($B$3,9,1),0),NETWORKDAYS.INTL(DATE($B$3,9,24),DATE($B$3,9,24),1,'Non-working days'!$A$6:$A$45)=0),"",IF(COUNTIFS('Leave log'!$A$7:$A$306,Employees!$A$14,'Leave log'!$B$7:$B$306,"&lt;="&amp;DATE($B$3,9,24),'Leave log'!$C$7:$C$306,"&gt;="&amp;DATE($B$3,9,24),'Leave log'!$F$7:$F$306,"Pending")&gt;0,"P",""))))</f>
        <v/>
      </c>
      <c r="Z287" s="23" t="str">
        <f>IF(A287="","",IF(IF(OR(DATE($B$3,9,25)&gt;EOMONTH(DATE($B$3,9,1),0),NETWORKDAYS.INTL(DATE($B$3,9,25),DATE($B$3,9,25),1,'Non-working days'!$A$6:$A$45)=0),"",IF(COUNTIFS('Leave log'!$A$7:$A$306,Employees!$A$14,'Leave log'!$B$7:$B$306,"&lt;="&amp;DATE($B$3,9,25),'Leave log'!$C$7:$C$306,"&gt;="&amp;DATE($B$3,9,25),'Leave log'!$F$7:$F$306,"Approved")&gt;0,"A",""))="A","A",IF(OR(DATE($B$3,9,25)&gt;EOMONTH(DATE($B$3,9,1),0),NETWORKDAYS.INTL(DATE($B$3,9,25),DATE($B$3,9,25),1,'Non-working days'!$A$6:$A$45)=0),"",IF(COUNTIFS('Leave log'!$A$7:$A$306,Employees!$A$14,'Leave log'!$B$7:$B$306,"&lt;="&amp;DATE($B$3,9,25),'Leave log'!$C$7:$C$306,"&gt;="&amp;DATE($B$3,9,25),'Leave log'!$F$7:$F$306,"Pending")&gt;0,"P",""))))</f>
        <v/>
      </c>
      <c r="AA287" s="23" t="str">
        <f>IF(A287="","",IF(IF(OR(DATE($B$3,9,26)&gt;EOMONTH(DATE($B$3,9,1),0),NETWORKDAYS.INTL(DATE($B$3,9,26),DATE($B$3,9,26),1,'Non-working days'!$A$6:$A$45)=0),"",IF(COUNTIFS('Leave log'!$A$7:$A$306,Employees!$A$14,'Leave log'!$B$7:$B$306,"&lt;="&amp;DATE($B$3,9,26),'Leave log'!$C$7:$C$306,"&gt;="&amp;DATE($B$3,9,26),'Leave log'!$F$7:$F$306,"Approved")&gt;0,"A",""))="A","A",IF(OR(DATE($B$3,9,26)&gt;EOMONTH(DATE($B$3,9,1),0),NETWORKDAYS.INTL(DATE($B$3,9,26),DATE($B$3,9,26),1,'Non-working days'!$A$6:$A$45)=0),"",IF(COUNTIFS('Leave log'!$A$7:$A$306,Employees!$A$14,'Leave log'!$B$7:$B$306,"&lt;="&amp;DATE($B$3,9,26),'Leave log'!$C$7:$C$306,"&gt;="&amp;DATE($B$3,9,26),'Leave log'!$F$7:$F$306,"Pending")&gt;0,"P",""))))</f>
        <v/>
      </c>
      <c r="AB287" s="23" t="str">
        <f>IF(A287="","",IF(IF(OR(DATE($B$3,9,27)&gt;EOMONTH(DATE($B$3,9,1),0),NETWORKDAYS.INTL(DATE($B$3,9,27),DATE($B$3,9,27),1,'Non-working days'!$A$6:$A$45)=0),"",IF(COUNTIFS('Leave log'!$A$7:$A$306,Employees!$A$14,'Leave log'!$B$7:$B$306,"&lt;="&amp;DATE($B$3,9,27),'Leave log'!$C$7:$C$306,"&gt;="&amp;DATE($B$3,9,27),'Leave log'!$F$7:$F$306,"Approved")&gt;0,"A",""))="A","A",IF(OR(DATE($B$3,9,27)&gt;EOMONTH(DATE($B$3,9,1),0),NETWORKDAYS.INTL(DATE($B$3,9,27),DATE($B$3,9,27),1,'Non-working days'!$A$6:$A$45)=0),"",IF(COUNTIFS('Leave log'!$A$7:$A$306,Employees!$A$14,'Leave log'!$B$7:$B$306,"&lt;="&amp;DATE($B$3,9,27),'Leave log'!$C$7:$C$306,"&gt;="&amp;DATE($B$3,9,27),'Leave log'!$F$7:$F$306,"Pending")&gt;0,"P",""))))</f>
        <v/>
      </c>
      <c r="AC287" s="23" t="str">
        <f>IF(A287="","",IF(IF(OR(DATE($B$3,9,28)&gt;EOMONTH(DATE($B$3,9,1),0),NETWORKDAYS.INTL(DATE($B$3,9,28),DATE($B$3,9,28),1,'Non-working days'!$A$6:$A$45)=0),"",IF(COUNTIFS('Leave log'!$A$7:$A$306,Employees!$A$14,'Leave log'!$B$7:$B$306,"&lt;="&amp;DATE($B$3,9,28),'Leave log'!$C$7:$C$306,"&gt;="&amp;DATE($B$3,9,28),'Leave log'!$F$7:$F$306,"Approved")&gt;0,"A",""))="A","A",IF(OR(DATE($B$3,9,28)&gt;EOMONTH(DATE($B$3,9,1),0),NETWORKDAYS.INTL(DATE($B$3,9,28),DATE($B$3,9,28),1,'Non-working days'!$A$6:$A$45)=0),"",IF(COUNTIFS('Leave log'!$A$7:$A$306,Employees!$A$14,'Leave log'!$B$7:$B$306,"&lt;="&amp;DATE($B$3,9,28),'Leave log'!$C$7:$C$306,"&gt;="&amp;DATE($B$3,9,28),'Leave log'!$F$7:$F$306,"Pending")&gt;0,"P",""))))</f>
        <v/>
      </c>
      <c r="AD287" s="23" t="str">
        <f>IF(A287="","",IF(IF(OR(DATE($B$3,9,29)&gt;EOMONTH(DATE($B$3,9,1),0),NETWORKDAYS.INTL(DATE($B$3,9,29),DATE($B$3,9,29),1,'Non-working days'!$A$6:$A$45)=0),"",IF(COUNTIFS('Leave log'!$A$7:$A$306,Employees!$A$14,'Leave log'!$B$7:$B$306,"&lt;="&amp;DATE($B$3,9,29),'Leave log'!$C$7:$C$306,"&gt;="&amp;DATE($B$3,9,29),'Leave log'!$F$7:$F$306,"Approved")&gt;0,"A",""))="A","A",IF(OR(DATE($B$3,9,29)&gt;EOMONTH(DATE($B$3,9,1),0),NETWORKDAYS.INTL(DATE($B$3,9,29),DATE($B$3,9,29),1,'Non-working days'!$A$6:$A$45)=0),"",IF(COUNTIFS('Leave log'!$A$7:$A$306,Employees!$A$14,'Leave log'!$B$7:$B$306,"&lt;="&amp;DATE($B$3,9,29),'Leave log'!$C$7:$C$306,"&gt;="&amp;DATE($B$3,9,29),'Leave log'!$F$7:$F$306,"Pending")&gt;0,"P",""))))</f>
        <v/>
      </c>
      <c r="AE287" s="23" t="str">
        <f>IF(A287="","",IF(IF(OR(DATE($B$3,9,30)&gt;EOMONTH(DATE($B$3,9,1),0),NETWORKDAYS.INTL(DATE($B$3,9,30),DATE($B$3,9,30),1,'Non-working days'!$A$6:$A$45)=0),"",IF(COUNTIFS('Leave log'!$A$7:$A$306,Employees!$A$14,'Leave log'!$B$7:$B$306,"&lt;="&amp;DATE($B$3,9,30),'Leave log'!$C$7:$C$306,"&gt;="&amp;DATE($B$3,9,30),'Leave log'!$F$7:$F$306,"Approved")&gt;0,"A",""))="A","A",IF(OR(DATE($B$3,9,30)&gt;EOMONTH(DATE($B$3,9,1),0),NETWORKDAYS.INTL(DATE($B$3,9,30),DATE($B$3,9,30),1,'Non-working days'!$A$6:$A$45)=0),"",IF(COUNTIFS('Leave log'!$A$7:$A$306,Employees!$A$14,'Leave log'!$B$7:$B$306,"&lt;="&amp;DATE($B$3,9,30),'Leave log'!$C$7:$C$306,"&gt;="&amp;DATE($B$3,9,30),'Leave log'!$F$7:$F$306,"Pending")&gt;0,"P",""))))</f>
        <v/>
      </c>
      <c r="AF287" s="23" t="str">
        <f>IF(A287="","",IF(IF(OR(DATE($B$3,9,31)&gt;EOMONTH(DATE($B$3,9,1),0),NETWORKDAYS.INTL(DATE($B$3,9,31),DATE($B$3,9,31),1,'Non-working days'!$A$6:$A$45)=0),"",IF(COUNTIFS('Leave log'!$A$7:$A$306,Employees!$A$14,'Leave log'!$B$7:$B$306,"&lt;="&amp;DATE($B$3,9,31),'Leave log'!$C$7:$C$306,"&gt;="&amp;DATE($B$3,9,31),'Leave log'!$F$7:$F$306,"Approved")&gt;0,"A",""))="A","A",IF(OR(DATE($B$3,9,31)&gt;EOMONTH(DATE($B$3,9,1),0),NETWORKDAYS.INTL(DATE($B$3,9,31),DATE($B$3,9,31),1,'Non-working days'!$A$6:$A$45)=0),"",IF(COUNTIFS('Leave log'!$A$7:$A$306,Employees!$A$14,'Leave log'!$B$7:$B$306,"&lt;="&amp;DATE($B$3,9,31),'Leave log'!$C$7:$C$306,"&gt;="&amp;DATE($B$3,9,31),'Leave log'!$F$7:$F$306,"Pending")&gt;0,"P",""))))</f>
        <v/>
      </c>
    </row>
    <row r="288" spans="1:32" ht="18" customHeight="1" x14ac:dyDescent="0.3">
      <c r="A288" s="22" t="str">
        <f>IF(Employees!F15="Yes",Employees!B15,"")</f>
        <v/>
      </c>
      <c r="B288" s="23" t="str">
        <f>IF(A288="","",IF(IF(OR(DATE($B$3,9,1)&gt;EOMONTH(DATE($B$3,9,1),0),NETWORKDAYS.INTL(DATE($B$3,9,1),DATE($B$3,9,1),1,'Non-working days'!$A$6:$A$45)=0),"",IF(COUNTIFS('Leave log'!$A$7:$A$306,Employees!$A$15,'Leave log'!$B$7:$B$306,"&lt;="&amp;DATE($B$3,9,1),'Leave log'!$C$7:$C$306,"&gt;="&amp;DATE($B$3,9,1),'Leave log'!$F$7:$F$306,"Approved")&gt;0,"A",""))="A","A",IF(OR(DATE($B$3,9,1)&gt;EOMONTH(DATE($B$3,9,1),0),NETWORKDAYS.INTL(DATE($B$3,9,1),DATE($B$3,9,1),1,'Non-working days'!$A$6:$A$45)=0),"",IF(COUNTIFS('Leave log'!$A$7:$A$306,Employees!$A$15,'Leave log'!$B$7:$B$306,"&lt;="&amp;DATE($B$3,9,1),'Leave log'!$C$7:$C$306,"&gt;="&amp;DATE($B$3,9,1),'Leave log'!$F$7:$F$306,"Pending")&gt;0,"P",""))))</f>
        <v/>
      </c>
      <c r="C288" s="23" t="str">
        <f>IF(A288="","",IF(IF(OR(DATE($B$3,9,2)&gt;EOMONTH(DATE($B$3,9,1),0),NETWORKDAYS.INTL(DATE($B$3,9,2),DATE($B$3,9,2),1,'Non-working days'!$A$6:$A$45)=0),"",IF(COUNTIFS('Leave log'!$A$7:$A$306,Employees!$A$15,'Leave log'!$B$7:$B$306,"&lt;="&amp;DATE($B$3,9,2),'Leave log'!$C$7:$C$306,"&gt;="&amp;DATE($B$3,9,2),'Leave log'!$F$7:$F$306,"Approved")&gt;0,"A",""))="A","A",IF(OR(DATE($B$3,9,2)&gt;EOMONTH(DATE($B$3,9,1),0),NETWORKDAYS.INTL(DATE($B$3,9,2),DATE($B$3,9,2),1,'Non-working days'!$A$6:$A$45)=0),"",IF(COUNTIFS('Leave log'!$A$7:$A$306,Employees!$A$15,'Leave log'!$B$7:$B$306,"&lt;="&amp;DATE($B$3,9,2),'Leave log'!$C$7:$C$306,"&gt;="&amp;DATE($B$3,9,2),'Leave log'!$F$7:$F$306,"Pending")&gt;0,"P",""))))</f>
        <v/>
      </c>
      <c r="D288" s="23" t="str">
        <f>IF(A288="","",IF(IF(OR(DATE($B$3,9,3)&gt;EOMONTH(DATE($B$3,9,1),0),NETWORKDAYS.INTL(DATE($B$3,9,3),DATE($B$3,9,3),1,'Non-working days'!$A$6:$A$45)=0),"",IF(COUNTIFS('Leave log'!$A$7:$A$306,Employees!$A$15,'Leave log'!$B$7:$B$306,"&lt;="&amp;DATE($B$3,9,3),'Leave log'!$C$7:$C$306,"&gt;="&amp;DATE($B$3,9,3),'Leave log'!$F$7:$F$306,"Approved")&gt;0,"A",""))="A","A",IF(OR(DATE($B$3,9,3)&gt;EOMONTH(DATE($B$3,9,1),0),NETWORKDAYS.INTL(DATE($B$3,9,3),DATE($B$3,9,3),1,'Non-working days'!$A$6:$A$45)=0),"",IF(COUNTIFS('Leave log'!$A$7:$A$306,Employees!$A$15,'Leave log'!$B$7:$B$306,"&lt;="&amp;DATE($B$3,9,3),'Leave log'!$C$7:$C$306,"&gt;="&amp;DATE($B$3,9,3),'Leave log'!$F$7:$F$306,"Pending")&gt;0,"P",""))))</f>
        <v/>
      </c>
      <c r="E288" s="23" t="str">
        <f>IF(A288="","",IF(IF(OR(DATE($B$3,9,4)&gt;EOMONTH(DATE($B$3,9,1),0),NETWORKDAYS.INTL(DATE($B$3,9,4),DATE($B$3,9,4),1,'Non-working days'!$A$6:$A$45)=0),"",IF(COUNTIFS('Leave log'!$A$7:$A$306,Employees!$A$15,'Leave log'!$B$7:$B$306,"&lt;="&amp;DATE($B$3,9,4),'Leave log'!$C$7:$C$306,"&gt;="&amp;DATE($B$3,9,4),'Leave log'!$F$7:$F$306,"Approved")&gt;0,"A",""))="A","A",IF(OR(DATE($B$3,9,4)&gt;EOMONTH(DATE($B$3,9,1),0),NETWORKDAYS.INTL(DATE($B$3,9,4),DATE($B$3,9,4),1,'Non-working days'!$A$6:$A$45)=0),"",IF(COUNTIFS('Leave log'!$A$7:$A$306,Employees!$A$15,'Leave log'!$B$7:$B$306,"&lt;="&amp;DATE($B$3,9,4),'Leave log'!$C$7:$C$306,"&gt;="&amp;DATE($B$3,9,4),'Leave log'!$F$7:$F$306,"Pending")&gt;0,"P",""))))</f>
        <v/>
      </c>
      <c r="F288" s="23" t="str">
        <f>IF(A288="","",IF(IF(OR(DATE($B$3,9,5)&gt;EOMONTH(DATE($B$3,9,1),0),NETWORKDAYS.INTL(DATE($B$3,9,5),DATE($B$3,9,5),1,'Non-working days'!$A$6:$A$45)=0),"",IF(COUNTIFS('Leave log'!$A$7:$A$306,Employees!$A$15,'Leave log'!$B$7:$B$306,"&lt;="&amp;DATE($B$3,9,5),'Leave log'!$C$7:$C$306,"&gt;="&amp;DATE($B$3,9,5),'Leave log'!$F$7:$F$306,"Approved")&gt;0,"A",""))="A","A",IF(OR(DATE($B$3,9,5)&gt;EOMONTH(DATE($B$3,9,1),0),NETWORKDAYS.INTL(DATE($B$3,9,5),DATE($B$3,9,5),1,'Non-working days'!$A$6:$A$45)=0),"",IF(COUNTIFS('Leave log'!$A$7:$A$306,Employees!$A$15,'Leave log'!$B$7:$B$306,"&lt;="&amp;DATE($B$3,9,5),'Leave log'!$C$7:$C$306,"&gt;="&amp;DATE($B$3,9,5),'Leave log'!$F$7:$F$306,"Pending")&gt;0,"P",""))))</f>
        <v/>
      </c>
      <c r="G288" s="23" t="str">
        <f>IF(A288="","",IF(IF(OR(DATE($B$3,9,6)&gt;EOMONTH(DATE($B$3,9,1),0),NETWORKDAYS.INTL(DATE($B$3,9,6),DATE($B$3,9,6),1,'Non-working days'!$A$6:$A$45)=0),"",IF(COUNTIFS('Leave log'!$A$7:$A$306,Employees!$A$15,'Leave log'!$B$7:$B$306,"&lt;="&amp;DATE($B$3,9,6),'Leave log'!$C$7:$C$306,"&gt;="&amp;DATE($B$3,9,6),'Leave log'!$F$7:$F$306,"Approved")&gt;0,"A",""))="A","A",IF(OR(DATE($B$3,9,6)&gt;EOMONTH(DATE($B$3,9,1),0),NETWORKDAYS.INTL(DATE($B$3,9,6),DATE($B$3,9,6),1,'Non-working days'!$A$6:$A$45)=0),"",IF(COUNTIFS('Leave log'!$A$7:$A$306,Employees!$A$15,'Leave log'!$B$7:$B$306,"&lt;="&amp;DATE($B$3,9,6),'Leave log'!$C$7:$C$306,"&gt;="&amp;DATE($B$3,9,6),'Leave log'!$F$7:$F$306,"Pending")&gt;0,"P",""))))</f>
        <v/>
      </c>
      <c r="H288" s="23" t="str">
        <f>IF(A288="","",IF(IF(OR(DATE($B$3,9,7)&gt;EOMONTH(DATE($B$3,9,1),0),NETWORKDAYS.INTL(DATE($B$3,9,7),DATE($B$3,9,7),1,'Non-working days'!$A$6:$A$45)=0),"",IF(COUNTIFS('Leave log'!$A$7:$A$306,Employees!$A$15,'Leave log'!$B$7:$B$306,"&lt;="&amp;DATE($B$3,9,7),'Leave log'!$C$7:$C$306,"&gt;="&amp;DATE($B$3,9,7),'Leave log'!$F$7:$F$306,"Approved")&gt;0,"A",""))="A","A",IF(OR(DATE($B$3,9,7)&gt;EOMONTH(DATE($B$3,9,1),0),NETWORKDAYS.INTL(DATE($B$3,9,7),DATE($B$3,9,7),1,'Non-working days'!$A$6:$A$45)=0),"",IF(COUNTIFS('Leave log'!$A$7:$A$306,Employees!$A$15,'Leave log'!$B$7:$B$306,"&lt;="&amp;DATE($B$3,9,7),'Leave log'!$C$7:$C$306,"&gt;="&amp;DATE($B$3,9,7),'Leave log'!$F$7:$F$306,"Pending")&gt;0,"P",""))))</f>
        <v/>
      </c>
      <c r="I288" s="23" t="str">
        <f>IF(A288="","",IF(IF(OR(DATE($B$3,9,8)&gt;EOMONTH(DATE($B$3,9,1),0),NETWORKDAYS.INTL(DATE($B$3,9,8),DATE($B$3,9,8),1,'Non-working days'!$A$6:$A$45)=0),"",IF(COUNTIFS('Leave log'!$A$7:$A$306,Employees!$A$15,'Leave log'!$B$7:$B$306,"&lt;="&amp;DATE($B$3,9,8),'Leave log'!$C$7:$C$306,"&gt;="&amp;DATE($B$3,9,8),'Leave log'!$F$7:$F$306,"Approved")&gt;0,"A",""))="A","A",IF(OR(DATE($B$3,9,8)&gt;EOMONTH(DATE($B$3,9,1),0),NETWORKDAYS.INTL(DATE($B$3,9,8),DATE($B$3,9,8),1,'Non-working days'!$A$6:$A$45)=0),"",IF(COUNTIFS('Leave log'!$A$7:$A$306,Employees!$A$15,'Leave log'!$B$7:$B$306,"&lt;="&amp;DATE($B$3,9,8),'Leave log'!$C$7:$C$306,"&gt;="&amp;DATE($B$3,9,8),'Leave log'!$F$7:$F$306,"Pending")&gt;0,"P",""))))</f>
        <v/>
      </c>
      <c r="J288" s="23" t="str">
        <f>IF(A288="","",IF(IF(OR(DATE($B$3,9,9)&gt;EOMONTH(DATE($B$3,9,1),0),NETWORKDAYS.INTL(DATE($B$3,9,9),DATE($B$3,9,9),1,'Non-working days'!$A$6:$A$45)=0),"",IF(COUNTIFS('Leave log'!$A$7:$A$306,Employees!$A$15,'Leave log'!$B$7:$B$306,"&lt;="&amp;DATE($B$3,9,9),'Leave log'!$C$7:$C$306,"&gt;="&amp;DATE($B$3,9,9),'Leave log'!$F$7:$F$306,"Approved")&gt;0,"A",""))="A","A",IF(OR(DATE($B$3,9,9)&gt;EOMONTH(DATE($B$3,9,1),0),NETWORKDAYS.INTL(DATE($B$3,9,9),DATE($B$3,9,9),1,'Non-working days'!$A$6:$A$45)=0),"",IF(COUNTIFS('Leave log'!$A$7:$A$306,Employees!$A$15,'Leave log'!$B$7:$B$306,"&lt;="&amp;DATE($B$3,9,9),'Leave log'!$C$7:$C$306,"&gt;="&amp;DATE($B$3,9,9),'Leave log'!$F$7:$F$306,"Pending")&gt;0,"P",""))))</f>
        <v/>
      </c>
      <c r="K288" s="23" t="str">
        <f>IF(A288="","",IF(IF(OR(DATE($B$3,9,10)&gt;EOMONTH(DATE($B$3,9,1),0),NETWORKDAYS.INTL(DATE($B$3,9,10),DATE($B$3,9,10),1,'Non-working days'!$A$6:$A$45)=0),"",IF(COUNTIFS('Leave log'!$A$7:$A$306,Employees!$A$15,'Leave log'!$B$7:$B$306,"&lt;="&amp;DATE($B$3,9,10),'Leave log'!$C$7:$C$306,"&gt;="&amp;DATE($B$3,9,10),'Leave log'!$F$7:$F$306,"Approved")&gt;0,"A",""))="A","A",IF(OR(DATE($B$3,9,10)&gt;EOMONTH(DATE($B$3,9,1),0),NETWORKDAYS.INTL(DATE($B$3,9,10),DATE($B$3,9,10),1,'Non-working days'!$A$6:$A$45)=0),"",IF(COUNTIFS('Leave log'!$A$7:$A$306,Employees!$A$15,'Leave log'!$B$7:$B$306,"&lt;="&amp;DATE($B$3,9,10),'Leave log'!$C$7:$C$306,"&gt;="&amp;DATE($B$3,9,10),'Leave log'!$F$7:$F$306,"Pending")&gt;0,"P",""))))</f>
        <v/>
      </c>
      <c r="L288" s="23" t="str">
        <f>IF(A288="","",IF(IF(OR(DATE($B$3,9,11)&gt;EOMONTH(DATE($B$3,9,1),0),NETWORKDAYS.INTL(DATE($B$3,9,11),DATE($B$3,9,11),1,'Non-working days'!$A$6:$A$45)=0),"",IF(COUNTIFS('Leave log'!$A$7:$A$306,Employees!$A$15,'Leave log'!$B$7:$B$306,"&lt;="&amp;DATE($B$3,9,11),'Leave log'!$C$7:$C$306,"&gt;="&amp;DATE($B$3,9,11),'Leave log'!$F$7:$F$306,"Approved")&gt;0,"A",""))="A","A",IF(OR(DATE($B$3,9,11)&gt;EOMONTH(DATE($B$3,9,1),0),NETWORKDAYS.INTL(DATE($B$3,9,11),DATE($B$3,9,11),1,'Non-working days'!$A$6:$A$45)=0),"",IF(COUNTIFS('Leave log'!$A$7:$A$306,Employees!$A$15,'Leave log'!$B$7:$B$306,"&lt;="&amp;DATE($B$3,9,11),'Leave log'!$C$7:$C$306,"&gt;="&amp;DATE($B$3,9,11),'Leave log'!$F$7:$F$306,"Pending")&gt;0,"P",""))))</f>
        <v/>
      </c>
      <c r="M288" s="23" t="str">
        <f>IF(A288="","",IF(IF(OR(DATE($B$3,9,12)&gt;EOMONTH(DATE($B$3,9,1),0),NETWORKDAYS.INTL(DATE($B$3,9,12),DATE($B$3,9,12),1,'Non-working days'!$A$6:$A$45)=0),"",IF(COUNTIFS('Leave log'!$A$7:$A$306,Employees!$A$15,'Leave log'!$B$7:$B$306,"&lt;="&amp;DATE($B$3,9,12),'Leave log'!$C$7:$C$306,"&gt;="&amp;DATE($B$3,9,12),'Leave log'!$F$7:$F$306,"Approved")&gt;0,"A",""))="A","A",IF(OR(DATE($B$3,9,12)&gt;EOMONTH(DATE($B$3,9,1),0),NETWORKDAYS.INTL(DATE($B$3,9,12),DATE($B$3,9,12),1,'Non-working days'!$A$6:$A$45)=0),"",IF(COUNTIFS('Leave log'!$A$7:$A$306,Employees!$A$15,'Leave log'!$B$7:$B$306,"&lt;="&amp;DATE($B$3,9,12),'Leave log'!$C$7:$C$306,"&gt;="&amp;DATE($B$3,9,12),'Leave log'!$F$7:$F$306,"Pending")&gt;0,"P",""))))</f>
        <v/>
      </c>
      <c r="N288" s="23" t="str">
        <f>IF(A288="","",IF(IF(OR(DATE($B$3,9,13)&gt;EOMONTH(DATE($B$3,9,1),0),NETWORKDAYS.INTL(DATE($B$3,9,13),DATE($B$3,9,13),1,'Non-working days'!$A$6:$A$45)=0),"",IF(COUNTIFS('Leave log'!$A$7:$A$306,Employees!$A$15,'Leave log'!$B$7:$B$306,"&lt;="&amp;DATE($B$3,9,13),'Leave log'!$C$7:$C$306,"&gt;="&amp;DATE($B$3,9,13),'Leave log'!$F$7:$F$306,"Approved")&gt;0,"A",""))="A","A",IF(OR(DATE($B$3,9,13)&gt;EOMONTH(DATE($B$3,9,1),0),NETWORKDAYS.INTL(DATE($B$3,9,13),DATE($B$3,9,13),1,'Non-working days'!$A$6:$A$45)=0),"",IF(COUNTIFS('Leave log'!$A$7:$A$306,Employees!$A$15,'Leave log'!$B$7:$B$306,"&lt;="&amp;DATE($B$3,9,13),'Leave log'!$C$7:$C$306,"&gt;="&amp;DATE($B$3,9,13),'Leave log'!$F$7:$F$306,"Pending")&gt;0,"P",""))))</f>
        <v/>
      </c>
      <c r="O288" s="23" t="str">
        <f>IF(A288="","",IF(IF(OR(DATE($B$3,9,14)&gt;EOMONTH(DATE($B$3,9,1),0),NETWORKDAYS.INTL(DATE($B$3,9,14),DATE($B$3,9,14),1,'Non-working days'!$A$6:$A$45)=0),"",IF(COUNTIFS('Leave log'!$A$7:$A$306,Employees!$A$15,'Leave log'!$B$7:$B$306,"&lt;="&amp;DATE($B$3,9,14),'Leave log'!$C$7:$C$306,"&gt;="&amp;DATE($B$3,9,14),'Leave log'!$F$7:$F$306,"Approved")&gt;0,"A",""))="A","A",IF(OR(DATE($B$3,9,14)&gt;EOMONTH(DATE($B$3,9,1),0),NETWORKDAYS.INTL(DATE($B$3,9,14),DATE($B$3,9,14),1,'Non-working days'!$A$6:$A$45)=0),"",IF(COUNTIFS('Leave log'!$A$7:$A$306,Employees!$A$15,'Leave log'!$B$7:$B$306,"&lt;="&amp;DATE($B$3,9,14),'Leave log'!$C$7:$C$306,"&gt;="&amp;DATE($B$3,9,14),'Leave log'!$F$7:$F$306,"Pending")&gt;0,"P",""))))</f>
        <v/>
      </c>
      <c r="P288" s="23" t="str">
        <f>IF(A288="","",IF(IF(OR(DATE($B$3,9,15)&gt;EOMONTH(DATE($B$3,9,1),0),NETWORKDAYS.INTL(DATE($B$3,9,15),DATE($B$3,9,15),1,'Non-working days'!$A$6:$A$45)=0),"",IF(COUNTIFS('Leave log'!$A$7:$A$306,Employees!$A$15,'Leave log'!$B$7:$B$306,"&lt;="&amp;DATE($B$3,9,15),'Leave log'!$C$7:$C$306,"&gt;="&amp;DATE($B$3,9,15),'Leave log'!$F$7:$F$306,"Approved")&gt;0,"A",""))="A","A",IF(OR(DATE($B$3,9,15)&gt;EOMONTH(DATE($B$3,9,1),0),NETWORKDAYS.INTL(DATE($B$3,9,15),DATE($B$3,9,15),1,'Non-working days'!$A$6:$A$45)=0),"",IF(COUNTIFS('Leave log'!$A$7:$A$306,Employees!$A$15,'Leave log'!$B$7:$B$306,"&lt;="&amp;DATE($B$3,9,15),'Leave log'!$C$7:$C$306,"&gt;="&amp;DATE($B$3,9,15),'Leave log'!$F$7:$F$306,"Pending")&gt;0,"P",""))))</f>
        <v/>
      </c>
      <c r="Q288" s="23" t="str">
        <f>IF(A288="","",IF(IF(OR(DATE($B$3,9,16)&gt;EOMONTH(DATE($B$3,9,1),0),NETWORKDAYS.INTL(DATE($B$3,9,16),DATE($B$3,9,16),1,'Non-working days'!$A$6:$A$45)=0),"",IF(COUNTIFS('Leave log'!$A$7:$A$306,Employees!$A$15,'Leave log'!$B$7:$B$306,"&lt;="&amp;DATE($B$3,9,16),'Leave log'!$C$7:$C$306,"&gt;="&amp;DATE($B$3,9,16),'Leave log'!$F$7:$F$306,"Approved")&gt;0,"A",""))="A","A",IF(OR(DATE($B$3,9,16)&gt;EOMONTH(DATE($B$3,9,1),0),NETWORKDAYS.INTL(DATE($B$3,9,16),DATE($B$3,9,16),1,'Non-working days'!$A$6:$A$45)=0),"",IF(COUNTIFS('Leave log'!$A$7:$A$306,Employees!$A$15,'Leave log'!$B$7:$B$306,"&lt;="&amp;DATE($B$3,9,16),'Leave log'!$C$7:$C$306,"&gt;="&amp;DATE($B$3,9,16),'Leave log'!$F$7:$F$306,"Pending")&gt;0,"P",""))))</f>
        <v/>
      </c>
      <c r="R288" s="23" t="str">
        <f>IF(A288="","",IF(IF(OR(DATE($B$3,9,17)&gt;EOMONTH(DATE($B$3,9,1),0),NETWORKDAYS.INTL(DATE($B$3,9,17),DATE($B$3,9,17),1,'Non-working days'!$A$6:$A$45)=0),"",IF(COUNTIFS('Leave log'!$A$7:$A$306,Employees!$A$15,'Leave log'!$B$7:$B$306,"&lt;="&amp;DATE($B$3,9,17),'Leave log'!$C$7:$C$306,"&gt;="&amp;DATE($B$3,9,17),'Leave log'!$F$7:$F$306,"Approved")&gt;0,"A",""))="A","A",IF(OR(DATE($B$3,9,17)&gt;EOMONTH(DATE($B$3,9,1),0),NETWORKDAYS.INTL(DATE($B$3,9,17),DATE($B$3,9,17),1,'Non-working days'!$A$6:$A$45)=0),"",IF(COUNTIFS('Leave log'!$A$7:$A$306,Employees!$A$15,'Leave log'!$B$7:$B$306,"&lt;="&amp;DATE($B$3,9,17),'Leave log'!$C$7:$C$306,"&gt;="&amp;DATE($B$3,9,17),'Leave log'!$F$7:$F$306,"Pending")&gt;0,"P",""))))</f>
        <v/>
      </c>
      <c r="S288" s="23" t="str">
        <f>IF(A288="","",IF(IF(OR(DATE($B$3,9,18)&gt;EOMONTH(DATE($B$3,9,1),0),NETWORKDAYS.INTL(DATE($B$3,9,18),DATE($B$3,9,18),1,'Non-working days'!$A$6:$A$45)=0),"",IF(COUNTIFS('Leave log'!$A$7:$A$306,Employees!$A$15,'Leave log'!$B$7:$B$306,"&lt;="&amp;DATE($B$3,9,18),'Leave log'!$C$7:$C$306,"&gt;="&amp;DATE($B$3,9,18),'Leave log'!$F$7:$F$306,"Approved")&gt;0,"A",""))="A","A",IF(OR(DATE($B$3,9,18)&gt;EOMONTH(DATE($B$3,9,1),0),NETWORKDAYS.INTL(DATE($B$3,9,18),DATE($B$3,9,18),1,'Non-working days'!$A$6:$A$45)=0),"",IF(COUNTIFS('Leave log'!$A$7:$A$306,Employees!$A$15,'Leave log'!$B$7:$B$306,"&lt;="&amp;DATE($B$3,9,18),'Leave log'!$C$7:$C$306,"&gt;="&amp;DATE($B$3,9,18),'Leave log'!$F$7:$F$306,"Pending")&gt;0,"P",""))))</f>
        <v/>
      </c>
      <c r="T288" s="23" t="str">
        <f>IF(A288="","",IF(IF(OR(DATE($B$3,9,19)&gt;EOMONTH(DATE($B$3,9,1),0),NETWORKDAYS.INTL(DATE($B$3,9,19),DATE($B$3,9,19),1,'Non-working days'!$A$6:$A$45)=0),"",IF(COUNTIFS('Leave log'!$A$7:$A$306,Employees!$A$15,'Leave log'!$B$7:$B$306,"&lt;="&amp;DATE($B$3,9,19),'Leave log'!$C$7:$C$306,"&gt;="&amp;DATE($B$3,9,19),'Leave log'!$F$7:$F$306,"Approved")&gt;0,"A",""))="A","A",IF(OR(DATE($B$3,9,19)&gt;EOMONTH(DATE($B$3,9,1),0),NETWORKDAYS.INTL(DATE($B$3,9,19),DATE($B$3,9,19),1,'Non-working days'!$A$6:$A$45)=0),"",IF(COUNTIFS('Leave log'!$A$7:$A$306,Employees!$A$15,'Leave log'!$B$7:$B$306,"&lt;="&amp;DATE($B$3,9,19),'Leave log'!$C$7:$C$306,"&gt;="&amp;DATE($B$3,9,19),'Leave log'!$F$7:$F$306,"Pending")&gt;0,"P",""))))</f>
        <v/>
      </c>
      <c r="U288" s="23" t="str">
        <f>IF(A288="","",IF(IF(OR(DATE($B$3,9,20)&gt;EOMONTH(DATE($B$3,9,1),0),NETWORKDAYS.INTL(DATE($B$3,9,20),DATE($B$3,9,20),1,'Non-working days'!$A$6:$A$45)=0),"",IF(COUNTIFS('Leave log'!$A$7:$A$306,Employees!$A$15,'Leave log'!$B$7:$B$306,"&lt;="&amp;DATE($B$3,9,20),'Leave log'!$C$7:$C$306,"&gt;="&amp;DATE($B$3,9,20),'Leave log'!$F$7:$F$306,"Approved")&gt;0,"A",""))="A","A",IF(OR(DATE($B$3,9,20)&gt;EOMONTH(DATE($B$3,9,1),0),NETWORKDAYS.INTL(DATE($B$3,9,20),DATE($B$3,9,20),1,'Non-working days'!$A$6:$A$45)=0),"",IF(COUNTIFS('Leave log'!$A$7:$A$306,Employees!$A$15,'Leave log'!$B$7:$B$306,"&lt;="&amp;DATE($B$3,9,20),'Leave log'!$C$7:$C$306,"&gt;="&amp;DATE($B$3,9,20),'Leave log'!$F$7:$F$306,"Pending")&gt;0,"P",""))))</f>
        <v/>
      </c>
      <c r="V288" s="23" t="str">
        <f>IF(A288="","",IF(IF(OR(DATE($B$3,9,21)&gt;EOMONTH(DATE($B$3,9,1),0),NETWORKDAYS.INTL(DATE($B$3,9,21),DATE($B$3,9,21),1,'Non-working days'!$A$6:$A$45)=0),"",IF(COUNTIFS('Leave log'!$A$7:$A$306,Employees!$A$15,'Leave log'!$B$7:$B$306,"&lt;="&amp;DATE($B$3,9,21),'Leave log'!$C$7:$C$306,"&gt;="&amp;DATE($B$3,9,21),'Leave log'!$F$7:$F$306,"Approved")&gt;0,"A",""))="A","A",IF(OR(DATE($B$3,9,21)&gt;EOMONTH(DATE($B$3,9,1),0),NETWORKDAYS.INTL(DATE($B$3,9,21),DATE($B$3,9,21),1,'Non-working days'!$A$6:$A$45)=0),"",IF(COUNTIFS('Leave log'!$A$7:$A$306,Employees!$A$15,'Leave log'!$B$7:$B$306,"&lt;="&amp;DATE($B$3,9,21),'Leave log'!$C$7:$C$306,"&gt;="&amp;DATE($B$3,9,21),'Leave log'!$F$7:$F$306,"Pending")&gt;0,"P",""))))</f>
        <v/>
      </c>
      <c r="W288" s="23" t="str">
        <f>IF(A288="","",IF(IF(OR(DATE($B$3,9,22)&gt;EOMONTH(DATE($B$3,9,1),0),NETWORKDAYS.INTL(DATE($B$3,9,22),DATE($B$3,9,22),1,'Non-working days'!$A$6:$A$45)=0),"",IF(COUNTIFS('Leave log'!$A$7:$A$306,Employees!$A$15,'Leave log'!$B$7:$B$306,"&lt;="&amp;DATE($B$3,9,22),'Leave log'!$C$7:$C$306,"&gt;="&amp;DATE($B$3,9,22),'Leave log'!$F$7:$F$306,"Approved")&gt;0,"A",""))="A","A",IF(OR(DATE($B$3,9,22)&gt;EOMONTH(DATE($B$3,9,1),0),NETWORKDAYS.INTL(DATE($B$3,9,22),DATE($B$3,9,22),1,'Non-working days'!$A$6:$A$45)=0),"",IF(COUNTIFS('Leave log'!$A$7:$A$306,Employees!$A$15,'Leave log'!$B$7:$B$306,"&lt;="&amp;DATE($B$3,9,22),'Leave log'!$C$7:$C$306,"&gt;="&amp;DATE($B$3,9,22),'Leave log'!$F$7:$F$306,"Pending")&gt;0,"P",""))))</f>
        <v/>
      </c>
      <c r="X288" s="23" t="str">
        <f>IF(A288="","",IF(IF(OR(DATE($B$3,9,23)&gt;EOMONTH(DATE($B$3,9,1),0),NETWORKDAYS.INTL(DATE($B$3,9,23),DATE($B$3,9,23),1,'Non-working days'!$A$6:$A$45)=0),"",IF(COUNTIFS('Leave log'!$A$7:$A$306,Employees!$A$15,'Leave log'!$B$7:$B$306,"&lt;="&amp;DATE($B$3,9,23),'Leave log'!$C$7:$C$306,"&gt;="&amp;DATE($B$3,9,23),'Leave log'!$F$7:$F$306,"Approved")&gt;0,"A",""))="A","A",IF(OR(DATE($B$3,9,23)&gt;EOMONTH(DATE($B$3,9,1),0),NETWORKDAYS.INTL(DATE($B$3,9,23),DATE($B$3,9,23),1,'Non-working days'!$A$6:$A$45)=0),"",IF(COUNTIFS('Leave log'!$A$7:$A$306,Employees!$A$15,'Leave log'!$B$7:$B$306,"&lt;="&amp;DATE($B$3,9,23),'Leave log'!$C$7:$C$306,"&gt;="&amp;DATE($B$3,9,23),'Leave log'!$F$7:$F$306,"Pending")&gt;0,"P",""))))</f>
        <v/>
      </c>
      <c r="Y288" s="23" t="str">
        <f>IF(A288="","",IF(IF(OR(DATE($B$3,9,24)&gt;EOMONTH(DATE($B$3,9,1),0),NETWORKDAYS.INTL(DATE($B$3,9,24),DATE($B$3,9,24),1,'Non-working days'!$A$6:$A$45)=0),"",IF(COUNTIFS('Leave log'!$A$7:$A$306,Employees!$A$15,'Leave log'!$B$7:$B$306,"&lt;="&amp;DATE($B$3,9,24),'Leave log'!$C$7:$C$306,"&gt;="&amp;DATE($B$3,9,24),'Leave log'!$F$7:$F$306,"Approved")&gt;0,"A",""))="A","A",IF(OR(DATE($B$3,9,24)&gt;EOMONTH(DATE($B$3,9,1),0),NETWORKDAYS.INTL(DATE($B$3,9,24),DATE($B$3,9,24),1,'Non-working days'!$A$6:$A$45)=0),"",IF(COUNTIFS('Leave log'!$A$7:$A$306,Employees!$A$15,'Leave log'!$B$7:$B$306,"&lt;="&amp;DATE($B$3,9,24),'Leave log'!$C$7:$C$306,"&gt;="&amp;DATE($B$3,9,24),'Leave log'!$F$7:$F$306,"Pending")&gt;0,"P",""))))</f>
        <v/>
      </c>
      <c r="Z288" s="23" t="str">
        <f>IF(A288="","",IF(IF(OR(DATE($B$3,9,25)&gt;EOMONTH(DATE($B$3,9,1),0),NETWORKDAYS.INTL(DATE($B$3,9,25),DATE($B$3,9,25),1,'Non-working days'!$A$6:$A$45)=0),"",IF(COUNTIFS('Leave log'!$A$7:$A$306,Employees!$A$15,'Leave log'!$B$7:$B$306,"&lt;="&amp;DATE($B$3,9,25),'Leave log'!$C$7:$C$306,"&gt;="&amp;DATE($B$3,9,25),'Leave log'!$F$7:$F$306,"Approved")&gt;0,"A",""))="A","A",IF(OR(DATE($B$3,9,25)&gt;EOMONTH(DATE($B$3,9,1),0),NETWORKDAYS.INTL(DATE($B$3,9,25),DATE($B$3,9,25),1,'Non-working days'!$A$6:$A$45)=0),"",IF(COUNTIFS('Leave log'!$A$7:$A$306,Employees!$A$15,'Leave log'!$B$7:$B$306,"&lt;="&amp;DATE($B$3,9,25),'Leave log'!$C$7:$C$306,"&gt;="&amp;DATE($B$3,9,25),'Leave log'!$F$7:$F$306,"Pending")&gt;0,"P",""))))</f>
        <v/>
      </c>
      <c r="AA288" s="23" t="str">
        <f>IF(A288="","",IF(IF(OR(DATE($B$3,9,26)&gt;EOMONTH(DATE($B$3,9,1),0),NETWORKDAYS.INTL(DATE($B$3,9,26),DATE($B$3,9,26),1,'Non-working days'!$A$6:$A$45)=0),"",IF(COUNTIFS('Leave log'!$A$7:$A$306,Employees!$A$15,'Leave log'!$B$7:$B$306,"&lt;="&amp;DATE($B$3,9,26),'Leave log'!$C$7:$C$306,"&gt;="&amp;DATE($B$3,9,26),'Leave log'!$F$7:$F$306,"Approved")&gt;0,"A",""))="A","A",IF(OR(DATE($B$3,9,26)&gt;EOMONTH(DATE($B$3,9,1),0),NETWORKDAYS.INTL(DATE($B$3,9,26),DATE($B$3,9,26),1,'Non-working days'!$A$6:$A$45)=0),"",IF(COUNTIFS('Leave log'!$A$7:$A$306,Employees!$A$15,'Leave log'!$B$7:$B$306,"&lt;="&amp;DATE($B$3,9,26),'Leave log'!$C$7:$C$306,"&gt;="&amp;DATE($B$3,9,26),'Leave log'!$F$7:$F$306,"Pending")&gt;0,"P",""))))</f>
        <v/>
      </c>
      <c r="AB288" s="23" t="str">
        <f>IF(A288="","",IF(IF(OR(DATE($B$3,9,27)&gt;EOMONTH(DATE($B$3,9,1),0),NETWORKDAYS.INTL(DATE($B$3,9,27),DATE($B$3,9,27),1,'Non-working days'!$A$6:$A$45)=0),"",IF(COUNTIFS('Leave log'!$A$7:$A$306,Employees!$A$15,'Leave log'!$B$7:$B$306,"&lt;="&amp;DATE($B$3,9,27),'Leave log'!$C$7:$C$306,"&gt;="&amp;DATE($B$3,9,27),'Leave log'!$F$7:$F$306,"Approved")&gt;0,"A",""))="A","A",IF(OR(DATE($B$3,9,27)&gt;EOMONTH(DATE($B$3,9,1),0),NETWORKDAYS.INTL(DATE($B$3,9,27),DATE($B$3,9,27),1,'Non-working days'!$A$6:$A$45)=0),"",IF(COUNTIFS('Leave log'!$A$7:$A$306,Employees!$A$15,'Leave log'!$B$7:$B$306,"&lt;="&amp;DATE($B$3,9,27),'Leave log'!$C$7:$C$306,"&gt;="&amp;DATE($B$3,9,27),'Leave log'!$F$7:$F$306,"Pending")&gt;0,"P",""))))</f>
        <v/>
      </c>
      <c r="AC288" s="23" t="str">
        <f>IF(A288="","",IF(IF(OR(DATE($B$3,9,28)&gt;EOMONTH(DATE($B$3,9,1),0),NETWORKDAYS.INTL(DATE($B$3,9,28),DATE($B$3,9,28),1,'Non-working days'!$A$6:$A$45)=0),"",IF(COUNTIFS('Leave log'!$A$7:$A$306,Employees!$A$15,'Leave log'!$B$7:$B$306,"&lt;="&amp;DATE($B$3,9,28),'Leave log'!$C$7:$C$306,"&gt;="&amp;DATE($B$3,9,28),'Leave log'!$F$7:$F$306,"Approved")&gt;0,"A",""))="A","A",IF(OR(DATE($B$3,9,28)&gt;EOMONTH(DATE($B$3,9,1),0),NETWORKDAYS.INTL(DATE($B$3,9,28),DATE($B$3,9,28),1,'Non-working days'!$A$6:$A$45)=0),"",IF(COUNTIFS('Leave log'!$A$7:$A$306,Employees!$A$15,'Leave log'!$B$7:$B$306,"&lt;="&amp;DATE($B$3,9,28),'Leave log'!$C$7:$C$306,"&gt;="&amp;DATE($B$3,9,28),'Leave log'!$F$7:$F$306,"Pending")&gt;0,"P",""))))</f>
        <v/>
      </c>
      <c r="AD288" s="23" t="str">
        <f>IF(A288="","",IF(IF(OR(DATE($B$3,9,29)&gt;EOMONTH(DATE($B$3,9,1),0),NETWORKDAYS.INTL(DATE($B$3,9,29),DATE($B$3,9,29),1,'Non-working days'!$A$6:$A$45)=0),"",IF(COUNTIFS('Leave log'!$A$7:$A$306,Employees!$A$15,'Leave log'!$B$7:$B$306,"&lt;="&amp;DATE($B$3,9,29),'Leave log'!$C$7:$C$306,"&gt;="&amp;DATE($B$3,9,29),'Leave log'!$F$7:$F$306,"Approved")&gt;0,"A",""))="A","A",IF(OR(DATE($B$3,9,29)&gt;EOMONTH(DATE($B$3,9,1),0),NETWORKDAYS.INTL(DATE($B$3,9,29),DATE($B$3,9,29),1,'Non-working days'!$A$6:$A$45)=0),"",IF(COUNTIFS('Leave log'!$A$7:$A$306,Employees!$A$15,'Leave log'!$B$7:$B$306,"&lt;="&amp;DATE($B$3,9,29),'Leave log'!$C$7:$C$306,"&gt;="&amp;DATE($B$3,9,29),'Leave log'!$F$7:$F$306,"Pending")&gt;0,"P",""))))</f>
        <v/>
      </c>
      <c r="AE288" s="23" t="str">
        <f>IF(A288="","",IF(IF(OR(DATE($B$3,9,30)&gt;EOMONTH(DATE($B$3,9,1),0),NETWORKDAYS.INTL(DATE($B$3,9,30),DATE($B$3,9,30),1,'Non-working days'!$A$6:$A$45)=0),"",IF(COUNTIFS('Leave log'!$A$7:$A$306,Employees!$A$15,'Leave log'!$B$7:$B$306,"&lt;="&amp;DATE($B$3,9,30),'Leave log'!$C$7:$C$306,"&gt;="&amp;DATE($B$3,9,30),'Leave log'!$F$7:$F$306,"Approved")&gt;0,"A",""))="A","A",IF(OR(DATE($B$3,9,30)&gt;EOMONTH(DATE($B$3,9,1),0),NETWORKDAYS.INTL(DATE($B$3,9,30),DATE($B$3,9,30),1,'Non-working days'!$A$6:$A$45)=0),"",IF(COUNTIFS('Leave log'!$A$7:$A$306,Employees!$A$15,'Leave log'!$B$7:$B$306,"&lt;="&amp;DATE($B$3,9,30),'Leave log'!$C$7:$C$306,"&gt;="&amp;DATE($B$3,9,30),'Leave log'!$F$7:$F$306,"Pending")&gt;0,"P",""))))</f>
        <v/>
      </c>
      <c r="AF288" s="23" t="str">
        <f>IF(A288="","",IF(IF(OR(DATE($B$3,9,31)&gt;EOMONTH(DATE($B$3,9,1),0),NETWORKDAYS.INTL(DATE($B$3,9,31),DATE($B$3,9,31),1,'Non-working days'!$A$6:$A$45)=0),"",IF(COUNTIFS('Leave log'!$A$7:$A$306,Employees!$A$15,'Leave log'!$B$7:$B$306,"&lt;="&amp;DATE($B$3,9,31),'Leave log'!$C$7:$C$306,"&gt;="&amp;DATE($B$3,9,31),'Leave log'!$F$7:$F$306,"Approved")&gt;0,"A",""))="A","A",IF(OR(DATE($B$3,9,31)&gt;EOMONTH(DATE($B$3,9,1),0),NETWORKDAYS.INTL(DATE($B$3,9,31),DATE($B$3,9,31),1,'Non-working days'!$A$6:$A$45)=0),"",IF(COUNTIFS('Leave log'!$A$7:$A$306,Employees!$A$15,'Leave log'!$B$7:$B$306,"&lt;="&amp;DATE($B$3,9,31),'Leave log'!$C$7:$C$306,"&gt;="&amp;DATE($B$3,9,31),'Leave log'!$F$7:$F$306,"Pending")&gt;0,"P",""))))</f>
        <v/>
      </c>
    </row>
    <row r="289" spans="1:32" ht="18" customHeight="1" x14ac:dyDescent="0.3">
      <c r="A289" s="22" t="str">
        <f>IF(Employees!F16="Yes",Employees!B16,"")</f>
        <v/>
      </c>
      <c r="B289" s="23" t="str">
        <f>IF(A289="","",IF(IF(OR(DATE($B$3,9,1)&gt;EOMONTH(DATE($B$3,9,1),0),NETWORKDAYS.INTL(DATE($B$3,9,1),DATE($B$3,9,1),1,'Non-working days'!$A$6:$A$45)=0),"",IF(COUNTIFS('Leave log'!$A$7:$A$306,Employees!$A$16,'Leave log'!$B$7:$B$306,"&lt;="&amp;DATE($B$3,9,1),'Leave log'!$C$7:$C$306,"&gt;="&amp;DATE($B$3,9,1),'Leave log'!$F$7:$F$306,"Approved")&gt;0,"A",""))="A","A",IF(OR(DATE($B$3,9,1)&gt;EOMONTH(DATE($B$3,9,1),0),NETWORKDAYS.INTL(DATE($B$3,9,1),DATE($B$3,9,1),1,'Non-working days'!$A$6:$A$45)=0),"",IF(COUNTIFS('Leave log'!$A$7:$A$306,Employees!$A$16,'Leave log'!$B$7:$B$306,"&lt;="&amp;DATE($B$3,9,1),'Leave log'!$C$7:$C$306,"&gt;="&amp;DATE($B$3,9,1),'Leave log'!$F$7:$F$306,"Pending")&gt;0,"P",""))))</f>
        <v/>
      </c>
      <c r="C289" s="23" t="str">
        <f>IF(A289="","",IF(IF(OR(DATE($B$3,9,2)&gt;EOMONTH(DATE($B$3,9,1),0),NETWORKDAYS.INTL(DATE($B$3,9,2),DATE($B$3,9,2),1,'Non-working days'!$A$6:$A$45)=0),"",IF(COUNTIFS('Leave log'!$A$7:$A$306,Employees!$A$16,'Leave log'!$B$7:$B$306,"&lt;="&amp;DATE($B$3,9,2),'Leave log'!$C$7:$C$306,"&gt;="&amp;DATE($B$3,9,2),'Leave log'!$F$7:$F$306,"Approved")&gt;0,"A",""))="A","A",IF(OR(DATE($B$3,9,2)&gt;EOMONTH(DATE($B$3,9,1),0),NETWORKDAYS.INTL(DATE($B$3,9,2),DATE($B$3,9,2),1,'Non-working days'!$A$6:$A$45)=0),"",IF(COUNTIFS('Leave log'!$A$7:$A$306,Employees!$A$16,'Leave log'!$B$7:$B$306,"&lt;="&amp;DATE($B$3,9,2),'Leave log'!$C$7:$C$306,"&gt;="&amp;DATE($B$3,9,2),'Leave log'!$F$7:$F$306,"Pending")&gt;0,"P",""))))</f>
        <v/>
      </c>
      <c r="D289" s="23" t="str">
        <f>IF(A289="","",IF(IF(OR(DATE($B$3,9,3)&gt;EOMONTH(DATE($B$3,9,1),0),NETWORKDAYS.INTL(DATE($B$3,9,3),DATE($B$3,9,3),1,'Non-working days'!$A$6:$A$45)=0),"",IF(COUNTIFS('Leave log'!$A$7:$A$306,Employees!$A$16,'Leave log'!$B$7:$B$306,"&lt;="&amp;DATE($B$3,9,3),'Leave log'!$C$7:$C$306,"&gt;="&amp;DATE($B$3,9,3),'Leave log'!$F$7:$F$306,"Approved")&gt;0,"A",""))="A","A",IF(OR(DATE($B$3,9,3)&gt;EOMONTH(DATE($B$3,9,1),0),NETWORKDAYS.INTL(DATE($B$3,9,3),DATE($B$3,9,3),1,'Non-working days'!$A$6:$A$45)=0),"",IF(COUNTIFS('Leave log'!$A$7:$A$306,Employees!$A$16,'Leave log'!$B$7:$B$306,"&lt;="&amp;DATE($B$3,9,3),'Leave log'!$C$7:$C$306,"&gt;="&amp;DATE($B$3,9,3),'Leave log'!$F$7:$F$306,"Pending")&gt;0,"P",""))))</f>
        <v/>
      </c>
      <c r="E289" s="23" t="str">
        <f>IF(A289="","",IF(IF(OR(DATE($B$3,9,4)&gt;EOMONTH(DATE($B$3,9,1),0),NETWORKDAYS.INTL(DATE($B$3,9,4),DATE($B$3,9,4),1,'Non-working days'!$A$6:$A$45)=0),"",IF(COUNTIFS('Leave log'!$A$7:$A$306,Employees!$A$16,'Leave log'!$B$7:$B$306,"&lt;="&amp;DATE($B$3,9,4),'Leave log'!$C$7:$C$306,"&gt;="&amp;DATE($B$3,9,4),'Leave log'!$F$7:$F$306,"Approved")&gt;0,"A",""))="A","A",IF(OR(DATE($B$3,9,4)&gt;EOMONTH(DATE($B$3,9,1),0),NETWORKDAYS.INTL(DATE($B$3,9,4),DATE($B$3,9,4),1,'Non-working days'!$A$6:$A$45)=0),"",IF(COUNTIFS('Leave log'!$A$7:$A$306,Employees!$A$16,'Leave log'!$B$7:$B$306,"&lt;="&amp;DATE($B$3,9,4),'Leave log'!$C$7:$C$306,"&gt;="&amp;DATE($B$3,9,4),'Leave log'!$F$7:$F$306,"Pending")&gt;0,"P",""))))</f>
        <v/>
      </c>
      <c r="F289" s="23" t="str">
        <f>IF(A289="","",IF(IF(OR(DATE($B$3,9,5)&gt;EOMONTH(DATE($B$3,9,1),0),NETWORKDAYS.INTL(DATE($B$3,9,5),DATE($B$3,9,5),1,'Non-working days'!$A$6:$A$45)=0),"",IF(COUNTIFS('Leave log'!$A$7:$A$306,Employees!$A$16,'Leave log'!$B$7:$B$306,"&lt;="&amp;DATE($B$3,9,5),'Leave log'!$C$7:$C$306,"&gt;="&amp;DATE($B$3,9,5),'Leave log'!$F$7:$F$306,"Approved")&gt;0,"A",""))="A","A",IF(OR(DATE($B$3,9,5)&gt;EOMONTH(DATE($B$3,9,1),0),NETWORKDAYS.INTL(DATE($B$3,9,5),DATE($B$3,9,5),1,'Non-working days'!$A$6:$A$45)=0),"",IF(COUNTIFS('Leave log'!$A$7:$A$306,Employees!$A$16,'Leave log'!$B$7:$B$306,"&lt;="&amp;DATE($B$3,9,5),'Leave log'!$C$7:$C$306,"&gt;="&amp;DATE($B$3,9,5),'Leave log'!$F$7:$F$306,"Pending")&gt;0,"P",""))))</f>
        <v/>
      </c>
      <c r="G289" s="23" t="str">
        <f>IF(A289="","",IF(IF(OR(DATE($B$3,9,6)&gt;EOMONTH(DATE($B$3,9,1),0),NETWORKDAYS.INTL(DATE($B$3,9,6),DATE($B$3,9,6),1,'Non-working days'!$A$6:$A$45)=0),"",IF(COUNTIFS('Leave log'!$A$7:$A$306,Employees!$A$16,'Leave log'!$B$7:$B$306,"&lt;="&amp;DATE($B$3,9,6),'Leave log'!$C$7:$C$306,"&gt;="&amp;DATE($B$3,9,6),'Leave log'!$F$7:$F$306,"Approved")&gt;0,"A",""))="A","A",IF(OR(DATE($B$3,9,6)&gt;EOMONTH(DATE($B$3,9,1),0),NETWORKDAYS.INTL(DATE($B$3,9,6),DATE($B$3,9,6),1,'Non-working days'!$A$6:$A$45)=0),"",IF(COUNTIFS('Leave log'!$A$7:$A$306,Employees!$A$16,'Leave log'!$B$7:$B$306,"&lt;="&amp;DATE($B$3,9,6),'Leave log'!$C$7:$C$306,"&gt;="&amp;DATE($B$3,9,6),'Leave log'!$F$7:$F$306,"Pending")&gt;0,"P",""))))</f>
        <v/>
      </c>
      <c r="H289" s="23" t="str">
        <f>IF(A289="","",IF(IF(OR(DATE($B$3,9,7)&gt;EOMONTH(DATE($B$3,9,1),0),NETWORKDAYS.INTL(DATE($B$3,9,7),DATE($B$3,9,7),1,'Non-working days'!$A$6:$A$45)=0),"",IF(COUNTIFS('Leave log'!$A$7:$A$306,Employees!$A$16,'Leave log'!$B$7:$B$306,"&lt;="&amp;DATE($B$3,9,7),'Leave log'!$C$7:$C$306,"&gt;="&amp;DATE($B$3,9,7),'Leave log'!$F$7:$F$306,"Approved")&gt;0,"A",""))="A","A",IF(OR(DATE($B$3,9,7)&gt;EOMONTH(DATE($B$3,9,1),0),NETWORKDAYS.INTL(DATE($B$3,9,7),DATE($B$3,9,7),1,'Non-working days'!$A$6:$A$45)=0),"",IF(COUNTIFS('Leave log'!$A$7:$A$306,Employees!$A$16,'Leave log'!$B$7:$B$306,"&lt;="&amp;DATE($B$3,9,7),'Leave log'!$C$7:$C$306,"&gt;="&amp;DATE($B$3,9,7),'Leave log'!$F$7:$F$306,"Pending")&gt;0,"P",""))))</f>
        <v/>
      </c>
      <c r="I289" s="23" t="str">
        <f>IF(A289="","",IF(IF(OR(DATE($B$3,9,8)&gt;EOMONTH(DATE($B$3,9,1),0),NETWORKDAYS.INTL(DATE($B$3,9,8),DATE($B$3,9,8),1,'Non-working days'!$A$6:$A$45)=0),"",IF(COUNTIFS('Leave log'!$A$7:$A$306,Employees!$A$16,'Leave log'!$B$7:$B$306,"&lt;="&amp;DATE($B$3,9,8),'Leave log'!$C$7:$C$306,"&gt;="&amp;DATE($B$3,9,8),'Leave log'!$F$7:$F$306,"Approved")&gt;0,"A",""))="A","A",IF(OR(DATE($B$3,9,8)&gt;EOMONTH(DATE($B$3,9,1),0),NETWORKDAYS.INTL(DATE($B$3,9,8),DATE($B$3,9,8),1,'Non-working days'!$A$6:$A$45)=0),"",IF(COUNTIFS('Leave log'!$A$7:$A$306,Employees!$A$16,'Leave log'!$B$7:$B$306,"&lt;="&amp;DATE($B$3,9,8),'Leave log'!$C$7:$C$306,"&gt;="&amp;DATE($B$3,9,8),'Leave log'!$F$7:$F$306,"Pending")&gt;0,"P",""))))</f>
        <v/>
      </c>
      <c r="J289" s="23" t="str">
        <f>IF(A289="","",IF(IF(OR(DATE($B$3,9,9)&gt;EOMONTH(DATE($B$3,9,1),0),NETWORKDAYS.INTL(DATE($B$3,9,9),DATE($B$3,9,9),1,'Non-working days'!$A$6:$A$45)=0),"",IF(COUNTIFS('Leave log'!$A$7:$A$306,Employees!$A$16,'Leave log'!$B$7:$B$306,"&lt;="&amp;DATE($B$3,9,9),'Leave log'!$C$7:$C$306,"&gt;="&amp;DATE($B$3,9,9),'Leave log'!$F$7:$F$306,"Approved")&gt;0,"A",""))="A","A",IF(OR(DATE($B$3,9,9)&gt;EOMONTH(DATE($B$3,9,1),0),NETWORKDAYS.INTL(DATE($B$3,9,9),DATE($B$3,9,9),1,'Non-working days'!$A$6:$A$45)=0),"",IF(COUNTIFS('Leave log'!$A$7:$A$306,Employees!$A$16,'Leave log'!$B$7:$B$306,"&lt;="&amp;DATE($B$3,9,9),'Leave log'!$C$7:$C$306,"&gt;="&amp;DATE($B$3,9,9),'Leave log'!$F$7:$F$306,"Pending")&gt;0,"P",""))))</f>
        <v/>
      </c>
      <c r="K289" s="23" t="str">
        <f>IF(A289="","",IF(IF(OR(DATE($B$3,9,10)&gt;EOMONTH(DATE($B$3,9,1),0),NETWORKDAYS.INTL(DATE($B$3,9,10),DATE($B$3,9,10),1,'Non-working days'!$A$6:$A$45)=0),"",IF(COUNTIFS('Leave log'!$A$7:$A$306,Employees!$A$16,'Leave log'!$B$7:$B$306,"&lt;="&amp;DATE($B$3,9,10),'Leave log'!$C$7:$C$306,"&gt;="&amp;DATE($B$3,9,10),'Leave log'!$F$7:$F$306,"Approved")&gt;0,"A",""))="A","A",IF(OR(DATE($B$3,9,10)&gt;EOMONTH(DATE($B$3,9,1),0),NETWORKDAYS.INTL(DATE($B$3,9,10),DATE($B$3,9,10),1,'Non-working days'!$A$6:$A$45)=0),"",IF(COUNTIFS('Leave log'!$A$7:$A$306,Employees!$A$16,'Leave log'!$B$7:$B$306,"&lt;="&amp;DATE($B$3,9,10),'Leave log'!$C$7:$C$306,"&gt;="&amp;DATE($B$3,9,10),'Leave log'!$F$7:$F$306,"Pending")&gt;0,"P",""))))</f>
        <v/>
      </c>
      <c r="L289" s="23" t="str">
        <f>IF(A289="","",IF(IF(OR(DATE($B$3,9,11)&gt;EOMONTH(DATE($B$3,9,1),0),NETWORKDAYS.INTL(DATE($B$3,9,11),DATE($B$3,9,11),1,'Non-working days'!$A$6:$A$45)=0),"",IF(COUNTIFS('Leave log'!$A$7:$A$306,Employees!$A$16,'Leave log'!$B$7:$B$306,"&lt;="&amp;DATE($B$3,9,11),'Leave log'!$C$7:$C$306,"&gt;="&amp;DATE($B$3,9,11),'Leave log'!$F$7:$F$306,"Approved")&gt;0,"A",""))="A","A",IF(OR(DATE($B$3,9,11)&gt;EOMONTH(DATE($B$3,9,1),0),NETWORKDAYS.INTL(DATE($B$3,9,11),DATE($B$3,9,11),1,'Non-working days'!$A$6:$A$45)=0),"",IF(COUNTIFS('Leave log'!$A$7:$A$306,Employees!$A$16,'Leave log'!$B$7:$B$306,"&lt;="&amp;DATE($B$3,9,11),'Leave log'!$C$7:$C$306,"&gt;="&amp;DATE($B$3,9,11),'Leave log'!$F$7:$F$306,"Pending")&gt;0,"P",""))))</f>
        <v/>
      </c>
      <c r="M289" s="23" t="str">
        <f>IF(A289="","",IF(IF(OR(DATE($B$3,9,12)&gt;EOMONTH(DATE($B$3,9,1),0),NETWORKDAYS.INTL(DATE($B$3,9,12),DATE($B$3,9,12),1,'Non-working days'!$A$6:$A$45)=0),"",IF(COUNTIFS('Leave log'!$A$7:$A$306,Employees!$A$16,'Leave log'!$B$7:$B$306,"&lt;="&amp;DATE($B$3,9,12),'Leave log'!$C$7:$C$306,"&gt;="&amp;DATE($B$3,9,12),'Leave log'!$F$7:$F$306,"Approved")&gt;0,"A",""))="A","A",IF(OR(DATE($B$3,9,12)&gt;EOMONTH(DATE($B$3,9,1),0),NETWORKDAYS.INTL(DATE($B$3,9,12),DATE($B$3,9,12),1,'Non-working days'!$A$6:$A$45)=0),"",IF(COUNTIFS('Leave log'!$A$7:$A$306,Employees!$A$16,'Leave log'!$B$7:$B$306,"&lt;="&amp;DATE($B$3,9,12),'Leave log'!$C$7:$C$306,"&gt;="&amp;DATE($B$3,9,12),'Leave log'!$F$7:$F$306,"Pending")&gt;0,"P",""))))</f>
        <v/>
      </c>
      <c r="N289" s="23" t="str">
        <f>IF(A289="","",IF(IF(OR(DATE($B$3,9,13)&gt;EOMONTH(DATE($B$3,9,1),0),NETWORKDAYS.INTL(DATE($B$3,9,13),DATE($B$3,9,13),1,'Non-working days'!$A$6:$A$45)=0),"",IF(COUNTIFS('Leave log'!$A$7:$A$306,Employees!$A$16,'Leave log'!$B$7:$B$306,"&lt;="&amp;DATE($B$3,9,13),'Leave log'!$C$7:$C$306,"&gt;="&amp;DATE($B$3,9,13),'Leave log'!$F$7:$F$306,"Approved")&gt;0,"A",""))="A","A",IF(OR(DATE($B$3,9,13)&gt;EOMONTH(DATE($B$3,9,1),0),NETWORKDAYS.INTL(DATE($B$3,9,13),DATE($B$3,9,13),1,'Non-working days'!$A$6:$A$45)=0),"",IF(COUNTIFS('Leave log'!$A$7:$A$306,Employees!$A$16,'Leave log'!$B$7:$B$306,"&lt;="&amp;DATE($B$3,9,13),'Leave log'!$C$7:$C$306,"&gt;="&amp;DATE($B$3,9,13),'Leave log'!$F$7:$F$306,"Pending")&gt;0,"P",""))))</f>
        <v/>
      </c>
      <c r="O289" s="23" t="str">
        <f>IF(A289="","",IF(IF(OR(DATE($B$3,9,14)&gt;EOMONTH(DATE($B$3,9,1),0),NETWORKDAYS.INTL(DATE($B$3,9,14),DATE($B$3,9,14),1,'Non-working days'!$A$6:$A$45)=0),"",IF(COUNTIFS('Leave log'!$A$7:$A$306,Employees!$A$16,'Leave log'!$B$7:$B$306,"&lt;="&amp;DATE($B$3,9,14),'Leave log'!$C$7:$C$306,"&gt;="&amp;DATE($B$3,9,14),'Leave log'!$F$7:$F$306,"Approved")&gt;0,"A",""))="A","A",IF(OR(DATE($B$3,9,14)&gt;EOMONTH(DATE($B$3,9,1),0),NETWORKDAYS.INTL(DATE($B$3,9,14),DATE($B$3,9,14),1,'Non-working days'!$A$6:$A$45)=0),"",IF(COUNTIFS('Leave log'!$A$7:$A$306,Employees!$A$16,'Leave log'!$B$7:$B$306,"&lt;="&amp;DATE($B$3,9,14),'Leave log'!$C$7:$C$306,"&gt;="&amp;DATE($B$3,9,14),'Leave log'!$F$7:$F$306,"Pending")&gt;0,"P",""))))</f>
        <v/>
      </c>
      <c r="P289" s="23" t="str">
        <f>IF(A289="","",IF(IF(OR(DATE($B$3,9,15)&gt;EOMONTH(DATE($B$3,9,1),0),NETWORKDAYS.INTL(DATE($B$3,9,15),DATE($B$3,9,15),1,'Non-working days'!$A$6:$A$45)=0),"",IF(COUNTIFS('Leave log'!$A$7:$A$306,Employees!$A$16,'Leave log'!$B$7:$B$306,"&lt;="&amp;DATE($B$3,9,15),'Leave log'!$C$7:$C$306,"&gt;="&amp;DATE($B$3,9,15),'Leave log'!$F$7:$F$306,"Approved")&gt;0,"A",""))="A","A",IF(OR(DATE($B$3,9,15)&gt;EOMONTH(DATE($B$3,9,1),0),NETWORKDAYS.INTL(DATE($B$3,9,15),DATE($B$3,9,15),1,'Non-working days'!$A$6:$A$45)=0),"",IF(COUNTIFS('Leave log'!$A$7:$A$306,Employees!$A$16,'Leave log'!$B$7:$B$306,"&lt;="&amp;DATE($B$3,9,15),'Leave log'!$C$7:$C$306,"&gt;="&amp;DATE($B$3,9,15),'Leave log'!$F$7:$F$306,"Pending")&gt;0,"P",""))))</f>
        <v/>
      </c>
      <c r="Q289" s="23" t="str">
        <f>IF(A289="","",IF(IF(OR(DATE($B$3,9,16)&gt;EOMONTH(DATE($B$3,9,1),0),NETWORKDAYS.INTL(DATE($B$3,9,16),DATE($B$3,9,16),1,'Non-working days'!$A$6:$A$45)=0),"",IF(COUNTIFS('Leave log'!$A$7:$A$306,Employees!$A$16,'Leave log'!$B$7:$B$306,"&lt;="&amp;DATE($B$3,9,16),'Leave log'!$C$7:$C$306,"&gt;="&amp;DATE($B$3,9,16),'Leave log'!$F$7:$F$306,"Approved")&gt;0,"A",""))="A","A",IF(OR(DATE($B$3,9,16)&gt;EOMONTH(DATE($B$3,9,1),0),NETWORKDAYS.INTL(DATE($B$3,9,16),DATE($B$3,9,16),1,'Non-working days'!$A$6:$A$45)=0),"",IF(COUNTIFS('Leave log'!$A$7:$A$306,Employees!$A$16,'Leave log'!$B$7:$B$306,"&lt;="&amp;DATE($B$3,9,16),'Leave log'!$C$7:$C$306,"&gt;="&amp;DATE($B$3,9,16),'Leave log'!$F$7:$F$306,"Pending")&gt;0,"P",""))))</f>
        <v/>
      </c>
      <c r="R289" s="23" t="str">
        <f>IF(A289="","",IF(IF(OR(DATE($B$3,9,17)&gt;EOMONTH(DATE($B$3,9,1),0),NETWORKDAYS.INTL(DATE($B$3,9,17),DATE($B$3,9,17),1,'Non-working days'!$A$6:$A$45)=0),"",IF(COUNTIFS('Leave log'!$A$7:$A$306,Employees!$A$16,'Leave log'!$B$7:$B$306,"&lt;="&amp;DATE($B$3,9,17),'Leave log'!$C$7:$C$306,"&gt;="&amp;DATE($B$3,9,17),'Leave log'!$F$7:$F$306,"Approved")&gt;0,"A",""))="A","A",IF(OR(DATE($B$3,9,17)&gt;EOMONTH(DATE($B$3,9,1),0),NETWORKDAYS.INTL(DATE($B$3,9,17),DATE($B$3,9,17),1,'Non-working days'!$A$6:$A$45)=0),"",IF(COUNTIFS('Leave log'!$A$7:$A$306,Employees!$A$16,'Leave log'!$B$7:$B$306,"&lt;="&amp;DATE($B$3,9,17),'Leave log'!$C$7:$C$306,"&gt;="&amp;DATE($B$3,9,17),'Leave log'!$F$7:$F$306,"Pending")&gt;0,"P",""))))</f>
        <v/>
      </c>
      <c r="S289" s="23" t="str">
        <f>IF(A289="","",IF(IF(OR(DATE($B$3,9,18)&gt;EOMONTH(DATE($B$3,9,1),0),NETWORKDAYS.INTL(DATE($B$3,9,18),DATE($B$3,9,18),1,'Non-working days'!$A$6:$A$45)=0),"",IF(COUNTIFS('Leave log'!$A$7:$A$306,Employees!$A$16,'Leave log'!$B$7:$B$306,"&lt;="&amp;DATE($B$3,9,18),'Leave log'!$C$7:$C$306,"&gt;="&amp;DATE($B$3,9,18),'Leave log'!$F$7:$F$306,"Approved")&gt;0,"A",""))="A","A",IF(OR(DATE($B$3,9,18)&gt;EOMONTH(DATE($B$3,9,1),0),NETWORKDAYS.INTL(DATE($B$3,9,18),DATE($B$3,9,18),1,'Non-working days'!$A$6:$A$45)=0),"",IF(COUNTIFS('Leave log'!$A$7:$A$306,Employees!$A$16,'Leave log'!$B$7:$B$306,"&lt;="&amp;DATE($B$3,9,18),'Leave log'!$C$7:$C$306,"&gt;="&amp;DATE($B$3,9,18),'Leave log'!$F$7:$F$306,"Pending")&gt;0,"P",""))))</f>
        <v/>
      </c>
      <c r="T289" s="23" t="str">
        <f>IF(A289="","",IF(IF(OR(DATE($B$3,9,19)&gt;EOMONTH(DATE($B$3,9,1),0),NETWORKDAYS.INTL(DATE($B$3,9,19),DATE($B$3,9,19),1,'Non-working days'!$A$6:$A$45)=0),"",IF(COUNTIFS('Leave log'!$A$7:$A$306,Employees!$A$16,'Leave log'!$B$7:$B$306,"&lt;="&amp;DATE($B$3,9,19),'Leave log'!$C$7:$C$306,"&gt;="&amp;DATE($B$3,9,19),'Leave log'!$F$7:$F$306,"Approved")&gt;0,"A",""))="A","A",IF(OR(DATE($B$3,9,19)&gt;EOMONTH(DATE($B$3,9,1),0),NETWORKDAYS.INTL(DATE($B$3,9,19),DATE($B$3,9,19),1,'Non-working days'!$A$6:$A$45)=0),"",IF(COUNTIFS('Leave log'!$A$7:$A$306,Employees!$A$16,'Leave log'!$B$7:$B$306,"&lt;="&amp;DATE($B$3,9,19),'Leave log'!$C$7:$C$306,"&gt;="&amp;DATE($B$3,9,19),'Leave log'!$F$7:$F$306,"Pending")&gt;0,"P",""))))</f>
        <v/>
      </c>
      <c r="U289" s="23" t="str">
        <f>IF(A289="","",IF(IF(OR(DATE($B$3,9,20)&gt;EOMONTH(DATE($B$3,9,1),0),NETWORKDAYS.INTL(DATE($B$3,9,20),DATE($B$3,9,20),1,'Non-working days'!$A$6:$A$45)=0),"",IF(COUNTIFS('Leave log'!$A$7:$A$306,Employees!$A$16,'Leave log'!$B$7:$B$306,"&lt;="&amp;DATE($B$3,9,20),'Leave log'!$C$7:$C$306,"&gt;="&amp;DATE($B$3,9,20),'Leave log'!$F$7:$F$306,"Approved")&gt;0,"A",""))="A","A",IF(OR(DATE($B$3,9,20)&gt;EOMONTH(DATE($B$3,9,1),0),NETWORKDAYS.INTL(DATE($B$3,9,20),DATE($B$3,9,20),1,'Non-working days'!$A$6:$A$45)=0),"",IF(COUNTIFS('Leave log'!$A$7:$A$306,Employees!$A$16,'Leave log'!$B$7:$B$306,"&lt;="&amp;DATE($B$3,9,20),'Leave log'!$C$7:$C$306,"&gt;="&amp;DATE($B$3,9,20),'Leave log'!$F$7:$F$306,"Pending")&gt;0,"P",""))))</f>
        <v/>
      </c>
      <c r="V289" s="23" t="str">
        <f>IF(A289="","",IF(IF(OR(DATE($B$3,9,21)&gt;EOMONTH(DATE($B$3,9,1),0),NETWORKDAYS.INTL(DATE($B$3,9,21),DATE($B$3,9,21),1,'Non-working days'!$A$6:$A$45)=0),"",IF(COUNTIFS('Leave log'!$A$7:$A$306,Employees!$A$16,'Leave log'!$B$7:$B$306,"&lt;="&amp;DATE($B$3,9,21),'Leave log'!$C$7:$C$306,"&gt;="&amp;DATE($B$3,9,21),'Leave log'!$F$7:$F$306,"Approved")&gt;0,"A",""))="A","A",IF(OR(DATE($B$3,9,21)&gt;EOMONTH(DATE($B$3,9,1),0),NETWORKDAYS.INTL(DATE($B$3,9,21),DATE($B$3,9,21),1,'Non-working days'!$A$6:$A$45)=0),"",IF(COUNTIFS('Leave log'!$A$7:$A$306,Employees!$A$16,'Leave log'!$B$7:$B$306,"&lt;="&amp;DATE($B$3,9,21),'Leave log'!$C$7:$C$306,"&gt;="&amp;DATE($B$3,9,21),'Leave log'!$F$7:$F$306,"Pending")&gt;0,"P",""))))</f>
        <v/>
      </c>
      <c r="W289" s="23" t="str">
        <f>IF(A289="","",IF(IF(OR(DATE($B$3,9,22)&gt;EOMONTH(DATE($B$3,9,1),0),NETWORKDAYS.INTL(DATE($B$3,9,22),DATE($B$3,9,22),1,'Non-working days'!$A$6:$A$45)=0),"",IF(COUNTIFS('Leave log'!$A$7:$A$306,Employees!$A$16,'Leave log'!$B$7:$B$306,"&lt;="&amp;DATE($B$3,9,22),'Leave log'!$C$7:$C$306,"&gt;="&amp;DATE($B$3,9,22),'Leave log'!$F$7:$F$306,"Approved")&gt;0,"A",""))="A","A",IF(OR(DATE($B$3,9,22)&gt;EOMONTH(DATE($B$3,9,1),0),NETWORKDAYS.INTL(DATE($B$3,9,22),DATE($B$3,9,22),1,'Non-working days'!$A$6:$A$45)=0),"",IF(COUNTIFS('Leave log'!$A$7:$A$306,Employees!$A$16,'Leave log'!$B$7:$B$306,"&lt;="&amp;DATE($B$3,9,22),'Leave log'!$C$7:$C$306,"&gt;="&amp;DATE($B$3,9,22),'Leave log'!$F$7:$F$306,"Pending")&gt;0,"P",""))))</f>
        <v/>
      </c>
      <c r="X289" s="23" t="str">
        <f>IF(A289="","",IF(IF(OR(DATE($B$3,9,23)&gt;EOMONTH(DATE($B$3,9,1),0),NETWORKDAYS.INTL(DATE($B$3,9,23),DATE($B$3,9,23),1,'Non-working days'!$A$6:$A$45)=0),"",IF(COUNTIFS('Leave log'!$A$7:$A$306,Employees!$A$16,'Leave log'!$B$7:$B$306,"&lt;="&amp;DATE($B$3,9,23),'Leave log'!$C$7:$C$306,"&gt;="&amp;DATE($B$3,9,23),'Leave log'!$F$7:$F$306,"Approved")&gt;0,"A",""))="A","A",IF(OR(DATE($B$3,9,23)&gt;EOMONTH(DATE($B$3,9,1),0),NETWORKDAYS.INTL(DATE($B$3,9,23),DATE($B$3,9,23),1,'Non-working days'!$A$6:$A$45)=0),"",IF(COUNTIFS('Leave log'!$A$7:$A$306,Employees!$A$16,'Leave log'!$B$7:$B$306,"&lt;="&amp;DATE($B$3,9,23),'Leave log'!$C$7:$C$306,"&gt;="&amp;DATE($B$3,9,23),'Leave log'!$F$7:$F$306,"Pending")&gt;0,"P",""))))</f>
        <v/>
      </c>
      <c r="Y289" s="23" t="str">
        <f>IF(A289="","",IF(IF(OR(DATE($B$3,9,24)&gt;EOMONTH(DATE($B$3,9,1),0),NETWORKDAYS.INTL(DATE($B$3,9,24),DATE($B$3,9,24),1,'Non-working days'!$A$6:$A$45)=0),"",IF(COUNTIFS('Leave log'!$A$7:$A$306,Employees!$A$16,'Leave log'!$B$7:$B$306,"&lt;="&amp;DATE($B$3,9,24),'Leave log'!$C$7:$C$306,"&gt;="&amp;DATE($B$3,9,24),'Leave log'!$F$7:$F$306,"Approved")&gt;0,"A",""))="A","A",IF(OR(DATE($B$3,9,24)&gt;EOMONTH(DATE($B$3,9,1),0),NETWORKDAYS.INTL(DATE($B$3,9,24),DATE($B$3,9,24),1,'Non-working days'!$A$6:$A$45)=0),"",IF(COUNTIFS('Leave log'!$A$7:$A$306,Employees!$A$16,'Leave log'!$B$7:$B$306,"&lt;="&amp;DATE($B$3,9,24),'Leave log'!$C$7:$C$306,"&gt;="&amp;DATE($B$3,9,24),'Leave log'!$F$7:$F$306,"Pending")&gt;0,"P",""))))</f>
        <v/>
      </c>
      <c r="Z289" s="23" t="str">
        <f>IF(A289="","",IF(IF(OR(DATE($B$3,9,25)&gt;EOMONTH(DATE($B$3,9,1),0),NETWORKDAYS.INTL(DATE($B$3,9,25),DATE($B$3,9,25),1,'Non-working days'!$A$6:$A$45)=0),"",IF(COUNTIFS('Leave log'!$A$7:$A$306,Employees!$A$16,'Leave log'!$B$7:$B$306,"&lt;="&amp;DATE($B$3,9,25),'Leave log'!$C$7:$C$306,"&gt;="&amp;DATE($B$3,9,25),'Leave log'!$F$7:$F$306,"Approved")&gt;0,"A",""))="A","A",IF(OR(DATE($B$3,9,25)&gt;EOMONTH(DATE($B$3,9,1),0),NETWORKDAYS.INTL(DATE($B$3,9,25),DATE($B$3,9,25),1,'Non-working days'!$A$6:$A$45)=0),"",IF(COUNTIFS('Leave log'!$A$7:$A$306,Employees!$A$16,'Leave log'!$B$7:$B$306,"&lt;="&amp;DATE($B$3,9,25),'Leave log'!$C$7:$C$306,"&gt;="&amp;DATE($B$3,9,25),'Leave log'!$F$7:$F$306,"Pending")&gt;0,"P",""))))</f>
        <v/>
      </c>
      <c r="AA289" s="23" t="str">
        <f>IF(A289="","",IF(IF(OR(DATE($B$3,9,26)&gt;EOMONTH(DATE($B$3,9,1),0),NETWORKDAYS.INTL(DATE($B$3,9,26),DATE($B$3,9,26),1,'Non-working days'!$A$6:$A$45)=0),"",IF(COUNTIFS('Leave log'!$A$7:$A$306,Employees!$A$16,'Leave log'!$B$7:$B$306,"&lt;="&amp;DATE($B$3,9,26),'Leave log'!$C$7:$C$306,"&gt;="&amp;DATE($B$3,9,26),'Leave log'!$F$7:$F$306,"Approved")&gt;0,"A",""))="A","A",IF(OR(DATE($B$3,9,26)&gt;EOMONTH(DATE($B$3,9,1),0),NETWORKDAYS.INTL(DATE($B$3,9,26),DATE($B$3,9,26),1,'Non-working days'!$A$6:$A$45)=0),"",IF(COUNTIFS('Leave log'!$A$7:$A$306,Employees!$A$16,'Leave log'!$B$7:$B$306,"&lt;="&amp;DATE($B$3,9,26),'Leave log'!$C$7:$C$306,"&gt;="&amp;DATE($B$3,9,26),'Leave log'!$F$7:$F$306,"Pending")&gt;0,"P",""))))</f>
        <v/>
      </c>
      <c r="AB289" s="23" t="str">
        <f>IF(A289="","",IF(IF(OR(DATE($B$3,9,27)&gt;EOMONTH(DATE($B$3,9,1),0),NETWORKDAYS.INTL(DATE($B$3,9,27),DATE($B$3,9,27),1,'Non-working days'!$A$6:$A$45)=0),"",IF(COUNTIFS('Leave log'!$A$7:$A$306,Employees!$A$16,'Leave log'!$B$7:$B$306,"&lt;="&amp;DATE($B$3,9,27),'Leave log'!$C$7:$C$306,"&gt;="&amp;DATE($B$3,9,27),'Leave log'!$F$7:$F$306,"Approved")&gt;0,"A",""))="A","A",IF(OR(DATE($B$3,9,27)&gt;EOMONTH(DATE($B$3,9,1),0),NETWORKDAYS.INTL(DATE($B$3,9,27),DATE($B$3,9,27),1,'Non-working days'!$A$6:$A$45)=0),"",IF(COUNTIFS('Leave log'!$A$7:$A$306,Employees!$A$16,'Leave log'!$B$7:$B$306,"&lt;="&amp;DATE($B$3,9,27),'Leave log'!$C$7:$C$306,"&gt;="&amp;DATE($B$3,9,27),'Leave log'!$F$7:$F$306,"Pending")&gt;0,"P",""))))</f>
        <v/>
      </c>
      <c r="AC289" s="23" t="str">
        <f>IF(A289="","",IF(IF(OR(DATE($B$3,9,28)&gt;EOMONTH(DATE($B$3,9,1),0),NETWORKDAYS.INTL(DATE($B$3,9,28),DATE($B$3,9,28),1,'Non-working days'!$A$6:$A$45)=0),"",IF(COUNTIFS('Leave log'!$A$7:$A$306,Employees!$A$16,'Leave log'!$B$7:$B$306,"&lt;="&amp;DATE($B$3,9,28),'Leave log'!$C$7:$C$306,"&gt;="&amp;DATE($B$3,9,28),'Leave log'!$F$7:$F$306,"Approved")&gt;0,"A",""))="A","A",IF(OR(DATE($B$3,9,28)&gt;EOMONTH(DATE($B$3,9,1),0),NETWORKDAYS.INTL(DATE($B$3,9,28),DATE($B$3,9,28),1,'Non-working days'!$A$6:$A$45)=0),"",IF(COUNTIFS('Leave log'!$A$7:$A$306,Employees!$A$16,'Leave log'!$B$7:$B$306,"&lt;="&amp;DATE($B$3,9,28),'Leave log'!$C$7:$C$306,"&gt;="&amp;DATE($B$3,9,28),'Leave log'!$F$7:$F$306,"Pending")&gt;0,"P",""))))</f>
        <v/>
      </c>
      <c r="AD289" s="23" t="str">
        <f>IF(A289="","",IF(IF(OR(DATE($B$3,9,29)&gt;EOMONTH(DATE($B$3,9,1),0),NETWORKDAYS.INTL(DATE($B$3,9,29),DATE($B$3,9,29),1,'Non-working days'!$A$6:$A$45)=0),"",IF(COUNTIFS('Leave log'!$A$7:$A$306,Employees!$A$16,'Leave log'!$B$7:$B$306,"&lt;="&amp;DATE($B$3,9,29),'Leave log'!$C$7:$C$306,"&gt;="&amp;DATE($B$3,9,29),'Leave log'!$F$7:$F$306,"Approved")&gt;0,"A",""))="A","A",IF(OR(DATE($B$3,9,29)&gt;EOMONTH(DATE($B$3,9,1),0),NETWORKDAYS.INTL(DATE($B$3,9,29),DATE($B$3,9,29),1,'Non-working days'!$A$6:$A$45)=0),"",IF(COUNTIFS('Leave log'!$A$7:$A$306,Employees!$A$16,'Leave log'!$B$7:$B$306,"&lt;="&amp;DATE($B$3,9,29),'Leave log'!$C$7:$C$306,"&gt;="&amp;DATE($B$3,9,29),'Leave log'!$F$7:$F$306,"Pending")&gt;0,"P",""))))</f>
        <v/>
      </c>
      <c r="AE289" s="23" t="str">
        <f>IF(A289="","",IF(IF(OR(DATE($B$3,9,30)&gt;EOMONTH(DATE($B$3,9,1),0),NETWORKDAYS.INTL(DATE($B$3,9,30),DATE($B$3,9,30),1,'Non-working days'!$A$6:$A$45)=0),"",IF(COUNTIFS('Leave log'!$A$7:$A$306,Employees!$A$16,'Leave log'!$B$7:$B$306,"&lt;="&amp;DATE($B$3,9,30),'Leave log'!$C$7:$C$306,"&gt;="&amp;DATE($B$3,9,30),'Leave log'!$F$7:$F$306,"Approved")&gt;0,"A",""))="A","A",IF(OR(DATE($B$3,9,30)&gt;EOMONTH(DATE($B$3,9,1),0),NETWORKDAYS.INTL(DATE($B$3,9,30),DATE($B$3,9,30),1,'Non-working days'!$A$6:$A$45)=0),"",IF(COUNTIFS('Leave log'!$A$7:$A$306,Employees!$A$16,'Leave log'!$B$7:$B$306,"&lt;="&amp;DATE($B$3,9,30),'Leave log'!$C$7:$C$306,"&gt;="&amp;DATE($B$3,9,30),'Leave log'!$F$7:$F$306,"Pending")&gt;0,"P",""))))</f>
        <v/>
      </c>
      <c r="AF289" s="23" t="str">
        <f>IF(A289="","",IF(IF(OR(DATE($B$3,9,31)&gt;EOMONTH(DATE($B$3,9,1),0),NETWORKDAYS.INTL(DATE($B$3,9,31),DATE($B$3,9,31),1,'Non-working days'!$A$6:$A$45)=0),"",IF(COUNTIFS('Leave log'!$A$7:$A$306,Employees!$A$16,'Leave log'!$B$7:$B$306,"&lt;="&amp;DATE($B$3,9,31),'Leave log'!$C$7:$C$306,"&gt;="&amp;DATE($B$3,9,31),'Leave log'!$F$7:$F$306,"Approved")&gt;0,"A",""))="A","A",IF(OR(DATE($B$3,9,31)&gt;EOMONTH(DATE($B$3,9,1),0),NETWORKDAYS.INTL(DATE($B$3,9,31),DATE($B$3,9,31),1,'Non-working days'!$A$6:$A$45)=0),"",IF(COUNTIFS('Leave log'!$A$7:$A$306,Employees!$A$16,'Leave log'!$B$7:$B$306,"&lt;="&amp;DATE($B$3,9,31),'Leave log'!$C$7:$C$306,"&gt;="&amp;DATE($B$3,9,31),'Leave log'!$F$7:$F$306,"Pending")&gt;0,"P",""))))</f>
        <v/>
      </c>
    </row>
    <row r="290" spans="1:32" ht="18" customHeight="1" x14ac:dyDescent="0.3">
      <c r="A290" s="22" t="str">
        <f>IF(Employees!F17="Yes",Employees!B17,"")</f>
        <v/>
      </c>
      <c r="B290" s="23" t="str">
        <f>IF(A290="","",IF(IF(OR(DATE($B$3,9,1)&gt;EOMONTH(DATE($B$3,9,1),0),NETWORKDAYS.INTL(DATE($B$3,9,1),DATE($B$3,9,1),1,'Non-working days'!$A$6:$A$45)=0),"",IF(COUNTIFS('Leave log'!$A$7:$A$306,Employees!$A$17,'Leave log'!$B$7:$B$306,"&lt;="&amp;DATE($B$3,9,1),'Leave log'!$C$7:$C$306,"&gt;="&amp;DATE($B$3,9,1),'Leave log'!$F$7:$F$306,"Approved")&gt;0,"A",""))="A","A",IF(OR(DATE($B$3,9,1)&gt;EOMONTH(DATE($B$3,9,1),0),NETWORKDAYS.INTL(DATE($B$3,9,1),DATE($B$3,9,1),1,'Non-working days'!$A$6:$A$45)=0),"",IF(COUNTIFS('Leave log'!$A$7:$A$306,Employees!$A$17,'Leave log'!$B$7:$B$306,"&lt;="&amp;DATE($B$3,9,1),'Leave log'!$C$7:$C$306,"&gt;="&amp;DATE($B$3,9,1),'Leave log'!$F$7:$F$306,"Pending")&gt;0,"P",""))))</f>
        <v/>
      </c>
      <c r="C290" s="23" t="str">
        <f>IF(A290="","",IF(IF(OR(DATE($B$3,9,2)&gt;EOMONTH(DATE($B$3,9,1),0),NETWORKDAYS.INTL(DATE($B$3,9,2),DATE($B$3,9,2),1,'Non-working days'!$A$6:$A$45)=0),"",IF(COUNTIFS('Leave log'!$A$7:$A$306,Employees!$A$17,'Leave log'!$B$7:$B$306,"&lt;="&amp;DATE($B$3,9,2),'Leave log'!$C$7:$C$306,"&gt;="&amp;DATE($B$3,9,2),'Leave log'!$F$7:$F$306,"Approved")&gt;0,"A",""))="A","A",IF(OR(DATE($B$3,9,2)&gt;EOMONTH(DATE($B$3,9,1),0),NETWORKDAYS.INTL(DATE($B$3,9,2),DATE($B$3,9,2),1,'Non-working days'!$A$6:$A$45)=0),"",IF(COUNTIFS('Leave log'!$A$7:$A$306,Employees!$A$17,'Leave log'!$B$7:$B$306,"&lt;="&amp;DATE($B$3,9,2),'Leave log'!$C$7:$C$306,"&gt;="&amp;DATE($B$3,9,2),'Leave log'!$F$7:$F$306,"Pending")&gt;0,"P",""))))</f>
        <v/>
      </c>
      <c r="D290" s="23" t="str">
        <f>IF(A290="","",IF(IF(OR(DATE($B$3,9,3)&gt;EOMONTH(DATE($B$3,9,1),0),NETWORKDAYS.INTL(DATE($B$3,9,3),DATE($B$3,9,3),1,'Non-working days'!$A$6:$A$45)=0),"",IF(COUNTIFS('Leave log'!$A$7:$A$306,Employees!$A$17,'Leave log'!$B$7:$B$306,"&lt;="&amp;DATE($B$3,9,3),'Leave log'!$C$7:$C$306,"&gt;="&amp;DATE($B$3,9,3),'Leave log'!$F$7:$F$306,"Approved")&gt;0,"A",""))="A","A",IF(OR(DATE($B$3,9,3)&gt;EOMONTH(DATE($B$3,9,1),0),NETWORKDAYS.INTL(DATE($B$3,9,3),DATE($B$3,9,3),1,'Non-working days'!$A$6:$A$45)=0),"",IF(COUNTIFS('Leave log'!$A$7:$A$306,Employees!$A$17,'Leave log'!$B$7:$B$306,"&lt;="&amp;DATE($B$3,9,3),'Leave log'!$C$7:$C$306,"&gt;="&amp;DATE($B$3,9,3),'Leave log'!$F$7:$F$306,"Pending")&gt;0,"P",""))))</f>
        <v/>
      </c>
      <c r="E290" s="23" t="str">
        <f>IF(A290="","",IF(IF(OR(DATE($B$3,9,4)&gt;EOMONTH(DATE($B$3,9,1),0),NETWORKDAYS.INTL(DATE($B$3,9,4),DATE($B$3,9,4),1,'Non-working days'!$A$6:$A$45)=0),"",IF(COUNTIFS('Leave log'!$A$7:$A$306,Employees!$A$17,'Leave log'!$B$7:$B$306,"&lt;="&amp;DATE($B$3,9,4),'Leave log'!$C$7:$C$306,"&gt;="&amp;DATE($B$3,9,4),'Leave log'!$F$7:$F$306,"Approved")&gt;0,"A",""))="A","A",IF(OR(DATE($B$3,9,4)&gt;EOMONTH(DATE($B$3,9,1),0),NETWORKDAYS.INTL(DATE($B$3,9,4),DATE($B$3,9,4),1,'Non-working days'!$A$6:$A$45)=0),"",IF(COUNTIFS('Leave log'!$A$7:$A$306,Employees!$A$17,'Leave log'!$B$7:$B$306,"&lt;="&amp;DATE($B$3,9,4),'Leave log'!$C$7:$C$306,"&gt;="&amp;DATE($B$3,9,4),'Leave log'!$F$7:$F$306,"Pending")&gt;0,"P",""))))</f>
        <v/>
      </c>
      <c r="F290" s="23" t="str">
        <f>IF(A290="","",IF(IF(OR(DATE($B$3,9,5)&gt;EOMONTH(DATE($B$3,9,1),0),NETWORKDAYS.INTL(DATE($B$3,9,5),DATE($B$3,9,5),1,'Non-working days'!$A$6:$A$45)=0),"",IF(COUNTIFS('Leave log'!$A$7:$A$306,Employees!$A$17,'Leave log'!$B$7:$B$306,"&lt;="&amp;DATE($B$3,9,5),'Leave log'!$C$7:$C$306,"&gt;="&amp;DATE($B$3,9,5),'Leave log'!$F$7:$F$306,"Approved")&gt;0,"A",""))="A","A",IF(OR(DATE($B$3,9,5)&gt;EOMONTH(DATE($B$3,9,1),0),NETWORKDAYS.INTL(DATE($B$3,9,5),DATE($B$3,9,5),1,'Non-working days'!$A$6:$A$45)=0),"",IF(COUNTIFS('Leave log'!$A$7:$A$306,Employees!$A$17,'Leave log'!$B$7:$B$306,"&lt;="&amp;DATE($B$3,9,5),'Leave log'!$C$7:$C$306,"&gt;="&amp;DATE($B$3,9,5),'Leave log'!$F$7:$F$306,"Pending")&gt;0,"P",""))))</f>
        <v/>
      </c>
      <c r="G290" s="23" t="str">
        <f>IF(A290="","",IF(IF(OR(DATE($B$3,9,6)&gt;EOMONTH(DATE($B$3,9,1),0),NETWORKDAYS.INTL(DATE($B$3,9,6),DATE($B$3,9,6),1,'Non-working days'!$A$6:$A$45)=0),"",IF(COUNTIFS('Leave log'!$A$7:$A$306,Employees!$A$17,'Leave log'!$B$7:$B$306,"&lt;="&amp;DATE($B$3,9,6),'Leave log'!$C$7:$C$306,"&gt;="&amp;DATE($B$3,9,6),'Leave log'!$F$7:$F$306,"Approved")&gt;0,"A",""))="A","A",IF(OR(DATE($B$3,9,6)&gt;EOMONTH(DATE($B$3,9,1),0),NETWORKDAYS.INTL(DATE($B$3,9,6),DATE($B$3,9,6),1,'Non-working days'!$A$6:$A$45)=0),"",IF(COUNTIFS('Leave log'!$A$7:$A$306,Employees!$A$17,'Leave log'!$B$7:$B$306,"&lt;="&amp;DATE($B$3,9,6),'Leave log'!$C$7:$C$306,"&gt;="&amp;DATE($B$3,9,6),'Leave log'!$F$7:$F$306,"Pending")&gt;0,"P",""))))</f>
        <v/>
      </c>
      <c r="H290" s="23" t="str">
        <f>IF(A290="","",IF(IF(OR(DATE($B$3,9,7)&gt;EOMONTH(DATE($B$3,9,1),0),NETWORKDAYS.INTL(DATE($B$3,9,7),DATE($B$3,9,7),1,'Non-working days'!$A$6:$A$45)=0),"",IF(COUNTIFS('Leave log'!$A$7:$A$306,Employees!$A$17,'Leave log'!$B$7:$B$306,"&lt;="&amp;DATE($B$3,9,7),'Leave log'!$C$7:$C$306,"&gt;="&amp;DATE($B$3,9,7),'Leave log'!$F$7:$F$306,"Approved")&gt;0,"A",""))="A","A",IF(OR(DATE($B$3,9,7)&gt;EOMONTH(DATE($B$3,9,1),0),NETWORKDAYS.INTL(DATE($B$3,9,7),DATE($B$3,9,7),1,'Non-working days'!$A$6:$A$45)=0),"",IF(COUNTIFS('Leave log'!$A$7:$A$306,Employees!$A$17,'Leave log'!$B$7:$B$306,"&lt;="&amp;DATE($B$3,9,7),'Leave log'!$C$7:$C$306,"&gt;="&amp;DATE($B$3,9,7),'Leave log'!$F$7:$F$306,"Pending")&gt;0,"P",""))))</f>
        <v/>
      </c>
      <c r="I290" s="23" t="str">
        <f>IF(A290="","",IF(IF(OR(DATE($B$3,9,8)&gt;EOMONTH(DATE($B$3,9,1),0),NETWORKDAYS.INTL(DATE($B$3,9,8),DATE($B$3,9,8),1,'Non-working days'!$A$6:$A$45)=0),"",IF(COUNTIFS('Leave log'!$A$7:$A$306,Employees!$A$17,'Leave log'!$B$7:$B$306,"&lt;="&amp;DATE($B$3,9,8),'Leave log'!$C$7:$C$306,"&gt;="&amp;DATE($B$3,9,8),'Leave log'!$F$7:$F$306,"Approved")&gt;0,"A",""))="A","A",IF(OR(DATE($B$3,9,8)&gt;EOMONTH(DATE($B$3,9,1),0),NETWORKDAYS.INTL(DATE($B$3,9,8),DATE($B$3,9,8),1,'Non-working days'!$A$6:$A$45)=0),"",IF(COUNTIFS('Leave log'!$A$7:$A$306,Employees!$A$17,'Leave log'!$B$7:$B$306,"&lt;="&amp;DATE($B$3,9,8),'Leave log'!$C$7:$C$306,"&gt;="&amp;DATE($B$3,9,8),'Leave log'!$F$7:$F$306,"Pending")&gt;0,"P",""))))</f>
        <v/>
      </c>
      <c r="J290" s="23" t="str">
        <f>IF(A290="","",IF(IF(OR(DATE($B$3,9,9)&gt;EOMONTH(DATE($B$3,9,1),0),NETWORKDAYS.INTL(DATE($B$3,9,9),DATE($B$3,9,9),1,'Non-working days'!$A$6:$A$45)=0),"",IF(COUNTIFS('Leave log'!$A$7:$A$306,Employees!$A$17,'Leave log'!$B$7:$B$306,"&lt;="&amp;DATE($B$3,9,9),'Leave log'!$C$7:$C$306,"&gt;="&amp;DATE($B$3,9,9),'Leave log'!$F$7:$F$306,"Approved")&gt;0,"A",""))="A","A",IF(OR(DATE($B$3,9,9)&gt;EOMONTH(DATE($B$3,9,1),0),NETWORKDAYS.INTL(DATE($B$3,9,9),DATE($B$3,9,9),1,'Non-working days'!$A$6:$A$45)=0),"",IF(COUNTIFS('Leave log'!$A$7:$A$306,Employees!$A$17,'Leave log'!$B$7:$B$306,"&lt;="&amp;DATE($B$3,9,9),'Leave log'!$C$7:$C$306,"&gt;="&amp;DATE($B$3,9,9),'Leave log'!$F$7:$F$306,"Pending")&gt;0,"P",""))))</f>
        <v/>
      </c>
      <c r="K290" s="23" t="str">
        <f>IF(A290="","",IF(IF(OR(DATE($B$3,9,10)&gt;EOMONTH(DATE($B$3,9,1),0),NETWORKDAYS.INTL(DATE($B$3,9,10),DATE($B$3,9,10),1,'Non-working days'!$A$6:$A$45)=0),"",IF(COUNTIFS('Leave log'!$A$7:$A$306,Employees!$A$17,'Leave log'!$B$7:$B$306,"&lt;="&amp;DATE($B$3,9,10),'Leave log'!$C$7:$C$306,"&gt;="&amp;DATE($B$3,9,10),'Leave log'!$F$7:$F$306,"Approved")&gt;0,"A",""))="A","A",IF(OR(DATE($B$3,9,10)&gt;EOMONTH(DATE($B$3,9,1),0),NETWORKDAYS.INTL(DATE($B$3,9,10),DATE($B$3,9,10),1,'Non-working days'!$A$6:$A$45)=0),"",IF(COUNTIFS('Leave log'!$A$7:$A$306,Employees!$A$17,'Leave log'!$B$7:$B$306,"&lt;="&amp;DATE($B$3,9,10),'Leave log'!$C$7:$C$306,"&gt;="&amp;DATE($B$3,9,10),'Leave log'!$F$7:$F$306,"Pending")&gt;0,"P",""))))</f>
        <v/>
      </c>
      <c r="L290" s="23" t="str">
        <f>IF(A290="","",IF(IF(OR(DATE($B$3,9,11)&gt;EOMONTH(DATE($B$3,9,1),0),NETWORKDAYS.INTL(DATE($B$3,9,11),DATE($B$3,9,11),1,'Non-working days'!$A$6:$A$45)=0),"",IF(COUNTIFS('Leave log'!$A$7:$A$306,Employees!$A$17,'Leave log'!$B$7:$B$306,"&lt;="&amp;DATE($B$3,9,11),'Leave log'!$C$7:$C$306,"&gt;="&amp;DATE($B$3,9,11),'Leave log'!$F$7:$F$306,"Approved")&gt;0,"A",""))="A","A",IF(OR(DATE($B$3,9,11)&gt;EOMONTH(DATE($B$3,9,1),0),NETWORKDAYS.INTL(DATE($B$3,9,11),DATE($B$3,9,11),1,'Non-working days'!$A$6:$A$45)=0),"",IF(COUNTIFS('Leave log'!$A$7:$A$306,Employees!$A$17,'Leave log'!$B$7:$B$306,"&lt;="&amp;DATE($B$3,9,11),'Leave log'!$C$7:$C$306,"&gt;="&amp;DATE($B$3,9,11),'Leave log'!$F$7:$F$306,"Pending")&gt;0,"P",""))))</f>
        <v/>
      </c>
      <c r="M290" s="23" t="str">
        <f>IF(A290="","",IF(IF(OR(DATE($B$3,9,12)&gt;EOMONTH(DATE($B$3,9,1),0),NETWORKDAYS.INTL(DATE($B$3,9,12),DATE($B$3,9,12),1,'Non-working days'!$A$6:$A$45)=0),"",IF(COUNTIFS('Leave log'!$A$7:$A$306,Employees!$A$17,'Leave log'!$B$7:$B$306,"&lt;="&amp;DATE($B$3,9,12),'Leave log'!$C$7:$C$306,"&gt;="&amp;DATE($B$3,9,12),'Leave log'!$F$7:$F$306,"Approved")&gt;0,"A",""))="A","A",IF(OR(DATE($B$3,9,12)&gt;EOMONTH(DATE($B$3,9,1),0),NETWORKDAYS.INTL(DATE($B$3,9,12),DATE($B$3,9,12),1,'Non-working days'!$A$6:$A$45)=0),"",IF(COUNTIFS('Leave log'!$A$7:$A$306,Employees!$A$17,'Leave log'!$B$7:$B$306,"&lt;="&amp;DATE($B$3,9,12),'Leave log'!$C$7:$C$306,"&gt;="&amp;DATE($B$3,9,12),'Leave log'!$F$7:$F$306,"Pending")&gt;0,"P",""))))</f>
        <v/>
      </c>
      <c r="N290" s="23" t="str">
        <f>IF(A290="","",IF(IF(OR(DATE($B$3,9,13)&gt;EOMONTH(DATE($B$3,9,1),0),NETWORKDAYS.INTL(DATE($B$3,9,13),DATE($B$3,9,13),1,'Non-working days'!$A$6:$A$45)=0),"",IF(COUNTIFS('Leave log'!$A$7:$A$306,Employees!$A$17,'Leave log'!$B$7:$B$306,"&lt;="&amp;DATE($B$3,9,13),'Leave log'!$C$7:$C$306,"&gt;="&amp;DATE($B$3,9,13),'Leave log'!$F$7:$F$306,"Approved")&gt;0,"A",""))="A","A",IF(OR(DATE($B$3,9,13)&gt;EOMONTH(DATE($B$3,9,1),0),NETWORKDAYS.INTL(DATE($B$3,9,13),DATE($B$3,9,13),1,'Non-working days'!$A$6:$A$45)=0),"",IF(COUNTIFS('Leave log'!$A$7:$A$306,Employees!$A$17,'Leave log'!$B$7:$B$306,"&lt;="&amp;DATE($B$3,9,13),'Leave log'!$C$7:$C$306,"&gt;="&amp;DATE($B$3,9,13),'Leave log'!$F$7:$F$306,"Pending")&gt;0,"P",""))))</f>
        <v/>
      </c>
      <c r="O290" s="23" t="str">
        <f>IF(A290="","",IF(IF(OR(DATE($B$3,9,14)&gt;EOMONTH(DATE($B$3,9,1),0),NETWORKDAYS.INTL(DATE($B$3,9,14),DATE($B$3,9,14),1,'Non-working days'!$A$6:$A$45)=0),"",IF(COUNTIFS('Leave log'!$A$7:$A$306,Employees!$A$17,'Leave log'!$B$7:$B$306,"&lt;="&amp;DATE($B$3,9,14),'Leave log'!$C$7:$C$306,"&gt;="&amp;DATE($B$3,9,14),'Leave log'!$F$7:$F$306,"Approved")&gt;0,"A",""))="A","A",IF(OR(DATE($B$3,9,14)&gt;EOMONTH(DATE($B$3,9,1),0),NETWORKDAYS.INTL(DATE($B$3,9,14),DATE($B$3,9,14),1,'Non-working days'!$A$6:$A$45)=0),"",IF(COUNTIFS('Leave log'!$A$7:$A$306,Employees!$A$17,'Leave log'!$B$7:$B$306,"&lt;="&amp;DATE($B$3,9,14),'Leave log'!$C$7:$C$306,"&gt;="&amp;DATE($B$3,9,14),'Leave log'!$F$7:$F$306,"Pending")&gt;0,"P",""))))</f>
        <v/>
      </c>
      <c r="P290" s="23" t="str">
        <f>IF(A290="","",IF(IF(OR(DATE($B$3,9,15)&gt;EOMONTH(DATE($B$3,9,1),0),NETWORKDAYS.INTL(DATE($B$3,9,15),DATE($B$3,9,15),1,'Non-working days'!$A$6:$A$45)=0),"",IF(COUNTIFS('Leave log'!$A$7:$A$306,Employees!$A$17,'Leave log'!$B$7:$B$306,"&lt;="&amp;DATE($B$3,9,15),'Leave log'!$C$7:$C$306,"&gt;="&amp;DATE($B$3,9,15),'Leave log'!$F$7:$F$306,"Approved")&gt;0,"A",""))="A","A",IF(OR(DATE($B$3,9,15)&gt;EOMONTH(DATE($B$3,9,1),0),NETWORKDAYS.INTL(DATE($B$3,9,15),DATE($B$3,9,15),1,'Non-working days'!$A$6:$A$45)=0),"",IF(COUNTIFS('Leave log'!$A$7:$A$306,Employees!$A$17,'Leave log'!$B$7:$B$306,"&lt;="&amp;DATE($B$3,9,15),'Leave log'!$C$7:$C$306,"&gt;="&amp;DATE($B$3,9,15),'Leave log'!$F$7:$F$306,"Pending")&gt;0,"P",""))))</f>
        <v/>
      </c>
      <c r="Q290" s="23" t="str">
        <f>IF(A290="","",IF(IF(OR(DATE($B$3,9,16)&gt;EOMONTH(DATE($B$3,9,1),0),NETWORKDAYS.INTL(DATE($B$3,9,16),DATE($B$3,9,16),1,'Non-working days'!$A$6:$A$45)=0),"",IF(COUNTIFS('Leave log'!$A$7:$A$306,Employees!$A$17,'Leave log'!$B$7:$B$306,"&lt;="&amp;DATE($B$3,9,16),'Leave log'!$C$7:$C$306,"&gt;="&amp;DATE($B$3,9,16),'Leave log'!$F$7:$F$306,"Approved")&gt;0,"A",""))="A","A",IF(OR(DATE($B$3,9,16)&gt;EOMONTH(DATE($B$3,9,1),0),NETWORKDAYS.INTL(DATE($B$3,9,16),DATE($B$3,9,16),1,'Non-working days'!$A$6:$A$45)=0),"",IF(COUNTIFS('Leave log'!$A$7:$A$306,Employees!$A$17,'Leave log'!$B$7:$B$306,"&lt;="&amp;DATE($B$3,9,16),'Leave log'!$C$7:$C$306,"&gt;="&amp;DATE($B$3,9,16),'Leave log'!$F$7:$F$306,"Pending")&gt;0,"P",""))))</f>
        <v/>
      </c>
      <c r="R290" s="23" t="str">
        <f>IF(A290="","",IF(IF(OR(DATE($B$3,9,17)&gt;EOMONTH(DATE($B$3,9,1),0),NETWORKDAYS.INTL(DATE($B$3,9,17),DATE($B$3,9,17),1,'Non-working days'!$A$6:$A$45)=0),"",IF(COUNTIFS('Leave log'!$A$7:$A$306,Employees!$A$17,'Leave log'!$B$7:$B$306,"&lt;="&amp;DATE($B$3,9,17),'Leave log'!$C$7:$C$306,"&gt;="&amp;DATE($B$3,9,17),'Leave log'!$F$7:$F$306,"Approved")&gt;0,"A",""))="A","A",IF(OR(DATE($B$3,9,17)&gt;EOMONTH(DATE($B$3,9,1),0),NETWORKDAYS.INTL(DATE($B$3,9,17),DATE($B$3,9,17),1,'Non-working days'!$A$6:$A$45)=0),"",IF(COUNTIFS('Leave log'!$A$7:$A$306,Employees!$A$17,'Leave log'!$B$7:$B$306,"&lt;="&amp;DATE($B$3,9,17),'Leave log'!$C$7:$C$306,"&gt;="&amp;DATE($B$3,9,17),'Leave log'!$F$7:$F$306,"Pending")&gt;0,"P",""))))</f>
        <v/>
      </c>
      <c r="S290" s="23" t="str">
        <f>IF(A290="","",IF(IF(OR(DATE($B$3,9,18)&gt;EOMONTH(DATE($B$3,9,1),0),NETWORKDAYS.INTL(DATE($B$3,9,18),DATE($B$3,9,18),1,'Non-working days'!$A$6:$A$45)=0),"",IF(COUNTIFS('Leave log'!$A$7:$A$306,Employees!$A$17,'Leave log'!$B$7:$B$306,"&lt;="&amp;DATE($B$3,9,18),'Leave log'!$C$7:$C$306,"&gt;="&amp;DATE($B$3,9,18),'Leave log'!$F$7:$F$306,"Approved")&gt;0,"A",""))="A","A",IF(OR(DATE($B$3,9,18)&gt;EOMONTH(DATE($B$3,9,1),0),NETWORKDAYS.INTL(DATE($B$3,9,18),DATE($B$3,9,18),1,'Non-working days'!$A$6:$A$45)=0),"",IF(COUNTIFS('Leave log'!$A$7:$A$306,Employees!$A$17,'Leave log'!$B$7:$B$306,"&lt;="&amp;DATE($B$3,9,18),'Leave log'!$C$7:$C$306,"&gt;="&amp;DATE($B$3,9,18),'Leave log'!$F$7:$F$306,"Pending")&gt;0,"P",""))))</f>
        <v/>
      </c>
      <c r="T290" s="23" t="str">
        <f>IF(A290="","",IF(IF(OR(DATE($B$3,9,19)&gt;EOMONTH(DATE($B$3,9,1),0),NETWORKDAYS.INTL(DATE($B$3,9,19),DATE($B$3,9,19),1,'Non-working days'!$A$6:$A$45)=0),"",IF(COUNTIFS('Leave log'!$A$7:$A$306,Employees!$A$17,'Leave log'!$B$7:$B$306,"&lt;="&amp;DATE($B$3,9,19),'Leave log'!$C$7:$C$306,"&gt;="&amp;DATE($B$3,9,19),'Leave log'!$F$7:$F$306,"Approved")&gt;0,"A",""))="A","A",IF(OR(DATE($B$3,9,19)&gt;EOMONTH(DATE($B$3,9,1),0),NETWORKDAYS.INTL(DATE($B$3,9,19),DATE($B$3,9,19),1,'Non-working days'!$A$6:$A$45)=0),"",IF(COUNTIFS('Leave log'!$A$7:$A$306,Employees!$A$17,'Leave log'!$B$7:$B$306,"&lt;="&amp;DATE($B$3,9,19),'Leave log'!$C$7:$C$306,"&gt;="&amp;DATE($B$3,9,19),'Leave log'!$F$7:$F$306,"Pending")&gt;0,"P",""))))</f>
        <v/>
      </c>
      <c r="U290" s="23" t="str">
        <f>IF(A290="","",IF(IF(OR(DATE($B$3,9,20)&gt;EOMONTH(DATE($B$3,9,1),0),NETWORKDAYS.INTL(DATE($B$3,9,20),DATE($B$3,9,20),1,'Non-working days'!$A$6:$A$45)=0),"",IF(COUNTIFS('Leave log'!$A$7:$A$306,Employees!$A$17,'Leave log'!$B$7:$B$306,"&lt;="&amp;DATE($B$3,9,20),'Leave log'!$C$7:$C$306,"&gt;="&amp;DATE($B$3,9,20),'Leave log'!$F$7:$F$306,"Approved")&gt;0,"A",""))="A","A",IF(OR(DATE($B$3,9,20)&gt;EOMONTH(DATE($B$3,9,1),0),NETWORKDAYS.INTL(DATE($B$3,9,20),DATE($B$3,9,20),1,'Non-working days'!$A$6:$A$45)=0),"",IF(COUNTIFS('Leave log'!$A$7:$A$306,Employees!$A$17,'Leave log'!$B$7:$B$306,"&lt;="&amp;DATE($B$3,9,20),'Leave log'!$C$7:$C$306,"&gt;="&amp;DATE($B$3,9,20),'Leave log'!$F$7:$F$306,"Pending")&gt;0,"P",""))))</f>
        <v/>
      </c>
      <c r="V290" s="23" t="str">
        <f>IF(A290="","",IF(IF(OR(DATE($B$3,9,21)&gt;EOMONTH(DATE($B$3,9,1),0),NETWORKDAYS.INTL(DATE($B$3,9,21),DATE($B$3,9,21),1,'Non-working days'!$A$6:$A$45)=0),"",IF(COUNTIFS('Leave log'!$A$7:$A$306,Employees!$A$17,'Leave log'!$B$7:$B$306,"&lt;="&amp;DATE($B$3,9,21),'Leave log'!$C$7:$C$306,"&gt;="&amp;DATE($B$3,9,21),'Leave log'!$F$7:$F$306,"Approved")&gt;0,"A",""))="A","A",IF(OR(DATE($B$3,9,21)&gt;EOMONTH(DATE($B$3,9,1),0),NETWORKDAYS.INTL(DATE($B$3,9,21),DATE($B$3,9,21),1,'Non-working days'!$A$6:$A$45)=0),"",IF(COUNTIFS('Leave log'!$A$7:$A$306,Employees!$A$17,'Leave log'!$B$7:$B$306,"&lt;="&amp;DATE($B$3,9,21),'Leave log'!$C$7:$C$306,"&gt;="&amp;DATE($B$3,9,21),'Leave log'!$F$7:$F$306,"Pending")&gt;0,"P",""))))</f>
        <v/>
      </c>
      <c r="W290" s="23" t="str">
        <f>IF(A290="","",IF(IF(OR(DATE($B$3,9,22)&gt;EOMONTH(DATE($B$3,9,1),0),NETWORKDAYS.INTL(DATE($B$3,9,22),DATE($B$3,9,22),1,'Non-working days'!$A$6:$A$45)=0),"",IF(COUNTIFS('Leave log'!$A$7:$A$306,Employees!$A$17,'Leave log'!$B$7:$B$306,"&lt;="&amp;DATE($B$3,9,22),'Leave log'!$C$7:$C$306,"&gt;="&amp;DATE($B$3,9,22),'Leave log'!$F$7:$F$306,"Approved")&gt;0,"A",""))="A","A",IF(OR(DATE($B$3,9,22)&gt;EOMONTH(DATE($B$3,9,1),0),NETWORKDAYS.INTL(DATE($B$3,9,22),DATE($B$3,9,22),1,'Non-working days'!$A$6:$A$45)=0),"",IF(COUNTIFS('Leave log'!$A$7:$A$306,Employees!$A$17,'Leave log'!$B$7:$B$306,"&lt;="&amp;DATE($B$3,9,22),'Leave log'!$C$7:$C$306,"&gt;="&amp;DATE($B$3,9,22),'Leave log'!$F$7:$F$306,"Pending")&gt;0,"P",""))))</f>
        <v/>
      </c>
      <c r="X290" s="23" t="str">
        <f>IF(A290="","",IF(IF(OR(DATE($B$3,9,23)&gt;EOMONTH(DATE($B$3,9,1),0),NETWORKDAYS.INTL(DATE($B$3,9,23),DATE($B$3,9,23),1,'Non-working days'!$A$6:$A$45)=0),"",IF(COUNTIFS('Leave log'!$A$7:$A$306,Employees!$A$17,'Leave log'!$B$7:$B$306,"&lt;="&amp;DATE($B$3,9,23),'Leave log'!$C$7:$C$306,"&gt;="&amp;DATE($B$3,9,23),'Leave log'!$F$7:$F$306,"Approved")&gt;0,"A",""))="A","A",IF(OR(DATE($B$3,9,23)&gt;EOMONTH(DATE($B$3,9,1),0),NETWORKDAYS.INTL(DATE($B$3,9,23),DATE($B$3,9,23),1,'Non-working days'!$A$6:$A$45)=0),"",IF(COUNTIFS('Leave log'!$A$7:$A$306,Employees!$A$17,'Leave log'!$B$7:$B$306,"&lt;="&amp;DATE($B$3,9,23),'Leave log'!$C$7:$C$306,"&gt;="&amp;DATE($B$3,9,23),'Leave log'!$F$7:$F$306,"Pending")&gt;0,"P",""))))</f>
        <v/>
      </c>
      <c r="Y290" s="23" t="str">
        <f>IF(A290="","",IF(IF(OR(DATE($B$3,9,24)&gt;EOMONTH(DATE($B$3,9,1),0),NETWORKDAYS.INTL(DATE($B$3,9,24),DATE($B$3,9,24),1,'Non-working days'!$A$6:$A$45)=0),"",IF(COUNTIFS('Leave log'!$A$7:$A$306,Employees!$A$17,'Leave log'!$B$7:$B$306,"&lt;="&amp;DATE($B$3,9,24),'Leave log'!$C$7:$C$306,"&gt;="&amp;DATE($B$3,9,24),'Leave log'!$F$7:$F$306,"Approved")&gt;0,"A",""))="A","A",IF(OR(DATE($B$3,9,24)&gt;EOMONTH(DATE($B$3,9,1),0),NETWORKDAYS.INTL(DATE($B$3,9,24),DATE($B$3,9,24),1,'Non-working days'!$A$6:$A$45)=0),"",IF(COUNTIFS('Leave log'!$A$7:$A$306,Employees!$A$17,'Leave log'!$B$7:$B$306,"&lt;="&amp;DATE($B$3,9,24),'Leave log'!$C$7:$C$306,"&gt;="&amp;DATE($B$3,9,24),'Leave log'!$F$7:$F$306,"Pending")&gt;0,"P",""))))</f>
        <v/>
      </c>
      <c r="Z290" s="23" t="str">
        <f>IF(A290="","",IF(IF(OR(DATE($B$3,9,25)&gt;EOMONTH(DATE($B$3,9,1),0),NETWORKDAYS.INTL(DATE($B$3,9,25),DATE($B$3,9,25),1,'Non-working days'!$A$6:$A$45)=0),"",IF(COUNTIFS('Leave log'!$A$7:$A$306,Employees!$A$17,'Leave log'!$B$7:$B$306,"&lt;="&amp;DATE($B$3,9,25),'Leave log'!$C$7:$C$306,"&gt;="&amp;DATE($B$3,9,25),'Leave log'!$F$7:$F$306,"Approved")&gt;0,"A",""))="A","A",IF(OR(DATE($B$3,9,25)&gt;EOMONTH(DATE($B$3,9,1),0),NETWORKDAYS.INTL(DATE($B$3,9,25),DATE($B$3,9,25),1,'Non-working days'!$A$6:$A$45)=0),"",IF(COUNTIFS('Leave log'!$A$7:$A$306,Employees!$A$17,'Leave log'!$B$7:$B$306,"&lt;="&amp;DATE($B$3,9,25),'Leave log'!$C$7:$C$306,"&gt;="&amp;DATE($B$3,9,25),'Leave log'!$F$7:$F$306,"Pending")&gt;0,"P",""))))</f>
        <v/>
      </c>
      <c r="AA290" s="23" t="str">
        <f>IF(A290="","",IF(IF(OR(DATE($B$3,9,26)&gt;EOMONTH(DATE($B$3,9,1),0),NETWORKDAYS.INTL(DATE($B$3,9,26),DATE($B$3,9,26),1,'Non-working days'!$A$6:$A$45)=0),"",IF(COUNTIFS('Leave log'!$A$7:$A$306,Employees!$A$17,'Leave log'!$B$7:$B$306,"&lt;="&amp;DATE($B$3,9,26),'Leave log'!$C$7:$C$306,"&gt;="&amp;DATE($B$3,9,26),'Leave log'!$F$7:$F$306,"Approved")&gt;0,"A",""))="A","A",IF(OR(DATE($B$3,9,26)&gt;EOMONTH(DATE($B$3,9,1),0),NETWORKDAYS.INTL(DATE($B$3,9,26),DATE($B$3,9,26),1,'Non-working days'!$A$6:$A$45)=0),"",IF(COUNTIFS('Leave log'!$A$7:$A$306,Employees!$A$17,'Leave log'!$B$7:$B$306,"&lt;="&amp;DATE($B$3,9,26),'Leave log'!$C$7:$C$306,"&gt;="&amp;DATE($B$3,9,26),'Leave log'!$F$7:$F$306,"Pending")&gt;0,"P",""))))</f>
        <v/>
      </c>
      <c r="AB290" s="23" t="str">
        <f>IF(A290="","",IF(IF(OR(DATE($B$3,9,27)&gt;EOMONTH(DATE($B$3,9,1),0),NETWORKDAYS.INTL(DATE($B$3,9,27),DATE($B$3,9,27),1,'Non-working days'!$A$6:$A$45)=0),"",IF(COUNTIFS('Leave log'!$A$7:$A$306,Employees!$A$17,'Leave log'!$B$7:$B$306,"&lt;="&amp;DATE($B$3,9,27),'Leave log'!$C$7:$C$306,"&gt;="&amp;DATE($B$3,9,27),'Leave log'!$F$7:$F$306,"Approved")&gt;0,"A",""))="A","A",IF(OR(DATE($B$3,9,27)&gt;EOMONTH(DATE($B$3,9,1),0),NETWORKDAYS.INTL(DATE($B$3,9,27),DATE($B$3,9,27),1,'Non-working days'!$A$6:$A$45)=0),"",IF(COUNTIFS('Leave log'!$A$7:$A$306,Employees!$A$17,'Leave log'!$B$7:$B$306,"&lt;="&amp;DATE($B$3,9,27),'Leave log'!$C$7:$C$306,"&gt;="&amp;DATE($B$3,9,27),'Leave log'!$F$7:$F$306,"Pending")&gt;0,"P",""))))</f>
        <v/>
      </c>
      <c r="AC290" s="23" t="str">
        <f>IF(A290="","",IF(IF(OR(DATE($B$3,9,28)&gt;EOMONTH(DATE($B$3,9,1),0),NETWORKDAYS.INTL(DATE($B$3,9,28),DATE($B$3,9,28),1,'Non-working days'!$A$6:$A$45)=0),"",IF(COUNTIFS('Leave log'!$A$7:$A$306,Employees!$A$17,'Leave log'!$B$7:$B$306,"&lt;="&amp;DATE($B$3,9,28),'Leave log'!$C$7:$C$306,"&gt;="&amp;DATE($B$3,9,28),'Leave log'!$F$7:$F$306,"Approved")&gt;0,"A",""))="A","A",IF(OR(DATE($B$3,9,28)&gt;EOMONTH(DATE($B$3,9,1),0),NETWORKDAYS.INTL(DATE($B$3,9,28),DATE($B$3,9,28),1,'Non-working days'!$A$6:$A$45)=0),"",IF(COUNTIFS('Leave log'!$A$7:$A$306,Employees!$A$17,'Leave log'!$B$7:$B$306,"&lt;="&amp;DATE($B$3,9,28),'Leave log'!$C$7:$C$306,"&gt;="&amp;DATE($B$3,9,28),'Leave log'!$F$7:$F$306,"Pending")&gt;0,"P",""))))</f>
        <v/>
      </c>
      <c r="AD290" s="23" t="str">
        <f>IF(A290="","",IF(IF(OR(DATE($B$3,9,29)&gt;EOMONTH(DATE($B$3,9,1),0),NETWORKDAYS.INTL(DATE($B$3,9,29),DATE($B$3,9,29),1,'Non-working days'!$A$6:$A$45)=0),"",IF(COUNTIFS('Leave log'!$A$7:$A$306,Employees!$A$17,'Leave log'!$B$7:$B$306,"&lt;="&amp;DATE($B$3,9,29),'Leave log'!$C$7:$C$306,"&gt;="&amp;DATE($B$3,9,29),'Leave log'!$F$7:$F$306,"Approved")&gt;0,"A",""))="A","A",IF(OR(DATE($B$3,9,29)&gt;EOMONTH(DATE($B$3,9,1),0),NETWORKDAYS.INTL(DATE($B$3,9,29),DATE($B$3,9,29),1,'Non-working days'!$A$6:$A$45)=0),"",IF(COUNTIFS('Leave log'!$A$7:$A$306,Employees!$A$17,'Leave log'!$B$7:$B$306,"&lt;="&amp;DATE($B$3,9,29),'Leave log'!$C$7:$C$306,"&gt;="&amp;DATE($B$3,9,29),'Leave log'!$F$7:$F$306,"Pending")&gt;0,"P",""))))</f>
        <v/>
      </c>
      <c r="AE290" s="23" t="str">
        <f>IF(A290="","",IF(IF(OR(DATE($B$3,9,30)&gt;EOMONTH(DATE($B$3,9,1),0),NETWORKDAYS.INTL(DATE($B$3,9,30),DATE($B$3,9,30),1,'Non-working days'!$A$6:$A$45)=0),"",IF(COUNTIFS('Leave log'!$A$7:$A$306,Employees!$A$17,'Leave log'!$B$7:$B$306,"&lt;="&amp;DATE($B$3,9,30),'Leave log'!$C$7:$C$306,"&gt;="&amp;DATE($B$3,9,30),'Leave log'!$F$7:$F$306,"Approved")&gt;0,"A",""))="A","A",IF(OR(DATE($B$3,9,30)&gt;EOMONTH(DATE($B$3,9,1),0),NETWORKDAYS.INTL(DATE($B$3,9,30),DATE($B$3,9,30),1,'Non-working days'!$A$6:$A$45)=0),"",IF(COUNTIFS('Leave log'!$A$7:$A$306,Employees!$A$17,'Leave log'!$B$7:$B$306,"&lt;="&amp;DATE($B$3,9,30),'Leave log'!$C$7:$C$306,"&gt;="&amp;DATE($B$3,9,30),'Leave log'!$F$7:$F$306,"Pending")&gt;0,"P",""))))</f>
        <v/>
      </c>
      <c r="AF290" s="23" t="str">
        <f>IF(A290="","",IF(IF(OR(DATE($B$3,9,31)&gt;EOMONTH(DATE($B$3,9,1),0),NETWORKDAYS.INTL(DATE($B$3,9,31),DATE($B$3,9,31),1,'Non-working days'!$A$6:$A$45)=0),"",IF(COUNTIFS('Leave log'!$A$7:$A$306,Employees!$A$17,'Leave log'!$B$7:$B$306,"&lt;="&amp;DATE($B$3,9,31),'Leave log'!$C$7:$C$306,"&gt;="&amp;DATE($B$3,9,31),'Leave log'!$F$7:$F$306,"Approved")&gt;0,"A",""))="A","A",IF(OR(DATE($B$3,9,31)&gt;EOMONTH(DATE($B$3,9,1),0),NETWORKDAYS.INTL(DATE($B$3,9,31),DATE($B$3,9,31),1,'Non-working days'!$A$6:$A$45)=0),"",IF(COUNTIFS('Leave log'!$A$7:$A$306,Employees!$A$17,'Leave log'!$B$7:$B$306,"&lt;="&amp;DATE($B$3,9,31),'Leave log'!$C$7:$C$306,"&gt;="&amp;DATE($B$3,9,31),'Leave log'!$F$7:$F$306,"Pending")&gt;0,"P",""))))</f>
        <v/>
      </c>
    </row>
    <row r="291" spans="1:32" ht="18" customHeight="1" x14ac:dyDescent="0.3">
      <c r="A291" s="22" t="str">
        <f>IF(Employees!F18="Yes",Employees!B18,"")</f>
        <v/>
      </c>
      <c r="B291" s="23" t="str">
        <f>IF(A291="","",IF(IF(OR(DATE($B$3,9,1)&gt;EOMONTH(DATE($B$3,9,1),0),NETWORKDAYS.INTL(DATE($B$3,9,1),DATE($B$3,9,1),1,'Non-working days'!$A$6:$A$45)=0),"",IF(COUNTIFS('Leave log'!$A$7:$A$306,Employees!$A$18,'Leave log'!$B$7:$B$306,"&lt;="&amp;DATE($B$3,9,1),'Leave log'!$C$7:$C$306,"&gt;="&amp;DATE($B$3,9,1),'Leave log'!$F$7:$F$306,"Approved")&gt;0,"A",""))="A","A",IF(OR(DATE($B$3,9,1)&gt;EOMONTH(DATE($B$3,9,1),0),NETWORKDAYS.INTL(DATE($B$3,9,1),DATE($B$3,9,1),1,'Non-working days'!$A$6:$A$45)=0),"",IF(COUNTIFS('Leave log'!$A$7:$A$306,Employees!$A$18,'Leave log'!$B$7:$B$306,"&lt;="&amp;DATE($B$3,9,1),'Leave log'!$C$7:$C$306,"&gt;="&amp;DATE($B$3,9,1),'Leave log'!$F$7:$F$306,"Pending")&gt;0,"P",""))))</f>
        <v/>
      </c>
      <c r="C291" s="23" t="str">
        <f>IF(A291="","",IF(IF(OR(DATE($B$3,9,2)&gt;EOMONTH(DATE($B$3,9,1),0),NETWORKDAYS.INTL(DATE($B$3,9,2),DATE($B$3,9,2),1,'Non-working days'!$A$6:$A$45)=0),"",IF(COUNTIFS('Leave log'!$A$7:$A$306,Employees!$A$18,'Leave log'!$B$7:$B$306,"&lt;="&amp;DATE($B$3,9,2),'Leave log'!$C$7:$C$306,"&gt;="&amp;DATE($B$3,9,2),'Leave log'!$F$7:$F$306,"Approved")&gt;0,"A",""))="A","A",IF(OR(DATE($B$3,9,2)&gt;EOMONTH(DATE($B$3,9,1),0),NETWORKDAYS.INTL(DATE($B$3,9,2),DATE($B$3,9,2),1,'Non-working days'!$A$6:$A$45)=0),"",IF(COUNTIFS('Leave log'!$A$7:$A$306,Employees!$A$18,'Leave log'!$B$7:$B$306,"&lt;="&amp;DATE($B$3,9,2),'Leave log'!$C$7:$C$306,"&gt;="&amp;DATE($B$3,9,2),'Leave log'!$F$7:$F$306,"Pending")&gt;0,"P",""))))</f>
        <v/>
      </c>
      <c r="D291" s="23" t="str">
        <f>IF(A291="","",IF(IF(OR(DATE($B$3,9,3)&gt;EOMONTH(DATE($B$3,9,1),0),NETWORKDAYS.INTL(DATE($B$3,9,3),DATE($B$3,9,3),1,'Non-working days'!$A$6:$A$45)=0),"",IF(COUNTIFS('Leave log'!$A$7:$A$306,Employees!$A$18,'Leave log'!$B$7:$B$306,"&lt;="&amp;DATE($B$3,9,3),'Leave log'!$C$7:$C$306,"&gt;="&amp;DATE($B$3,9,3),'Leave log'!$F$7:$F$306,"Approved")&gt;0,"A",""))="A","A",IF(OR(DATE($B$3,9,3)&gt;EOMONTH(DATE($B$3,9,1),0),NETWORKDAYS.INTL(DATE($B$3,9,3),DATE($B$3,9,3),1,'Non-working days'!$A$6:$A$45)=0),"",IF(COUNTIFS('Leave log'!$A$7:$A$306,Employees!$A$18,'Leave log'!$B$7:$B$306,"&lt;="&amp;DATE($B$3,9,3),'Leave log'!$C$7:$C$306,"&gt;="&amp;DATE($B$3,9,3),'Leave log'!$F$7:$F$306,"Pending")&gt;0,"P",""))))</f>
        <v/>
      </c>
      <c r="E291" s="23" t="str">
        <f>IF(A291="","",IF(IF(OR(DATE($B$3,9,4)&gt;EOMONTH(DATE($B$3,9,1),0),NETWORKDAYS.INTL(DATE($B$3,9,4),DATE($B$3,9,4),1,'Non-working days'!$A$6:$A$45)=0),"",IF(COUNTIFS('Leave log'!$A$7:$A$306,Employees!$A$18,'Leave log'!$B$7:$B$306,"&lt;="&amp;DATE($B$3,9,4),'Leave log'!$C$7:$C$306,"&gt;="&amp;DATE($B$3,9,4),'Leave log'!$F$7:$F$306,"Approved")&gt;0,"A",""))="A","A",IF(OR(DATE($B$3,9,4)&gt;EOMONTH(DATE($B$3,9,1),0),NETWORKDAYS.INTL(DATE($B$3,9,4),DATE($B$3,9,4),1,'Non-working days'!$A$6:$A$45)=0),"",IF(COUNTIFS('Leave log'!$A$7:$A$306,Employees!$A$18,'Leave log'!$B$7:$B$306,"&lt;="&amp;DATE($B$3,9,4),'Leave log'!$C$7:$C$306,"&gt;="&amp;DATE($B$3,9,4),'Leave log'!$F$7:$F$306,"Pending")&gt;0,"P",""))))</f>
        <v/>
      </c>
      <c r="F291" s="23" t="str">
        <f>IF(A291="","",IF(IF(OR(DATE($B$3,9,5)&gt;EOMONTH(DATE($B$3,9,1),0),NETWORKDAYS.INTL(DATE($B$3,9,5),DATE($B$3,9,5),1,'Non-working days'!$A$6:$A$45)=0),"",IF(COUNTIFS('Leave log'!$A$7:$A$306,Employees!$A$18,'Leave log'!$B$7:$B$306,"&lt;="&amp;DATE($B$3,9,5),'Leave log'!$C$7:$C$306,"&gt;="&amp;DATE($B$3,9,5),'Leave log'!$F$7:$F$306,"Approved")&gt;0,"A",""))="A","A",IF(OR(DATE($B$3,9,5)&gt;EOMONTH(DATE($B$3,9,1),0),NETWORKDAYS.INTL(DATE($B$3,9,5),DATE($B$3,9,5),1,'Non-working days'!$A$6:$A$45)=0),"",IF(COUNTIFS('Leave log'!$A$7:$A$306,Employees!$A$18,'Leave log'!$B$7:$B$306,"&lt;="&amp;DATE($B$3,9,5),'Leave log'!$C$7:$C$306,"&gt;="&amp;DATE($B$3,9,5),'Leave log'!$F$7:$F$306,"Pending")&gt;0,"P",""))))</f>
        <v/>
      </c>
      <c r="G291" s="23" t="str">
        <f>IF(A291="","",IF(IF(OR(DATE($B$3,9,6)&gt;EOMONTH(DATE($B$3,9,1),0),NETWORKDAYS.INTL(DATE($B$3,9,6),DATE($B$3,9,6),1,'Non-working days'!$A$6:$A$45)=0),"",IF(COUNTIFS('Leave log'!$A$7:$A$306,Employees!$A$18,'Leave log'!$B$7:$B$306,"&lt;="&amp;DATE($B$3,9,6),'Leave log'!$C$7:$C$306,"&gt;="&amp;DATE($B$3,9,6),'Leave log'!$F$7:$F$306,"Approved")&gt;0,"A",""))="A","A",IF(OR(DATE($B$3,9,6)&gt;EOMONTH(DATE($B$3,9,1),0),NETWORKDAYS.INTL(DATE($B$3,9,6),DATE($B$3,9,6),1,'Non-working days'!$A$6:$A$45)=0),"",IF(COUNTIFS('Leave log'!$A$7:$A$306,Employees!$A$18,'Leave log'!$B$7:$B$306,"&lt;="&amp;DATE($B$3,9,6),'Leave log'!$C$7:$C$306,"&gt;="&amp;DATE($B$3,9,6),'Leave log'!$F$7:$F$306,"Pending")&gt;0,"P",""))))</f>
        <v/>
      </c>
      <c r="H291" s="23" t="str">
        <f>IF(A291="","",IF(IF(OR(DATE($B$3,9,7)&gt;EOMONTH(DATE($B$3,9,1),0),NETWORKDAYS.INTL(DATE($B$3,9,7),DATE($B$3,9,7),1,'Non-working days'!$A$6:$A$45)=0),"",IF(COUNTIFS('Leave log'!$A$7:$A$306,Employees!$A$18,'Leave log'!$B$7:$B$306,"&lt;="&amp;DATE($B$3,9,7),'Leave log'!$C$7:$C$306,"&gt;="&amp;DATE($B$3,9,7),'Leave log'!$F$7:$F$306,"Approved")&gt;0,"A",""))="A","A",IF(OR(DATE($B$3,9,7)&gt;EOMONTH(DATE($B$3,9,1),0),NETWORKDAYS.INTL(DATE($B$3,9,7),DATE($B$3,9,7),1,'Non-working days'!$A$6:$A$45)=0),"",IF(COUNTIFS('Leave log'!$A$7:$A$306,Employees!$A$18,'Leave log'!$B$7:$B$306,"&lt;="&amp;DATE($B$3,9,7),'Leave log'!$C$7:$C$306,"&gt;="&amp;DATE($B$3,9,7),'Leave log'!$F$7:$F$306,"Pending")&gt;0,"P",""))))</f>
        <v/>
      </c>
      <c r="I291" s="23" t="str">
        <f>IF(A291="","",IF(IF(OR(DATE($B$3,9,8)&gt;EOMONTH(DATE($B$3,9,1),0),NETWORKDAYS.INTL(DATE($B$3,9,8),DATE($B$3,9,8),1,'Non-working days'!$A$6:$A$45)=0),"",IF(COUNTIFS('Leave log'!$A$7:$A$306,Employees!$A$18,'Leave log'!$B$7:$B$306,"&lt;="&amp;DATE($B$3,9,8),'Leave log'!$C$7:$C$306,"&gt;="&amp;DATE($B$3,9,8),'Leave log'!$F$7:$F$306,"Approved")&gt;0,"A",""))="A","A",IF(OR(DATE($B$3,9,8)&gt;EOMONTH(DATE($B$3,9,1),0),NETWORKDAYS.INTL(DATE($B$3,9,8),DATE($B$3,9,8),1,'Non-working days'!$A$6:$A$45)=0),"",IF(COUNTIFS('Leave log'!$A$7:$A$306,Employees!$A$18,'Leave log'!$B$7:$B$306,"&lt;="&amp;DATE($B$3,9,8),'Leave log'!$C$7:$C$306,"&gt;="&amp;DATE($B$3,9,8),'Leave log'!$F$7:$F$306,"Pending")&gt;0,"P",""))))</f>
        <v/>
      </c>
      <c r="J291" s="23" t="str">
        <f>IF(A291="","",IF(IF(OR(DATE($B$3,9,9)&gt;EOMONTH(DATE($B$3,9,1),0),NETWORKDAYS.INTL(DATE($B$3,9,9),DATE($B$3,9,9),1,'Non-working days'!$A$6:$A$45)=0),"",IF(COUNTIFS('Leave log'!$A$7:$A$306,Employees!$A$18,'Leave log'!$B$7:$B$306,"&lt;="&amp;DATE($B$3,9,9),'Leave log'!$C$7:$C$306,"&gt;="&amp;DATE($B$3,9,9),'Leave log'!$F$7:$F$306,"Approved")&gt;0,"A",""))="A","A",IF(OR(DATE($B$3,9,9)&gt;EOMONTH(DATE($B$3,9,1),0),NETWORKDAYS.INTL(DATE($B$3,9,9),DATE($B$3,9,9),1,'Non-working days'!$A$6:$A$45)=0),"",IF(COUNTIFS('Leave log'!$A$7:$A$306,Employees!$A$18,'Leave log'!$B$7:$B$306,"&lt;="&amp;DATE($B$3,9,9),'Leave log'!$C$7:$C$306,"&gt;="&amp;DATE($B$3,9,9),'Leave log'!$F$7:$F$306,"Pending")&gt;0,"P",""))))</f>
        <v/>
      </c>
      <c r="K291" s="23" t="str">
        <f>IF(A291="","",IF(IF(OR(DATE($B$3,9,10)&gt;EOMONTH(DATE($B$3,9,1),0),NETWORKDAYS.INTL(DATE($B$3,9,10),DATE($B$3,9,10),1,'Non-working days'!$A$6:$A$45)=0),"",IF(COUNTIFS('Leave log'!$A$7:$A$306,Employees!$A$18,'Leave log'!$B$7:$B$306,"&lt;="&amp;DATE($B$3,9,10),'Leave log'!$C$7:$C$306,"&gt;="&amp;DATE($B$3,9,10),'Leave log'!$F$7:$F$306,"Approved")&gt;0,"A",""))="A","A",IF(OR(DATE($B$3,9,10)&gt;EOMONTH(DATE($B$3,9,1),0),NETWORKDAYS.INTL(DATE($B$3,9,10),DATE($B$3,9,10),1,'Non-working days'!$A$6:$A$45)=0),"",IF(COUNTIFS('Leave log'!$A$7:$A$306,Employees!$A$18,'Leave log'!$B$7:$B$306,"&lt;="&amp;DATE($B$3,9,10),'Leave log'!$C$7:$C$306,"&gt;="&amp;DATE($B$3,9,10),'Leave log'!$F$7:$F$306,"Pending")&gt;0,"P",""))))</f>
        <v/>
      </c>
      <c r="L291" s="23" t="str">
        <f>IF(A291="","",IF(IF(OR(DATE($B$3,9,11)&gt;EOMONTH(DATE($B$3,9,1),0),NETWORKDAYS.INTL(DATE($B$3,9,11),DATE($B$3,9,11),1,'Non-working days'!$A$6:$A$45)=0),"",IF(COUNTIFS('Leave log'!$A$7:$A$306,Employees!$A$18,'Leave log'!$B$7:$B$306,"&lt;="&amp;DATE($B$3,9,11),'Leave log'!$C$7:$C$306,"&gt;="&amp;DATE($B$3,9,11),'Leave log'!$F$7:$F$306,"Approved")&gt;0,"A",""))="A","A",IF(OR(DATE($B$3,9,11)&gt;EOMONTH(DATE($B$3,9,1),0),NETWORKDAYS.INTL(DATE($B$3,9,11),DATE($B$3,9,11),1,'Non-working days'!$A$6:$A$45)=0),"",IF(COUNTIFS('Leave log'!$A$7:$A$306,Employees!$A$18,'Leave log'!$B$7:$B$306,"&lt;="&amp;DATE($B$3,9,11),'Leave log'!$C$7:$C$306,"&gt;="&amp;DATE($B$3,9,11),'Leave log'!$F$7:$F$306,"Pending")&gt;0,"P",""))))</f>
        <v/>
      </c>
      <c r="M291" s="23" t="str">
        <f>IF(A291="","",IF(IF(OR(DATE($B$3,9,12)&gt;EOMONTH(DATE($B$3,9,1),0),NETWORKDAYS.INTL(DATE($B$3,9,12),DATE($B$3,9,12),1,'Non-working days'!$A$6:$A$45)=0),"",IF(COUNTIFS('Leave log'!$A$7:$A$306,Employees!$A$18,'Leave log'!$B$7:$B$306,"&lt;="&amp;DATE($B$3,9,12),'Leave log'!$C$7:$C$306,"&gt;="&amp;DATE($B$3,9,12),'Leave log'!$F$7:$F$306,"Approved")&gt;0,"A",""))="A","A",IF(OR(DATE($B$3,9,12)&gt;EOMONTH(DATE($B$3,9,1),0),NETWORKDAYS.INTL(DATE($B$3,9,12),DATE($B$3,9,12),1,'Non-working days'!$A$6:$A$45)=0),"",IF(COUNTIFS('Leave log'!$A$7:$A$306,Employees!$A$18,'Leave log'!$B$7:$B$306,"&lt;="&amp;DATE($B$3,9,12),'Leave log'!$C$7:$C$306,"&gt;="&amp;DATE($B$3,9,12),'Leave log'!$F$7:$F$306,"Pending")&gt;0,"P",""))))</f>
        <v/>
      </c>
      <c r="N291" s="23" t="str">
        <f>IF(A291="","",IF(IF(OR(DATE($B$3,9,13)&gt;EOMONTH(DATE($B$3,9,1),0),NETWORKDAYS.INTL(DATE($B$3,9,13),DATE($B$3,9,13),1,'Non-working days'!$A$6:$A$45)=0),"",IF(COUNTIFS('Leave log'!$A$7:$A$306,Employees!$A$18,'Leave log'!$B$7:$B$306,"&lt;="&amp;DATE($B$3,9,13),'Leave log'!$C$7:$C$306,"&gt;="&amp;DATE($B$3,9,13),'Leave log'!$F$7:$F$306,"Approved")&gt;0,"A",""))="A","A",IF(OR(DATE($B$3,9,13)&gt;EOMONTH(DATE($B$3,9,1),0),NETWORKDAYS.INTL(DATE($B$3,9,13),DATE($B$3,9,13),1,'Non-working days'!$A$6:$A$45)=0),"",IF(COUNTIFS('Leave log'!$A$7:$A$306,Employees!$A$18,'Leave log'!$B$7:$B$306,"&lt;="&amp;DATE($B$3,9,13),'Leave log'!$C$7:$C$306,"&gt;="&amp;DATE($B$3,9,13),'Leave log'!$F$7:$F$306,"Pending")&gt;0,"P",""))))</f>
        <v/>
      </c>
      <c r="O291" s="23" t="str">
        <f>IF(A291="","",IF(IF(OR(DATE($B$3,9,14)&gt;EOMONTH(DATE($B$3,9,1),0),NETWORKDAYS.INTL(DATE($B$3,9,14),DATE($B$3,9,14),1,'Non-working days'!$A$6:$A$45)=0),"",IF(COUNTIFS('Leave log'!$A$7:$A$306,Employees!$A$18,'Leave log'!$B$7:$B$306,"&lt;="&amp;DATE($B$3,9,14),'Leave log'!$C$7:$C$306,"&gt;="&amp;DATE($B$3,9,14),'Leave log'!$F$7:$F$306,"Approved")&gt;0,"A",""))="A","A",IF(OR(DATE($B$3,9,14)&gt;EOMONTH(DATE($B$3,9,1),0),NETWORKDAYS.INTL(DATE($B$3,9,14),DATE($B$3,9,14),1,'Non-working days'!$A$6:$A$45)=0),"",IF(COUNTIFS('Leave log'!$A$7:$A$306,Employees!$A$18,'Leave log'!$B$7:$B$306,"&lt;="&amp;DATE($B$3,9,14),'Leave log'!$C$7:$C$306,"&gt;="&amp;DATE($B$3,9,14),'Leave log'!$F$7:$F$306,"Pending")&gt;0,"P",""))))</f>
        <v/>
      </c>
      <c r="P291" s="23" t="str">
        <f>IF(A291="","",IF(IF(OR(DATE($B$3,9,15)&gt;EOMONTH(DATE($B$3,9,1),0),NETWORKDAYS.INTL(DATE($B$3,9,15),DATE($B$3,9,15),1,'Non-working days'!$A$6:$A$45)=0),"",IF(COUNTIFS('Leave log'!$A$7:$A$306,Employees!$A$18,'Leave log'!$B$7:$B$306,"&lt;="&amp;DATE($B$3,9,15),'Leave log'!$C$7:$C$306,"&gt;="&amp;DATE($B$3,9,15),'Leave log'!$F$7:$F$306,"Approved")&gt;0,"A",""))="A","A",IF(OR(DATE($B$3,9,15)&gt;EOMONTH(DATE($B$3,9,1),0),NETWORKDAYS.INTL(DATE($B$3,9,15),DATE($B$3,9,15),1,'Non-working days'!$A$6:$A$45)=0),"",IF(COUNTIFS('Leave log'!$A$7:$A$306,Employees!$A$18,'Leave log'!$B$7:$B$306,"&lt;="&amp;DATE($B$3,9,15),'Leave log'!$C$7:$C$306,"&gt;="&amp;DATE($B$3,9,15),'Leave log'!$F$7:$F$306,"Pending")&gt;0,"P",""))))</f>
        <v/>
      </c>
      <c r="Q291" s="23" t="str">
        <f>IF(A291="","",IF(IF(OR(DATE($B$3,9,16)&gt;EOMONTH(DATE($B$3,9,1),0),NETWORKDAYS.INTL(DATE($B$3,9,16),DATE($B$3,9,16),1,'Non-working days'!$A$6:$A$45)=0),"",IF(COUNTIFS('Leave log'!$A$7:$A$306,Employees!$A$18,'Leave log'!$B$7:$B$306,"&lt;="&amp;DATE($B$3,9,16),'Leave log'!$C$7:$C$306,"&gt;="&amp;DATE($B$3,9,16),'Leave log'!$F$7:$F$306,"Approved")&gt;0,"A",""))="A","A",IF(OR(DATE($B$3,9,16)&gt;EOMONTH(DATE($B$3,9,1),0),NETWORKDAYS.INTL(DATE($B$3,9,16),DATE($B$3,9,16),1,'Non-working days'!$A$6:$A$45)=0),"",IF(COUNTIFS('Leave log'!$A$7:$A$306,Employees!$A$18,'Leave log'!$B$7:$B$306,"&lt;="&amp;DATE($B$3,9,16),'Leave log'!$C$7:$C$306,"&gt;="&amp;DATE($B$3,9,16),'Leave log'!$F$7:$F$306,"Pending")&gt;0,"P",""))))</f>
        <v/>
      </c>
      <c r="R291" s="23" t="str">
        <f>IF(A291="","",IF(IF(OR(DATE($B$3,9,17)&gt;EOMONTH(DATE($B$3,9,1),0),NETWORKDAYS.INTL(DATE($B$3,9,17),DATE($B$3,9,17),1,'Non-working days'!$A$6:$A$45)=0),"",IF(COUNTIFS('Leave log'!$A$7:$A$306,Employees!$A$18,'Leave log'!$B$7:$B$306,"&lt;="&amp;DATE($B$3,9,17),'Leave log'!$C$7:$C$306,"&gt;="&amp;DATE($B$3,9,17),'Leave log'!$F$7:$F$306,"Approved")&gt;0,"A",""))="A","A",IF(OR(DATE($B$3,9,17)&gt;EOMONTH(DATE($B$3,9,1),0),NETWORKDAYS.INTL(DATE($B$3,9,17),DATE($B$3,9,17),1,'Non-working days'!$A$6:$A$45)=0),"",IF(COUNTIFS('Leave log'!$A$7:$A$306,Employees!$A$18,'Leave log'!$B$7:$B$306,"&lt;="&amp;DATE($B$3,9,17),'Leave log'!$C$7:$C$306,"&gt;="&amp;DATE($B$3,9,17),'Leave log'!$F$7:$F$306,"Pending")&gt;0,"P",""))))</f>
        <v/>
      </c>
      <c r="S291" s="23" t="str">
        <f>IF(A291="","",IF(IF(OR(DATE($B$3,9,18)&gt;EOMONTH(DATE($B$3,9,1),0),NETWORKDAYS.INTL(DATE($B$3,9,18),DATE($B$3,9,18),1,'Non-working days'!$A$6:$A$45)=0),"",IF(COUNTIFS('Leave log'!$A$7:$A$306,Employees!$A$18,'Leave log'!$B$7:$B$306,"&lt;="&amp;DATE($B$3,9,18),'Leave log'!$C$7:$C$306,"&gt;="&amp;DATE($B$3,9,18),'Leave log'!$F$7:$F$306,"Approved")&gt;0,"A",""))="A","A",IF(OR(DATE($B$3,9,18)&gt;EOMONTH(DATE($B$3,9,1),0),NETWORKDAYS.INTL(DATE($B$3,9,18),DATE($B$3,9,18),1,'Non-working days'!$A$6:$A$45)=0),"",IF(COUNTIFS('Leave log'!$A$7:$A$306,Employees!$A$18,'Leave log'!$B$7:$B$306,"&lt;="&amp;DATE($B$3,9,18),'Leave log'!$C$7:$C$306,"&gt;="&amp;DATE($B$3,9,18),'Leave log'!$F$7:$F$306,"Pending")&gt;0,"P",""))))</f>
        <v/>
      </c>
      <c r="T291" s="23" t="str">
        <f>IF(A291="","",IF(IF(OR(DATE($B$3,9,19)&gt;EOMONTH(DATE($B$3,9,1),0),NETWORKDAYS.INTL(DATE($B$3,9,19),DATE($B$3,9,19),1,'Non-working days'!$A$6:$A$45)=0),"",IF(COUNTIFS('Leave log'!$A$7:$A$306,Employees!$A$18,'Leave log'!$B$7:$B$306,"&lt;="&amp;DATE($B$3,9,19),'Leave log'!$C$7:$C$306,"&gt;="&amp;DATE($B$3,9,19),'Leave log'!$F$7:$F$306,"Approved")&gt;0,"A",""))="A","A",IF(OR(DATE($B$3,9,19)&gt;EOMONTH(DATE($B$3,9,1),0),NETWORKDAYS.INTL(DATE($B$3,9,19),DATE($B$3,9,19),1,'Non-working days'!$A$6:$A$45)=0),"",IF(COUNTIFS('Leave log'!$A$7:$A$306,Employees!$A$18,'Leave log'!$B$7:$B$306,"&lt;="&amp;DATE($B$3,9,19),'Leave log'!$C$7:$C$306,"&gt;="&amp;DATE($B$3,9,19),'Leave log'!$F$7:$F$306,"Pending")&gt;0,"P",""))))</f>
        <v/>
      </c>
      <c r="U291" s="23" t="str">
        <f>IF(A291="","",IF(IF(OR(DATE($B$3,9,20)&gt;EOMONTH(DATE($B$3,9,1),0),NETWORKDAYS.INTL(DATE($B$3,9,20),DATE($B$3,9,20),1,'Non-working days'!$A$6:$A$45)=0),"",IF(COUNTIFS('Leave log'!$A$7:$A$306,Employees!$A$18,'Leave log'!$B$7:$B$306,"&lt;="&amp;DATE($B$3,9,20),'Leave log'!$C$7:$C$306,"&gt;="&amp;DATE($B$3,9,20),'Leave log'!$F$7:$F$306,"Approved")&gt;0,"A",""))="A","A",IF(OR(DATE($B$3,9,20)&gt;EOMONTH(DATE($B$3,9,1),0),NETWORKDAYS.INTL(DATE($B$3,9,20),DATE($B$3,9,20),1,'Non-working days'!$A$6:$A$45)=0),"",IF(COUNTIFS('Leave log'!$A$7:$A$306,Employees!$A$18,'Leave log'!$B$7:$B$306,"&lt;="&amp;DATE($B$3,9,20),'Leave log'!$C$7:$C$306,"&gt;="&amp;DATE($B$3,9,20),'Leave log'!$F$7:$F$306,"Pending")&gt;0,"P",""))))</f>
        <v/>
      </c>
      <c r="V291" s="23" t="str">
        <f>IF(A291="","",IF(IF(OR(DATE($B$3,9,21)&gt;EOMONTH(DATE($B$3,9,1),0),NETWORKDAYS.INTL(DATE($B$3,9,21),DATE($B$3,9,21),1,'Non-working days'!$A$6:$A$45)=0),"",IF(COUNTIFS('Leave log'!$A$7:$A$306,Employees!$A$18,'Leave log'!$B$7:$B$306,"&lt;="&amp;DATE($B$3,9,21),'Leave log'!$C$7:$C$306,"&gt;="&amp;DATE($B$3,9,21),'Leave log'!$F$7:$F$306,"Approved")&gt;0,"A",""))="A","A",IF(OR(DATE($B$3,9,21)&gt;EOMONTH(DATE($B$3,9,1),0),NETWORKDAYS.INTL(DATE($B$3,9,21),DATE($B$3,9,21),1,'Non-working days'!$A$6:$A$45)=0),"",IF(COUNTIFS('Leave log'!$A$7:$A$306,Employees!$A$18,'Leave log'!$B$7:$B$306,"&lt;="&amp;DATE($B$3,9,21),'Leave log'!$C$7:$C$306,"&gt;="&amp;DATE($B$3,9,21),'Leave log'!$F$7:$F$306,"Pending")&gt;0,"P",""))))</f>
        <v/>
      </c>
      <c r="W291" s="23" t="str">
        <f>IF(A291="","",IF(IF(OR(DATE($B$3,9,22)&gt;EOMONTH(DATE($B$3,9,1),0),NETWORKDAYS.INTL(DATE($B$3,9,22),DATE($B$3,9,22),1,'Non-working days'!$A$6:$A$45)=0),"",IF(COUNTIFS('Leave log'!$A$7:$A$306,Employees!$A$18,'Leave log'!$B$7:$B$306,"&lt;="&amp;DATE($B$3,9,22),'Leave log'!$C$7:$C$306,"&gt;="&amp;DATE($B$3,9,22),'Leave log'!$F$7:$F$306,"Approved")&gt;0,"A",""))="A","A",IF(OR(DATE($B$3,9,22)&gt;EOMONTH(DATE($B$3,9,1),0),NETWORKDAYS.INTL(DATE($B$3,9,22),DATE($B$3,9,22),1,'Non-working days'!$A$6:$A$45)=0),"",IF(COUNTIFS('Leave log'!$A$7:$A$306,Employees!$A$18,'Leave log'!$B$7:$B$306,"&lt;="&amp;DATE($B$3,9,22),'Leave log'!$C$7:$C$306,"&gt;="&amp;DATE($B$3,9,22),'Leave log'!$F$7:$F$306,"Pending")&gt;0,"P",""))))</f>
        <v/>
      </c>
      <c r="X291" s="23" t="str">
        <f>IF(A291="","",IF(IF(OR(DATE($B$3,9,23)&gt;EOMONTH(DATE($B$3,9,1),0),NETWORKDAYS.INTL(DATE($B$3,9,23),DATE($B$3,9,23),1,'Non-working days'!$A$6:$A$45)=0),"",IF(COUNTIFS('Leave log'!$A$7:$A$306,Employees!$A$18,'Leave log'!$B$7:$B$306,"&lt;="&amp;DATE($B$3,9,23),'Leave log'!$C$7:$C$306,"&gt;="&amp;DATE($B$3,9,23),'Leave log'!$F$7:$F$306,"Approved")&gt;0,"A",""))="A","A",IF(OR(DATE($B$3,9,23)&gt;EOMONTH(DATE($B$3,9,1),0),NETWORKDAYS.INTL(DATE($B$3,9,23),DATE($B$3,9,23),1,'Non-working days'!$A$6:$A$45)=0),"",IF(COUNTIFS('Leave log'!$A$7:$A$306,Employees!$A$18,'Leave log'!$B$7:$B$306,"&lt;="&amp;DATE($B$3,9,23),'Leave log'!$C$7:$C$306,"&gt;="&amp;DATE($B$3,9,23),'Leave log'!$F$7:$F$306,"Pending")&gt;0,"P",""))))</f>
        <v/>
      </c>
      <c r="Y291" s="23" t="str">
        <f>IF(A291="","",IF(IF(OR(DATE($B$3,9,24)&gt;EOMONTH(DATE($B$3,9,1),0),NETWORKDAYS.INTL(DATE($B$3,9,24),DATE($B$3,9,24),1,'Non-working days'!$A$6:$A$45)=0),"",IF(COUNTIFS('Leave log'!$A$7:$A$306,Employees!$A$18,'Leave log'!$B$7:$B$306,"&lt;="&amp;DATE($B$3,9,24),'Leave log'!$C$7:$C$306,"&gt;="&amp;DATE($B$3,9,24),'Leave log'!$F$7:$F$306,"Approved")&gt;0,"A",""))="A","A",IF(OR(DATE($B$3,9,24)&gt;EOMONTH(DATE($B$3,9,1),0),NETWORKDAYS.INTL(DATE($B$3,9,24),DATE($B$3,9,24),1,'Non-working days'!$A$6:$A$45)=0),"",IF(COUNTIFS('Leave log'!$A$7:$A$306,Employees!$A$18,'Leave log'!$B$7:$B$306,"&lt;="&amp;DATE($B$3,9,24),'Leave log'!$C$7:$C$306,"&gt;="&amp;DATE($B$3,9,24),'Leave log'!$F$7:$F$306,"Pending")&gt;0,"P",""))))</f>
        <v/>
      </c>
      <c r="Z291" s="23" t="str">
        <f>IF(A291="","",IF(IF(OR(DATE($B$3,9,25)&gt;EOMONTH(DATE($B$3,9,1),0),NETWORKDAYS.INTL(DATE($B$3,9,25),DATE($B$3,9,25),1,'Non-working days'!$A$6:$A$45)=0),"",IF(COUNTIFS('Leave log'!$A$7:$A$306,Employees!$A$18,'Leave log'!$B$7:$B$306,"&lt;="&amp;DATE($B$3,9,25),'Leave log'!$C$7:$C$306,"&gt;="&amp;DATE($B$3,9,25),'Leave log'!$F$7:$F$306,"Approved")&gt;0,"A",""))="A","A",IF(OR(DATE($B$3,9,25)&gt;EOMONTH(DATE($B$3,9,1),0),NETWORKDAYS.INTL(DATE($B$3,9,25),DATE($B$3,9,25),1,'Non-working days'!$A$6:$A$45)=0),"",IF(COUNTIFS('Leave log'!$A$7:$A$306,Employees!$A$18,'Leave log'!$B$7:$B$306,"&lt;="&amp;DATE($B$3,9,25),'Leave log'!$C$7:$C$306,"&gt;="&amp;DATE($B$3,9,25),'Leave log'!$F$7:$F$306,"Pending")&gt;0,"P",""))))</f>
        <v/>
      </c>
      <c r="AA291" s="23" t="str">
        <f>IF(A291="","",IF(IF(OR(DATE($B$3,9,26)&gt;EOMONTH(DATE($B$3,9,1),0),NETWORKDAYS.INTL(DATE($B$3,9,26),DATE($B$3,9,26),1,'Non-working days'!$A$6:$A$45)=0),"",IF(COUNTIFS('Leave log'!$A$7:$A$306,Employees!$A$18,'Leave log'!$B$7:$B$306,"&lt;="&amp;DATE($B$3,9,26),'Leave log'!$C$7:$C$306,"&gt;="&amp;DATE($B$3,9,26),'Leave log'!$F$7:$F$306,"Approved")&gt;0,"A",""))="A","A",IF(OR(DATE($B$3,9,26)&gt;EOMONTH(DATE($B$3,9,1),0),NETWORKDAYS.INTL(DATE($B$3,9,26),DATE($B$3,9,26),1,'Non-working days'!$A$6:$A$45)=0),"",IF(COUNTIFS('Leave log'!$A$7:$A$306,Employees!$A$18,'Leave log'!$B$7:$B$306,"&lt;="&amp;DATE($B$3,9,26),'Leave log'!$C$7:$C$306,"&gt;="&amp;DATE($B$3,9,26),'Leave log'!$F$7:$F$306,"Pending")&gt;0,"P",""))))</f>
        <v/>
      </c>
      <c r="AB291" s="23" t="str">
        <f>IF(A291="","",IF(IF(OR(DATE($B$3,9,27)&gt;EOMONTH(DATE($B$3,9,1),0),NETWORKDAYS.INTL(DATE($B$3,9,27),DATE($B$3,9,27),1,'Non-working days'!$A$6:$A$45)=0),"",IF(COUNTIFS('Leave log'!$A$7:$A$306,Employees!$A$18,'Leave log'!$B$7:$B$306,"&lt;="&amp;DATE($B$3,9,27),'Leave log'!$C$7:$C$306,"&gt;="&amp;DATE($B$3,9,27),'Leave log'!$F$7:$F$306,"Approved")&gt;0,"A",""))="A","A",IF(OR(DATE($B$3,9,27)&gt;EOMONTH(DATE($B$3,9,1),0),NETWORKDAYS.INTL(DATE($B$3,9,27),DATE($B$3,9,27),1,'Non-working days'!$A$6:$A$45)=0),"",IF(COUNTIFS('Leave log'!$A$7:$A$306,Employees!$A$18,'Leave log'!$B$7:$B$306,"&lt;="&amp;DATE($B$3,9,27),'Leave log'!$C$7:$C$306,"&gt;="&amp;DATE($B$3,9,27),'Leave log'!$F$7:$F$306,"Pending")&gt;0,"P",""))))</f>
        <v/>
      </c>
      <c r="AC291" s="23" t="str">
        <f>IF(A291="","",IF(IF(OR(DATE($B$3,9,28)&gt;EOMONTH(DATE($B$3,9,1),0),NETWORKDAYS.INTL(DATE($B$3,9,28),DATE($B$3,9,28),1,'Non-working days'!$A$6:$A$45)=0),"",IF(COUNTIFS('Leave log'!$A$7:$A$306,Employees!$A$18,'Leave log'!$B$7:$B$306,"&lt;="&amp;DATE($B$3,9,28),'Leave log'!$C$7:$C$306,"&gt;="&amp;DATE($B$3,9,28),'Leave log'!$F$7:$F$306,"Approved")&gt;0,"A",""))="A","A",IF(OR(DATE($B$3,9,28)&gt;EOMONTH(DATE($B$3,9,1),0),NETWORKDAYS.INTL(DATE($B$3,9,28),DATE($B$3,9,28),1,'Non-working days'!$A$6:$A$45)=0),"",IF(COUNTIFS('Leave log'!$A$7:$A$306,Employees!$A$18,'Leave log'!$B$7:$B$306,"&lt;="&amp;DATE($B$3,9,28),'Leave log'!$C$7:$C$306,"&gt;="&amp;DATE($B$3,9,28),'Leave log'!$F$7:$F$306,"Pending")&gt;0,"P",""))))</f>
        <v/>
      </c>
      <c r="AD291" s="23" t="str">
        <f>IF(A291="","",IF(IF(OR(DATE($B$3,9,29)&gt;EOMONTH(DATE($B$3,9,1),0),NETWORKDAYS.INTL(DATE($B$3,9,29),DATE($B$3,9,29),1,'Non-working days'!$A$6:$A$45)=0),"",IF(COUNTIFS('Leave log'!$A$7:$A$306,Employees!$A$18,'Leave log'!$B$7:$B$306,"&lt;="&amp;DATE($B$3,9,29),'Leave log'!$C$7:$C$306,"&gt;="&amp;DATE($B$3,9,29),'Leave log'!$F$7:$F$306,"Approved")&gt;0,"A",""))="A","A",IF(OR(DATE($B$3,9,29)&gt;EOMONTH(DATE($B$3,9,1),0),NETWORKDAYS.INTL(DATE($B$3,9,29),DATE($B$3,9,29),1,'Non-working days'!$A$6:$A$45)=0),"",IF(COUNTIFS('Leave log'!$A$7:$A$306,Employees!$A$18,'Leave log'!$B$7:$B$306,"&lt;="&amp;DATE($B$3,9,29),'Leave log'!$C$7:$C$306,"&gt;="&amp;DATE($B$3,9,29),'Leave log'!$F$7:$F$306,"Pending")&gt;0,"P",""))))</f>
        <v/>
      </c>
      <c r="AE291" s="23" t="str">
        <f>IF(A291="","",IF(IF(OR(DATE($B$3,9,30)&gt;EOMONTH(DATE($B$3,9,1),0),NETWORKDAYS.INTL(DATE($B$3,9,30),DATE($B$3,9,30),1,'Non-working days'!$A$6:$A$45)=0),"",IF(COUNTIFS('Leave log'!$A$7:$A$306,Employees!$A$18,'Leave log'!$B$7:$B$306,"&lt;="&amp;DATE($B$3,9,30),'Leave log'!$C$7:$C$306,"&gt;="&amp;DATE($B$3,9,30),'Leave log'!$F$7:$F$306,"Approved")&gt;0,"A",""))="A","A",IF(OR(DATE($B$3,9,30)&gt;EOMONTH(DATE($B$3,9,1),0),NETWORKDAYS.INTL(DATE($B$3,9,30),DATE($B$3,9,30),1,'Non-working days'!$A$6:$A$45)=0),"",IF(COUNTIFS('Leave log'!$A$7:$A$306,Employees!$A$18,'Leave log'!$B$7:$B$306,"&lt;="&amp;DATE($B$3,9,30),'Leave log'!$C$7:$C$306,"&gt;="&amp;DATE($B$3,9,30),'Leave log'!$F$7:$F$306,"Pending")&gt;0,"P",""))))</f>
        <v/>
      </c>
      <c r="AF291" s="23" t="str">
        <f>IF(A291="","",IF(IF(OR(DATE($B$3,9,31)&gt;EOMONTH(DATE($B$3,9,1),0),NETWORKDAYS.INTL(DATE($B$3,9,31),DATE($B$3,9,31),1,'Non-working days'!$A$6:$A$45)=0),"",IF(COUNTIFS('Leave log'!$A$7:$A$306,Employees!$A$18,'Leave log'!$B$7:$B$306,"&lt;="&amp;DATE($B$3,9,31),'Leave log'!$C$7:$C$306,"&gt;="&amp;DATE($B$3,9,31),'Leave log'!$F$7:$F$306,"Approved")&gt;0,"A",""))="A","A",IF(OR(DATE($B$3,9,31)&gt;EOMONTH(DATE($B$3,9,1),0),NETWORKDAYS.INTL(DATE($B$3,9,31),DATE($B$3,9,31),1,'Non-working days'!$A$6:$A$45)=0),"",IF(COUNTIFS('Leave log'!$A$7:$A$306,Employees!$A$18,'Leave log'!$B$7:$B$306,"&lt;="&amp;DATE($B$3,9,31),'Leave log'!$C$7:$C$306,"&gt;="&amp;DATE($B$3,9,31),'Leave log'!$F$7:$F$306,"Pending")&gt;0,"P",""))))</f>
        <v/>
      </c>
    </row>
    <row r="292" spans="1:32" ht="18" customHeight="1" x14ac:dyDescent="0.3">
      <c r="A292" s="22" t="str">
        <f>IF(Employees!F19="Yes",Employees!B19,"")</f>
        <v/>
      </c>
      <c r="B292" s="23" t="str">
        <f>IF(A292="","",IF(IF(OR(DATE($B$3,9,1)&gt;EOMONTH(DATE($B$3,9,1),0),NETWORKDAYS.INTL(DATE($B$3,9,1),DATE($B$3,9,1),1,'Non-working days'!$A$6:$A$45)=0),"",IF(COUNTIFS('Leave log'!$A$7:$A$306,Employees!$A$19,'Leave log'!$B$7:$B$306,"&lt;="&amp;DATE($B$3,9,1),'Leave log'!$C$7:$C$306,"&gt;="&amp;DATE($B$3,9,1),'Leave log'!$F$7:$F$306,"Approved")&gt;0,"A",""))="A","A",IF(OR(DATE($B$3,9,1)&gt;EOMONTH(DATE($B$3,9,1),0),NETWORKDAYS.INTL(DATE($B$3,9,1),DATE($B$3,9,1),1,'Non-working days'!$A$6:$A$45)=0),"",IF(COUNTIFS('Leave log'!$A$7:$A$306,Employees!$A$19,'Leave log'!$B$7:$B$306,"&lt;="&amp;DATE($B$3,9,1),'Leave log'!$C$7:$C$306,"&gt;="&amp;DATE($B$3,9,1),'Leave log'!$F$7:$F$306,"Pending")&gt;0,"P",""))))</f>
        <v/>
      </c>
      <c r="C292" s="23" t="str">
        <f>IF(A292="","",IF(IF(OR(DATE($B$3,9,2)&gt;EOMONTH(DATE($B$3,9,1),0),NETWORKDAYS.INTL(DATE($B$3,9,2),DATE($B$3,9,2),1,'Non-working days'!$A$6:$A$45)=0),"",IF(COUNTIFS('Leave log'!$A$7:$A$306,Employees!$A$19,'Leave log'!$B$7:$B$306,"&lt;="&amp;DATE($B$3,9,2),'Leave log'!$C$7:$C$306,"&gt;="&amp;DATE($B$3,9,2),'Leave log'!$F$7:$F$306,"Approved")&gt;0,"A",""))="A","A",IF(OR(DATE($B$3,9,2)&gt;EOMONTH(DATE($B$3,9,1),0),NETWORKDAYS.INTL(DATE($B$3,9,2),DATE($B$3,9,2),1,'Non-working days'!$A$6:$A$45)=0),"",IF(COUNTIFS('Leave log'!$A$7:$A$306,Employees!$A$19,'Leave log'!$B$7:$B$306,"&lt;="&amp;DATE($B$3,9,2),'Leave log'!$C$7:$C$306,"&gt;="&amp;DATE($B$3,9,2),'Leave log'!$F$7:$F$306,"Pending")&gt;0,"P",""))))</f>
        <v/>
      </c>
      <c r="D292" s="23" t="str">
        <f>IF(A292="","",IF(IF(OR(DATE($B$3,9,3)&gt;EOMONTH(DATE($B$3,9,1),0),NETWORKDAYS.INTL(DATE($B$3,9,3),DATE($B$3,9,3),1,'Non-working days'!$A$6:$A$45)=0),"",IF(COUNTIFS('Leave log'!$A$7:$A$306,Employees!$A$19,'Leave log'!$B$7:$B$306,"&lt;="&amp;DATE($B$3,9,3),'Leave log'!$C$7:$C$306,"&gt;="&amp;DATE($B$3,9,3),'Leave log'!$F$7:$F$306,"Approved")&gt;0,"A",""))="A","A",IF(OR(DATE($B$3,9,3)&gt;EOMONTH(DATE($B$3,9,1),0),NETWORKDAYS.INTL(DATE($B$3,9,3),DATE($B$3,9,3),1,'Non-working days'!$A$6:$A$45)=0),"",IF(COUNTIFS('Leave log'!$A$7:$A$306,Employees!$A$19,'Leave log'!$B$7:$B$306,"&lt;="&amp;DATE($B$3,9,3),'Leave log'!$C$7:$C$306,"&gt;="&amp;DATE($B$3,9,3),'Leave log'!$F$7:$F$306,"Pending")&gt;0,"P",""))))</f>
        <v/>
      </c>
      <c r="E292" s="23" t="str">
        <f>IF(A292="","",IF(IF(OR(DATE($B$3,9,4)&gt;EOMONTH(DATE($B$3,9,1),0),NETWORKDAYS.INTL(DATE($B$3,9,4),DATE($B$3,9,4),1,'Non-working days'!$A$6:$A$45)=0),"",IF(COUNTIFS('Leave log'!$A$7:$A$306,Employees!$A$19,'Leave log'!$B$7:$B$306,"&lt;="&amp;DATE($B$3,9,4),'Leave log'!$C$7:$C$306,"&gt;="&amp;DATE($B$3,9,4),'Leave log'!$F$7:$F$306,"Approved")&gt;0,"A",""))="A","A",IF(OR(DATE($B$3,9,4)&gt;EOMONTH(DATE($B$3,9,1),0),NETWORKDAYS.INTL(DATE($B$3,9,4),DATE($B$3,9,4),1,'Non-working days'!$A$6:$A$45)=0),"",IF(COUNTIFS('Leave log'!$A$7:$A$306,Employees!$A$19,'Leave log'!$B$7:$B$306,"&lt;="&amp;DATE($B$3,9,4),'Leave log'!$C$7:$C$306,"&gt;="&amp;DATE($B$3,9,4),'Leave log'!$F$7:$F$306,"Pending")&gt;0,"P",""))))</f>
        <v/>
      </c>
      <c r="F292" s="23" t="str">
        <f>IF(A292="","",IF(IF(OR(DATE($B$3,9,5)&gt;EOMONTH(DATE($B$3,9,1),0),NETWORKDAYS.INTL(DATE($B$3,9,5),DATE($B$3,9,5),1,'Non-working days'!$A$6:$A$45)=0),"",IF(COUNTIFS('Leave log'!$A$7:$A$306,Employees!$A$19,'Leave log'!$B$7:$B$306,"&lt;="&amp;DATE($B$3,9,5),'Leave log'!$C$7:$C$306,"&gt;="&amp;DATE($B$3,9,5),'Leave log'!$F$7:$F$306,"Approved")&gt;0,"A",""))="A","A",IF(OR(DATE($B$3,9,5)&gt;EOMONTH(DATE($B$3,9,1),0),NETWORKDAYS.INTL(DATE($B$3,9,5),DATE($B$3,9,5),1,'Non-working days'!$A$6:$A$45)=0),"",IF(COUNTIFS('Leave log'!$A$7:$A$306,Employees!$A$19,'Leave log'!$B$7:$B$306,"&lt;="&amp;DATE($B$3,9,5),'Leave log'!$C$7:$C$306,"&gt;="&amp;DATE($B$3,9,5),'Leave log'!$F$7:$F$306,"Pending")&gt;0,"P",""))))</f>
        <v/>
      </c>
      <c r="G292" s="23" t="str">
        <f>IF(A292="","",IF(IF(OR(DATE($B$3,9,6)&gt;EOMONTH(DATE($B$3,9,1),0),NETWORKDAYS.INTL(DATE($B$3,9,6),DATE($B$3,9,6),1,'Non-working days'!$A$6:$A$45)=0),"",IF(COUNTIFS('Leave log'!$A$7:$A$306,Employees!$A$19,'Leave log'!$B$7:$B$306,"&lt;="&amp;DATE($B$3,9,6),'Leave log'!$C$7:$C$306,"&gt;="&amp;DATE($B$3,9,6),'Leave log'!$F$7:$F$306,"Approved")&gt;0,"A",""))="A","A",IF(OR(DATE($B$3,9,6)&gt;EOMONTH(DATE($B$3,9,1),0),NETWORKDAYS.INTL(DATE($B$3,9,6),DATE($B$3,9,6),1,'Non-working days'!$A$6:$A$45)=0),"",IF(COUNTIFS('Leave log'!$A$7:$A$306,Employees!$A$19,'Leave log'!$B$7:$B$306,"&lt;="&amp;DATE($B$3,9,6),'Leave log'!$C$7:$C$306,"&gt;="&amp;DATE($B$3,9,6),'Leave log'!$F$7:$F$306,"Pending")&gt;0,"P",""))))</f>
        <v/>
      </c>
      <c r="H292" s="23" t="str">
        <f>IF(A292="","",IF(IF(OR(DATE($B$3,9,7)&gt;EOMONTH(DATE($B$3,9,1),0),NETWORKDAYS.INTL(DATE($B$3,9,7),DATE($B$3,9,7),1,'Non-working days'!$A$6:$A$45)=0),"",IF(COUNTIFS('Leave log'!$A$7:$A$306,Employees!$A$19,'Leave log'!$B$7:$B$306,"&lt;="&amp;DATE($B$3,9,7),'Leave log'!$C$7:$C$306,"&gt;="&amp;DATE($B$3,9,7),'Leave log'!$F$7:$F$306,"Approved")&gt;0,"A",""))="A","A",IF(OR(DATE($B$3,9,7)&gt;EOMONTH(DATE($B$3,9,1),0),NETWORKDAYS.INTL(DATE($B$3,9,7),DATE($B$3,9,7),1,'Non-working days'!$A$6:$A$45)=0),"",IF(COUNTIFS('Leave log'!$A$7:$A$306,Employees!$A$19,'Leave log'!$B$7:$B$306,"&lt;="&amp;DATE($B$3,9,7),'Leave log'!$C$7:$C$306,"&gt;="&amp;DATE($B$3,9,7),'Leave log'!$F$7:$F$306,"Pending")&gt;0,"P",""))))</f>
        <v/>
      </c>
      <c r="I292" s="23" t="str">
        <f>IF(A292="","",IF(IF(OR(DATE($B$3,9,8)&gt;EOMONTH(DATE($B$3,9,1),0),NETWORKDAYS.INTL(DATE($B$3,9,8),DATE($B$3,9,8),1,'Non-working days'!$A$6:$A$45)=0),"",IF(COUNTIFS('Leave log'!$A$7:$A$306,Employees!$A$19,'Leave log'!$B$7:$B$306,"&lt;="&amp;DATE($B$3,9,8),'Leave log'!$C$7:$C$306,"&gt;="&amp;DATE($B$3,9,8),'Leave log'!$F$7:$F$306,"Approved")&gt;0,"A",""))="A","A",IF(OR(DATE($B$3,9,8)&gt;EOMONTH(DATE($B$3,9,1),0),NETWORKDAYS.INTL(DATE($B$3,9,8),DATE($B$3,9,8),1,'Non-working days'!$A$6:$A$45)=0),"",IF(COUNTIFS('Leave log'!$A$7:$A$306,Employees!$A$19,'Leave log'!$B$7:$B$306,"&lt;="&amp;DATE($B$3,9,8),'Leave log'!$C$7:$C$306,"&gt;="&amp;DATE($B$3,9,8),'Leave log'!$F$7:$F$306,"Pending")&gt;0,"P",""))))</f>
        <v/>
      </c>
      <c r="J292" s="23" t="str">
        <f>IF(A292="","",IF(IF(OR(DATE($B$3,9,9)&gt;EOMONTH(DATE($B$3,9,1),0),NETWORKDAYS.INTL(DATE($B$3,9,9),DATE($B$3,9,9),1,'Non-working days'!$A$6:$A$45)=0),"",IF(COUNTIFS('Leave log'!$A$7:$A$306,Employees!$A$19,'Leave log'!$B$7:$B$306,"&lt;="&amp;DATE($B$3,9,9),'Leave log'!$C$7:$C$306,"&gt;="&amp;DATE($B$3,9,9),'Leave log'!$F$7:$F$306,"Approved")&gt;0,"A",""))="A","A",IF(OR(DATE($B$3,9,9)&gt;EOMONTH(DATE($B$3,9,1),0),NETWORKDAYS.INTL(DATE($B$3,9,9),DATE($B$3,9,9),1,'Non-working days'!$A$6:$A$45)=0),"",IF(COUNTIFS('Leave log'!$A$7:$A$306,Employees!$A$19,'Leave log'!$B$7:$B$306,"&lt;="&amp;DATE($B$3,9,9),'Leave log'!$C$7:$C$306,"&gt;="&amp;DATE($B$3,9,9),'Leave log'!$F$7:$F$306,"Pending")&gt;0,"P",""))))</f>
        <v/>
      </c>
      <c r="K292" s="23" t="str">
        <f>IF(A292="","",IF(IF(OR(DATE($B$3,9,10)&gt;EOMONTH(DATE($B$3,9,1),0),NETWORKDAYS.INTL(DATE($B$3,9,10),DATE($B$3,9,10),1,'Non-working days'!$A$6:$A$45)=0),"",IF(COUNTIFS('Leave log'!$A$7:$A$306,Employees!$A$19,'Leave log'!$B$7:$B$306,"&lt;="&amp;DATE($B$3,9,10),'Leave log'!$C$7:$C$306,"&gt;="&amp;DATE($B$3,9,10),'Leave log'!$F$7:$F$306,"Approved")&gt;0,"A",""))="A","A",IF(OR(DATE($B$3,9,10)&gt;EOMONTH(DATE($B$3,9,1),0),NETWORKDAYS.INTL(DATE($B$3,9,10),DATE($B$3,9,10),1,'Non-working days'!$A$6:$A$45)=0),"",IF(COUNTIFS('Leave log'!$A$7:$A$306,Employees!$A$19,'Leave log'!$B$7:$B$306,"&lt;="&amp;DATE($B$3,9,10),'Leave log'!$C$7:$C$306,"&gt;="&amp;DATE($B$3,9,10),'Leave log'!$F$7:$F$306,"Pending")&gt;0,"P",""))))</f>
        <v/>
      </c>
      <c r="L292" s="23" t="str">
        <f>IF(A292="","",IF(IF(OR(DATE($B$3,9,11)&gt;EOMONTH(DATE($B$3,9,1),0),NETWORKDAYS.INTL(DATE($B$3,9,11),DATE($B$3,9,11),1,'Non-working days'!$A$6:$A$45)=0),"",IF(COUNTIFS('Leave log'!$A$7:$A$306,Employees!$A$19,'Leave log'!$B$7:$B$306,"&lt;="&amp;DATE($B$3,9,11),'Leave log'!$C$7:$C$306,"&gt;="&amp;DATE($B$3,9,11),'Leave log'!$F$7:$F$306,"Approved")&gt;0,"A",""))="A","A",IF(OR(DATE($B$3,9,11)&gt;EOMONTH(DATE($B$3,9,1),0),NETWORKDAYS.INTL(DATE($B$3,9,11),DATE($B$3,9,11),1,'Non-working days'!$A$6:$A$45)=0),"",IF(COUNTIFS('Leave log'!$A$7:$A$306,Employees!$A$19,'Leave log'!$B$7:$B$306,"&lt;="&amp;DATE($B$3,9,11),'Leave log'!$C$7:$C$306,"&gt;="&amp;DATE($B$3,9,11),'Leave log'!$F$7:$F$306,"Pending")&gt;0,"P",""))))</f>
        <v/>
      </c>
      <c r="M292" s="23" t="str">
        <f>IF(A292="","",IF(IF(OR(DATE($B$3,9,12)&gt;EOMONTH(DATE($B$3,9,1),0),NETWORKDAYS.INTL(DATE($B$3,9,12),DATE($B$3,9,12),1,'Non-working days'!$A$6:$A$45)=0),"",IF(COUNTIFS('Leave log'!$A$7:$A$306,Employees!$A$19,'Leave log'!$B$7:$B$306,"&lt;="&amp;DATE($B$3,9,12),'Leave log'!$C$7:$C$306,"&gt;="&amp;DATE($B$3,9,12),'Leave log'!$F$7:$F$306,"Approved")&gt;0,"A",""))="A","A",IF(OR(DATE($B$3,9,12)&gt;EOMONTH(DATE($B$3,9,1),0),NETWORKDAYS.INTL(DATE($B$3,9,12),DATE($B$3,9,12),1,'Non-working days'!$A$6:$A$45)=0),"",IF(COUNTIFS('Leave log'!$A$7:$A$306,Employees!$A$19,'Leave log'!$B$7:$B$306,"&lt;="&amp;DATE($B$3,9,12),'Leave log'!$C$7:$C$306,"&gt;="&amp;DATE($B$3,9,12),'Leave log'!$F$7:$F$306,"Pending")&gt;0,"P",""))))</f>
        <v/>
      </c>
      <c r="N292" s="23" t="str">
        <f>IF(A292="","",IF(IF(OR(DATE($B$3,9,13)&gt;EOMONTH(DATE($B$3,9,1),0),NETWORKDAYS.INTL(DATE($B$3,9,13),DATE($B$3,9,13),1,'Non-working days'!$A$6:$A$45)=0),"",IF(COUNTIFS('Leave log'!$A$7:$A$306,Employees!$A$19,'Leave log'!$B$7:$B$306,"&lt;="&amp;DATE($B$3,9,13),'Leave log'!$C$7:$C$306,"&gt;="&amp;DATE($B$3,9,13),'Leave log'!$F$7:$F$306,"Approved")&gt;0,"A",""))="A","A",IF(OR(DATE($B$3,9,13)&gt;EOMONTH(DATE($B$3,9,1),0),NETWORKDAYS.INTL(DATE($B$3,9,13),DATE($B$3,9,13),1,'Non-working days'!$A$6:$A$45)=0),"",IF(COUNTIFS('Leave log'!$A$7:$A$306,Employees!$A$19,'Leave log'!$B$7:$B$306,"&lt;="&amp;DATE($B$3,9,13),'Leave log'!$C$7:$C$306,"&gt;="&amp;DATE($B$3,9,13),'Leave log'!$F$7:$F$306,"Pending")&gt;0,"P",""))))</f>
        <v/>
      </c>
      <c r="O292" s="23" t="str">
        <f>IF(A292="","",IF(IF(OR(DATE($B$3,9,14)&gt;EOMONTH(DATE($B$3,9,1),0),NETWORKDAYS.INTL(DATE($B$3,9,14),DATE($B$3,9,14),1,'Non-working days'!$A$6:$A$45)=0),"",IF(COUNTIFS('Leave log'!$A$7:$A$306,Employees!$A$19,'Leave log'!$B$7:$B$306,"&lt;="&amp;DATE($B$3,9,14),'Leave log'!$C$7:$C$306,"&gt;="&amp;DATE($B$3,9,14),'Leave log'!$F$7:$F$306,"Approved")&gt;0,"A",""))="A","A",IF(OR(DATE($B$3,9,14)&gt;EOMONTH(DATE($B$3,9,1),0),NETWORKDAYS.INTL(DATE($B$3,9,14),DATE($B$3,9,14),1,'Non-working days'!$A$6:$A$45)=0),"",IF(COUNTIFS('Leave log'!$A$7:$A$306,Employees!$A$19,'Leave log'!$B$7:$B$306,"&lt;="&amp;DATE($B$3,9,14),'Leave log'!$C$7:$C$306,"&gt;="&amp;DATE($B$3,9,14),'Leave log'!$F$7:$F$306,"Pending")&gt;0,"P",""))))</f>
        <v/>
      </c>
      <c r="P292" s="23" t="str">
        <f>IF(A292="","",IF(IF(OR(DATE($B$3,9,15)&gt;EOMONTH(DATE($B$3,9,1),0),NETWORKDAYS.INTL(DATE($B$3,9,15),DATE($B$3,9,15),1,'Non-working days'!$A$6:$A$45)=0),"",IF(COUNTIFS('Leave log'!$A$7:$A$306,Employees!$A$19,'Leave log'!$B$7:$B$306,"&lt;="&amp;DATE($B$3,9,15),'Leave log'!$C$7:$C$306,"&gt;="&amp;DATE($B$3,9,15),'Leave log'!$F$7:$F$306,"Approved")&gt;0,"A",""))="A","A",IF(OR(DATE($B$3,9,15)&gt;EOMONTH(DATE($B$3,9,1),0),NETWORKDAYS.INTL(DATE($B$3,9,15),DATE($B$3,9,15),1,'Non-working days'!$A$6:$A$45)=0),"",IF(COUNTIFS('Leave log'!$A$7:$A$306,Employees!$A$19,'Leave log'!$B$7:$B$306,"&lt;="&amp;DATE($B$3,9,15),'Leave log'!$C$7:$C$306,"&gt;="&amp;DATE($B$3,9,15),'Leave log'!$F$7:$F$306,"Pending")&gt;0,"P",""))))</f>
        <v/>
      </c>
      <c r="Q292" s="23" t="str">
        <f>IF(A292="","",IF(IF(OR(DATE($B$3,9,16)&gt;EOMONTH(DATE($B$3,9,1),0),NETWORKDAYS.INTL(DATE($B$3,9,16),DATE($B$3,9,16),1,'Non-working days'!$A$6:$A$45)=0),"",IF(COUNTIFS('Leave log'!$A$7:$A$306,Employees!$A$19,'Leave log'!$B$7:$B$306,"&lt;="&amp;DATE($B$3,9,16),'Leave log'!$C$7:$C$306,"&gt;="&amp;DATE($B$3,9,16),'Leave log'!$F$7:$F$306,"Approved")&gt;0,"A",""))="A","A",IF(OR(DATE($B$3,9,16)&gt;EOMONTH(DATE($B$3,9,1),0),NETWORKDAYS.INTL(DATE($B$3,9,16),DATE($B$3,9,16),1,'Non-working days'!$A$6:$A$45)=0),"",IF(COUNTIFS('Leave log'!$A$7:$A$306,Employees!$A$19,'Leave log'!$B$7:$B$306,"&lt;="&amp;DATE($B$3,9,16),'Leave log'!$C$7:$C$306,"&gt;="&amp;DATE($B$3,9,16),'Leave log'!$F$7:$F$306,"Pending")&gt;0,"P",""))))</f>
        <v/>
      </c>
      <c r="R292" s="23" t="str">
        <f>IF(A292="","",IF(IF(OR(DATE($B$3,9,17)&gt;EOMONTH(DATE($B$3,9,1),0),NETWORKDAYS.INTL(DATE($B$3,9,17),DATE($B$3,9,17),1,'Non-working days'!$A$6:$A$45)=0),"",IF(COUNTIFS('Leave log'!$A$7:$A$306,Employees!$A$19,'Leave log'!$B$7:$B$306,"&lt;="&amp;DATE($B$3,9,17),'Leave log'!$C$7:$C$306,"&gt;="&amp;DATE($B$3,9,17),'Leave log'!$F$7:$F$306,"Approved")&gt;0,"A",""))="A","A",IF(OR(DATE($B$3,9,17)&gt;EOMONTH(DATE($B$3,9,1),0),NETWORKDAYS.INTL(DATE($B$3,9,17),DATE($B$3,9,17),1,'Non-working days'!$A$6:$A$45)=0),"",IF(COUNTIFS('Leave log'!$A$7:$A$306,Employees!$A$19,'Leave log'!$B$7:$B$306,"&lt;="&amp;DATE($B$3,9,17),'Leave log'!$C$7:$C$306,"&gt;="&amp;DATE($B$3,9,17),'Leave log'!$F$7:$F$306,"Pending")&gt;0,"P",""))))</f>
        <v/>
      </c>
      <c r="S292" s="23" t="str">
        <f>IF(A292="","",IF(IF(OR(DATE($B$3,9,18)&gt;EOMONTH(DATE($B$3,9,1),0),NETWORKDAYS.INTL(DATE($B$3,9,18),DATE($B$3,9,18),1,'Non-working days'!$A$6:$A$45)=0),"",IF(COUNTIFS('Leave log'!$A$7:$A$306,Employees!$A$19,'Leave log'!$B$7:$B$306,"&lt;="&amp;DATE($B$3,9,18),'Leave log'!$C$7:$C$306,"&gt;="&amp;DATE($B$3,9,18),'Leave log'!$F$7:$F$306,"Approved")&gt;0,"A",""))="A","A",IF(OR(DATE($B$3,9,18)&gt;EOMONTH(DATE($B$3,9,1),0),NETWORKDAYS.INTL(DATE($B$3,9,18),DATE($B$3,9,18),1,'Non-working days'!$A$6:$A$45)=0),"",IF(COUNTIFS('Leave log'!$A$7:$A$306,Employees!$A$19,'Leave log'!$B$7:$B$306,"&lt;="&amp;DATE($B$3,9,18),'Leave log'!$C$7:$C$306,"&gt;="&amp;DATE($B$3,9,18),'Leave log'!$F$7:$F$306,"Pending")&gt;0,"P",""))))</f>
        <v/>
      </c>
      <c r="T292" s="23" t="str">
        <f>IF(A292="","",IF(IF(OR(DATE($B$3,9,19)&gt;EOMONTH(DATE($B$3,9,1),0),NETWORKDAYS.INTL(DATE($B$3,9,19),DATE($B$3,9,19),1,'Non-working days'!$A$6:$A$45)=0),"",IF(COUNTIFS('Leave log'!$A$7:$A$306,Employees!$A$19,'Leave log'!$B$7:$B$306,"&lt;="&amp;DATE($B$3,9,19),'Leave log'!$C$7:$C$306,"&gt;="&amp;DATE($B$3,9,19),'Leave log'!$F$7:$F$306,"Approved")&gt;0,"A",""))="A","A",IF(OR(DATE($B$3,9,19)&gt;EOMONTH(DATE($B$3,9,1),0),NETWORKDAYS.INTL(DATE($B$3,9,19),DATE($B$3,9,19),1,'Non-working days'!$A$6:$A$45)=0),"",IF(COUNTIFS('Leave log'!$A$7:$A$306,Employees!$A$19,'Leave log'!$B$7:$B$306,"&lt;="&amp;DATE($B$3,9,19),'Leave log'!$C$7:$C$306,"&gt;="&amp;DATE($B$3,9,19),'Leave log'!$F$7:$F$306,"Pending")&gt;0,"P",""))))</f>
        <v/>
      </c>
      <c r="U292" s="23" t="str">
        <f>IF(A292="","",IF(IF(OR(DATE($B$3,9,20)&gt;EOMONTH(DATE($B$3,9,1),0),NETWORKDAYS.INTL(DATE($B$3,9,20),DATE($B$3,9,20),1,'Non-working days'!$A$6:$A$45)=0),"",IF(COUNTIFS('Leave log'!$A$7:$A$306,Employees!$A$19,'Leave log'!$B$7:$B$306,"&lt;="&amp;DATE($B$3,9,20),'Leave log'!$C$7:$C$306,"&gt;="&amp;DATE($B$3,9,20),'Leave log'!$F$7:$F$306,"Approved")&gt;0,"A",""))="A","A",IF(OR(DATE($B$3,9,20)&gt;EOMONTH(DATE($B$3,9,1),0),NETWORKDAYS.INTL(DATE($B$3,9,20),DATE($B$3,9,20),1,'Non-working days'!$A$6:$A$45)=0),"",IF(COUNTIFS('Leave log'!$A$7:$A$306,Employees!$A$19,'Leave log'!$B$7:$B$306,"&lt;="&amp;DATE($B$3,9,20),'Leave log'!$C$7:$C$306,"&gt;="&amp;DATE($B$3,9,20),'Leave log'!$F$7:$F$306,"Pending")&gt;0,"P",""))))</f>
        <v/>
      </c>
      <c r="V292" s="23" t="str">
        <f>IF(A292="","",IF(IF(OR(DATE($B$3,9,21)&gt;EOMONTH(DATE($B$3,9,1),0),NETWORKDAYS.INTL(DATE($B$3,9,21),DATE($B$3,9,21),1,'Non-working days'!$A$6:$A$45)=0),"",IF(COUNTIFS('Leave log'!$A$7:$A$306,Employees!$A$19,'Leave log'!$B$7:$B$306,"&lt;="&amp;DATE($B$3,9,21),'Leave log'!$C$7:$C$306,"&gt;="&amp;DATE($B$3,9,21),'Leave log'!$F$7:$F$306,"Approved")&gt;0,"A",""))="A","A",IF(OR(DATE($B$3,9,21)&gt;EOMONTH(DATE($B$3,9,1),0),NETWORKDAYS.INTL(DATE($B$3,9,21),DATE($B$3,9,21),1,'Non-working days'!$A$6:$A$45)=0),"",IF(COUNTIFS('Leave log'!$A$7:$A$306,Employees!$A$19,'Leave log'!$B$7:$B$306,"&lt;="&amp;DATE($B$3,9,21),'Leave log'!$C$7:$C$306,"&gt;="&amp;DATE($B$3,9,21),'Leave log'!$F$7:$F$306,"Pending")&gt;0,"P",""))))</f>
        <v/>
      </c>
      <c r="W292" s="23" t="str">
        <f>IF(A292="","",IF(IF(OR(DATE($B$3,9,22)&gt;EOMONTH(DATE($B$3,9,1),0),NETWORKDAYS.INTL(DATE($B$3,9,22),DATE($B$3,9,22),1,'Non-working days'!$A$6:$A$45)=0),"",IF(COUNTIFS('Leave log'!$A$7:$A$306,Employees!$A$19,'Leave log'!$B$7:$B$306,"&lt;="&amp;DATE($B$3,9,22),'Leave log'!$C$7:$C$306,"&gt;="&amp;DATE($B$3,9,22),'Leave log'!$F$7:$F$306,"Approved")&gt;0,"A",""))="A","A",IF(OR(DATE($B$3,9,22)&gt;EOMONTH(DATE($B$3,9,1),0),NETWORKDAYS.INTL(DATE($B$3,9,22),DATE($B$3,9,22),1,'Non-working days'!$A$6:$A$45)=0),"",IF(COUNTIFS('Leave log'!$A$7:$A$306,Employees!$A$19,'Leave log'!$B$7:$B$306,"&lt;="&amp;DATE($B$3,9,22),'Leave log'!$C$7:$C$306,"&gt;="&amp;DATE($B$3,9,22),'Leave log'!$F$7:$F$306,"Pending")&gt;0,"P",""))))</f>
        <v/>
      </c>
      <c r="X292" s="23" t="str">
        <f>IF(A292="","",IF(IF(OR(DATE($B$3,9,23)&gt;EOMONTH(DATE($B$3,9,1),0),NETWORKDAYS.INTL(DATE($B$3,9,23),DATE($B$3,9,23),1,'Non-working days'!$A$6:$A$45)=0),"",IF(COUNTIFS('Leave log'!$A$7:$A$306,Employees!$A$19,'Leave log'!$B$7:$B$306,"&lt;="&amp;DATE($B$3,9,23),'Leave log'!$C$7:$C$306,"&gt;="&amp;DATE($B$3,9,23),'Leave log'!$F$7:$F$306,"Approved")&gt;0,"A",""))="A","A",IF(OR(DATE($B$3,9,23)&gt;EOMONTH(DATE($B$3,9,1),0),NETWORKDAYS.INTL(DATE($B$3,9,23),DATE($B$3,9,23),1,'Non-working days'!$A$6:$A$45)=0),"",IF(COUNTIFS('Leave log'!$A$7:$A$306,Employees!$A$19,'Leave log'!$B$7:$B$306,"&lt;="&amp;DATE($B$3,9,23),'Leave log'!$C$7:$C$306,"&gt;="&amp;DATE($B$3,9,23),'Leave log'!$F$7:$F$306,"Pending")&gt;0,"P",""))))</f>
        <v/>
      </c>
      <c r="Y292" s="23" t="str">
        <f>IF(A292="","",IF(IF(OR(DATE($B$3,9,24)&gt;EOMONTH(DATE($B$3,9,1),0),NETWORKDAYS.INTL(DATE($B$3,9,24),DATE($B$3,9,24),1,'Non-working days'!$A$6:$A$45)=0),"",IF(COUNTIFS('Leave log'!$A$7:$A$306,Employees!$A$19,'Leave log'!$B$7:$B$306,"&lt;="&amp;DATE($B$3,9,24),'Leave log'!$C$7:$C$306,"&gt;="&amp;DATE($B$3,9,24),'Leave log'!$F$7:$F$306,"Approved")&gt;0,"A",""))="A","A",IF(OR(DATE($B$3,9,24)&gt;EOMONTH(DATE($B$3,9,1),0),NETWORKDAYS.INTL(DATE($B$3,9,24),DATE($B$3,9,24),1,'Non-working days'!$A$6:$A$45)=0),"",IF(COUNTIFS('Leave log'!$A$7:$A$306,Employees!$A$19,'Leave log'!$B$7:$B$306,"&lt;="&amp;DATE($B$3,9,24),'Leave log'!$C$7:$C$306,"&gt;="&amp;DATE($B$3,9,24),'Leave log'!$F$7:$F$306,"Pending")&gt;0,"P",""))))</f>
        <v/>
      </c>
      <c r="Z292" s="23" t="str">
        <f>IF(A292="","",IF(IF(OR(DATE($B$3,9,25)&gt;EOMONTH(DATE($B$3,9,1),0),NETWORKDAYS.INTL(DATE($B$3,9,25),DATE($B$3,9,25),1,'Non-working days'!$A$6:$A$45)=0),"",IF(COUNTIFS('Leave log'!$A$7:$A$306,Employees!$A$19,'Leave log'!$B$7:$B$306,"&lt;="&amp;DATE($B$3,9,25),'Leave log'!$C$7:$C$306,"&gt;="&amp;DATE($B$3,9,25),'Leave log'!$F$7:$F$306,"Approved")&gt;0,"A",""))="A","A",IF(OR(DATE($B$3,9,25)&gt;EOMONTH(DATE($B$3,9,1),0),NETWORKDAYS.INTL(DATE($B$3,9,25),DATE($B$3,9,25),1,'Non-working days'!$A$6:$A$45)=0),"",IF(COUNTIFS('Leave log'!$A$7:$A$306,Employees!$A$19,'Leave log'!$B$7:$B$306,"&lt;="&amp;DATE($B$3,9,25),'Leave log'!$C$7:$C$306,"&gt;="&amp;DATE($B$3,9,25),'Leave log'!$F$7:$F$306,"Pending")&gt;0,"P",""))))</f>
        <v/>
      </c>
      <c r="AA292" s="23" t="str">
        <f>IF(A292="","",IF(IF(OR(DATE($B$3,9,26)&gt;EOMONTH(DATE($B$3,9,1),0),NETWORKDAYS.INTL(DATE($B$3,9,26),DATE($B$3,9,26),1,'Non-working days'!$A$6:$A$45)=0),"",IF(COUNTIFS('Leave log'!$A$7:$A$306,Employees!$A$19,'Leave log'!$B$7:$B$306,"&lt;="&amp;DATE($B$3,9,26),'Leave log'!$C$7:$C$306,"&gt;="&amp;DATE($B$3,9,26),'Leave log'!$F$7:$F$306,"Approved")&gt;0,"A",""))="A","A",IF(OR(DATE($B$3,9,26)&gt;EOMONTH(DATE($B$3,9,1),0),NETWORKDAYS.INTL(DATE($B$3,9,26),DATE($B$3,9,26),1,'Non-working days'!$A$6:$A$45)=0),"",IF(COUNTIFS('Leave log'!$A$7:$A$306,Employees!$A$19,'Leave log'!$B$7:$B$306,"&lt;="&amp;DATE($B$3,9,26),'Leave log'!$C$7:$C$306,"&gt;="&amp;DATE($B$3,9,26),'Leave log'!$F$7:$F$306,"Pending")&gt;0,"P",""))))</f>
        <v/>
      </c>
      <c r="AB292" s="23" t="str">
        <f>IF(A292="","",IF(IF(OR(DATE($B$3,9,27)&gt;EOMONTH(DATE($B$3,9,1),0),NETWORKDAYS.INTL(DATE($B$3,9,27),DATE($B$3,9,27),1,'Non-working days'!$A$6:$A$45)=0),"",IF(COUNTIFS('Leave log'!$A$7:$A$306,Employees!$A$19,'Leave log'!$B$7:$B$306,"&lt;="&amp;DATE($B$3,9,27),'Leave log'!$C$7:$C$306,"&gt;="&amp;DATE($B$3,9,27),'Leave log'!$F$7:$F$306,"Approved")&gt;0,"A",""))="A","A",IF(OR(DATE($B$3,9,27)&gt;EOMONTH(DATE($B$3,9,1),0),NETWORKDAYS.INTL(DATE($B$3,9,27),DATE($B$3,9,27),1,'Non-working days'!$A$6:$A$45)=0),"",IF(COUNTIFS('Leave log'!$A$7:$A$306,Employees!$A$19,'Leave log'!$B$7:$B$306,"&lt;="&amp;DATE($B$3,9,27),'Leave log'!$C$7:$C$306,"&gt;="&amp;DATE($B$3,9,27),'Leave log'!$F$7:$F$306,"Pending")&gt;0,"P",""))))</f>
        <v/>
      </c>
      <c r="AC292" s="23" t="str">
        <f>IF(A292="","",IF(IF(OR(DATE($B$3,9,28)&gt;EOMONTH(DATE($B$3,9,1),0),NETWORKDAYS.INTL(DATE($B$3,9,28),DATE($B$3,9,28),1,'Non-working days'!$A$6:$A$45)=0),"",IF(COUNTIFS('Leave log'!$A$7:$A$306,Employees!$A$19,'Leave log'!$B$7:$B$306,"&lt;="&amp;DATE($B$3,9,28),'Leave log'!$C$7:$C$306,"&gt;="&amp;DATE($B$3,9,28),'Leave log'!$F$7:$F$306,"Approved")&gt;0,"A",""))="A","A",IF(OR(DATE($B$3,9,28)&gt;EOMONTH(DATE($B$3,9,1),0),NETWORKDAYS.INTL(DATE($B$3,9,28),DATE($B$3,9,28),1,'Non-working days'!$A$6:$A$45)=0),"",IF(COUNTIFS('Leave log'!$A$7:$A$306,Employees!$A$19,'Leave log'!$B$7:$B$306,"&lt;="&amp;DATE($B$3,9,28),'Leave log'!$C$7:$C$306,"&gt;="&amp;DATE($B$3,9,28),'Leave log'!$F$7:$F$306,"Pending")&gt;0,"P",""))))</f>
        <v/>
      </c>
      <c r="AD292" s="23" t="str">
        <f>IF(A292="","",IF(IF(OR(DATE($B$3,9,29)&gt;EOMONTH(DATE($B$3,9,1),0),NETWORKDAYS.INTL(DATE($B$3,9,29),DATE($B$3,9,29),1,'Non-working days'!$A$6:$A$45)=0),"",IF(COUNTIFS('Leave log'!$A$7:$A$306,Employees!$A$19,'Leave log'!$B$7:$B$306,"&lt;="&amp;DATE($B$3,9,29),'Leave log'!$C$7:$C$306,"&gt;="&amp;DATE($B$3,9,29),'Leave log'!$F$7:$F$306,"Approved")&gt;0,"A",""))="A","A",IF(OR(DATE($B$3,9,29)&gt;EOMONTH(DATE($B$3,9,1),0),NETWORKDAYS.INTL(DATE($B$3,9,29),DATE($B$3,9,29),1,'Non-working days'!$A$6:$A$45)=0),"",IF(COUNTIFS('Leave log'!$A$7:$A$306,Employees!$A$19,'Leave log'!$B$7:$B$306,"&lt;="&amp;DATE($B$3,9,29),'Leave log'!$C$7:$C$306,"&gt;="&amp;DATE($B$3,9,29),'Leave log'!$F$7:$F$306,"Pending")&gt;0,"P",""))))</f>
        <v/>
      </c>
      <c r="AE292" s="23" t="str">
        <f>IF(A292="","",IF(IF(OR(DATE($B$3,9,30)&gt;EOMONTH(DATE($B$3,9,1),0),NETWORKDAYS.INTL(DATE($B$3,9,30),DATE($B$3,9,30),1,'Non-working days'!$A$6:$A$45)=0),"",IF(COUNTIFS('Leave log'!$A$7:$A$306,Employees!$A$19,'Leave log'!$B$7:$B$306,"&lt;="&amp;DATE($B$3,9,30),'Leave log'!$C$7:$C$306,"&gt;="&amp;DATE($B$3,9,30),'Leave log'!$F$7:$F$306,"Approved")&gt;0,"A",""))="A","A",IF(OR(DATE($B$3,9,30)&gt;EOMONTH(DATE($B$3,9,1),0),NETWORKDAYS.INTL(DATE($B$3,9,30),DATE($B$3,9,30),1,'Non-working days'!$A$6:$A$45)=0),"",IF(COUNTIFS('Leave log'!$A$7:$A$306,Employees!$A$19,'Leave log'!$B$7:$B$306,"&lt;="&amp;DATE($B$3,9,30),'Leave log'!$C$7:$C$306,"&gt;="&amp;DATE($B$3,9,30),'Leave log'!$F$7:$F$306,"Pending")&gt;0,"P",""))))</f>
        <v/>
      </c>
      <c r="AF292" s="23" t="str">
        <f>IF(A292="","",IF(IF(OR(DATE($B$3,9,31)&gt;EOMONTH(DATE($B$3,9,1),0),NETWORKDAYS.INTL(DATE($B$3,9,31),DATE($B$3,9,31),1,'Non-working days'!$A$6:$A$45)=0),"",IF(COUNTIFS('Leave log'!$A$7:$A$306,Employees!$A$19,'Leave log'!$B$7:$B$306,"&lt;="&amp;DATE($B$3,9,31),'Leave log'!$C$7:$C$306,"&gt;="&amp;DATE($B$3,9,31),'Leave log'!$F$7:$F$306,"Approved")&gt;0,"A",""))="A","A",IF(OR(DATE($B$3,9,31)&gt;EOMONTH(DATE($B$3,9,1),0),NETWORKDAYS.INTL(DATE($B$3,9,31),DATE($B$3,9,31),1,'Non-working days'!$A$6:$A$45)=0),"",IF(COUNTIFS('Leave log'!$A$7:$A$306,Employees!$A$19,'Leave log'!$B$7:$B$306,"&lt;="&amp;DATE($B$3,9,31),'Leave log'!$C$7:$C$306,"&gt;="&amp;DATE($B$3,9,31),'Leave log'!$F$7:$F$306,"Pending")&gt;0,"P",""))))</f>
        <v/>
      </c>
    </row>
    <row r="293" spans="1:32" ht="18" customHeight="1" x14ac:dyDescent="0.3">
      <c r="A293" s="22" t="str">
        <f>IF(Employees!F20="Yes",Employees!B20,"")</f>
        <v/>
      </c>
      <c r="B293" s="23" t="str">
        <f>IF(A293="","",IF(IF(OR(DATE($B$3,9,1)&gt;EOMONTH(DATE($B$3,9,1),0),NETWORKDAYS.INTL(DATE($B$3,9,1),DATE($B$3,9,1),1,'Non-working days'!$A$6:$A$45)=0),"",IF(COUNTIFS('Leave log'!$A$7:$A$306,Employees!$A$20,'Leave log'!$B$7:$B$306,"&lt;="&amp;DATE($B$3,9,1),'Leave log'!$C$7:$C$306,"&gt;="&amp;DATE($B$3,9,1),'Leave log'!$F$7:$F$306,"Approved")&gt;0,"A",""))="A","A",IF(OR(DATE($B$3,9,1)&gt;EOMONTH(DATE($B$3,9,1),0),NETWORKDAYS.INTL(DATE($B$3,9,1),DATE($B$3,9,1),1,'Non-working days'!$A$6:$A$45)=0),"",IF(COUNTIFS('Leave log'!$A$7:$A$306,Employees!$A$20,'Leave log'!$B$7:$B$306,"&lt;="&amp;DATE($B$3,9,1),'Leave log'!$C$7:$C$306,"&gt;="&amp;DATE($B$3,9,1),'Leave log'!$F$7:$F$306,"Pending")&gt;0,"P",""))))</f>
        <v/>
      </c>
      <c r="C293" s="23" t="str">
        <f>IF(A293="","",IF(IF(OR(DATE($B$3,9,2)&gt;EOMONTH(DATE($B$3,9,1),0),NETWORKDAYS.INTL(DATE($B$3,9,2),DATE($B$3,9,2),1,'Non-working days'!$A$6:$A$45)=0),"",IF(COUNTIFS('Leave log'!$A$7:$A$306,Employees!$A$20,'Leave log'!$B$7:$B$306,"&lt;="&amp;DATE($B$3,9,2),'Leave log'!$C$7:$C$306,"&gt;="&amp;DATE($B$3,9,2),'Leave log'!$F$7:$F$306,"Approved")&gt;0,"A",""))="A","A",IF(OR(DATE($B$3,9,2)&gt;EOMONTH(DATE($B$3,9,1),0),NETWORKDAYS.INTL(DATE($B$3,9,2),DATE($B$3,9,2),1,'Non-working days'!$A$6:$A$45)=0),"",IF(COUNTIFS('Leave log'!$A$7:$A$306,Employees!$A$20,'Leave log'!$B$7:$B$306,"&lt;="&amp;DATE($B$3,9,2),'Leave log'!$C$7:$C$306,"&gt;="&amp;DATE($B$3,9,2),'Leave log'!$F$7:$F$306,"Pending")&gt;0,"P",""))))</f>
        <v/>
      </c>
      <c r="D293" s="23" t="str">
        <f>IF(A293="","",IF(IF(OR(DATE($B$3,9,3)&gt;EOMONTH(DATE($B$3,9,1),0),NETWORKDAYS.INTL(DATE($B$3,9,3),DATE($B$3,9,3),1,'Non-working days'!$A$6:$A$45)=0),"",IF(COUNTIFS('Leave log'!$A$7:$A$306,Employees!$A$20,'Leave log'!$B$7:$B$306,"&lt;="&amp;DATE($B$3,9,3),'Leave log'!$C$7:$C$306,"&gt;="&amp;DATE($B$3,9,3),'Leave log'!$F$7:$F$306,"Approved")&gt;0,"A",""))="A","A",IF(OR(DATE($B$3,9,3)&gt;EOMONTH(DATE($B$3,9,1),0),NETWORKDAYS.INTL(DATE($B$3,9,3),DATE($B$3,9,3),1,'Non-working days'!$A$6:$A$45)=0),"",IF(COUNTIFS('Leave log'!$A$7:$A$306,Employees!$A$20,'Leave log'!$B$7:$B$306,"&lt;="&amp;DATE($B$3,9,3),'Leave log'!$C$7:$C$306,"&gt;="&amp;DATE($B$3,9,3),'Leave log'!$F$7:$F$306,"Pending")&gt;0,"P",""))))</f>
        <v/>
      </c>
      <c r="E293" s="23" t="str">
        <f>IF(A293="","",IF(IF(OR(DATE($B$3,9,4)&gt;EOMONTH(DATE($B$3,9,1),0),NETWORKDAYS.INTL(DATE($B$3,9,4),DATE($B$3,9,4),1,'Non-working days'!$A$6:$A$45)=0),"",IF(COUNTIFS('Leave log'!$A$7:$A$306,Employees!$A$20,'Leave log'!$B$7:$B$306,"&lt;="&amp;DATE($B$3,9,4),'Leave log'!$C$7:$C$306,"&gt;="&amp;DATE($B$3,9,4),'Leave log'!$F$7:$F$306,"Approved")&gt;0,"A",""))="A","A",IF(OR(DATE($B$3,9,4)&gt;EOMONTH(DATE($B$3,9,1),0),NETWORKDAYS.INTL(DATE($B$3,9,4),DATE($B$3,9,4),1,'Non-working days'!$A$6:$A$45)=0),"",IF(COUNTIFS('Leave log'!$A$7:$A$306,Employees!$A$20,'Leave log'!$B$7:$B$306,"&lt;="&amp;DATE($B$3,9,4),'Leave log'!$C$7:$C$306,"&gt;="&amp;DATE($B$3,9,4),'Leave log'!$F$7:$F$306,"Pending")&gt;0,"P",""))))</f>
        <v/>
      </c>
      <c r="F293" s="23" t="str">
        <f>IF(A293="","",IF(IF(OR(DATE($B$3,9,5)&gt;EOMONTH(DATE($B$3,9,1),0),NETWORKDAYS.INTL(DATE($B$3,9,5),DATE($B$3,9,5),1,'Non-working days'!$A$6:$A$45)=0),"",IF(COUNTIFS('Leave log'!$A$7:$A$306,Employees!$A$20,'Leave log'!$B$7:$B$306,"&lt;="&amp;DATE($B$3,9,5),'Leave log'!$C$7:$C$306,"&gt;="&amp;DATE($B$3,9,5),'Leave log'!$F$7:$F$306,"Approved")&gt;0,"A",""))="A","A",IF(OR(DATE($B$3,9,5)&gt;EOMONTH(DATE($B$3,9,1),0),NETWORKDAYS.INTL(DATE($B$3,9,5),DATE($B$3,9,5),1,'Non-working days'!$A$6:$A$45)=0),"",IF(COUNTIFS('Leave log'!$A$7:$A$306,Employees!$A$20,'Leave log'!$B$7:$B$306,"&lt;="&amp;DATE($B$3,9,5),'Leave log'!$C$7:$C$306,"&gt;="&amp;DATE($B$3,9,5),'Leave log'!$F$7:$F$306,"Pending")&gt;0,"P",""))))</f>
        <v/>
      </c>
      <c r="G293" s="23" t="str">
        <f>IF(A293="","",IF(IF(OR(DATE($B$3,9,6)&gt;EOMONTH(DATE($B$3,9,1),0),NETWORKDAYS.INTL(DATE($B$3,9,6),DATE($B$3,9,6),1,'Non-working days'!$A$6:$A$45)=0),"",IF(COUNTIFS('Leave log'!$A$7:$A$306,Employees!$A$20,'Leave log'!$B$7:$B$306,"&lt;="&amp;DATE($B$3,9,6),'Leave log'!$C$7:$C$306,"&gt;="&amp;DATE($B$3,9,6),'Leave log'!$F$7:$F$306,"Approved")&gt;0,"A",""))="A","A",IF(OR(DATE($B$3,9,6)&gt;EOMONTH(DATE($B$3,9,1),0),NETWORKDAYS.INTL(DATE($B$3,9,6),DATE($B$3,9,6),1,'Non-working days'!$A$6:$A$45)=0),"",IF(COUNTIFS('Leave log'!$A$7:$A$306,Employees!$A$20,'Leave log'!$B$7:$B$306,"&lt;="&amp;DATE($B$3,9,6),'Leave log'!$C$7:$C$306,"&gt;="&amp;DATE($B$3,9,6),'Leave log'!$F$7:$F$306,"Pending")&gt;0,"P",""))))</f>
        <v/>
      </c>
      <c r="H293" s="23" t="str">
        <f>IF(A293="","",IF(IF(OR(DATE($B$3,9,7)&gt;EOMONTH(DATE($B$3,9,1),0),NETWORKDAYS.INTL(DATE($B$3,9,7),DATE($B$3,9,7),1,'Non-working days'!$A$6:$A$45)=0),"",IF(COUNTIFS('Leave log'!$A$7:$A$306,Employees!$A$20,'Leave log'!$B$7:$B$306,"&lt;="&amp;DATE($B$3,9,7),'Leave log'!$C$7:$C$306,"&gt;="&amp;DATE($B$3,9,7),'Leave log'!$F$7:$F$306,"Approved")&gt;0,"A",""))="A","A",IF(OR(DATE($B$3,9,7)&gt;EOMONTH(DATE($B$3,9,1),0),NETWORKDAYS.INTL(DATE($B$3,9,7),DATE($B$3,9,7),1,'Non-working days'!$A$6:$A$45)=0),"",IF(COUNTIFS('Leave log'!$A$7:$A$306,Employees!$A$20,'Leave log'!$B$7:$B$306,"&lt;="&amp;DATE($B$3,9,7),'Leave log'!$C$7:$C$306,"&gt;="&amp;DATE($B$3,9,7),'Leave log'!$F$7:$F$306,"Pending")&gt;0,"P",""))))</f>
        <v/>
      </c>
      <c r="I293" s="23" t="str">
        <f>IF(A293="","",IF(IF(OR(DATE($B$3,9,8)&gt;EOMONTH(DATE($B$3,9,1),0),NETWORKDAYS.INTL(DATE($B$3,9,8),DATE($B$3,9,8),1,'Non-working days'!$A$6:$A$45)=0),"",IF(COUNTIFS('Leave log'!$A$7:$A$306,Employees!$A$20,'Leave log'!$B$7:$B$306,"&lt;="&amp;DATE($B$3,9,8),'Leave log'!$C$7:$C$306,"&gt;="&amp;DATE($B$3,9,8),'Leave log'!$F$7:$F$306,"Approved")&gt;0,"A",""))="A","A",IF(OR(DATE($B$3,9,8)&gt;EOMONTH(DATE($B$3,9,1),0),NETWORKDAYS.INTL(DATE($B$3,9,8),DATE($B$3,9,8),1,'Non-working days'!$A$6:$A$45)=0),"",IF(COUNTIFS('Leave log'!$A$7:$A$306,Employees!$A$20,'Leave log'!$B$7:$B$306,"&lt;="&amp;DATE($B$3,9,8),'Leave log'!$C$7:$C$306,"&gt;="&amp;DATE($B$3,9,8),'Leave log'!$F$7:$F$306,"Pending")&gt;0,"P",""))))</f>
        <v/>
      </c>
      <c r="J293" s="23" t="str">
        <f>IF(A293="","",IF(IF(OR(DATE($B$3,9,9)&gt;EOMONTH(DATE($B$3,9,1),0),NETWORKDAYS.INTL(DATE($B$3,9,9),DATE($B$3,9,9),1,'Non-working days'!$A$6:$A$45)=0),"",IF(COUNTIFS('Leave log'!$A$7:$A$306,Employees!$A$20,'Leave log'!$B$7:$B$306,"&lt;="&amp;DATE($B$3,9,9),'Leave log'!$C$7:$C$306,"&gt;="&amp;DATE($B$3,9,9),'Leave log'!$F$7:$F$306,"Approved")&gt;0,"A",""))="A","A",IF(OR(DATE($B$3,9,9)&gt;EOMONTH(DATE($B$3,9,1),0),NETWORKDAYS.INTL(DATE($B$3,9,9),DATE($B$3,9,9),1,'Non-working days'!$A$6:$A$45)=0),"",IF(COUNTIFS('Leave log'!$A$7:$A$306,Employees!$A$20,'Leave log'!$B$7:$B$306,"&lt;="&amp;DATE($B$3,9,9),'Leave log'!$C$7:$C$306,"&gt;="&amp;DATE($B$3,9,9),'Leave log'!$F$7:$F$306,"Pending")&gt;0,"P",""))))</f>
        <v/>
      </c>
      <c r="K293" s="23" t="str">
        <f>IF(A293="","",IF(IF(OR(DATE($B$3,9,10)&gt;EOMONTH(DATE($B$3,9,1),0),NETWORKDAYS.INTL(DATE($B$3,9,10),DATE($B$3,9,10),1,'Non-working days'!$A$6:$A$45)=0),"",IF(COUNTIFS('Leave log'!$A$7:$A$306,Employees!$A$20,'Leave log'!$B$7:$B$306,"&lt;="&amp;DATE($B$3,9,10),'Leave log'!$C$7:$C$306,"&gt;="&amp;DATE($B$3,9,10),'Leave log'!$F$7:$F$306,"Approved")&gt;0,"A",""))="A","A",IF(OR(DATE($B$3,9,10)&gt;EOMONTH(DATE($B$3,9,1),0),NETWORKDAYS.INTL(DATE($B$3,9,10),DATE($B$3,9,10),1,'Non-working days'!$A$6:$A$45)=0),"",IF(COUNTIFS('Leave log'!$A$7:$A$306,Employees!$A$20,'Leave log'!$B$7:$B$306,"&lt;="&amp;DATE($B$3,9,10),'Leave log'!$C$7:$C$306,"&gt;="&amp;DATE($B$3,9,10),'Leave log'!$F$7:$F$306,"Pending")&gt;0,"P",""))))</f>
        <v/>
      </c>
      <c r="L293" s="23" t="str">
        <f>IF(A293="","",IF(IF(OR(DATE($B$3,9,11)&gt;EOMONTH(DATE($B$3,9,1),0),NETWORKDAYS.INTL(DATE($B$3,9,11),DATE($B$3,9,11),1,'Non-working days'!$A$6:$A$45)=0),"",IF(COUNTIFS('Leave log'!$A$7:$A$306,Employees!$A$20,'Leave log'!$B$7:$B$306,"&lt;="&amp;DATE($B$3,9,11),'Leave log'!$C$7:$C$306,"&gt;="&amp;DATE($B$3,9,11),'Leave log'!$F$7:$F$306,"Approved")&gt;0,"A",""))="A","A",IF(OR(DATE($B$3,9,11)&gt;EOMONTH(DATE($B$3,9,1),0),NETWORKDAYS.INTL(DATE($B$3,9,11),DATE($B$3,9,11),1,'Non-working days'!$A$6:$A$45)=0),"",IF(COUNTIFS('Leave log'!$A$7:$A$306,Employees!$A$20,'Leave log'!$B$7:$B$306,"&lt;="&amp;DATE($B$3,9,11),'Leave log'!$C$7:$C$306,"&gt;="&amp;DATE($B$3,9,11),'Leave log'!$F$7:$F$306,"Pending")&gt;0,"P",""))))</f>
        <v/>
      </c>
      <c r="M293" s="23" t="str">
        <f>IF(A293="","",IF(IF(OR(DATE($B$3,9,12)&gt;EOMONTH(DATE($B$3,9,1),0),NETWORKDAYS.INTL(DATE($B$3,9,12),DATE($B$3,9,12),1,'Non-working days'!$A$6:$A$45)=0),"",IF(COUNTIFS('Leave log'!$A$7:$A$306,Employees!$A$20,'Leave log'!$B$7:$B$306,"&lt;="&amp;DATE($B$3,9,12),'Leave log'!$C$7:$C$306,"&gt;="&amp;DATE($B$3,9,12),'Leave log'!$F$7:$F$306,"Approved")&gt;0,"A",""))="A","A",IF(OR(DATE($B$3,9,12)&gt;EOMONTH(DATE($B$3,9,1),0),NETWORKDAYS.INTL(DATE($B$3,9,12),DATE($B$3,9,12),1,'Non-working days'!$A$6:$A$45)=0),"",IF(COUNTIFS('Leave log'!$A$7:$A$306,Employees!$A$20,'Leave log'!$B$7:$B$306,"&lt;="&amp;DATE($B$3,9,12),'Leave log'!$C$7:$C$306,"&gt;="&amp;DATE($B$3,9,12),'Leave log'!$F$7:$F$306,"Pending")&gt;0,"P",""))))</f>
        <v/>
      </c>
      <c r="N293" s="23" t="str">
        <f>IF(A293="","",IF(IF(OR(DATE($B$3,9,13)&gt;EOMONTH(DATE($B$3,9,1),0),NETWORKDAYS.INTL(DATE($B$3,9,13),DATE($B$3,9,13),1,'Non-working days'!$A$6:$A$45)=0),"",IF(COUNTIFS('Leave log'!$A$7:$A$306,Employees!$A$20,'Leave log'!$B$7:$B$306,"&lt;="&amp;DATE($B$3,9,13),'Leave log'!$C$7:$C$306,"&gt;="&amp;DATE($B$3,9,13),'Leave log'!$F$7:$F$306,"Approved")&gt;0,"A",""))="A","A",IF(OR(DATE($B$3,9,13)&gt;EOMONTH(DATE($B$3,9,1),0),NETWORKDAYS.INTL(DATE($B$3,9,13),DATE($B$3,9,13),1,'Non-working days'!$A$6:$A$45)=0),"",IF(COUNTIFS('Leave log'!$A$7:$A$306,Employees!$A$20,'Leave log'!$B$7:$B$306,"&lt;="&amp;DATE($B$3,9,13),'Leave log'!$C$7:$C$306,"&gt;="&amp;DATE($B$3,9,13),'Leave log'!$F$7:$F$306,"Pending")&gt;0,"P",""))))</f>
        <v/>
      </c>
      <c r="O293" s="23" t="str">
        <f>IF(A293="","",IF(IF(OR(DATE($B$3,9,14)&gt;EOMONTH(DATE($B$3,9,1),0),NETWORKDAYS.INTL(DATE($B$3,9,14),DATE($B$3,9,14),1,'Non-working days'!$A$6:$A$45)=0),"",IF(COUNTIFS('Leave log'!$A$7:$A$306,Employees!$A$20,'Leave log'!$B$7:$B$306,"&lt;="&amp;DATE($B$3,9,14),'Leave log'!$C$7:$C$306,"&gt;="&amp;DATE($B$3,9,14),'Leave log'!$F$7:$F$306,"Approved")&gt;0,"A",""))="A","A",IF(OR(DATE($B$3,9,14)&gt;EOMONTH(DATE($B$3,9,1),0),NETWORKDAYS.INTL(DATE($B$3,9,14),DATE($B$3,9,14),1,'Non-working days'!$A$6:$A$45)=0),"",IF(COUNTIFS('Leave log'!$A$7:$A$306,Employees!$A$20,'Leave log'!$B$7:$B$306,"&lt;="&amp;DATE($B$3,9,14),'Leave log'!$C$7:$C$306,"&gt;="&amp;DATE($B$3,9,14),'Leave log'!$F$7:$F$306,"Pending")&gt;0,"P",""))))</f>
        <v/>
      </c>
      <c r="P293" s="23" t="str">
        <f>IF(A293="","",IF(IF(OR(DATE($B$3,9,15)&gt;EOMONTH(DATE($B$3,9,1),0),NETWORKDAYS.INTL(DATE($B$3,9,15),DATE($B$3,9,15),1,'Non-working days'!$A$6:$A$45)=0),"",IF(COUNTIFS('Leave log'!$A$7:$A$306,Employees!$A$20,'Leave log'!$B$7:$B$306,"&lt;="&amp;DATE($B$3,9,15),'Leave log'!$C$7:$C$306,"&gt;="&amp;DATE($B$3,9,15),'Leave log'!$F$7:$F$306,"Approved")&gt;0,"A",""))="A","A",IF(OR(DATE($B$3,9,15)&gt;EOMONTH(DATE($B$3,9,1),0),NETWORKDAYS.INTL(DATE($B$3,9,15),DATE($B$3,9,15),1,'Non-working days'!$A$6:$A$45)=0),"",IF(COUNTIFS('Leave log'!$A$7:$A$306,Employees!$A$20,'Leave log'!$B$7:$B$306,"&lt;="&amp;DATE($B$3,9,15),'Leave log'!$C$7:$C$306,"&gt;="&amp;DATE($B$3,9,15),'Leave log'!$F$7:$F$306,"Pending")&gt;0,"P",""))))</f>
        <v/>
      </c>
      <c r="Q293" s="23" t="str">
        <f>IF(A293="","",IF(IF(OR(DATE($B$3,9,16)&gt;EOMONTH(DATE($B$3,9,1),0),NETWORKDAYS.INTL(DATE($B$3,9,16),DATE($B$3,9,16),1,'Non-working days'!$A$6:$A$45)=0),"",IF(COUNTIFS('Leave log'!$A$7:$A$306,Employees!$A$20,'Leave log'!$B$7:$B$306,"&lt;="&amp;DATE($B$3,9,16),'Leave log'!$C$7:$C$306,"&gt;="&amp;DATE($B$3,9,16),'Leave log'!$F$7:$F$306,"Approved")&gt;0,"A",""))="A","A",IF(OR(DATE($B$3,9,16)&gt;EOMONTH(DATE($B$3,9,1),0),NETWORKDAYS.INTL(DATE($B$3,9,16),DATE($B$3,9,16),1,'Non-working days'!$A$6:$A$45)=0),"",IF(COUNTIFS('Leave log'!$A$7:$A$306,Employees!$A$20,'Leave log'!$B$7:$B$306,"&lt;="&amp;DATE($B$3,9,16),'Leave log'!$C$7:$C$306,"&gt;="&amp;DATE($B$3,9,16),'Leave log'!$F$7:$F$306,"Pending")&gt;0,"P",""))))</f>
        <v/>
      </c>
      <c r="R293" s="23" t="str">
        <f>IF(A293="","",IF(IF(OR(DATE($B$3,9,17)&gt;EOMONTH(DATE($B$3,9,1),0),NETWORKDAYS.INTL(DATE($B$3,9,17),DATE($B$3,9,17),1,'Non-working days'!$A$6:$A$45)=0),"",IF(COUNTIFS('Leave log'!$A$7:$A$306,Employees!$A$20,'Leave log'!$B$7:$B$306,"&lt;="&amp;DATE($B$3,9,17),'Leave log'!$C$7:$C$306,"&gt;="&amp;DATE($B$3,9,17),'Leave log'!$F$7:$F$306,"Approved")&gt;0,"A",""))="A","A",IF(OR(DATE($B$3,9,17)&gt;EOMONTH(DATE($B$3,9,1),0),NETWORKDAYS.INTL(DATE($B$3,9,17),DATE($B$3,9,17),1,'Non-working days'!$A$6:$A$45)=0),"",IF(COUNTIFS('Leave log'!$A$7:$A$306,Employees!$A$20,'Leave log'!$B$7:$B$306,"&lt;="&amp;DATE($B$3,9,17),'Leave log'!$C$7:$C$306,"&gt;="&amp;DATE($B$3,9,17),'Leave log'!$F$7:$F$306,"Pending")&gt;0,"P",""))))</f>
        <v/>
      </c>
      <c r="S293" s="23" t="str">
        <f>IF(A293="","",IF(IF(OR(DATE($B$3,9,18)&gt;EOMONTH(DATE($B$3,9,1),0),NETWORKDAYS.INTL(DATE($B$3,9,18),DATE($B$3,9,18),1,'Non-working days'!$A$6:$A$45)=0),"",IF(COUNTIFS('Leave log'!$A$7:$A$306,Employees!$A$20,'Leave log'!$B$7:$B$306,"&lt;="&amp;DATE($B$3,9,18),'Leave log'!$C$7:$C$306,"&gt;="&amp;DATE($B$3,9,18),'Leave log'!$F$7:$F$306,"Approved")&gt;0,"A",""))="A","A",IF(OR(DATE($B$3,9,18)&gt;EOMONTH(DATE($B$3,9,1),0),NETWORKDAYS.INTL(DATE($B$3,9,18),DATE($B$3,9,18),1,'Non-working days'!$A$6:$A$45)=0),"",IF(COUNTIFS('Leave log'!$A$7:$A$306,Employees!$A$20,'Leave log'!$B$7:$B$306,"&lt;="&amp;DATE($B$3,9,18),'Leave log'!$C$7:$C$306,"&gt;="&amp;DATE($B$3,9,18),'Leave log'!$F$7:$F$306,"Pending")&gt;0,"P",""))))</f>
        <v/>
      </c>
      <c r="T293" s="23" t="str">
        <f>IF(A293="","",IF(IF(OR(DATE($B$3,9,19)&gt;EOMONTH(DATE($B$3,9,1),0),NETWORKDAYS.INTL(DATE($B$3,9,19),DATE($B$3,9,19),1,'Non-working days'!$A$6:$A$45)=0),"",IF(COUNTIFS('Leave log'!$A$7:$A$306,Employees!$A$20,'Leave log'!$B$7:$B$306,"&lt;="&amp;DATE($B$3,9,19),'Leave log'!$C$7:$C$306,"&gt;="&amp;DATE($B$3,9,19),'Leave log'!$F$7:$F$306,"Approved")&gt;0,"A",""))="A","A",IF(OR(DATE($B$3,9,19)&gt;EOMONTH(DATE($B$3,9,1),0),NETWORKDAYS.INTL(DATE($B$3,9,19),DATE($B$3,9,19),1,'Non-working days'!$A$6:$A$45)=0),"",IF(COUNTIFS('Leave log'!$A$7:$A$306,Employees!$A$20,'Leave log'!$B$7:$B$306,"&lt;="&amp;DATE($B$3,9,19),'Leave log'!$C$7:$C$306,"&gt;="&amp;DATE($B$3,9,19),'Leave log'!$F$7:$F$306,"Pending")&gt;0,"P",""))))</f>
        <v/>
      </c>
      <c r="U293" s="23" t="str">
        <f>IF(A293="","",IF(IF(OR(DATE($B$3,9,20)&gt;EOMONTH(DATE($B$3,9,1),0),NETWORKDAYS.INTL(DATE($B$3,9,20),DATE($B$3,9,20),1,'Non-working days'!$A$6:$A$45)=0),"",IF(COUNTIFS('Leave log'!$A$7:$A$306,Employees!$A$20,'Leave log'!$B$7:$B$306,"&lt;="&amp;DATE($B$3,9,20),'Leave log'!$C$7:$C$306,"&gt;="&amp;DATE($B$3,9,20),'Leave log'!$F$7:$F$306,"Approved")&gt;0,"A",""))="A","A",IF(OR(DATE($B$3,9,20)&gt;EOMONTH(DATE($B$3,9,1),0),NETWORKDAYS.INTL(DATE($B$3,9,20),DATE($B$3,9,20),1,'Non-working days'!$A$6:$A$45)=0),"",IF(COUNTIFS('Leave log'!$A$7:$A$306,Employees!$A$20,'Leave log'!$B$7:$B$306,"&lt;="&amp;DATE($B$3,9,20),'Leave log'!$C$7:$C$306,"&gt;="&amp;DATE($B$3,9,20),'Leave log'!$F$7:$F$306,"Pending")&gt;0,"P",""))))</f>
        <v/>
      </c>
      <c r="V293" s="23" t="str">
        <f>IF(A293="","",IF(IF(OR(DATE($B$3,9,21)&gt;EOMONTH(DATE($B$3,9,1),0),NETWORKDAYS.INTL(DATE($B$3,9,21),DATE($B$3,9,21),1,'Non-working days'!$A$6:$A$45)=0),"",IF(COUNTIFS('Leave log'!$A$7:$A$306,Employees!$A$20,'Leave log'!$B$7:$B$306,"&lt;="&amp;DATE($B$3,9,21),'Leave log'!$C$7:$C$306,"&gt;="&amp;DATE($B$3,9,21),'Leave log'!$F$7:$F$306,"Approved")&gt;0,"A",""))="A","A",IF(OR(DATE($B$3,9,21)&gt;EOMONTH(DATE($B$3,9,1),0),NETWORKDAYS.INTL(DATE($B$3,9,21),DATE($B$3,9,21),1,'Non-working days'!$A$6:$A$45)=0),"",IF(COUNTIFS('Leave log'!$A$7:$A$306,Employees!$A$20,'Leave log'!$B$7:$B$306,"&lt;="&amp;DATE($B$3,9,21),'Leave log'!$C$7:$C$306,"&gt;="&amp;DATE($B$3,9,21),'Leave log'!$F$7:$F$306,"Pending")&gt;0,"P",""))))</f>
        <v/>
      </c>
      <c r="W293" s="23" t="str">
        <f>IF(A293="","",IF(IF(OR(DATE($B$3,9,22)&gt;EOMONTH(DATE($B$3,9,1),0),NETWORKDAYS.INTL(DATE($B$3,9,22),DATE($B$3,9,22),1,'Non-working days'!$A$6:$A$45)=0),"",IF(COUNTIFS('Leave log'!$A$7:$A$306,Employees!$A$20,'Leave log'!$B$7:$B$306,"&lt;="&amp;DATE($B$3,9,22),'Leave log'!$C$7:$C$306,"&gt;="&amp;DATE($B$3,9,22),'Leave log'!$F$7:$F$306,"Approved")&gt;0,"A",""))="A","A",IF(OR(DATE($B$3,9,22)&gt;EOMONTH(DATE($B$3,9,1),0),NETWORKDAYS.INTL(DATE($B$3,9,22),DATE($B$3,9,22),1,'Non-working days'!$A$6:$A$45)=0),"",IF(COUNTIFS('Leave log'!$A$7:$A$306,Employees!$A$20,'Leave log'!$B$7:$B$306,"&lt;="&amp;DATE($B$3,9,22),'Leave log'!$C$7:$C$306,"&gt;="&amp;DATE($B$3,9,22),'Leave log'!$F$7:$F$306,"Pending")&gt;0,"P",""))))</f>
        <v/>
      </c>
      <c r="X293" s="23" t="str">
        <f>IF(A293="","",IF(IF(OR(DATE($B$3,9,23)&gt;EOMONTH(DATE($B$3,9,1),0),NETWORKDAYS.INTL(DATE($B$3,9,23),DATE($B$3,9,23),1,'Non-working days'!$A$6:$A$45)=0),"",IF(COUNTIFS('Leave log'!$A$7:$A$306,Employees!$A$20,'Leave log'!$B$7:$B$306,"&lt;="&amp;DATE($B$3,9,23),'Leave log'!$C$7:$C$306,"&gt;="&amp;DATE($B$3,9,23),'Leave log'!$F$7:$F$306,"Approved")&gt;0,"A",""))="A","A",IF(OR(DATE($B$3,9,23)&gt;EOMONTH(DATE($B$3,9,1),0),NETWORKDAYS.INTL(DATE($B$3,9,23),DATE($B$3,9,23),1,'Non-working days'!$A$6:$A$45)=0),"",IF(COUNTIFS('Leave log'!$A$7:$A$306,Employees!$A$20,'Leave log'!$B$7:$B$306,"&lt;="&amp;DATE($B$3,9,23),'Leave log'!$C$7:$C$306,"&gt;="&amp;DATE($B$3,9,23),'Leave log'!$F$7:$F$306,"Pending")&gt;0,"P",""))))</f>
        <v/>
      </c>
      <c r="Y293" s="23" t="str">
        <f>IF(A293="","",IF(IF(OR(DATE($B$3,9,24)&gt;EOMONTH(DATE($B$3,9,1),0),NETWORKDAYS.INTL(DATE($B$3,9,24),DATE($B$3,9,24),1,'Non-working days'!$A$6:$A$45)=0),"",IF(COUNTIFS('Leave log'!$A$7:$A$306,Employees!$A$20,'Leave log'!$B$7:$B$306,"&lt;="&amp;DATE($B$3,9,24),'Leave log'!$C$7:$C$306,"&gt;="&amp;DATE($B$3,9,24),'Leave log'!$F$7:$F$306,"Approved")&gt;0,"A",""))="A","A",IF(OR(DATE($B$3,9,24)&gt;EOMONTH(DATE($B$3,9,1),0),NETWORKDAYS.INTL(DATE($B$3,9,24),DATE($B$3,9,24),1,'Non-working days'!$A$6:$A$45)=0),"",IF(COUNTIFS('Leave log'!$A$7:$A$306,Employees!$A$20,'Leave log'!$B$7:$B$306,"&lt;="&amp;DATE($B$3,9,24),'Leave log'!$C$7:$C$306,"&gt;="&amp;DATE($B$3,9,24),'Leave log'!$F$7:$F$306,"Pending")&gt;0,"P",""))))</f>
        <v/>
      </c>
      <c r="Z293" s="23" t="str">
        <f>IF(A293="","",IF(IF(OR(DATE($B$3,9,25)&gt;EOMONTH(DATE($B$3,9,1),0),NETWORKDAYS.INTL(DATE($B$3,9,25),DATE($B$3,9,25),1,'Non-working days'!$A$6:$A$45)=0),"",IF(COUNTIFS('Leave log'!$A$7:$A$306,Employees!$A$20,'Leave log'!$B$7:$B$306,"&lt;="&amp;DATE($B$3,9,25),'Leave log'!$C$7:$C$306,"&gt;="&amp;DATE($B$3,9,25),'Leave log'!$F$7:$F$306,"Approved")&gt;0,"A",""))="A","A",IF(OR(DATE($B$3,9,25)&gt;EOMONTH(DATE($B$3,9,1),0),NETWORKDAYS.INTL(DATE($B$3,9,25),DATE($B$3,9,25),1,'Non-working days'!$A$6:$A$45)=0),"",IF(COUNTIFS('Leave log'!$A$7:$A$306,Employees!$A$20,'Leave log'!$B$7:$B$306,"&lt;="&amp;DATE($B$3,9,25),'Leave log'!$C$7:$C$306,"&gt;="&amp;DATE($B$3,9,25),'Leave log'!$F$7:$F$306,"Pending")&gt;0,"P",""))))</f>
        <v/>
      </c>
      <c r="AA293" s="23" t="str">
        <f>IF(A293="","",IF(IF(OR(DATE($B$3,9,26)&gt;EOMONTH(DATE($B$3,9,1),0),NETWORKDAYS.INTL(DATE($B$3,9,26),DATE($B$3,9,26),1,'Non-working days'!$A$6:$A$45)=0),"",IF(COUNTIFS('Leave log'!$A$7:$A$306,Employees!$A$20,'Leave log'!$B$7:$B$306,"&lt;="&amp;DATE($B$3,9,26),'Leave log'!$C$7:$C$306,"&gt;="&amp;DATE($B$3,9,26),'Leave log'!$F$7:$F$306,"Approved")&gt;0,"A",""))="A","A",IF(OR(DATE($B$3,9,26)&gt;EOMONTH(DATE($B$3,9,1),0),NETWORKDAYS.INTL(DATE($B$3,9,26),DATE($B$3,9,26),1,'Non-working days'!$A$6:$A$45)=0),"",IF(COUNTIFS('Leave log'!$A$7:$A$306,Employees!$A$20,'Leave log'!$B$7:$B$306,"&lt;="&amp;DATE($B$3,9,26),'Leave log'!$C$7:$C$306,"&gt;="&amp;DATE($B$3,9,26),'Leave log'!$F$7:$F$306,"Pending")&gt;0,"P",""))))</f>
        <v/>
      </c>
      <c r="AB293" s="23" t="str">
        <f>IF(A293="","",IF(IF(OR(DATE($B$3,9,27)&gt;EOMONTH(DATE($B$3,9,1),0),NETWORKDAYS.INTL(DATE($B$3,9,27),DATE($B$3,9,27),1,'Non-working days'!$A$6:$A$45)=0),"",IF(COUNTIFS('Leave log'!$A$7:$A$306,Employees!$A$20,'Leave log'!$B$7:$B$306,"&lt;="&amp;DATE($B$3,9,27),'Leave log'!$C$7:$C$306,"&gt;="&amp;DATE($B$3,9,27),'Leave log'!$F$7:$F$306,"Approved")&gt;0,"A",""))="A","A",IF(OR(DATE($B$3,9,27)&gt;EOMONTH(DATE($B$3,9,1),0),NETWORKDAYS.INTL(DATE($B$3,9,27),DATE($B$3,9,27),1,'Non-working days'!$A$6:$A$45)=0),"",IF(COUNTIFS('Leave log'!$A$7:$A$306,Employees!$A$20,'Leave log'!$B$7:$B$306,"&lt;="&amp;DATE($B$3,9,27),'Leave log'!$C$7:$C$306,"&gt;="&amp;DATE($B$3,9,27),'Leave log'!$F$7:$F$306,"Pending")&gt;0,"P",""))))</f>
        <v/>
      </c>
      <c r="AC293" s="23" t="str">
        <f>IF(A293="","",IF(IF(OR(DATE($B$3,9,28)&gt;EOMONTH(DATE($B$3,9,1),0),NETWORKDAYS.INTL(DATE($B$3,9,28),DATE($B$3,9,28),1,'Non-working days'!$A$6:$A$45)=0),"",IF(COUNTIFS('Leave log'!$A$7:$A$306,Employees!$A$20,'Leave log'!$B$7:$B$306,"&lt;="&amp;DATE($B$3,9,28),'Leave log'!$C$7:$C$306,"&gt;="&amp;DATE($B$3,9,28),'Leave log'!$F$7:$F$306,"Approved")&gt;0,"A",""))="A","A",IF(OR(DATE($B$3,9,28)&gt;EOMONTH(DATE($B$3,9,1),0),NETWORKDAYS.INTL(DATE($B$3,9,28),DATE($B$3,9,28),1,'Non-working days'!$A$6:$A$45)=0),"",IF(COUNTIFS('Leave log'!$A$7:$A$306,Employees!$A$20,'Leave log'!$B$7:$B$306,"&lt;="&amp;DATE($B$3,9,28),'Leave log'!$C$7:$C$306,"&gt;="&amp;DATE($B$3,9,28),'Leave log'!$F$7:$F$306,"Pending")&gt;0,"P",""))))</f>
        <v/>
      </c>
      <c r="AD293" s="23" t="str">
        <f>IF(A293="","",IF(IF(OR(DATE($B$3,9,29)&gt;EOMONTH(DATE($B$3,9,1),0),NETWORKDAYS.INTL(DATE($B$3,9,29),DATE($B$3,9,29),1,'Non-working days'!$A$6:$A$45)=0),"",IF(COUNTIFS('Leave log'!$A$7:$A$306,Employees!$A$20,'Leave log'!$B$7:$B$306,"&lt;="&amp;DATE($B$3,9,29),'Leave log'!$C$7:$C$306,"&gt;="&amp;DATE($B$3,9,29),'Leave log'!$F$7:$F$306,"Approved")&gt;0,"A",""))="A","A",IF(OR(DATE($B$3,9,29)&gt;EOMONTH(DATE($B$3,9,1),0),NETWORKDAYS.INTL(DATE($B$3,9,29),DATE($B$3,9,29),1,'Non-working days'!$A$6:$A$45)=0),"",IF(COUNTIFS('Leave log'!$A$7:$A$306,Employees!$A$20,'Leave log'!$B$7:$B$306,"&lt;="&amp;DATE($B$3,9,29),'Leave log'!$C$7:$C$306,"&gt;="&amp;DATE($B$3,9,29),'Leave log'!$F$7:$F$306,"Pending")&gt;0,"P",""))))</f>
        <v/>
      </c>
      <c r="AE293" s="23" t="str">
        <f>IF(A293="","",IF(IF(OR(DATE($B$3,9,30)&gt;EOMONTH(DATE($B$3,9,1),0),NETWORKDAYS.INTL(DATE($B$3,9,30),DATE($B$3,9,30),1,'Non-working days'!$A$6:$A$45)=0),"",IF(COUNTIFS('Leave log'!$A$7:$A$306,Employees!$A$20,'Leave log'!$B$7:$B$306,"&lt;="&amp;DATE($B$3,9,30),'Leave log'!$C$7:$C$306,"&gt;="&amp;DATE($B$3,9,30),'Leave log'!$F$7:$F$306,"Approved")&gt;0,"A",""))="A","A",IF(OR(DATE($B$3,9,30)&gt;EOMONTH(DATE($B$3,9,1),0),NETWORKDAYS.INTL(DATE($B$3,9,30),DATE($B$3,9,30),1,'Non-working days'!$A$6:$A$45)=0),"",IF(COUNTIFS('Leave log'!$A$7:$A$306,Employees!$A$20,'Leave log'!$B$7:$B$306,"&lt;="&amp;DATE($B$3,9,30),'Leave log'!$C$7:$C$306,"&gt;="&amp;DATE($B$3,9,30),'Leave log'!$F$7:$F$306,"Pending")&gt;0,"P",""))))</f>
        <v/>
      </c>
      <c r="AF293" s="23" t="str">
        <f>IF(A293="","",IF(IF(OR(DATE($B$3,9,31)&gt;EOMONTH(DATE($B$3,9,1),0),NETWORKDAYS.INTL(DATE($B$3,9,31),DATE($B$3,9,31),1,'Non-working days'!$A$6:$A$45)=0),"",IF(COUNTIFS('Leave log'!$A$7:$A$306,Employees!$A$20,'Leave log'!$B$7:$B$306,"&lt;="&amp;DATE($B$3,9,31),'Leave log'!$C$7:$C$306,"&gt;="&amp;DATE($B$3,9,31),'Leave log'!$F$7:$F$306,"Approved")&gt;0,"A",""))="A","A",IF(OR(DATE($B$3,9,31)&gt;EOMONTH(DATE($B$3,9,1),0),NETWORKDAYS.INTL(DATE($B$3,9,31),DATE($B$3,9,31),1,'Non-working days'!$A$6:$A$45)=0),"",IF(COUNTIFS('Leave log'!$A$7:$A$306,Employees!$A$20,'Leave log'!$B$7:$B$306,"&lt;="&amp;DATE($B$3,9,31),'Leave log'!$C$7:$C$306,"&gt;="&amp;DATE($B$3,9,31),'Leave log'!$F$7:$F$306,"Pending")&gt;0,"P",""))))</f>
        <v/>
      </c>
    </row>
    <row r="294" spans="1:32" ht="18" customHeight="1" x14ac:dyDescent="0.3">
      <c r="A294" s="22" t="str">
        <f>IF(Employees!F21="Yes",Employees!B21,"")</f>
        <v/>
      </c>
      <c r="B294" s="23" t="str">
        <f>IF(A294="","",IF(IF(OR(DATE($B$3,9,1)&gt;EOMONTH(DATE($B$3,9,1),0),NETWORKDAYS.INTL(DATE($B$3,9,1),DATE($B$3,9,1),1,'Non-working days'!$A$6:$A$45)=0),"",IF(COUNTIFS('Leave log'!$A$7:$A$306,Employees!$A$21,'Leave log'!$B$7:$B$306,"&lt;="&amp;DATE($B$3,9,1),'Leave log'!$C$7:$C$306,"&gt;="&amp;DATE($B$3,9,1),'Leave log'!$F$7:$F$306,"Approved")&gt;0,"A",""))="A","A",IF(OR(DATE($B$3,9,1)&gt;EOMONTH(DATE($B$3,9,1),0),NETWORKDAYS.INTL(DATE($B$3,9,1),DATE($B$3,9,1),1,'Non-working days'!$A$6:$A$45)=0),"",IF(COUNTIFS('Leave log'!$A$7:$A$306,Employees!$A$21,'Leave log'!$B$7:$B$306,"&lt;="&amp;DATE($B$3,9,1),'Leave log'!$C$7:$C$306,"&gt;="&amp;DATE($B$3,9,1),'Leave log'!$F$7:$F$306,"Pending")&gt;0,"P",""))))</f>
        <v/>
      </c>
      <c r="C294" s="23" t="str">
        <f>IF(A294="","",IF(IF(OR(DATE($B$3,9,2)&gt;EOMONTH(DATE($B$3,9,1),0),NETWORKDAYS.INTL(DATE($B$3,9,2),DATE($B$3,9,2),1,'Non-working days'!$A$6:$A$45)=0),"",IF(COUNTIFS('Leave log'!$A$7:$A$306,Employees!$A$21,'Leave log'!$B$7:$B$306,"&lt;="&amp;DATE($B$3,9,2),'Leave log'!$C$7:$C$306,"&gt;="&amp;DATE($B$3,9,2),'Leave log'!$F$7:$F$306,"Approved")&gt;0,"A",""))="A","A",IF(OR(DATE($B$3,9,2)&gt;EOMONTH(DATE($B$3,9,1),0),NETWORKDAYS.INTL(DATE($B$3,9,2),DATE($B$3,9,2),1,'Non-working days'!$A$6:$A$45)=0),"",IF(COUNTIFS('Leave log'!$A$7:$A$306,Employees!$A$21,'Leave log'!$B$7:$B$306,"&lt;="&amp;DATE($B$3,9,2),'Leave log'!$C$7:$C$306,"&gt;="&amp;DATE($B$3,9,2),'Leave log'!$F$7:$F$306,"Pending")&gt;0,"P",""))))</f>
        <v/>
      </c>
      <c r="D294" s="23" t="str">
        <f>IF(A294="","",IF(IF(OR(DATE($B$3,9,3)&gt;EOMONTH(DATE($B$3,9,1),0),NETWORKDAYS.INTL(DATE($B$3,9,3),DATE($B$3,9,3),1,'Non-working days'!$A$6:$A$45)=0),"",IF(COUNTIFS('Leave log'!$A$7:$A$306,Employees!$A$21,'Leave log'!$B$7:$B$306,"&lt;="&amp;DATE($B$3,9,3),'Leave log'!$C$7:$C$306,"&gt;="&amp;DATE($B$3,9,3),'Leave log'!$F$7:$F$306,"Approved")&gt;0,"A",""))="A","A",IF(OR(DATE($B$3,9,3)&gt;EOMONTH(DATE($B$3,9,1),0),NETWORKDAYS.INTL(DATE($B$3,9,3),DATE($B$3,9,3),1,'Non-working days'!$A$6:$A$45)=0),"",IF(COUNTIFS('Leave log'!$A$7:$A$306,Employees!$A$21,'Leave log'!$B$7:$B$306,"&lt;="&amp;DATE($B$3,9,3),'Leave log'!$C$7:$C$306,"&gt;="&amp;DATE($B$3,9,3),'Leave log'!$F$7:$F$306,"Pending")&gt;0,"P",""))))</f>
        <v/>
      </c>
      <c r="E294" s="23" t="str">
        <f>IF(A294="","",IF(IF(OR(DATE($B$3,9,4)&gt;EOMONTH(DATE($B$3,9,1),0),NETWORKDAYS.INTL(DATE($B$3,9,4),DATE($B$3,9,4),1,'Non-working days'!$A$6:$A$45)=0),"",IF(COUNTIFS('Leave log'!$A$7:$A$306,Employees!$A$21,'Leave log'!$B$7:$B$306,"&lt;="&amp;DATE($B$3,9,4),'Leave log'!$C$7:$C$306,"&gt;="&amp;DATE($B$3,9,4),'Leave log'!$F$7:$F$306,"Approved")&gt;0,"A",""))="A","A",IF(OR(DATE($B$3,9,4)&gt;EOMONTH(DATE($B$3,9,1),0),NETWORKDAYS.INTL(DATE($B$3,9,4),DATE($B$3,9,4),1,'Non-working days'!$A$6:$A$45)=0),"",IF(COUNTIFS('Leave log'!$A$7:$A$306,Employees!$A$21,'Leave log'!$B$7:$B$306,"&lt;="&amp;DATE($B$3,9,4),'Leave log'!$C$7:$C$306,"&gt;="&amp;DATE($B$3,9,4),'Leave log'!$F$7:$F$306,"Pending")&gt;0,"P",""))))</f>
        <v/>
      </c>
      <c r="F294" s="23" t="str">
        <f>IF(A294="","",IF(IF(OR(DATE($B$3,9,5)&gt;EOMONTH(DATE($B$3,9,1),0),NETWORKDAYS.INTL(DATE($B$3,9,5),DATE($B$3,9,5),1,'Non-working days'!$A$6:$A$45)=0),"",IF(COUNTIFS('Leave log'!$A$7:$A$306,Employees!$A$21,'Leave log'!$B$7:$B$306,"&lt;="&amp;DATE($B$3,9,5),'Leave log'!$C$7:$C$306,"&gt;="&amp;DATE($B$3,9,5),'Leave log'!$F$7:$F$306,"Approved")&gt;0,"A",""))="A","A",IF(OR(DATE($B$3,9,5)&gt;EOMONTH(DATE($B$3,9,1),0),NETWORKDAYS.INTL(DATE($B$3,9,5),DATE($B$3,9,5),1,'Non-working days'!$A$6:$A$45)=0),"",IF(COUNTIFS('Leave log'!$A$7:$A$306,Employees!$A$21,'Leave log'!$B$7:$B$306,"&lt;="&amp;DATE($B$3,9,5),'Leave log'!$C$7:$C$306,"&gt;="&amp;DATE($B$3,9,5),'Leave log'!$F$7:$F$306,"Pending")&gt;0,"P",""))))</f>
        <v/>
      </c>
      <c r="G294" s="23" t="str">
        <f>IF(A294="","",IF(IF(OR(DATE($B$3,9,6)&gt;EOMONTH(DATE($B$3,9,1),0),NETWORKDAYS.INTL(DATE($B$3,9,6),DATE($B$3,9,6),1,'Non-working days'!$A$6:$A$45)=0),"",IF(COUNTIFS('Leave log'!$A$7:$A$306,Employees!$A$21,'Leave log'!$B$7:$B$306,"&lt;="&amp;DATE($B$3,9,6),'Leave log'!$C$7:$C$306,"&gt;="&amp;DATE($B$3,9,6),'Leave log'!$F$7:$F$306,"Approved")&gt;0,"A",""))="A","A",IF(OR(DATE($B$3,9,6)&gt;EOMONTH(DATE($B$3,9,1),0),NETWORKDAYS.INTL(DATE($B$3,9,6),DATE($B$3,9,6),1,'Non-working days'!$A$6:$A$45)=0),"",IF(COUNTIFS('Leave log'!$A$7:$A$306,Employees!$A$21,'Leave log'!$B$7:$B$306,"&lt;="&amp;DATE($B$3,9,6),'Leave log'!$C$7:$C$306,"&gt;="&amp;DATE($B$3,9,6),'Leave log'!$F$7:$F$306,"Pending")&gt;0,"P",""))))</f>
        <v/>
      </c>
      <c r="H294" s="23" t="str">
        <f>IF(A294="","",IF(IF(OR(DATE($B$3,9,7)&gt;EOMONTH(DATE($B$3,9,1),0),NETWORKDAYS.INTL(DATE($B$3,9,7),DATE($B$3,9,7),1,'Non-working days'!$A$6:$A$45)=0),"",IF(COUNTIFS('Leave log'!$A$7:$A$306,Employees!$A$21,'Leave log'!$B$7:$B$306,"&lt;="&amp;DATE($B$3,9,7),'Leave log'!$C$7:$C$306,"&gt;="&amp;DATE($B$3,9,7),'Leave log'!$F$7:$F$306,"Approved")&gt;0,"A",""))="A","A",IF(OR(DATE($B$3,9,7)&gt;EOMONTH(DATE($B$3,9,1),0),NETWORKDAYS.INTL(DATE($B$3,9,7),DATE($B$3,9,7),1,'Non-working days'!$A$6:$A$45)=0),"",IF(COUNTIFS('Leave log'!$A$7:$A$306,Employees!$A$21,'Leave log'!$B$7:$B$306,"&lt;="&amp;DATE($B$3,9,7),'Leave log'!$C$7:$C$306,"&gt;="&amp;DATE($B$3,9,7),'Leave log'!$F$7:$F$306,"Pending")&gt;0,"P",""))))</f>
        <v/>
      </c>
      <c r="I294" s="23" t="str">
        <f>IF(A294="","",IF(IF(OR(DATE($B$3,9,8)&gt;EOMONTH(DATE($B$3,9,1),0),NETWORKDAYS.INTL(DATE($B$3,9,8),DATE($B$3,9,8),1,'Non-working days'!$A$6:$A$45)=0),"",IF(COUNTIFS('Leave log'!$A$7:$A$306,Employees!$A$21,'Leave log'!$B$7:$B$306,"&lt;="&amp;DATE($B$3,9,8),'Leave log'!$C$7:$C$306,"&gt;="&amp;DATE($B$3,9,8),'Leave log'!$F$7:$F$306,"Approved")&gt;0,"A",""))="A","A",IF(OR(DATE($B$3,9,8)&gt;EOMONTH(DATE($B$3,9,1),0),NETWORKDAYS.INTL(DATE($B$3,9,8),DATE($B$3,9,8),1,'Non-working days'!$A$6:$A$45)=0),"",IF(COUNTIFS('Leave log'!$A$7:$A$306,Employees!$A$21,'Leave log'!$B$7:$B$306,"&lt;="&amp;DATE($B$3,9,8),'Leave log'!$C$7:$C$306,"&gt;="&amp;DATE($B$3,9,8),'Leave log'!$F$7:$F$306,"Pending")&gt;0,"P",""))))</f>
        <v/>
      </c>
      <c r="J294" s="23" t="str">
        <f>IF(A294="","",IF(IF(OR(DATE($B$3,9,9)&gt;EOMONTH(DATE($B$3,9,1),0),NETWORKDAYS.INTL(DATE($B$3,9,9),DATE($B$3,9,9),1,'Non-working days'!$A$6:$A$45)=0),"",IF(COUNTIFS('Leave log'!$A$7:$A$306,Employees!$A$21,'Leave log'!$B$7:$B$306,"&lt;="&amp;DATE($B$3,9,9),'Leave log'!$C$7:$C$306,"&gt;="&amp;DATE($B$3,9,9),'Leave log'!$F$7:$F$306,"Approved")&gt;0,"A",""))="A","A",IF(OR(DATE($B$3,9,9)&gt;EOMONTH(DATE($B$3,9,1),0),NETWORKDAYS.INTL(DATE($B$3,9,9),DATE($B$3,9,9),1,'Non-working days'!$A$6:$A$45)=0),"",IF(COUNTIFS('Leave log'!$A$7:$A$306,Employees!$A$21,'Leave log'!$B$7:$B$306,"&lt;="&amp;DATE($B$3,9,9),'Leave log'!$C$7:$C$306,"&gt;="&amp;DATE($B$3,9,9),'Leave log'!$F$7:$F$306,"Pending")&gt;0,"P",""))))</f>
        <v/>
      </c>
      <c r="K294" s="23" t="str">
        <f>IF(A294="","",IF(IF(OR(DATE($B$3,9,10)&gt;EOMONTH(DATE($B$3,9,1),0),NETWORKDAYS.INTL(DATE($B$3,9,10),DATE($B$3,9,10),1,'Non-working days'!$A$6:$A$45)=0),"",IF(COUNTIFS('Leave log'!$A$7:$A$306,Employees!$A$21,'Leave log'!$B$7:$B$306,"&lt;="&amp;DATE($B$3,9,10),'Leave log'!$C$7:$C$306,"&gt;="&amp;DATE($B$3,9,10),'Leave log'!$F$7:$F$306,"Approved")&gt;0,"A",""))="A","A",IF(OR(DATE($B$3,9,10)&gt;EOMONTH(DATE($B$3,9,1),0),NETWORKDAYS.INTL(DATE($B$3,9,10),DATE($B$3,9,10),1,'Non-working days'!$A$6:$A$45)=0),"",IF(COUNTIFS('Leave log'!$A$7:$A$306,Employees!$A$21,'Leave log'!$B$7:$B$306,"&lt;="&amp;DATE($B$3,9,10),'Leave log'!$C$7:$C$306,"&gt;="&amp;DATE($B$3,9,10),'Leave log'!$F$7:$F$306,"Pending")&gt;0,"P",""))))</f>
        <v/>
      </c>
      <c r="L294" s="23" t="str">
        <f>IF(A294="","",IF(IF(OR(DATE($B$3,9,11)&gt;EOMONTH(DATE($B$3,9,1),0),NETWORKDAYS.INTL(DATE($B$3,9,11),DATE($B$3,9,11),1,'Non-working days'!$A$6:$A$45)=0),"",IF(COUNTIFS('Leave log'!$A$7:$A$306,Employees!$A$21,'Leave log'!$B$7:$B$306,"&lt;="&amp;DATE($B$3,9,11),'Leave log'!$C$7:$C$306,"&gt;="&amp;DATE($B$3,9,11),'Leave log'!$F$7:$F$306,"Approved")&gt;0,"A",""))="A","A",IF(OR(DATE($B$3,9,11)&gt;EOMONTH(DATE($B$3,9,1),0),NETWORKDAYS.INTL(DATE($B$3,9,11),DATE($B$3,9,11),1,'Non-working days'!$A$6:$A$45)=0),"",IF(COUNTIFS('Leave log'!$A$7:$A$306,Employees!$A$21,'Leave log'!$B$7:$B$306,"&lt;="&amp;DATE($B$3,9,11),'Leave log'!$C$7:$C$306,"&gt;="&amp;DATE($B$3,9,11),'Leave log'!$F$7:$F$306,"Pending")&gt;0,"P",""))))</f>
        <v/>
      </c>
      <c r="M294" s="23" t="str">
        <f>IF(A294="","",IF(IF(OR(DATE($B$3,9,12)&gt;EOMONTH(DATE($B$3,9,1),0),NETWORKDAYS.INTL(DATE($B$3,9,12),DATE($B$3,9,12),1,'Non-working days'!$A$6:$A$45)=0),"",IF(COUNTIFS('Leave log'!$A$7:$A$306,Employees!$A$21,'Leave log'!$B$7:$B$306,"&lt;="&amp;DATE($B$3,9,12),'Leave log'!$C$7:$C$306,"&gt;="&amp;DATE($B$3,9,12),'Leave log'!$F$7:$F$306,"Approved")&gt;0,"A",""))="A","A",IF(OR(DATE($B$3,9,12)&gt;EOMONTH(DATE($B$3,9,1),0),NETWORKDAYS.INTL(DATE($B$3,9,12),DATE($B$3,9,12),1,'Non-working days'!$A$6:$A$45)=0),"",IF(COUNTIFS('Leave log'!$A$7:$A$306,Employees!$A$21,'Leave log'!$B$7:$B$306,"&lt;="&amp;DATE($B$3,9,12),'Leave log'!$C$7:$C$306,"&gt;="&amp;DATE($B$3,9,12),'Leave log'!$F$7:$F$306,"Pending")&gt;0,"P",""))))</f>
        <v/>
      </c>
      <c r="N294" s="23" t="str">
        <f>IF(A294="","",IF(IF(OR(DATE($B$3,9,13)&gt;EOMONTH(DATE($B$3,9,1),0),NETWORKDAYS.INTL(DATE($B$3,9,13),DATE($B$3,9,13),1,'Non-working days'!$A$6:$A$45)=0),"",IF(COUNTIFS('Leave log'!$A$7:$A$306,Employees!$A$21,'Leave log'!$B$7:$B$306,"&lt;="&amp;DATE($B$3,9,13),'Leave log'!$C$7:$C$306,"&gt;="&amp;DATE($B$3,9,13),'Leave log'!$F$7:$F$306,"Approved")&gt;0,"A",""))="A","A",IF(OR(DATE($B$3,9,13)&gt;EOMONTH(DATE($B$3,9,1),0),NETWORKDAYS.INTL(DATE($B$3,9,13),DATE($B$3,9,13),1,'Non-working days'!$A$6:$A$45)=0),"",IF(COUNTIFS('Leave log'!$A$7:$A$306,Employees!$A$21,'Leave log'!$B$7:$B$306,"&lt;="&amp;DATE($B$3,9,13),'Leave log'!$C$7:$C$306,"&gt;="&amp;DATE($B$3,9,13),'Leave log'!$F$7:$F$306,"Pending")&gt;0,"P",""))))</f>
        <v/>
      </c>
      <c r="O294" s="23" t="str">
        <f>IF(A294="","",IF(IF(OR(DATE($B$3,9,14)&gt;EOMONTH(DATE($B$3,9,1),0),NETWORKDAYS.INTL(DATE($B$3,9,14),DATE($B$3,9,14),1,'Non-working days'!$A$6:$A$45)=0),"",IF(COUNTIFS('Leave log'!$A$7:$A$306,Employees!$A$21,'Leave log'!$B$7:$B$306,"&lt;="&amp;DATE($B$3,9,14),'Leave log'!$C$7:$C$306,"&gt;="&amp;DATE($B$3,9,14),'Leave log'!$F$7:$F$306,"Approved")&gt;0,"A",""))="A","A",IF(OR(DATE($B$3,9,14)&gt;EOMONTH(DATE($B$3,9,1),0),NETWORKDAYS.INTL(DATE($B$3,9,14),DATE($B$3,9,14),1,'Non-working days'!$A$6:$A$45)=0),"",IF(COUNTIFS('Leave log'!$A$7:$A$306,Employees!$A$21,'Leave log'!$B$7:$B$306,"&lt;="&amp;DATE($B$3,9,14),'Leave log'!$C$7:$C$306,"&gt;="&amp;DATE($B$3,9,14),'Leave log'!$F$7:$F$306,"Pending")&gt;0,"P",""))))</f>
        <v/>
      </c>
      <c r="P294" s="23" t="str">
        <f>IF(A294="","",IF(IF(OR(DATE($B$3,9,15)&gt;EOMONTH(DATE($B$3,9,1),0),NETWORKDAYS.INTL(DATE($B$3,9,15),DATE($B$3,9,15),1,'Non-working days'!$A$6:$A$45)=0),"",IF(COUNTIFS('Leave log'!$A$7:$A$306,Employees!$A$21,'Leave log'!$B$7:$B$306,"&lt;="&amp;DATE($B$3,9,15),'Leave log'!$C$7:$C$306,"&gt;="&amp;DATE($B$3,9,15),'Leave log'!$F$7:$F$306,"Approved")&gt;0,"A",""))="A","A",IF(OR(DATE($B$3,9,15)&gt;EOMONTH(DATE($B$3,9,1),0),NETWORKDAYS.INTL(DATE($B$3,9,15),DATE($B$3,9,15),1,'Non-working days'!$A$6:$A$45)=0),"",IF(COUNTIFS('Leave log'!$A$7:$A$306,Employees!$A$21,'Leave log'!$B$7:$B$306,"&lt;="&amp;DATE($B$3,9,15),'Leave log'!$C$7:$C$306,"&gt;="&amp;DATE($B$3,9,15),'Leave log'!$F$7:$F$306,"Pending")&gt;0,"P",""))))</f>
        <v/>
      </c>
      <c r="Q294" s="23" t="str">
        <f>IF(A294="","",IF(IF(OR(DATE($B$3,9,16)&gt;EOMONTH(DATE($B$3,9,1),0),NETWORKDAYS.INTL(DATE($B$3,9,16),DATE($B$3,9,16),1,'Non-working days'!$A$6:$A$45)=0),"",IF(COUNTIFS('Leave log'!$A$7:$A$306,Employees!$A$21,'Leave log'!$B$7:$B$306,"&lt;="&amp;DATE($B$3,9,16),'Leave log'!$C$7:$C$306,"&gt;="&amp;DATE($B$3,9,16),'Leave log'!$F$7:$F$306,"Approved")&gt;0,"A",""))="A","A",IF(OR(DATE($B$3,9,16)&gt;EOMONTH(DATE($B$3,9,1),0),NETWORKDAYS.INTL(DATE($B$3,9,16),DATE($B$3,9,16),1,'Non-working days'!$A$6:$A$45)=0),"",IF(COUNTIFS('Leave log'!$A$7:$A$306,Employees!$A$21,'Leave log'!$B$7:$B$306,"&lt;="&amp;DATE($B$3,9,16),'Leave log'!$C$7:$C$306,"&gt;="&amp;DATE($B$3,9,16),'Leave log'!$F$7:$F$306,"Pending")&gt;0,"P",""))))</f>
        <v/>
      </c>
      <c r="R294" s="23" t="str">
        <f>IF(A294="","",IF(IF(OR(DATE($B$3,9,17)&gt;EOMONTH(DATE($B$3,9,1),0),NETWORKDAYS.INTL(DATE($B$3,9,17),DATE($B$3,9,17),1,'Non-working days'!$A$6:$A$45)=0),"",IF(COUNTIFS('Leave log'!$A$7:$A$306,Employees!$A$21,'Leave log'!$B$7:$B$306,"&lt;="&amp;DATE($B$3,9,17),'Leave log'!$C$7:$C$306,"&gt;="&amp;DATE($B$3,9,17),'Leave log'!$F$7:$F$306,"Approved")&gt;0,"A",""))="A","A",IF(OR(DATE($B$3,9,17)&gt;EOMONTH(DATE($B$3,9,1),0),NETWORKDAYS.INTL(DATE($B$3,9,17),DATE($B$3,9,17),1,'Non-working days'!$A$6:$A$45)=0),"",IF(COUNTIFS('Leave log'!$A$7:$A$306,Employees!$A$21,'Leave log'!$B$7:$B$306,"&lt;="&amp;DATE($B$3,9,17),'Leave log'!$C$7:$C$306,"&gt;="&amp;DATE($B$3,9,17),'Leave log'!$F$7:$F$306,"Pending")&gt;0,"P",""))))</f>
        <v/>
      </c>
      <c r="S294" s="23" t="str">
        <f>IF(A294="","",IF(IF(OR(DATE($B$3,9,18)&gt;EOMONTH(DATE($B$3,9,1),0),NETWORKDAYS.INTL(DATE($B$3,9,18),DATE($B$3,9,18),1,'Non-working days'!$A$6:$A$45)=0),"",IF(COUNTIFS('Leave log'!$A$7:$A$306,Employees!$A$21,'Leave log'!$B$7:$B$306,"&lt;="&amp;DATE($B$3,9,18),'Leave log'!$C$7:$C$306,"&gt;="&amp;DATE($B$3,9,18),'Leave log'!$F$7:$F$306,"Approved")&gt;0,"A",""))="A","A",IF(OR(DATE($B$3,9,18)&gt;EOMONTH(DATE($B$3,9,1),0),NETWORKDAYS.INTL(DATE($B$3,9,18),DATE($B$3,9,18),1,'Non-working days'!$A$6:$A$45)=0),"",IF(COUNTIFS('Leave log'!$A$7:$A$306,Employees!$A$21,'Leave log'!$B$7:$B$306,"&lt;="&amp;DATE($B$3,9,18),'Leave log'!$C$7:$C$306,"&gt;="&amp;DATE($B$3,9,18),'Leave log'!$F$7:$F$306,"Pending")&gt;0,"P",""))))</f>
        <v/>
      </c>
      <c r="T294" s="23" t="str">
        <f>IF(A294="","",IF(IF(OR(DATE($B$3,9,19)&gt;EOMONTH(DATE($B$3,9,1),0),NETWORKDAYS.INTL(DATE($B$3,9,19),DATE($B$3,9,19),1,'Non-working days'!$A$6:$A$45)=0),"",IF(COUNTIFS('Leave log'!$A$7:$A$306,Employees!$A$21,'Leave log'!$B$7:$B$306,"&lt;="&amp;DATE($B$3,9,19),'Leave log'!$C$7:$C$306,"&gt;="&amp;DATE($B$3,9,19),'Leave log'!$F$7:$F$306,"Approved")&gt;0,"A",""))="A","A",IF(OR(DATE($B$3,9,19)&gt;EOMONTH(DATE($B$3,9,1),0),NETWORKDAYS.INTL(DATE($B$3,9,19),DATE($B$3,9,19),1,'Non-working days'!$A$6:$A$45)=0),"",IF(COUNTIFS('Leave log'!$A$7:$A$306,Employees!$A$21,'Leave log'!$B$7:$B$306,"&lt;="&amp;DATE($B$3,9,19),'Leave log'!$C$7:$C$306,"&gt;="&amp;DATE($B$3,9,19),'Leave log'!$F$7:$F$306,"Pending")&gt;0,"P",""))))</f>
        <v/>
      </c>
      <c r="U294" s="23" t="str">
        <f>IF(A294="","",IF(IF(OR(DATE($B$3,9,20)&gt;EOMONTH(DATE($B$3,9,1),0),NETWORKDAYS.INTL(DATE($B$3,9,20),DATE($B$3,9,20),1,'Non-working days'!$A$6:$A$45)=0),"",IF(COUNTIFS('Leave log'!$A$7:$A$306,Employees!$A$21,'Leave log'!$B$7:$B$306,"&lt;="&amp;DATE($B$3,9,20),'Leave log'!$C$7:$C$306,"&gt;="&amp;DATE($B$3,9,20),'Leave log'!$F$7:$F$306,"Approved")&gt;0,"A",""))="A","A",IF(OR(DATE($B$3,9,20)&gt;EOMONTH(DATE($B$3,9,1),0),NETWORKDAYS.INTL(DATE($B$3,9,20),DATE($B$3,9,20),1,'Non-working days'!$A$6:$A$45)=0),"",IF(COUNTIFS('Leave log'!$A$7:$A$306,Employees!$A$21,'Leave log'!$B$7:$B$306,"&lt;="&amp;DATE($B$3,9,20),'Leave log'!$C$7:$C$306,"&gt;="&amp;DATE($B$3,9,20),'Leave log'!$F$7:$F$306,"Pending")&gt;0,"P",""))))</f>
        <v/>
      </c>
      <c r="V294" s="23" t="str">
        <f>IF(A294="","",IF(IF(OR(DATE($B$3,9,21)&gt;EOMONTH(DATE($B$3,9,1),0),NETWORKDAYS.INTL(DATE($B$3,9,21),DATE($B$3,9,21),1,'Non-working days'!$A$6:$A$45)=0),"",IF(COUNTIFS('Leave log'!$A$7:$A$306,Employees!$A$21,'Leave log'!$B$7:$B$306,"&lt;="&amp;DATE($B$3,9,21),'Leave log'!$C$7:$C$306,"&gt;="&amp;DATE($B$3,9,21),'Leave log'!$F$7:$F$306,"Approved")&gt;0,"A",""))="A","A",IF(OR(DATE($B$3,9,21)&gt;EOMONTH(DATE($B$3,9,1),0),NETWORKDAYS.INTL(DATE($B$3,9,21),DATE($B$3,9,21),1,'Non-working days'!$A$6:$A$45)=0),"",IF(COUNTIFS('Leave log'!$A$7:$A$306,Employees!$A$21,'Leave log'!$B$7:$B$306,"&lt;="&amp;DATE($B$3,9,21),'Leave log'!$C$7:$C$306,"&gt;="&amp;DATE($B$3,9,21),'Leave log'!$F$7:$F$306,"Pending")&gt;0,"P",""))))</f>
        <v/>
      </c>
      <c r="W294" s="23" t="str">
        <f>IF(A294="","",IF(IF(OR(DATE($B$3,9,22)&gt;EOMONTH(DATE($B$3,9,1),0),NETWORKDAYS.INTL(DATE($B$3,9,22),DATE($B$3,9,22),1,'Non-working days'!$A$6:$A$45)=0),"",IF(COUNTIFS('Leave log'!$A$7:$A$306,Employees!$A$21,'Leave log'!$B$7:$B$306,"&lt;="&amp;DATE($B$3,9,22),'Leave log'!$C$7:$C$306,"&gt;="&amp;DATE($B$3,9,22),'Leave log'!$F$7:$F$306,"Approved")&gt;0,"A",""))="A","A",IF(OR(DATE($B$3,9,22)&gt;EOMONTH(DATE($B$3,9,1),0),NETWORKDAYS.INTL(DATE($B$3,9,22),DATE($B$3,9,22),1,'Non-working days'!$A$6:$A$45)=0),"",IF(COUNTIFS('Leave log'!$A$7:$A$306,Employees!$A$21,'Leave log'!$B$7:$B$306,"&lt;="&amp;DATE($B$3,9,22),'Leave log'!$C$7:$C$306,"&gt;="&amp;DATE($B$3,9,22),'Leave log'!$F$7:$F$306,"Pending")&gt;0,"P",""))))</f>
        <v/>
      </c>
      <c r="X294" s="23" t="str">
        <f>IF(A294="","",IF(IF(OR(DATE($B$3,9,23)&gt;EOMONTH(DATE($B$3,9,1),0),NETWORKDAYS.INTL(DATE($B$3,9,23),DATE($B$3,9,23),1,'Non-working days'!$A$6:$A$45)=0),"",IF(COUNTIFS('Leave log'!$A$7:$A$306,Employees!$A$21,'Leave log'!$B$7:$B$306,"&lt;="&amp;DATE($B$3,9,23),'Leave log'!$C$7:$C$306,"&gt;="&amp;DATE($B$3,9,23),'Leave log'!$F$7:$F$306,"Approved")&gt;0,"A",""))="A","A",IF(OR(DATE($B$3,9,23)&gt;EOMONTH(DATE($B$3,9,1),0),NETWORKDAYS.INTL(DATE($B$3,9,23),DATE($B$3,9,23),1,'Non-working days'!$A$6:$A$45)=0),"",IF(COUNTIFS('Leave log'!$A$7:$A$306,Employees!$A$21,'Leave log'!$B$7:$B$306,"&lt;="&amp;DATE($B$3,9,23),'Leave log'!$C$7:$C$306,"&gt;="&amp;DATE($B$3,9,23),'Leave log'!$F$7:$F$306,"Pending")&gt;0,"P",""))))</f>
        <v/>
      </c>
      <c r="Y294" s="23" t="str">
        <f>IF(A294="","",IF(IF(OR(DATE($B$3,9,24)&gt;EOMONTH(DATE($B$3,9,1),0),NETWORKDAYS.INTL(DATE($B$3,9,24),DATE($B$3,9,24),1,'Non-working days'!$A$6:$A$45)=0),"",IF(COUNTIFS('Leave log'!$A$7:$A$306,Employees!$A$21,'Leave log'!$B$7:$B$306,"&lt;="&amp;DATE($B$3,9,24),'Leave log'!$C$7:$C$306,"&gt;="&amp;DATE($B$3,9,24),'Leave log'!$F$7:$F$306,"Approved")&gt;0,"A",""))="A","A",IF(OR(DATE($B$3,9,24)&gt;EOMONTH(DATE($B$3,9,1),0),NETWORKDAYS.INTL(DATE($B$3,9,24),DATE($B$3,9,24),1,'Non-working days'!$A$6:$A$45)=0),"",IF(COUNTIFS('Leave log'!$A$7:$A$306,Employees!$A$21,'Leave log'!$B$7:$B$306,"&lt;="&amp;DATE($B$3,9,24),'Leave log'!$C$7:$C$306,"&gt;="&amp;DATE($B$3,9,24),'Leave log'!$F$7:$F$306,"Pending")&gt;0,"P",""))))</f>
        <v/>
      </c>
      <c r="Z294" s="23" t="str">
        <f>IF(A294="","",IF(IF(OR(DATE($B$3,9,25)&gt;EOMONTH(DATE($B$3,9,1),0),NETWORKDAYS.INTL(DATE($B$3,9,25),DATE($B$3,9,25),1,'Non-working days'!$A$6:$A$45)=0),"",IF(COUNTIFS('Leave log'!$A$7:$A$306,Employees!$A$21,'Leave log'!$B$7:$B$306,"&lt;="&amp;DATE($B$3,9,25),'Leave log'!$C$7:$C$306,"&gt;="&amp;DATE($B$3,9,25),'Leave log'!$F$7:$F$306,"Approved")&gt;0,"A",""))="A","A",IF(OR(DATE($B$3,9,25)&gt;EOMONTH(DATE($B$3,9,1),0),NETWORKDAYS.INTL(DATE($B$3,9,25),DATE($B$3,9,25),1,'Non-working days'!$A$6:$A$45)=0),"",IF(COUNTIFS('Leave log'!$A$7:$A$306,Employees!$A$21,'Leave log'!$B$7:$B$306,"&lt;="&amp;DATE($B$3,9,25),'Leave log'!$C$7:$C$306,"&gt;="&amp;DATE($B$3,9,25),'Leave log'!$F$7:$F$306,"Pending")&gt;0,"P",""))))</f>
        <v/>
      </c>
      <c r="AA294" s="23" t="str">
        <f>IF(A294="","",IF(IF(OR(DATE($B$3,9,26)&gt;EOMONTH(DATE($B$3,9,1),0),NETWORKDAYS.INTL(DATE($B$3,9,26),DATE($B$3,9,26),1,'Non-working days'!$A$6:$A$45)=0),"",IF(COUNTIFS('Leave log'!$A$7:$A$306,Employees!$A$21,'Leave log'!$B$7:$B$306,"&lt;="&amp;DATE($B$3,9,26),'Leave log'!$C$7:$C$306,"&gt;="&amp;DATE($B$3,9,26),'Leave log'!$F$7:$F$306,"Approved")&gt;0,"A",""))="A","A",IF(OR(DATE($B$3,9,26)&gt;EOMONTH(DATE($B$3,9,1),0),NETWORKDAYS.INTL(DATE($B$3,9,26),DATE($B$3,9,26),1,'Non-working days'!$A$6:$A$45)=0),"",IF(COUNTIFS('Leave log'!$A$7:$A$306,Employees!$A$21,'Leave log'!$B$7:$B$306,"&lt;="&amp;DATE($B$3,9,26),'Leave log'!$C$7:$C$306,"&gt;="&amp;DATE($B$3,9,26),'Leave log'!$F$7:$F$306,"Pending")&gt;0,"P",""))))</f>
        <v/>
      </c>
      <c r="AB294" s="23" t="str">
        <f>IF(A294="","",IF(IF(OR(DATE($B$3,9,27)&gt;EOMONTH(DATE($B$3,9,1),0),NETWORKDAYS.INTL(DATE($B$3,9,27),DATE($B$3,9,27),1,'Non-working days'!$A$6:$A$45)=0),"",IF(COUNTIFS('Leave log'!$A$7:$A$306,Employees!$A$21,'Leave log'!$B$7:$B$306,"&lt;="&amp;DATE($B$3,9,27),'Leave log'!$C$7:$C$306,"&gt;="&amp;DATE($B$3,9,27),'Leave log'!$F$7:$F$306,"Approved")&gt;0,"A",""))="A","A",IF(OR(DATE($B$3,9,27)&gt;EOMONTH(DATE($B$3,9,1),0),NETWORKDAYS.INTL(DATE($B$3,9,27),DATE($B$3,9,27),1,'Non-working days'!$A$6:$A$45)=0),"",IF(COUNTIFS('Leave log'!$A$7:$A$306,Employees!$A$21,'Leave log'!$B$7:$B$306,"&lt;="&amp;DATE($B$3,9,27),'Leave log'!$C$7:$C$306,"&gt;="&amp;DATE($B$3,9,27),'Leave log'!$F$7:$F$306,"Pending")&gt;0,"P",""))))</f>
        <v/>
      </c>
      <c r="AC294" s="23" t="str">
        <f>IF(A294="","",IF(IF(OR(DATE($B$3,9,28)&gt;EOMONTH(DATE($B$3,9,1),0),NETWORKDAYS.INTL(DATE($B$3,9,28),DATE($B$3,9,28),1,'Non-working days'!$A$6:$A$45)=0),"",IF(COUNTIFS('Leave log'!$A$7:$A$306,Employees!$A$21,'Leave log'!$B$7:$B$306,"&lt;="&amp;DATE($B$3,9,28),'Leave log'!$C$7:$C$306,"&gt;="&amp;DATE($B$3,9,28),'Leave log'!$F$7:$F$306,"Approved")&gt;0,"A",""))="A","A",IF(OR(DATE($B$3,9,28)&gt;EOMONTH(DATE($B$3,9,1),0),NETWORKDAYS.INTL(DATE($B$3,9,28),DATE($B$3,9,28),1,'Non-working days'!$A$6:$A$45)=0),"",IF(COUNTIFS('Leave log'!$A$7:$A$306,Employees!$A$21,'Leave log'!$B$7:$B$306,"&lt;="&amp;DATE($B$3,9,28),'Leave log'!$C$7:$C$306,"&gt;="&amp;DATE($B$3,9,28),'Leave log'!$F$7:$F$306,"Pending")&gt;0,"P",""))))</f>
        <v/>
      </c>
      <c r="AD294" s="23" t="str">
        <f>IF(A294="","",IF(IF(OR(DATE($B$3,9,29)&gt;EOMONTH(DATE($B$3,9,1),0),NETWORKDAYS.INTL(DATE($B$3,9,29),DATE($B$3,9,29),1,'Non-working days'!$A$6:$A$45)=0),"",IF(COUNTIFS('Leave log'!$A$7:$A$306,Employees!$A$21,'Leave log'!$B$7:$B$306,"&lt;="&amp;DATE($B$3,9,29),'Leave log'!$C$7:$C$306,"&gt;="&amp;DATE($B$3,9,29),'Leave log'!$F$7:$F$306,"Approved")&gt;0,"A",""))="A","A",IF(OR(DATE($B$3,9,29)&gt;EOMONTH(DATE($B$3,9,1),0),NETWORKDAYS.INTL(DATE($B$3,9,29),DATE($B$3,9,29),1,'Non-working days'!$A$6:$A$45)=0),"",IF(COUNTIFS('Leave log'!$A$7:$A$306,Employees!$A$21,'Leave log'!$B$7:$B$306,"&lt;="&amp;DATE($B$3,9,29),'Leave log'!$C$7:$C$306,"&gt;="&amp;DATE($B$3,9,29),'Leave log'!$F$7:$F$306,"Pending")&gt;0,"P",""))))</f>
        <v/>
      </c>
      <c r="AE294" s="23" t="str">
        <f>IF(A294="","",IF(IF(OR(DATE($B$3,9,30)&gt;EOMONTH(DATE($B$3,9,1),0),NETWORKDAYS.INTL(DATE($B$3,9,30),DATE($B$3,9,30),1,'Non-working days'!$A$6:$A$45)=0),"",IF(COUNTIFS('Leave log'!$A$7:$A$306,Employees!$A$21,'Leave log'!$B$7:$B$306,"&lt;="&amp;DATE($B$3,9,30),'Leave log'!$C$7:$C$306,"&gt;="&amp;DATE($B$3,9,30),'Leave log'!$F$7:$F$306,"Approved")&gt;0,"A",""))="A","A",IF(OR(DATE($B$3,9,30)&gt;EOMONTH(DATE($B$3,9,1),0),NETWORKDAYS.INTL(DATE($B$3,9,30),DATE($B$3,9,30),1,'Non-working days'!$A$6:$A$45)=0),"",IF(COUNTIFS('Leave log'!$A$7:$A$306,Employees!$A$21,'Leave log'!$B$7:$B$306,"&lt;="&amp;DATE($B$3,9,30),'Leave log'!$C$7:$C$306,"&gt;="&amp;DATE($B$3,9,30),'Leave log'!$F$7:$F$306,"Pending")&gt;0,"P",""))))</f>
        <v/>
      </c>
      <c r="AF294" s="23" t="str">
        <f>IF(A294="","",IF(IF(OR(DATE($B$3,9,31)&gt;EOMONTH(DATE($B$3,9,1),0),NETWORKDAYS.INTL(DATE($B$3,9,31),DATE($B$3,9,31),1,'Non-working days'!$A$6:$A$45)=0),"",IF(COUNTIFS('Leave log'!$A$7:$A$306,Employees!$A$21,'Leave log'!$B$7:$B$306,"&lt;="&amp;DATE($B$3,9,31),'Leave log'!$C$7:$C$306,"&gt;="&amp;DATE($B$3,9,31),'Leave log'!$F$7:$F$306,"Approved")&gt;0,"A",""))="A","A",IF(OR(DATE($B$3,9,31)&gt;EOMONTH(DATE($B$3,9,1),0),NETWORKDAYS.INTL(DATE($B$3,9,31),DATE($B$3,9,31),1,'Non-working days'!$A$6:$A$45)=0),"",IF(COUNTIFS('Leave log'!$A$7:$A$306,Employees!$A$21,'Leave log'!$B$7:$B$306,"&lt;="&amp;DATE($B$3,9,31),'Leave log'!$C$7:$C$306,"&gt;="&amp;DATE($B$3,9,31),'Leave log'!$F$7:$F$306,"Pending")&gt;0,"P",""))))</f>
        <v/>
      </c>
    </row>
    <row r="295" spans="1:32" ht="18" customHeight="1" x14ac:dyDescent="0.3">
      <c r="A295" s="22" t="str">
        <f>IF(Employees!F22="Yes",Employees!B22,"")</f>
        <v/>
      </c>
      <c r="B295" s="23" t="str">
        <f>IF(A295="","",IF(IF(OR(DATE($B$3,9,1)&gt;EOMONTH(DATE($B$3,9,1),0),NETWORKDAYS.INTL(DATE($B$3,9,1),DATE($B$3,9,1),1,'Non-working days'!$A$6:$A$45)=0),"",IF(COUNTIFS('Leave log'!$A$7:$A$306,Employees!$A$22,'Leave log'!$B$7:$B$306,"&lt;="&amp;DATE($B$3,9,1),'Leave log'!$C$7:$C$306,"&gt;="&amp;DATE($B$3,9,1),'Leave log'!$F$7:$F$306,"Approved")&gt;0,"A",""))="A","A",IF(OR(DATE($B$3,9,1)&gt;EOMONTH(DATE($B$3,9,1),0),NETWORKDAYS.INTL(DATE($B$3,9,1),DATE($B$3,9,1),1,'Non-working days'!$A$6:$A$45)=0),"",IF(COUNTIFS('Leave log'!$A$7:$A$306,Employees!$A$22,'Leave log'!$B$7:$B$306,"&lt;="&amp;DATE($B$3,9,1),'Leave log'!$C$7:$C$306,"&gt;="&amp;DATE($B$3,9,1),'Leave log'!$F$7:$F$306,"Pending")&gt;0,"P",""))))</f>
        <v/>
      </c>
      <c r="C295" s="23" t="str">
        <f>IF(A295="","",IF(IF(OR(DATE($B$3,9,2)&gt;EOMONTH(DATE($B$3,9,1),0),NETWORKDAYS.INTL(DATE($B$3,9,2),DATE($B$3,9,2),1,'Non-working days'!$A$6:$A$45)=0),"",IF(COUNTIFS('Leave log'!$A$7:$A$306,Employees!$A$22,'Leave log'!$B$7:$B$306,"&lt;="&amp;DATE($B$3,9,2),'Leave log'!$C$7:$C$306,"&gt;="&amp;DATE($B$3,9,2),'Leave log'!$F$7:$F$306,"Approved")&gt;0,"A",""))="A","A",IF(OR(DATE($B$3,9,2)&gt;EOMONTH(DATE($B$3,9,1),0),NETWORKDAYS.INTL(DATE($B$3,9,2),DATE($B$3,9,2),1,'Non-working days'!$A$6:$A$45)=0),"",IF(COUNTIFS('Leave log'!$A$7:$A$306,Employees!$A$22,'Leave log'!$B$7:$B$306,"&lt;="&amp;DATE($B$3,9,2),'Leave log'!$C$7:$C$306,"&gt;="&amp;DATE($B$3,9,2),'Leave log'!$F$7:$F$306,"Pending")&gt;0,"P",""))))</f>
        <v/>
      </c>
      <c r="D295" s="23" t="str">
        <f>IF(A295="","",IF(IF(OR(DATE($B$3,9,3)&gt;EOMONTH(DATE($B$3,9,1),0),NETWORKDAYS.INTL(DATE($B$3,9,3),DATE($B$3,9,3),1,'Non-working days'!$A$6:$A$45)=0),"",IF(COUNTIFS('Leave log'!$A$7:$A$306,Employees!$A$22,'Leave log'!$B$7:$B$306,"&lt;="&amp;DATE($B$3,9,3),'Leave log'!$C$7:$C$306,"&gt;="&amp;DATE($B$3,9,3),'Leave log'!$F$7:$F$306,"Approved")&gt;0,"A",""))="A","A",IF(OR(DATE($B$3,9,3)&gt;EOMONTH(DATE($B$3,9,1),0),NETWORKDAYS.INTL(DATE($B$3,9,3),DATE($B$3,9,3),1,'Non-working days'!$A$6:$A$45)=0),"",IF(COUNTIFS('Leave log'!$A$7:$A$306,Employees!$A$22,'Leave log'!$B$7:$B$306,"&lt;="&amp;DATE($B$3,9,3),'Leave log'!$C$7:$C$306,"&gt;="&amp;DATE($B$3,9,3),'Leave log'!$F$7:$F$306,"Pending")&gt;0,"P",""))))</f>
        <v/>
      </c>
      <c r="E295" s="23" t="str">
        <f>IF(A295="","",IF(IF(OR(DATE($B$3,9,4)&gt;EOMONTH(DATE($B$3,9,1),0),NETWORKDAYS.INTL(DATE($B$3,9,4),DATE($B$3,9,4),1,'Non-working days'!$A$6:$A$45)=0),"",IF(COUNTIFS('Leave log'!$A$7:$A$306,Employees!$A$22,'Leave log'!$B$7:$B$306,"&lt;="&amp;DATE($B$3,9,4),'Leave log'!$C$7:$C$306,"&gt;="&amp;DATE($B$3,9,4),'Leave log'!$F$7:$F$306,"Approved")&gt;0,"A",""))="A","A",IF(OR(DATE($B$3,9,4)&gt;EOMONTH(DATE($B$3,9,1),0),NETWORKDAYS.INTL(DATE($B$3,9,4),DATE($B$3,9,4),1,'Non-working days'!$A$6:$A$45)=0),"",IF(COUNTIFS('Leave log'!$A$7:$A$306,Employees!$A$22,'Leave log'!$B$7:$B$306,"&lt;="&amp;DATE($B$3,9,4),'Leave log'!$C$7:$C$306,"&gt;="&amp;DATE($B$3,9,4),'Leave log'!$F$7:$F$306,"Pending")&gt;0,"P",""))))</f>
        <v/>
      </c>
      <c r="F295" s="23" t="str">
        <f>IF(A295="","",IF(IF(OR(DATE($B$3,9,5)&gt;EOMONTH(DATE($B$3,9,1),0),NETWORKDAYS.INTL(DATE($B$3,9,5),DATE($B$3,9,5),1,'Non-working days'!$A$6:$A$45)=0),"",IF(COUNTIFS('Leave log'!$A$7:$A$306,Employees!$A$22,'Leave log'!$B$7:$B$306,"&lt;="&amp;DATE($B$3,9,5),'Leave log'!$C$7:$C$306,"&gt;="&amp;DATE($B$3,9,5),'Leave log'!$F$7:$F$306,"Approved")&gt;0,"A",""))="A","A",IF(OR(DATE($B$3,9,5)&gt;EOMONTH(DATE($B$3,9,1),0),NETWORKDAYS.INTL(DATE($B$3,9,5),DATE($B$3,9,5),1,'Non-working days'!$A$6:$A$45)=0),"",IF(COUNTIFS('Leave log'!$A$7:$A$306,Employees!$A$22,'Leave log'!$B$7:$B$306,"&lt;="&amp;DATE($B$3,9,5),'Leave log'!$C$7:$C$306,"&gt;="&amp;DATE($B$3,9,5),'Leave log'!$F$7:$F$306,"Pending")&gt;0,"P",""))))</f>
        <v/>
      </c>
      <c r="G295" s="23" t="str">
        <f>IF(A295="","",IF(IF(OR(DATE($B$3,9,6)&gt;EOMONTH(DATE($B$3,9,1),0),NETWORKDAYS.INTL(DATE($B$3,9,6),DATE($B$3,9,6),1,'Non-working days'!$A$6:$A$45)=0),"",IF(COUNTIFS('Leave log'!$A$7:$A$306,Employees!$A$22,'Leave log'!$B$7:$B$306,"&lt;="&amp;DATE($B$3,9,6),'Leave log'!$C$7:$C$306,"&gt;="&amp;DATE($B$3,9,6),'Leave log'!$F$7:$F$306,"Approved")&gt;0,"A",""))="A","A",IF(OR(DATE($B$3,9,6)&gt;EOMONTH(DATE($B$3,9,1),0),NETWORKDAYS.INTL(DATE($B$3,9,6),DATE($B$3,9,6),1,'Non-working days'!$A$6:$A$45)=0),"",IF(COUNTIFS('Leave log'!$A$7:$A$306,Employees!$A$22,'Leave log'!$B$7:$B$306,"&lt;="&amp;DATE($B$3,9,6),'Leave log'!$C$7:$C$306,"&gt;="&amp;DATE($B$3,9,6),'Leave log'!$F$7:$F$306,"Pending")&gt;0,"P",""))))</f>
        <v/>
      </c>
      <c r="H295" s="23" t="str">
        <f>IF(A295="","",IF(IF(OR(DATE($B$3,9,7)&gt;EOMONTH(DATE($B$3,9,1),0),NETWORKDAYS.INTL(DATE($B$3,9,7),DATE($B$3,9,7),1,'Non-working days'!$A$6:$A$45)=0),"",IF(COUNTIFS('Leave log'!$A$7:$A$306,Employees!$A$22,'Leave log'!$B$7:$B$306,"&lt;="&amp;DATE($B$3,9,7),'Leave log'!$C$7:$C$306,"&gt;="&amp;DATE($B$3,9,7),'Leave log'!$F$7:$F$306,"Approved")&gt;0,"A",""))="A","A",IF(OR(DATE($B$3,9,7)&gt;EOMONTH(DATE($B$3,9,1),0),NETWORKDAYS.INTL(DATE($B$3,9,7),DATE($B$3,9,7),1,'Non-working days'!$A$6:$A$45)=0),"",IF(COUNTIFS('Leave log'!$A$7:$A$306,Employees!$A$22,'Leave log'!$B$7:$B$306,"&lt;="&amp;DATE($B$3,9,7),'Leave log'!$C$7:$C$306,"&gt;="&amp;DATE($B$3,9,7),'Leave log'!$F$7:$F$306,"Pending")&gt;0,"P",""))))</f>
        <v/>
      </c>
      <c r="I295" s="23" t="str">
        <f>IF(A295="","",IF(IF(OR(DATE($B$3,9,8)&gt;EOMONTH(DATE($B$3,9,1),0),NETWORKDAYS.INTL(DATE($B$3,9,8),DATE($B$3,9,8),1,'Non-working days'!$A$6:$A$45)=0),"",IF(COUNTIFS('Leave log'!$A$7:$A$306,Employees!$A$22,'Leave log'!$B$7:$B$306,"&lt;="&amp;DATE($B$3,9,8),'Leave log'!$C$7:$C$306,"&gt;="&amp;DATE($B$3,9,8),'Leave log'!$F$7:$F$306,"Approved")&gt;0,"A",""))="A","A",IF(OR(DATE($B$3,9,8)&gt;EOMONTH(DATE($B$3,9,1),0),NETWORKDAYS.INTL(DATE($B$3,9,8),DATE($B$3,9,8),1,'Non-working days'!$A$6:$A$45)=0),"",IF(COUNTIFS('Leave log'!$A$7:$A$306,Employees!$A$22,'Leave log'!$B$7:$B$306,"&lt;="&amp;DATE($B$3,9,8),'Leave log'!$C$7:$C$306,"&gt;="&amp;DATE($B$3,9,8),'Leave log'!$F$7:$F$306,"Pending")&gt;0,"P",""))))</f>
        <v/>
      </c>
      <c r="J295" s="23" t="str">
        <f>IF(A295="","",IF(IF(OR(DATE($B$3,9,9)&gt;EOMONTH(DATE($B$3,9,1),0),NETWORKDAYS.INTL(DATE($B$3,9,9),DATE($B$3,9,9),1,'Non-working days'!$A$6:$A$45)=0),"",IF(COUNTIFS('Leave log'!$A$7:$A$306,Employees!$A$22,'Leave log'!$B$7:$B$306,"&lt;="&amp;DATE($B$3,9,9),'Leave log'!$C$7:$C$306,"&gt;="&amp;DATE($B$3,9,9),'Leave log'!$F$7:$F$306,"Approved")&gt;0,"A",""))="A","A",IF(OR(DATE($B$3,9,9)&gt;EOMONTH(DATE($B$3,9,1),0),NETWORKDAYS.INTL(DATE($B$3,9,9),DATE($B$3,9,9),1,'Non-working days'!$A$6:$A$45)=0),"",IF(COUNTIFS('Leave log'!$A$7:$A$306,Employees!$A$22,'Leave log'!$B$7:$B$306,"&lt;="&amp;DATE($B$3,9,9),'Leave log'!$C$7:$C$306,"&gt;="&amp;DATE($B$3,9,9),'Leave log'!$F$7:$F$306,"Pending")&gt;0,"P",""))))</f>
        <v/>
      </c>
      <c r="K295" s="23" t="str">
        <f>IF(A295="","",IF(IF(OR(DATE($B$3,9,10)&gt;EOMONTH(DATE($B$3,9,1),0),NETWORKDAYS.INTL(DATE($B$3,9,10),DATE($B$3,9,10),1,'Non-working days'!$A$6:$A$45)=0),"",IF(COUNTIFS('Leave log'!$A$7:$A$306,Employees!$A$22,'Leave log'!$B$7:$B$306,"&lt;="&amp;DATE($B$3,9,10),'Leave log'!$C$7:$C$306,"&gt;="&amp;DATE($B$3,9,10),'Leave log'!$F$7:$F$306,"Approved")&gt;0,"A",""))="A","A",IF(OR(DATE($B$3,9,10)&gt;EOMONTH(DATE($B$3,9,1),0),NETWORKDAYS.INTL(DATE($B$3,9,10),DATE($B$3,9,10),1,'Non-working days'!$A$6:$A$45)=0),"",IF(COUNTIFS('Leave log'!$A$7:$A$306,Employees!$A$22,'Leave log'!$B$7:$B$306,"&lt;="&amp;DATE($B$3,9,10),'Leave log'!$C$7:$C$306,"&gt;="&amp;DATE($B$3,9,10),'Leave log'!$F$7:$F$306,"Pending")&gt;0,"P",""))))</f>
        <v/>
      </c>
      <c r="L295" s="23" t="str">
        <f>IF(A295="","",IF(IF(OR(DATE($B$3,9,11)&gt;EOMONTH(DATE($B$3,9,1),0),NETWORKDAYS.INTL(DATE($B$3,9,11),DATE($B$3,9,11),1,'Non-working days'!$A$6:$A$45)=0),"",IF(COUNTIFS('Leave log'!$A$7:$A$306,Employees!$A$22,'Leave log'!$B$7:$B$306,"&lt;="&amp;DATE($B$3,9,11),'Leave log'!$C$7:$C$306,"&gt;="&amp;DATE($B$3,9,11),'Leave log'!$F$7:$F$306,"Approved")&gt;0,"A",""))="A","A",IF(OR(DATE($B$3,9,11)&gt;EOMONTH(DATE($B$3,9,1),0),NETWORKDAYS.INTL(DATE($B$3,9,11),DATE($B$3,9,11),1,'Non-working days'!$A$6:$A$45)=0),"",IF(COUNTIFS('Leave log'!$A$7:$A$306,Employees!$A$22,'Leave log'!$B$7:$B$306,"&lt;="&amp;DATE($B$3,9,11),'Leave log'!$C$7:$C$306,"&gt;="&amp;DATE($B$3,9,11),'Leave log'!$F$7:$F$306,"Pending")&gt;0,"P",""))))</f>
        <v/>
      </c>
      <c r="M295" s="23" t="str">
        <f>IF(A295="","",IF(IF(OR(DATE($B$3,9,12)&gt;EOMONTH(DATE($B$3,9,1),0),NETWORKDAYS.INTL(DATE($B$3,9,12),DATE($B$3,9,12),1,'Non-working days'!$A$6:$A$45)=0),"",IF(COUNTIFS('Leave log'!$A$7:$A$306,Employees!$A$22,'Leave log'!$B$7:$B$306,"&lt;="&amp;DATE($B$3,9,12),'Leave log'!$C$7:$C$306,"&gt;="&amp;DATE($B$3,9,12),'Leave log'!$F$7:$F$306,"Approved")&gt;0,"A",""))="A","A",IF(OR(DATE($B$3,9,12)&gt;EOMONTH(DATE($B$3,9,1),0),NETWORKDAYS.INTL(DATE($B$3,9,12),DATE($B$3,9,12),1,'Non-working days'!$A$6:$A$45)=0),"",IF(COUNTIFS('Leave log'!$A$7:$A$306,Employees!$A$22,'Leave log'!$B$7:$B$306,"&lt;="&amp;DATE($B$3,9,12),'Leave log'!$C$7:$C$306,"&gt;="&amp;DATE($B$3,9,12),'Leave log'!$F$7:$F$306,"Pending")&gt;0,"P",""))))</f>
        <v/>
      </c>
      <c r="N295" s="23" t="str">
        <f>IF(A295="","",IF(IF(OR(DATE($B$3,9,13)&gt;EOMONTH(DATE($B$3,9,1),0),NETWORKDAYS.INTL(DATE($B$3,9,13),DATE($B$3,9,13),1,'Non-working days'!$A$6:$A$45)=0),"",IF(COUNTIFS('Leave log'!$A$7:$A$306,Employees!$A$22,'Leave log'!$B$7:$B$306,"&lt;="&amp;DATE($B$3,9,13),'Leave log'!$C$7:$C$306,"&gt;="&amp;DATE($B$3,9,13),'Leave log'!$F$7:$F$306,"Approved")&gt;0,"A",""))="A","A",IF(OR(DATE($B$3,9,13)&gt;EOMONTH(DATE($B$3,9,1),0),NETWORKDAYS.INTL(DATE($B$3,9,13),DATE($B$3,9,13),1,'Non-working days'!$A$6:$A$45)=0),"",IF(COUNTIFS('Leave log'!$A$7:$A$306,Employees!$A$22,'Leave log'!$B$7:$B$306,"&lt;="&amp;DATE($B$3,9,13),'Leave log'!$C$7:$C$306,"&gt;="&amp;DATE($B$3,9,13),'Leave log'!$F$7:$F$306,"Pending")&gt;0,"P",""))))</f>
        <v/>
      </c>
      <c r="O295" s="23" t="str">
        <f>IF(A295="","",IF(IF(OR(DATE($B$3,9,14)&gt;EOMONTH(DATE($B$3,9,1),0),NETWORKDAYS.INTL(DATE($B$3,9,14),DATE($B$3,9,14),1,'Non-working days'!$A$6:$A$45)=0),"",IF(COUNTIFS('Leave log'!$A$7:$A$306,Employees!$A$22,'Leave log'!$B$7:$B$306,"&lt;="&amp;DATE($B$3,9,14),'Leave log'!$C$7:$C$306,"&gt;="&amp;DATE($B$3,9,14),'Leave log'!$F$7:$F$306,"Approved")&gt;0,"A",""))="A","A",IF(OR(DATE($B$3,9,14)&gt;EOMONTH(DATE($B$3,9,1),0),NETWORKDAYS.INTL(DATE($B$3,9,14),DATE($B$3,9,14),1,'Non-working days'!$A$6:$A$45)=0),"",IF(COUNTIFS('Leave log'!$A$7:$A$306,Employees!$A$22,'Leave log'!$B$7:$B$306,"&lt;="&amp;DATE($B$3,9,14),'Leave log'!$C$7:$C$306,"&gt;="&amp;DATE($B$3,9,14),'Leave log'!$F$7:$F$306,"Pending")&gt;0,"P",""))))</f>
        <v/>
      </c>
      <c r="P295" s="23" t="str">
        <f>IF(A295="","",IF(IF(OR(DATE($B$3,9,15)&gt;EOMONTH(DATE($B$3,9,1),0),NETWORKDAYS.INTL(DATE($B$3,9,15),DATE($B$3,9,15),1,'Non-working days'!$A$6:$A$45)=0),"",IF(COUNTIFS('Leave log'!$A$7:$A$306,Employees!$A$22,'Leave log'!$B$7:$B$306,"&lt;="&amp;DATE($B$3,9,15),'Leave log'!$C$7:$C$306,"&gt;="&amp;DATE($B$3,9,15),'Leave log'!$F$7:$F$306,"Approved")&gt;0,"A",""))="A","A",IF(OR(DATE($B$3,9,15)&gt;EOMONTH(DATE($B$3,9,1),0),NETWORKDAYS.INTL(DATE($B$3,9,15),DATE($B$3,9,15),1,'Non-working days'!$A$6:$A$45)=0),"",IF(COUNTIFS('Leave log'!$A$7:$A$306,Employees!$A$22,'Leave log'!$B$7:$B$306,"&lt;="&amp;DATE($B$3,9,15),'Leave log'!$C$7:$C$306,"&gt;="&amp;DATE($B$3,9,15),'Leave log'!$F$7:$F$306,"Pending")&gt;0,"P",""))))</f>
        <v/>
      </c>
      <c r="Q295" s="23" t="str">
        <f>IF(A295="","",IF(IF(OR(DATE($B$3,9,16)&gt;EOMONTH(DATE($B$3,9,1),0),NETWORKDAYS.INTL(DATE($B$3,9,16),DATE($B$3,9,16),1,'Non-working days'!$A$6:$A$45)=0),"",IF(COUNTIFS('Leave log'!$A$7:$A$306,Employees!$A$22,'Leave log'!$B$7:$B$306,"&lt;="&amp;DATE($B$3,9,16),'Leave log'!$C$7:$C$306,"&gt;="&amp;DATE($B$3,9,16),'Leave log'!$F$7:$F$306,"Approved")&gt;0,"A",""))="A","A",IF(OR(DATE($B$3,9,16)&gt;EOMONTH(DATE($B$3,9,1),0),NETWORKDAYS.INTL(DATE($B$3,9,16),DATE($B$3,9,16),1,'Non-working days'!$A$6:$A$45)=0),"",IF(COUNTIFS('Leave log'!$A$7:$A$306,Employees!$A$22,'Leave log'!$B$7:$B$306,"&lt;="&amp;DATE($B$3,9,16),'Leave log'!$C$7:$C$306,"&gt;="&amp;DATE($B$3,9,16),'Leave log'!$F$7:$F$306,"Pending")&gt;0,"P",""))))</f>
        <v/>
      </c>
      <c r="R295" s="23" t="str">
        <f>IF(A295="","",IF(IF(OR(DATE($B$3,9,17)&gt;EOMONTH(DATE($B$3,9,1),0),NETWORKDAYS.INTL(DATE($B$3,9,17),DATE($B$3,9,17),1,'Non-working days'!$A$6:$A$45)=0),"",IF(COUNTIFS('Leave log'!$A$7:$A$306,Employees!$A$22,'Leave log'!$B$7:$B$306,"&lt;="&amp;DATE($B$3,9,17),'Leave log'!$C$7:$C$306,"&gt;="&amp;DATE($B$3,9,17),'Leave log'!$F$7:$F$306,"Approved")&gt;0,"A",""))="A","A",IF(OR(DATE($B$3,9,17)&gt;EOMONTH(DATE($B$3,9,1),0),NETWORKDAYS.INTL(DATE($B$3,9,17),DATE($B$3,9,17),1,'Non-working days'!$A$6:$A$45)=0),"",IF(COUNTIFS('Leave log'!$A$7:$A$306,Employees!$A$22,'Leave log'!$B$7:$B$306,"&lt;="&amp;DATE($B$3,9,17),'Leave log'!$C$7:$C$306,"&gt;="&amp;DATE($B$3,9,17),'Leave log'!$F$7:$F$306,"Pending")&gt;0,"P",""))))</f>
        <v/>
      </c>
      <c r="S295" s="23" t="str">
        <f>IF(A295="","",IF(IF(OR(DATE($B$3,9,18)&gt;EOMONTH(DATE($B$3,9,1),0),NETWORKDAYS.INTL(DATE($B$3,9,18),DATE($B$3,9,18),1,'Non-working days'!$A$6:$A$45)=0),"",IF(COUNTIFS('Leave log'!$A$7:$A$306,Employees!$A$22,'Leave log'!$B$7:$B$306,"&lt;="&amp;DATE($B$3,9,18),'Leave log'!$C$7:$C$306,"&gt;="&amp;DATE($B$3,9,18),'Leave log'!$F$7:$F$306,"Approved")&gt;0,"A",""))="A","A",IF(OR(DATE($B$3,9,18)&gt;EOMONTH(DATE($B$3,9,1),0),NETWORKDAYS.INTL(DATE($B$3,9,18),DATE($B$3,9,18),1,'Non-working days'!$A$6:$A$45)=0),"",IF(COUNTIFS('Leave log'!$A$7:$A$306,Employees!$A$22,'Leave log'!$B$7:$B$306,"&lt;="&amp;DATE($B$3,9,18),'Leave log'!$C$7:$C$306,"&gt;="&amp;DATE($B$3,9,18),'Leave log'!$F$7:$F$306,"Pending")&gt;0,"P",""))))</f>
        <v/>
      </c>
      <c r="T295" s="23" t="str">
        <f>IF(A295="","",IF(IF(OR(DATE($B$3,9,19)&gt;EOMONTH(DATE($B$3,9,1),0),NETWORKDAYS.INTL(DATE($B$3,9,19),DATE($B$3,9,19),1,'Non-working days'!$A$6:$A$45)=0),"",IF(COUNTIFS('Leave log'!$A$7:$A$306,Employees!$A$22,'Leave log'!$B$7:$B$306,"&lt;="&amp;DATE($B$3,9,19),'Leave log'!$C$7:$C$306,"&gt;="&amp;DATE($B$3,9,19),'Leave log'!$F$7:$F$306,"Approved")&gt;0,"A",""))="A","A",IF(OR(DATE($B$3,9,19)&gt;EOMONTH(DATE($B$3,9,1),0),NETWORKDAYS.INTL(DATE($B$3,9,19),DATE($B$3,9,19),1,'Non-working days'!$A$6:$A$45)=0),"",IF(COUNTIFS('Leave log'!$A$7:$A$306,Employees!$A$22,'Leave log'!$B$7:$B$306,"&lt;="&amp;DATE($B$3,9,19),'Leave log'!$C$7:$C$306,"&gt;="&amp;DATE($B$3,9,19),'Leave log'!$F$7:$F$306,"Pending")&gt;0,"P",""))))</f>
        <v/>
      </c>
      <c r="U295" s="23" t="str">
        <f>IF(A295="","",IF(IF(OR(DATE($B$3,9,20)&gt;EOMONTH(DATE($B$3,9,1),0),NETWORKDAYS.INTL(DATE($B$3,9,20),DATE($B$3,9,20),1,'Non-working days'!$A$6:$A$45)=0),"",IF(COUNTIFS('Leave log'!$A$7:$A$306,Employees!$A$22,'Leave log'!$B$7:$B$306,"&lt;="&amp;DATE($B$3,9,20),'Leave log'!$C$7:$C$306,"&gt;="&amp;DATE($B$3,9,20),'Leave log'!$F$7:$F$306,"Approved")&gt;0,"A",""))="A","A",IF(OR(DATE($B$3,9,20)&gt;EOMONTH(DATE($B$3,9,1),0),NETWORKDAYS.INTL(DATE($B$3,9,20),DATE($B$3,9,20),1,'Non-working days'!$A$6:$A$45)=0),"",IF(COUNTIFS('Leave log'!$A$7:$A$306,Employees!$A$22,'Leave log'!$B$7:$B$306,"&lt;="&amp;DATE($B$3,9,20),'Leave log'!$C$7:$C$306,"&gt;="&amp;DATE($B$3,9,20),'Leave log'!$F$7:$F$306,"Pending")&gt;0,"P",""))))</f>
        <v/>
      </c>
      <c r="V295" s="23" t="str">
        <f>IF(A295="","",IF(IF(OR(DATE($B$3,9,21)&gt;EOMONTH(DATE($B$3,9,1),0),NETWORKDAYS.INTL(DATE($B$3,9,21),DATE($B$3,9,21),1,'Non-working days'!$A$6:$A$45)=0),"",IF(COUNTIFS('Leave log'!$A$7:$A$306,Employees!$A$22,'Leave log'!$B$7:$B$306,"&lt;="&amp;DATE($B$3,9,21),'Leave log'!$C$7:$C$306,"&gt;="&amp;DATE($B$3,9,21),'Leave log'!$F$7:$F$306,"Approved")&gt;0,"A",""))="A","A",IF(OR(DATE($B$3,9,21)&gt;EOMONTH(DATE($B$3,9,1),0),NETWORKDAYS.INTL(DATE($B$3,9,21),DATE($B$3,9,21),1,'Non-working days'!$A$6:$A$45)=0),"",IF(COUNTIFS('Leave log'!$A$7:$A$306,Employees!$A$22,'Leave log'!$B$7:$B$306,"&lt;="&amp;DATE($B$3,9,21),'Leave log'!$C$7:$C$306,"&gt;="&amp;DATE($B$3,9,21),'Leave log'!$F$7:$F$306,"Pending")&gt;0,"P",""))))</f>
        <v/>
      </c>
      <c r="W295" s="23" t="str">
        <f>IF(A295="","",IF(IF(OR(DATE($B$3,9,22)&gt;EOMONTH(DATE($B$3,9,1),0),NETWORKDAYS.INTL(DATE($B$3,9,22),DATE($B$3,9,22),1,'Non-working days'!$A$6:$A$45)=0),"",IF(COUNTIFS('Leave log'!$A$7:$A$306,Employees!$A$22,'Leave log'!$B$7:$B$306,"&lt;="&amp;DATE($B$3,9,22),'Leave log'!$C$7:$C$306,"&gt;="&amp;DATE($B$3,9,22),'Leave log'!$F$7:$F$306,"Approved")&gt;0,"A",""))="A","A",IF(OR(DATE($B$3,9,22)&gt;EOMONTH(DATE($B$3,9,1),0),NETWORKDAYS.INTL(DATE($B$3,9,22),DATE($B$3,9,22),1,'Non-working days'!$A$6:$A$45)=0),"",IF(COUNTIFS('Leave log'!$A$7:$A$306,Employees!$A$22,'Leave log'!$B$7:$B$306,"&lt;="&amp;DATE($B$3,9,22),'Leave log'!$C$7:$C$306,"&gt;="&amp;DATE($B$3,9,22),'Leave log'!$F$7:$F$306,"Pending")&gt;0,"P",""))))</f>
        <v/>
      </c>
      <c r="X295" s="23" t="str">
        <f>IF(A295="","",IF(IF(OR(DATE($B$3,9,23)&gt;EOMONTH(DATE($B$3,9,1),0),NETWORKDAYS.INTL(DATE($B$3,9,23),DATE($B$3,9,23),1,'Non-working days'!$A$6:$A$45)=0),"",IF(COUNTIFS('Leave log'!$A$7:$A$306,Employees!$A$22,'Leave log'!$B$7:$B$306,"&lt;="&amp;DATE($B$3,9,23),'Leave log'!$C$7:$C$306,"&gt;="&amp;DATE($B$3,9,23),'Leave log'!$F$7:$F$306,"Approved")&gt;0,"A",""))="A","A",IF(OR(DATE($B$3,9,23)&gt;EOMONTH(DATE($B$3,9,1),0),NETWORKDAYS.INTL(DATE($B$3,9,23),DATE($B$3,9,23),1,'Non-working days'!$A$6:$A$45)=0),"",IF(COUNTIFS('Leave log'!$A$7:$A$306,Employees!$A$22,'Leave log'!$B$7:$B$306,"&lt;="&amp;DATE($B$3,9,23),'Leave log'!$C$7:$C$306,"&gt;="&amp;DATE($B$3,9,23),'Leave log'!$F$7:$F$306,"Pending")&gt;0,"P",""))))</f>
        <v/>
      </c>
      <c r="Y295" s="23" t="str">
        <f>IF(A295="","",IF(IF(OR(DATE($B$3,9,24)&gt;EOMONTH(DATE($B$3,9,1),0),NETWORKDAYS.INTL(DATE($B$3,9,24),DATE($B$3,9,24),1,'Non-working days'!$A$6:$A$45)=0),"",IF(COUNTIFS('Leave log'!$A$7:$A$306,Employees!$A$22,'Leave log'!$B$7:$B$306,"&lt;="&amp;DATE($B$3,9,24),'Leave log'!$C$7:$C$306,"&gt;="&amp;DATE($B$3,9,24),'Leave log'!$F$7:$F$306,"Approved")&gt;0,"A",""))="A","A",IF(OR(DATE($B$3,9,24)&gt;EOMONTH(DATE($B$3,9,1),0),NETWORKDAYS.INTL(DATE($B$3,9,24),DATE($B$3,9,24),1,'Non-working days'!$A$6:$A$45)=0),"",IF(COUNTIFS('Leave log'!$A$7:$A$306,Employees!$A$22,'Leave log'!$B$7:$B$306,"&lt;="&amp;DATE($B$3,9,24),'Leave log'!$C$7:$C$306,"&gt;="&amp;DATE($B$3,9,24),'Leave log'!$F$7:$F$306,"Pending")&gt;0,"P",""))))</f>
        <v/>
      </c>
      <c r="Z295" s="23" t="str">
        <f>IF(A295="","",IF(IF(OR(DATE($B$3,9,25)&gt;EOMONTH(DATE($B$3,9,1),0),NETWORKDAYS.INTL(DATE($B$3,9,25),DATE($B$3,9,25),1,'Non-working days'!$A$6:$A$45)=0),"",IF(COUNTIFS('Leave log'!$A$7:$A$306,Employees!$A$22,'Leave log'!$B$7:$B$306,"&lt;="&amp;DATE($B$3,9,25),'Leave log'!$C$7:$C$306,"&gt;="&amp;DATE($B$3,9,25),'Leave log'!$F$7:$F$306,"Approved")&gt;0,"A",""))="A","A",IF(OR(DATE($B$3,9,25)&gt;EOMONTH(DATE($B$3,9,1),0),NETWORKDAYS.INTL(DATE($B$3,9,25),DATE($B$3,9,25),1,'Non-working days'!$A$6:$A$45)=0),"",IF(COUNTIFS('Leave log'!$A$7:$A$306,Employees!$A$22,'Leave log'!$B$7:$B$306,"&lt;="&amp;DATE($B$3,9,25),'Leave log'!$C$7:$C$306,"&gt;="&amp;DATE($B$3,9,25),'Leave log'!$F$7:$F$306,"Pending")&gt;0,"P",""))))</f>
        <v/>
      </c>
      <c r="AA295" s="23" t="str">
        <f>IF(A295="","",IF(IF(OR(DATE($B$3,9,26)&gt;EOMONTH(DATE($B$3,9,1),0),NETWORKDAYS.INTL(DATE($B$3,9,26),DATE($B$3,9,26),1,'Non-working days'!$A$6:$A$45)=0),"",IF(COUNTIFS('Leave log'!$A$7:$A$306,Employees!$A$22,'Leave log'!$B$7:$B$306,"&lt;="&amp;DATE($B$3,9,26),'Leave log'!$C$7:$C$306,"&gt;="&amp;DATE($B$3,9,26),'Leave log'!$F$7:$F$306,"Approved")&gt;0,"A",""))="A","A",IF(OR(DATE($B$3,9,26)&gt;EOMONTH(DATE($B$3,9,1),0),NETWORKDAYS.INTL(DATE($B$3,9,26),DATE($B$3,9,26),1,'Non-working days'!$A$6:$A$45)=0),"",IF(COUNTIFS('Leave log'!$A$7:$A$306,Employees!$A$22,'Leave log'!$B$7:$B$306,"&lt;="&amp;DATE($B$3,9,26),'Leave log'!$C$7:$C$306,"&gt;="&amp;DATE($B$3,9,26),'Leave log'!$F$7:$F$306,"Pending")&gt;0,"P",""))))</f>
        <v/>
      </c>
      <c r="AB295" s="23" t="str">
        <f>IF(A295="","",IF(IF(OR(DATE($B$3,9,27)&gt;EOMONTH(DATE($B$3,9,1),0),NETWORKDAYS.INTL(DATE($B$3,9,27),DATE($B$3,9,27),1,'Non-working days'!$A$6:$A$45)=0),"",IF(COUNTIFS('Leave log'!$A$7:$A$306,Employees!$A$22,'Leave log'!$B$7:$B$306,"&lt;="&amp;DATE($B$3,9,27),'Leave log'!$C$7:$C$306,"&gt;="&amp;DATE($B$3,9,27),'Leave log'!$F$7:$F$306,"Approved")&gt;0,"A",""))="A","A",IF(OR(DATE($B$3,9,27)&gt;EOMONTH(DATE($B$3,9,1),0),NETWORKDAYS.INTL(DATE($B$3,9,27),DATE($B$3,9,27),1,'Non-working days'!$A$6:$A$45)=0),"",IF(COUNTIFS('Leave log'!$A$7:$A$306,Employees!$A$22,'Leave log'!$B$7:$B$306,"&lt;="&amp;DATE($B$3,9,27),'Leave log'!$C$7:$C$306,"&gt;="&amp;DATE($B$3,9,27),'Leave log'!$F$7:$F$306,"Pending")&gt;0,"P",""))))</f>
        <v/>
      </c>
      <c r="AC295" s="23" t="str">
        <f>IF(A295="","",IF(IF(OR(DATE($B$3,9,28)&gt;EOMONTH(DATE($B$3,9,1),0),NETWORKDAYS.INTL(DATE($B$3,9,28),DATE($B$3,9,28),1,'Non-working days'!$A$6:$A$45)=0),"",IF(COUNTIFS('Leave log'!$A$7:$A$306,Employees!$A$22,'Leave log'!$B$7:$B$306,"&lt;="&amp;DATE($B$3,9,28),'Leave log'!$C$7:$C$306,"&gt;="&amp;DATE($B$3,9,28),'Leave log'!$F$7:$F$306,"Approved")&gt;0,"A",""))="A","A",IF(OR(DATE($B$3,9,28)&gt;EOMONTH(DATE($B$3,9,1),0),NETWORKDAYS.INTL(DATE($B$3,9,28),DATE($B$3,9,28),1,'Non-working days'!$A$6:$A$45)=0),"",IF(COUNTIFS('Leave log'!$A$7:$A$306,Employees!$A$22,'Leave log'!$B$7:$B$306,"&lt;="&amp;DATE($B$3,9,28),'Leave log'!$C$7:$C$306,"&gt;="&amp;DATE($B$3,9,28),'Leave log'!$F$7:$F$306,"Pending")&gt;0,"P",""))))</f>
        <v/>
      </c>
      <c r="AD295" s="23" t="str">
        <f>IF(A295="","",IF(IF(OR(DATE($B$3,9,29)&gt;EOMONTH(DATE($B$3,9,1),0),NETWORKDAYS.INTL(DATE($B$3,9,29),DATE($B$3,9,29),1,'Non-working days'!$A$6:$A$45)=0),"",IF(COUNTIFS('Leave log'!$A$7:$A$306,Employees!$A$22,'Leave log'!$B$7:$B$306,"&lt;="&amp;DATE($B$3,9,29),'Leave log'!$C$7:$C$306,"&gt;="&amp;DATE($B$3,9,29),'Leave log'!$F$7:$F$306,"Approved")&gt;0,"A",""))="A","A",IF(OR(DATE($B$3,9,29)&gt;EOMONTH(DATE($B$3,9,1),0),NETWORKDAYS.INTL(DATE($B$3,9,29),DATE($B$3,9,29),1,'Non-working days'!$A$6:$A$45)=0),"",IF(COUNTIFS('Leave log'!$A$7:$A$306,Employees!$A$22,'Leave log'!$B$7:$B$306,"&lt;="&amp;DATE($B$3,9,29),'Leave log'!$C$7:$C$306,"&gt;="&amp;DATE($B$3,9,29),'Leave log'!$F$7:$F$306,"Pending")&gt;0,"P",""))))</f>
        <v/>
      </c>
      <c r="AE295" s="23" t="str">
        <f>IF(A295="","",IF(IF(OR(DATE($B$3,9,30)&gt;EOMONTH(DATE($B$3,9,1),0),NETWORKDAYS.INTL(DATE($B$3,9,30),DATE($B$3,9,30),1,'Non-working days'!$A$6:$A$45)=0),"",IF(COUNTIFS('Leave log'!$A$7:$A$306,Employees!$A$22,'Leave log'!$B$7:$B$306,"&lt;="&amp;DATE($B$3,9,30),'Leave log'!$C$7:$C$306,"&gt;="&amp;DATE($B$3,9,30),'Leave log'!$F$7:$F$306,"Approved")&gt;0,"A",""))="A","A",IF(OR(DATE($B$3,9,30)&gt;EOMONTH(DATE($B$3,9,1),0),NETWORKDAYS.INTL(DATE($B$3,9,30),DATE($B$3,9,30),1,'Non-working days'!$A$6:$A$45)=0),"",IF(COUNTIFS('Leave log'!$A$7:$A$306,Employees!$A$22,'Leave log'!$B$7:$B$306,"&lt;="&amp;DATE($B$3,9,30),'Leave log'!$C$7:$C$306,"&gt;="&amp;DATE($B$3,9,30),'Leave log'!$F$7:$F$306,"Pending")&gt;0,"P",""))))</f>
        <v/>
      </c>
      <c r="AF295" s="23" t="str">
        <f>IF(A295="","",IF(IF(OR(DATE($B$3,9,31)&gt;EOMONTH(DATE($B$3,9,1),0),NETWORKDAYS.INTL(DATE($B$3,9,31),DATE($B$3,9,31),1,'Non-working days'!$A$6:$A$45)=0),"",IF(COUNTIFS('Leave log'!$A$7:$A$306,Employees!$A$22,'Leave log'!$B$7:$B$306,"&lt;="&amp;DATE($B$3,9,31),'Leave log'!$C$7:$C$306,"&gt;="&amp;DATE($B$3,9,31),'Leave log'!$F$7:$F$306,"Approved")&gt;0,"A",""))="A","A",IF(OR(DATE($B$3,9,31)&gt;EOMONTH(DATE($B$3,9,1),0),NETWORKDAYS.INTL(DATE($B$3,9,31),DATE($B$3,9,31),1,'Non-working days'!$A$6:$A$45)=0),"",IF(COUNTIFS('Leave log'!$A$7:$A$306,Employees!$A$22,'Leave log'!$B$7:$B$306,"&lt;="&amp;DATE($B$3,9,31),'Leave log'!$C$7:$C$306,"&gt;="&amp;DATE($B$3,9,31),'Leave log'!$F$7:$F$306,"Pending")&gt;0,"P",""))))</f>
        <v/>
      </c>
    </row>
    <row r="296" spans="1:32" ht="18" customHeight="1" x14ac:dyDescent="0.3">
      <c r="A296" s="22" t="str">
        <f>IF(Employees!F23="Yes",Employees!B23,"")</f>
        <v/>
      </c>
      <c r="B296" s="23" t="str">
        <f>IF(A296="","",IF(IF(OR(DATE($B$3,9,1)&gt;EOMONTH(DATE($B$3,9,1),0),NETWORKDAYS.INTL(DATE($B$3,9,1),DATE($B$3,9,1),1,'Non-working days'!$A$6:$A$45)=0),"",IF(COUNTIFS('Leave log'!$A$7:$A$306,Employees!$A$23,'Leave log'!$B$7:$B$306,"&lt;="&amp;DATE($B$3,9,1),'Leave log'!$C$7:$C$306,"&gt;="&amp;DATE($B$3,9,1),'Leave log'!$F$7:$F$306,"Approved")&gt;0,"A",""))="A","A",IF(OR(DATE($B$3,9,1)&gt;EOMONTH(DATE($B$3,9,1),0),NETWORKDAYS.INTL(DATE($B$3,9,1),DATE($B$3,9,1),1,'Non-working days'!$A$6:$A$45)=0),"",IF(COUNTIFS('Leave log'!$A$7:$A$306,Employees!$A$23,'Leave log'!$B$7:$B$306,"&lt;="&amp;DATE($B$3,9,1),'Leave log'!$C$7:$C$306,"&gt;="&amp;DATE($B$3,9,1),'Leave log'!$F$7:$F$306,"Pending")&gt;0,"P",""))))</f>
        <v/>
      </c>
      <c r="C296" s="23" t="str">
        <f>IF(A296="","",IF(IF(OR(DATE($B$3,9,2)&gt;EOMONTH(DATE($B$3,9,1),0),NETWORKDAYS.INTL(DATE($B$3,9,2),DATE($B$3,9,2),1,'Non-working days'!$A$6:$A$45)=0),"",IF(COUNTIFS('Leave log'!$A$7:$A$306,Employees!$A$23,'Leave log'!$B$7:$B$306,"&lt;="&amp;DATE($B$3,9,2),'Leave log'!$C$7:$C$306,"&gt;="&amp;DATE($B$3,9,2),'Leave log'!$F$7:$F$306,"Approved")&gt;0,"A",""))="A","A",IF(OR(DATE($B$3,9,2)&gt;EOMONTH(DATE($B$3,9,1),0),NETWORKDAYS.INTL(DATE($B$3,9,2),DATE($B$3,9,2),1,'Non-working days'!$A$6:$A$45)=0),"",IF(COUNTIFS('Leave log'!$A$7:$A$306,Employees!$A$23,'Leave log'!$B$7:$B$306,"&lt;="&amp;DATE($B$3,9,2),'Leave log'!$C$7:$C$306,"&gt;="&amp;DATE($B$3,9,2),'Leave log'!$F$7:$F$306,"Pending")&gt;0,"P",""))))</f>
        <v/>
      </c>
      <c r="D296" s="23" t="str">
        <f>IF(A296="","",IF(IF(OR(DATE($B$3,9,3)&gt;EOMONTH(DATE($B$3,9,1),0),NETWORKDAYS.INTL(DATE($B$3,9,3),DATE($B$3,9,3),1,'Non-working days'!$A$6:$A$45)=0),"",IF(COUNTIFS('Leave log'!$A$7:$A$306,Employees!$A$23,'Leave log'!$B$7:$B$306,"&lt;="&amp;DATE($B$3,9,3),'Leave log'!$C$7:$C$306,"&gt;="&amp;DATE($B$3,9,3),'Leave log'!$F$7:$F$306,"Approved")&gt;0,"A",""))="A","A",IF(OR(DATE($B$3,9,3)&gt;EOMONTH(DATE($B$3,9,1),0),NETWORKDAYS.INTL(DATE($B$3,9,3),DATE($B$3,9,3),1,'Non-working days'!$A$6:$A$45)=0),"",IF(COUNTIFS('Leave log'!$A$7:$A$306,Employees!$A$23,'Leave log'!$B$7:$B$306,"&lt;="&amp;DATE($B$3,9,3),'Leave log'!$C$7:$C$306,"&gt;="&amp;DATE($B$3,9,3),'Leave log'!$F$7:$F$306,"Pending")&gt;0,"P",""))))</f>
        <v/>
      </c>
      <c r="E296" s="23" t="str">
        <f>IF(A296="","",IF(IF(OR(DATE($B$3,9,4)&gt;EOMONTH(DATE($B$3,9,1),0),NETWORKDAYS.INTL(DATE($B$3,9,4),DATE($B$3,9,4),1,'Non-working days'!$A$6:$A$45)=0),"",IF(COUNTIFS('Leave log'!$A$7:$A$306,Employees!$A$23,'Leave log'!$B$7:$B$306,"&lt;="&amp;DATE($B$3,9,4),'Leave log'!$C$7:$C$306,"&gt;="&amp;DATE($B$3,9,4),'Leave log'!$F$7:$F$306,"Approved")&gt;0,"A",""))="A","A",IF(OR(DATE($B$3,9,4)&gt;EOMONTH(DATE($B$3,9,1),0),NETWORKDAYS.INTL(DATE($B$3,9,4),DATE($B$3,9,4),1,'Non-working days'!$A$6:$A$45)=0),"",IF(COUNTIFS('Leave log'!$A$7:$A$306,Employees!$A$23,'Leave log'!$B$7:$B$306,"&lt;="&amp;DATE($B$3,9,4),'Leave log'!$C$7:$C$306,"&gt;="&amp;DATE($B$3,9,4),'Leave log'!$F$7:$F$306,"Pending")&gt;0,"P",""))))</f>
        <v/>
      </c>
      <c r="F296" s="23" t="str">
        <f>IF(A296="","",IF(IF(OR(DATE($B$3,9,5)&gt;EOMONTH(DATE($B$3,9,1),0),NETWORKDAYS.INTL(DATE($B$3,9,5),DATE($B$3,9,5),1,'Non-working days'!$A$6:$A$45)=0),"",IF(COUNTIFS('Leave log'!$A$7:$A$306,Employees!$A$23,'Leave log'!$B$7:$B$306,"&lt;="&amp;DATE($B$3,9,5),'Leave log'!$C$7:$C$306,"&gt;="&amp;DATE($B$3,9,5),'Leave log'!$F$7:$F$306,"Approved")&gt;0,"A",""))="A","A",IF(OR(DATE($B$3,9,5)&gt;EOMONTH(DATE($B$3,9,1),0),NETWORKDAYS.INTL(DATE($B$3,9,5),DATE($B$3,9,5),1,'Non-working days'!$A$6:$A$45)=0),"",IF(COUNTIFS('Leave log'!$A$7:$A$306,Employees!$A$23,'Leave log'!$B$7:$B$306,"&lt;="&amp;DATE($B$3,9,5),'Leave log'!$C$7:$C$306,"&gt;="&amp;DATE($B$3,9,5),'Leave log'!$F$7:$F$306,"Pending")&gt;0,"P",""))))</f>
        <v/>
      </c>
      <c r="G296" s="23" t="str">
        <f>IF(A296="","",IF(IF(OR(DATE($B$3,9,6)&gt;EOMONTH(DATE($B$3,9,1),0),NETWORKDAYS.INTL(DATE($B$3,9,6),DATE($B$3,9,6),1,'Non-working days'!$A$6:$A$45)=0),"",IF(COUNTIFS('Leave log'!$A$7:$A$306,Employees!$A$23,'Leave log'!$B$7:$B$306,"&lt;="&amp;DATE($B$3,9,6),'Leave log'!$C$7:$C$306,"&gt;="&amp;DATE($B$3,9,6),'Leave log'!$F$7:$F$306,"Approved")&gt;0,"A",""))="A","A",IF(OR(DATE($B$3,9,6)&gt;EOMONTH(DATE($B$3,9,1),0),NETWORKDAYS.INTL(DATE($B$3,9,6),DATE($B$3,9,6),1,'Non-working days'!$A$6:$A$45)=0),"",IF(COUNTIFS('Leave log'!$A$7:$A$306,Employees!$A$23,'Leave log'!$B$7:$B$306,"&lt;="&amp;DATE($B$3,9,6),'Leave log'!$C$7:$C$306,"&gt;="&amp;DATE($B$3,9,6),'Leave log'!$F$7:$F$306,"Pending")&gt;0,"P",""))))</f>
        <v/>
      </c>
      <c r="H296" s="23" t="str">
        <f>IF(A296="","",IF(IF(OR(DATE($B$3,9,7)&gt;EOMONTH(DATE($B$3,9,1),0),NETWORKDAYS.INTL(DATE($B$3,9,7),DATE($B$3,9,7),1,'Non-working days'!$A$6:$A$45)=0),"",IF(COUNTIFS('Leave log'!$A$7:$A$306,Employees!$A$23,'Leave log'!$B$7:$B$306,"&lt;="&amp;DATE($B$3,9,7),'Leave log'!$C$7:$C$306,"&gt;="&amp;DATE($B$3,9,7),'Leave log'!$F$7:$F$306,"Approved")&gt;0,"A",""))="A","A",IF(OR(DATE($B$3,9,7)&gt;EOMONTH(DATE($B$3,9,1),0),NETWORKDAYS.INTL(DATE($B$3,9,7),DATE($B$3,9,7),1,'Non-working days'!$A$6:$A$45)=0),"",IF(COUNTIFS('Leave log'!$A$7:$A$306,Employees!$A$23,'Leave log'!$B$7:$B$306,"&lt;="&amp;DATE($B$3,9,7),'Leave log'!$C$7:$C$306,"&gt;="&amp;DATE($B$3,9,7),'Leave log'!$F$7:$F$306,"Pending")&gt;0,"P",""))))</f>
        <v/>
      </c>
      <c r="I296" s="23" t="str">
        <f>IF(A296="","",IF(IF(OR(DATE($B$3,9,8)&gt;EOMONTH(DATE($B$3,9,1),0),NETWORKDAYS.INTL(DATE($B$3,9,8),DATE($B$3,9,8),1,'Non-working days'!$A$6:$A$45)=0),"",IF(COUNTIFS('Leave log'!$A$7:$A$306,Employees!$A$23,'Leave log'!$B$7:$B$306,"&lt;="&amp;DATE($B$3,9,8),'Leave log'!$C$7:$C$306,"&gt;="&amp;DATE($B$3,9,8),'Leave log'!$F$7:$F$306,"Approved")&gt;0,"A",""))="A","A",IF(OR(DATE($B$3,9,8)&gt;EOMONTH(DATE($B$3,9,1),0),NETWORKDAYS.INTL(DATE($B$3,9,8),DATE($B$3,9,8),1,'Non-working days'!$A$6:$A$45)=0),"",IF(COUNTIFS('Leave log'!$A$7:$A$306,Employees!$A$23,'Leave log'!$B$7:$B$306,"&lt;="&amp;DATE($B$3,9,8),'Leave log'!$C$7:$C$306,"&gt;="&amp;DATE($B$3,9,8),'Leave log'!$F$7:$F$306,"Pending")&gt;0,"P",""))))</f>
        <v/>
      </c>
      <c r="J296" s="23" t="str">
        <f>IF(A296="","",IF(IF(OR(DATE($B$3,9,9)&gt;EOMONTH(DATE($B$3,9,1),0),NETWORKDAYS.INTL(DATE($B$3,9,9),DATE($B$3,9,9),1,'Non-working days'!$A$6:$A$45)=0),"",IF(COUNTIFS('Leave log'!$A$7:$A$306,Employees!$A$23,'Leave log'!$B$7:$B$306,"&lt;="&amp;DATE($B$3,9,9),'Leave log'!$C$7:$C$306,"&gt;="&amp;DATE($B$3,9,9),'Leave log'!$F$7:$F$306,"Approved")&gt;0,"A",""))="A","A",IF(OR(DATE($B$3,9,9)&gt;EOMONTH(DATE($B$3,9,1),0),NETWORKDAYS.INTL(DATE($B$3,9,9),DATE($B$3,9,9),1,'Non-working days'!$A$6:$A$45)=0),"",IF(COUNTIFS('Leave log'!$A$7:$A$306,Employees!$A$23,'Leave log'!$B$7:$B$306,"&lt;="&amp;DATE($B$3,9,9),'Leave log'!$C$7:$C$306,"&gt;="&amp;DATE($B$3,9,9),'Leave log'!$F$7:$F$306,"Pending")&gt;0,"P",""))))</f>
        <v/>
      </c>
      <c r="K296" s="23" t="str">
        <f>IF(A296="","",IF(IF(OR(DATE($B$3,9,10)&gt;EOMONTH(DATE($B$3,9,1),0),NETWORKDAYS.INTL(DATE($B$3,9,10),DATE($B$3,9,10),1,'Non-working days'!$A$6:$A$45)=0),"",IF(COUNTIFS('Leave log'!$A$7:$A$306,Employees!$A$23,'Leave log'!$B$7:$B$306,"&lt;="&amp;DATE($B$3,9,10),'Leave log'!$C$7:$C$306,"&gt;="&amp;DATE($B$3,9,10),'Leave log'!$F$7:$F$306,"Approved")&gt;0,"A",""))="A","A",IF(OR(DATE($B$3,9,10)&gt;EOMONTH(DATE($B$3,9,1),0),NETWORKDAYS.INTL(DATE($B$3,9,10),DATE($B$3,9,10),1,'Non-working days'!$A$6:$A$45)=0),"",IF(COUNTIFS('Leave log'!$A$7:$A$306,Employees!$A$23,'Leave log'!$B$7:$B$306,"&lt;="&amp;DATE($B$3,9,10),'Leave log'!$C$7:$C$306,"&gt;="&amp;DATE($B$3,9,10),'Leave log'!$F$7:$F$306,"Pending")&gt;0,"P",""))))</f>
        <v/>
      </c>
      <c r="L296" s="23" t="str">
        <f>IF(A296="","",IF(IF(OR(DATE($B$3,9,11)&gt;EOMONTH(DATE($B$3,9,1),0),NETWORKDAYS.INTL(DATE($B$3,9,11),DATE($B$3,9,11),1,'Non-working days'!$A$6:$A$45)=0),"",IF(COUNTIFS('Leave log'!$A$7:$A$306,Employees!$A$23,'Leave log'!$B$7:$B$306,"&lt;="&amp;DATE($B$3,9,11),'Leave log'!$C$7:$C$306,"&gt;="&amp;DATE($B$3,9,11),'Leave log'!$F$7:$F$306,"Approved")&gt;0,"A",""))="A","A",IF(OR(DATE($B$3,9,11)&gt;EOMONTH(DATE($B$3,9,1),0),NETWORKDAYS.INTL(DATE($B$3,9,11),DATE($B$3,9,11),1,'Non-working days'!$A$6:$A$45)=0),"",IF(COUNTIFS('Leave log'!$A$7:$A$306,Employees!$A$23,'Leave log'!$B$7:$B$306,"&lt;="&amp;DATE($B$3,9,11),'Leave log'!$C$7:$C$306,"&gt;="&amp;DATE($B$3,9,11),'Leave log'!$F$7:$F$306,"Pending")&gt;0,"P",""))))</f>
        <v/>
      </c>
      <c r="M296" s="23" t="str">
        <f>IF(A296="","",IF(IF(OR(DATE($B$3,9,12)&gt;EOMONTH(DATE($B$3,9,1),0),NETWORKDAYS.INTL(DATE($B$3,9,12),DATE($B$3,9,12),1,'Non-working days'!$A$6:$A$45)=0),"",IF(COUNTIFS('Leave log'!$A$7:$A$306,Employees!$A$23,'Leave log'!$B$7:$B$306,"&lt;="&amp;DATE($B$3,9,12),'Leave log'!$C$7:$C$306,"&gt;="&amp;DATE($B$3,9,12),'Leave log'!$F$7:$F$306,"Approved")&gt;0,"A",""))="A","A",IF(OR(DATE($B$3,9,12)&gt;EOMONTH(DATE($B$3,9,1),0),NETWORKDAYS.INTL(DATE($B$3,9,12),DATE($B$3,9,12),1,'Non-working days'!$A$6:$A$45)=0),"",IF(COUNTIFS('Leave log'!$A$7:$A$306,Employees!$A$23,'Leave log'!$B$7:$B$306,"&lt;="&amp;DATE($B$3,9,12),'Leave log'!$C$7:$C$306,"&gt;="&amp;DATE($B$3,9,12),'Leave log'!$F$7:$F$306,"Pending")&gt;0,"P",""))))</f>
        <v/>
      </c>
      <c r="N296" s="23" t="str">
        <f>IF(A296="","",IF(IF(OR(DATE($B$3,9,13)&gt;EOMONTH(DATE($B$3,9,1),0),NETWORKDAYS.INTL(DATE($B$3,9,13),DATE($B$3,9,13),1,'Non-working days'!$A$6:$A$45)=0),"",IF(COUNTIFS('Leave log'!$A$7:$A$306,Employees!$A$23,'Leave log'!$B$7:$B$306,"&lt;="&amp;DATE($B$3,9,13),'Leave log'!$C$7:$C$306,"&gt;="&amp;DATE($B$3,9,13),'Leave log'!$F$7:$F$306,"Approved")&gt;0,"A",""))="A","A",IF(OR(DATE($B$3,9,13)&gt;EOMONTH(DATE($B$3,9,1),0),NETWORKDAYS.INTL(DATE($B$3,9,13),DATE($B$3,9,13),1,'Non-working days'!$A$6:$A$45)=0),"",IF(COUNTIFS('Leave log'!$A$7:$A$306,Employees!$A$23,'Leave log'!$B$7:$B$306,"&lt;="&amp;DATE($B$3,9,13),'Leave log'!$C$7:$C$306,"&gt;="&amp;DATE($B$3,9,13),'Leave log'!$F$7:$F$306,"Pending")&gt;0,"P",""))))</f>
        <v/>
      </c>
      <c r="O296" s="23" t="str">
        <f>IF(A296="","",IF(IF(OR(DATE($B$3,9,14)&gt;EOMONTH(DATE($B$3,9,1),0),NETWORKDAYS.INTL(DATE($B$3,9,14),DATE($B$3,9,14),1,'Non-working days'!$A$6:$A$45)=0),"",IF(COUNTIFS('Leave log'!$A$7:$A$306,Employees!$A$23,'Leave log'!$B$7:$B$306,"&lt;="&amp;DATE($B$3,9,14),'Leave log'!$C$7:$C$306,"&gt;="&amp;DATE($B$3,9,14),'Leave log'!$F$7:$F$306,"Approved")&gt;0,"A",""))="A","A",IF(OR(DATE($B$3,9,14)&gt;EOMONTH(DATE($B$3,9,1),0),NETWORKDAYS.INTL(DATE($B$3,9,14),DATE($B$3,9,14),1,'Non-working days'!$A$6:$A$45)=0),"",IF(COUNTIFS('Leave log'!$A$7:$A$306,Employees!$A$23,'Leave log'!$B$7:$B$306,"&lt;="&amp;DATE($B$3,9,14),'Leave log'!$C$7:$C$306,"&gt;="&amp;DATE($B$3,9,14),'Leave log'!$F$7:$F$306,"Pending")&gt;0,"P",""))))</f>
        <v/>
      </c>
      <c r="P296" s="23" t="str">
        <f>IF(A296="","",IF(IF(OR(DATE($B$3,9,15)&gt;EOMONTH(DATE($B$3,9,1),0),NETWORKDAYS.INTL(DATE($B$3,9,15),DATE($B$3,9,15),1,'Non-working days'!$A$6:$A$45)=0),"",IF(COUNTIFS('Leave log'!$A$7:$A$306,Employees!$A$23,'Leave log'!$B$7:$B$306,"&lt;="&amp;DATE($B$3,9,15),'Leave log'!$C$7:$C$306,"&gt;="&amp;DATE($B$3,9,15),'Leave log'!$F$7:$F$306,"Approved")&gt;0,"A",""))="A","A",IF(OR(DATE($B$3,9,15)&gt;EOMONTH(DATE($B$3,9,1),0),NETWORKDAYS.INTL(DATE($B$3,9,15),DATE($B$3,9,15),1,'Non-working days'!$A$6:$A$45)=0),"",IF(COUNTIFS('Leave log'!$A$7:$A$306,Employees!$A$23,'Leave log'!$B$7:$B$306,"&lt;="&amp;DATE($B$3,9,15),'Leave log'!$C$7:$C$306,"&gt;="&amp;DATE($B$3,9,15),'Leave log'!$F$7:$F$306,"Pending")&gt;0,"P",""))))</f>
        <v/>
      </c>
      <c r="Q296" s="23" t="str">
        <f>IF(A296="","",IF(IF(OR(DATE($B$3,9,16)&gt;EOMONTH(DATE($B$3,9,1),0),NETWORKDAYS.INTL(DATE($B$3,9,16),DATE($B$3,9,16),1,'Non-working days'!$A$6:$A$45)=0),"",IF(COUNTIFS('Leave log'!$A$7:$A$306,Employees!$A$23,'Leave log'!$B$7:$B$306,"&lt;="&amp;DATE($B$3,9,16),'Leave log'!$C$7:$C$306,"&gt;="&amp;DATE($B$3,9,16),'Leave log'!$F$7:$F$306,"Approved")&gt;0,"A",""))="A","A",IF(OR(DATE($B$3,9,16)&gt;EOMONTH(DATE($B$3,9,1),0),NETWORKDAYS.INTL(DATE($B$3,9,16),DATE($B$3,9,16),1,'Non-working days'!$A$6:$A$45)=0),"",IF(COUNTIFS('Leave log'!$A$7:$A$306,Employees!$A$23,'Leave log'!$B$7:$B$306,"&lt;="&amp;DATE($B$3,9,16),'Leave log'!$C$7:$C$306,"&gt;="&amp;DATE($B$3,9,16),'Leave log'!$F$7:$F$306,"Pending")&gt;0,"P",""))))</f>
        <v/>
      </c>
      <c r="R296" s="23" t="str">
        <f>IF(A296="","",IF(IF(OR(DATE($B$3,9,17)&gt;EOMONTH(DATE($B$3,9,1),0),NETWORKDAYS.INTL(DATE($B$3,9,17),DATE($B$3,9,17),1,'Non-working days'!$A$6:$A$45)=0),"",IF(COUNTIFS('Leave log'!$A$7:$A$306,Employees!$A$23,'Leave log'!$B$7:$B$306,"&lt;="&amp;DATE($B$3,9,17),'Leave log'!$C$7:$C$306,"&gt;="&amp;DATE($B$3,9,17),'Leave log'!$F$7:$F$306,"Approved")&gt;0,"A",""))="A","A",IF(OR(DATE($B$3,9,17)&gt;EOMONTH(DATE($B$3,9,1),0),NETWORKDAYS.INTL(DATE($B$3,9,17),DATE($B$3,9,17),1,'Non-working days'!$A$6:$A$45)=0),"",IF(COUNTIFS('Leave log'!$A$7:$A$306,Employees!$A$23,'Leave log'!$B$7:$B$306,"&lt;="&amp;DATE($B$3,9,17),'Leave log'!$C$7:$C$306,"&gt;="&amp;DATE($B$3,9,17),'Leave log'!$F$7:$F$306,"Pending")&gt;0,"P",""))))</f>
        <v/>
      </c>
      <c r="S296" s="23" t="str">
        <f>IF(A296="","",IF(IF(OR(DATE($B$3,9,18)&gt;EOMONTH(DATE($B$3,9,1),0),NETWORKDAYS.INTL(DATE($B$3,9,18),DATE($B$3,9,18),1,'Non-working days'!$A$6:$A$45)=0),"",IF(COUNTIFS('Leave log'!$A$7:$A$306,Employees!$A$23,'Leave log'!$B$7:$B$306,"&lt;="&amp;DATE($B$3,9,18),'Leave log'!$C$7:$C$306,"&gt;="&amp;DATE($B$3,9,18),'Leave log'!$F$7:$F$306,"Approved")&gt;0,"A",""))="A","A",IF(OR(DATE($B$3,9,18)&gt;EOMONTH(DATE($B$3,9,1),0),NETWORKDAYS.INTL(DATE($B$3,9,18),DATE($B$3,9,18),1,'Non-working days'!$A$6:$A$45)=0),"",IF(COUNTIFS('Leave log'!$A$7:$A$306,Employees!$A$23,'Leave log'!$B$7:$B$306,"&lt;="&amp;DATE($B$3,9,18),'Leave log'!$C$7:$C$306,"&gt;="&amp;DATE($B$3,9,18),'Leave log'!$F$7:$F$306,"Pending")&gt;0,"P",""))))</f>
        <v/>
      </c>
      <c r="T296" s="23" t="str">
        <f>IF(A296="","",IF(IF(OR(DATE($B$3,9,19)&gt;EOMONTH(DATE($B$3,9,1),0),NETWORKDAYS.INTL(DATE($B$3,9,19),DATE($B$3,9,19),1,'Non-working days'!$A$6:$A$45)=0),"",IF(COUNTIFS('Leave log'!$A$7:$A$306,Employees!$A$23,'Leave log'!$B$7:$B$306,"&lt;="&amp;DATE($B$3,9,19),'Leave log'!$C$7:$C$306,"&gt;="&amp;DATE($B$3,9,19),'Leave log'!$F$7:$F$306,"Approved")&gt;0,"A",""))="A","A",IF(OR(DATE($B$3,9,19)&gt;EOMONTH(DATE($B$3,9,1),0),NETWORKDAYS.INTL(DATE($B$3,9,19),DATE($B$3,9,19),1,'Non-working days'!$A$6:$A$45)=0),"",IF(COUNTIFS('Leave log'!$A$7:$A$306,Employees!$A$23,'Leave log'!$B$7:$B$306,"&lt;="&amp;DATE($B$3,9,19),'Leave log'!$C$7:$C$306,"&gt;="&amp;DATE($B$3,9,19),'Leave log'!$F$7:$F$306,"Pending")&gt;0,"P",""))))</f>
        <v/>
      </c>
      <c r="U296" s="23" t="str">
        <f>IF(A296="","",IF(IF(OR(DATE($B$3,9,20)&gt;EOMONTH(DATE($B$3,9,1),0),NETWORKDAYS.INTL(DATE($B$3,9,20),DATE($B$3,9,20),1,'Non-working days'!$A$6:$A$45)=0),"",IF(COUNTIFS('Leave log'!$A$7:$A$306,Employees!$A$23,'Leave log'!$B$7:$B$306,"&lt;="&amp;DATE($B$3,9,20),'Leave log'!$C$7:$C$306,"&gt;="&amp;DATE($B$3,9,20),'Leave log'!$F$7:$F$306,"Approved")&gt;0,"A",""))="A","A",IF(OR(DATE($B$3,9,20)&gt;EOMONTH(DATE($B$3,9,1),0),NETWORKDAYS.INTL(DATE($B$3,9,20),DATE($B$3,9,20),1,'Non-working days'!$A$6:$A$45)=0),"",IF(COUNTIFS('Leave log'!$A$7:$A$306,Employees!$A$23,'Leave log'!$B$7:$B$306,"&lt;="&amp;DATE($B$3,9,20),'Leave log'!$C$7:$C$306,"&gt;="&amp;DATE($B$3,9,20),'Leave log'!$F$7:$F$306,"Pending")&gt;0,"P",""))))</f>
        <v/>
      </c>
      <c r="V296" s="23" t="str">
        <f>IF(A296="","",IF(IF(OR(DATE($B$3,9,21)&gt;EOMONTH(DATE($B$3,9,1),0),NETWORKDAYS.INTL(DATE($B$3,9,21),DATE($B$3,9,21),1,'Non-working days'!$A$6:$A$45)=0),"",IF(COUNTIFS('Leave log'!$A$7:$A$306,Employees!$A$23,'Leave log'!$B$7:$B$306,"&lt;="&amp;DATE($B$3,9,21),'Leave log'!$C$7:$C$306,"&gt;="&amp;DATE($B$3,9,21),'Leave log'!$F$7:$F$306,"Approved")&gt;0,"A",""))="A","A",IF(OR(DATE($B$3,9,21)&gt;EOMONTH(DATE($B$3,9,1),0),NETWORKDAYS.INTL(DATE($B$3,9,21),DATE($B$3,9,21),1,'Non-working days'!$A$6:$A$45)=0),"",IF(COUNTIFS('Leave log'!$A$7:$A$306,Employees!$A$23,'Leave log'!$B$7:$B$306,"&lt;="&amp;DATE($B$3,9,21),'Leave log'!$C$7:$C$306,"&gt;="&amp;DATE($B$3,9,21),'Leave log'!$F$7:$F$306,"Pending")&gt;0,"P",""))))</f>
        <v/>
      </c>
      <c r="W296" s="23" t="str">
        <f>IF(A296="","",IF(IF(OR(DATE($B$3,9,22)&gt;EOMONTH(DATE($B$3,9,1),0),NETWORKDAYS.INTL(DATE($B$3,9,22),DATE($B$3,9,22),1,'Non-working days'!$A$6:$A$45)=0),"",IF(COUNTIFS('Leave log'!$A$7:$A$306,Employees!$A$23,'Leave log'!$B$7:$B$306,"&lt;="&amp;DATE($B$3,9,22),'Leave log'!$C$7:$C$306,"&gt;="&amp;DATE($B$3,9,22),'Leave log'!$F$7:$F$306,"Approved")&gt;0,"A",""))="A","A",IF(OR(DATE($B$3,9,22)&gt;EOMONTH(DATE($B$3,9,1),0),NETWORKDAYS.INTL(DATE($B$3,9,22),DATE($B$3,9,22),1,'Non-working days'!$A$6:$A$45)=0),"",IF(COUNTIFS('Leave log'!$A$7:$A$306,Employees!$A$23,'Leave log'!$B$7:$B$306,"&lt;="&amp;DATE($B$3,9,22),'Leave log'!$C$7:$C$306,"&gt;="&amp;DATE($B$3,9,22),'Leave log'!$F$7:$F$306,"Pending")&gt;0,"P",""))))</f>
        <v/>
      </c>
      <c r="X296" s="23" t="str">
        <f>IF(A296="","",IF(IF(OR(DATE($B$3,9,23)&gt;EOMONTH(DATE($B$3,9,1),0),NETWORKDAYS.INTL(DATE($B$3,9,23),DATE($B$3,9,23),1,'Non-working days'!$A$6:$A$45)=0),"",IF(COUNTIFS('Leave log'!$A$7:$A$306,Employees!$A$23,'Leave log'!$B$7:$B$306,"&lt;="&amp;DATE($B$3,9,23),'Leave log'!$C$7:$C$306,"&gt;="&amp;DATE($B$3,9,23),'Leave log'!$F$7:$F$306,"Approved")&gt;0,"A",""))="A","A",IF(OR(DATE($B$3,9,23)&gt;EOMONTH(DATE($B$3,9,1),0),NETWORKDAYS.INTL(DATE($B$3,9,23),DATE($B$3,9,23),1,'Non-working days'!$A$6:$A$45)=0),"",IF(COUNTIFS('Leave log'!$A$7:$A$306,Employees!$A$23,'Leave log'!$B$7:$B$306,"&lt;="&amp;DATE($B$3,9,23),'Leave log'!$C$7:$C$306,"&gt;="&amp;DATE($B$3,9,23),'Leave log'!$F$7:$F$306,"Pending")&gt;0,"P",""))))</f>
        <v/>
      </c>
      <c r="Y296" s="23" t="str">
        <f>IF(A296="","",IF(IF(OR(DATE($B$3,9,24)&gt;EOMONTH(DATE($B$3,9,1),0),NETWORKDAYS.INTL(DATE($B$3,9,24),DATE($B$3,9,24),1,'Non-working days'!$A$6:$A$45)=0),"",IF(COUNTIFS('Leave log'!$A$7:$A$306,Employees!$A$23,'Leave log'!$B$7:$B$306,"&lt;="&amp;DATE($B$3,9,24),'Leave log'!$C$7:$C$306,"&gt;="&amp;DATE($B$3,9,24),'Leave log'!$F$7:$F$306,"Approved")&gt;0,"A",""))="A","A",IF(OR(DATE($B$3,9,24)&gt;EOMONTH(DATE($B$3,9,1),0),NETWORKDAYS.INTL(DATE($B$3,9,24),DATE($B$3,9,24),1,'Non-working days'!$A$6:$A$45)=0),"",IF(COUNTIFS('Leave log'!$A$7:$A$306,Employees!$A$23,'Leave log'!$B$7:$B$306,"&lt;="&amp;DATE($B$3,9,24),'Leave log'!$C$7:$C$306,"&gt;="&amp;DATE($B$3,9,24),'Leave log'!$F$7:$F$306,"Pending")&gt;0,"P",""))))</f>
        <v/>
      </c>
      <c r="Z296" s="23" t="str">
        <f>IF(A296="","",IF(IF(OR(DATE($B$3,9,25)&gt;EOMONTH(DATE($B$3,9,1),0),NETWORKDAYS.INTL(DATE($B$3,9,25),DATE($B$3,9,25),1,'Non-working days'!$A$6:$A$45)=0),"",IF(COUNTIFS('Leave log'!$A$7:$A$306,Employees!$A$23,'Leave log'!$B$7:$B$306,"&lt;="&amp;DATE($B$3,9,25),'Leave log'!$C$7:$C$306,"&gt;="&amp;DATE($B$3,9,25),'Leave log'!$F$7:$F$306,"Approved")&gt;0,"A",""))="A","A",IF(OR(DATE($B$3,9,25)&gt;EOMONTH(DATE($B$3,9,1),0),NETWORKDAYS.INTL(DATE($B$3,9,25),DATE($B$3,9,25),1,'Non-working days'!$A$6:$A$45)=0),"",IF(COUNTIFS('Leave log'!$A$7:$A$306,Employees!$A$23,'Leave log'!$B$7:$B$306,"&lt;="&amp;DATE($B$3,9,25),'Leave log'!$C$7:$C$306,"&gt;="&amp;DATE($B$3,9,25),'Leave log'!$F$7:$F$306,"Pending")&gt;0,"P",""))))</f>
        <v/>
      </c>
      <c r="AA296" s="23" t="str">
        <f>IF(A296="","",IF(IF(OR(DATE($B$3,9,26)&gt;EOMONTH(DATE($B$3,9,1),0),NETWORKDAYS.INTL(DATE($B$3,9,26),DATE($B$3,9,26),1,'Non-working days'!$A$6:$A$45)=0),"",IF(COUNTIFS('Leave log'!$A$7:$A$306,Employees!$A$23,'Leave log'!$B$7:$B$306,"&lt;="&amp;DATE($B$3,9,26),'Leave log'!$C$7:$C$306,"&gt;="&amp;DATE($B$3,9,26),'Leave log'!$F$7:$F$306,"Approved")&gt;0,"A",""))="A","A",IF(OR(DATE($B$3,9,26)&gt;EOMONTH(DATE($B$3,9,1),0),NETWORKDAYS.INTL(DATE($B$3,9,26),DATE($B$3,9,26),1,'Non-working days'!$A$6:$A$45)=0),"",IF(COUNTIFS('Leave log'!$A$7:$A$306,Employees!$A$23,'Leave log'!$B$7:$B$306,"&lt;="&amp;DATE($B$3,9,26),'Leave log'!$C$7:$C$306,"&gt;="&amp;DATE($B$3,9,26),'Leave log'!$F$7:$F$306,"Pending")&gt;0,"P",""))))</f>
        <v/>
      </c>
      <c r="AB296" s="23" t="str">
        <f>IF(A296="","",IF(IF(OR(DATE($B$3,9,27)&gt;EOMONTH(DATE($B$3,9,1),0),NETWORKDAYS.INTL(DATE($B$3,9,27),DATE($B$3,9,27),1,'Non-working days'!$A$6:$A$45)=0),"",IF(COUNTIFS('Leave log'!$A$7:$A$306,Employees!$A$23,'Leave log'!$B$7:$B$306,"&lt;="&amp;DATE($B$3,9,27),'Leave log'!$C$7:$C$306,"&gt;="&amp;DATE($B$3,9,27),'Leave log'!$F$7:$F$306,"Approved")&gt;0,"A",""))="A","A",IF(OR(DATE($B$3,9,27)&gt;EOMONTH(DATE($B$3,9,1),0),NETWORKDAYS.INTL(DATE($B$3,9,27),DATE($B$3,9,27),1,'Non-working days'!$A$6:$A$45)=0),"",IF(COUNTIFS('Leave log'!$A$7:$A$306,Employees!$A$23,'Leave log'!$B$7:$B$306,"&lt;="&amp;DATE($B$3,9,27),'Leave log'!$C$7:$C$306,"&gt;="&amp;DATE($B$3,9,27),'Leave log'!$F$7:$F$306,"Pending")&gt;0,"P",""))))</f>
        <v/>
      </c>
      <c r="AC296" s="23" t="str">
        <f>IF(A296="","",IF(IF(OR(DATE($B$3,9,28)&gt;EOMONTH(DATE($B$3,9,1),0),NETWORKDAYS.INTL(DATE($B$3,9,28),DATE($B$3,9,28),1,'Non-working days'!$A$6:$A$45)=0),"",IF(COUNTIFS('Leave log'!$A$7:$A$306,Employees!$A$23,'Leave log'!$B$7:$B$306,"&lt;="&amp;DATE($B$3,9,28),'Leave log'!$C$7:$C$306,"&gt;="&amp;DATE($B$3,9,28),'Leave log'!$F$7:$F$306,"Approved")&gt;0,"A",""))="A","A",IF(OR(DATE($B$3,9,28)&gt;EOMONTH(DATE($B$3,9,1),0),NETWORKDAYS.INTL(DATE($B$3,9,28),DATE($B$3,9,28),1,'Non-working days'!$A$6:$A$45)=0),"",IF(COUNTIFS('Leave log'!$A$7:$A$306,Employees!$A$23,'Leave log'!$B$7:$B$306,"&lt;="&amp;DATE($B$3,9,28),'Leave log'!$C$7:$C$306,"&gt;="&amp;DATE($B$3,9,28),'Leave log'!$F$7:$F$306,"Pending")&gt;0,"P",""))))</f>
        <v/>
      </c>
      <c r="AD296" s="23" t="str">
        <f>IF(A296="","",IF(IF(OR(DATE($B$3,9,29)&gt;EOMONTH(DATE($B$3,9,1),0),NETWORKDAYS.INTL(DATE($B$3,9,29),DATE($B$3,9,29),1,'Non-working days'!$A$6:$A$45)=0),"",IF(COUNTIFS('Leave log'!$A$7:$A$306,Employees!$A$23,'Leave log'!$B$7:$B$306,"&lt;="&amp;DATE($B$3,9,29),'Leave log'!$C$7:$C$306,"&gt;="&amp;DATE($B$3,9,29),'Leave log'!$F$7:$F$306,"Approved")&gt;0,"A",""))="A","A",IF(OR(DATE($B$3,9,29)&gt;EOMONTH(DATE($B$3,9,1),0),NETWORKDAYS.INTL(DATE($B$3,9,29),DATE($B$3,9,29),1,'Non-working days'!$A$6:$A$45)=0),"",IF(COUNTIFS('Leave log'!$A$7:$A$306,Employees!$A$23,'Leave log'!$B$7:$B$306,"&lt;="&amp;DATE($B$3,9,29),'Leave log'!$C$7:$C$306,"&gt;="&amp;DATE($B$3,9,29),'Leave log'!$F$7:$F$306,"Pending")&gt;0,"P",""))))</f>
        <v/>
      </c>
      <c r="AE296" s="23" t="str">
        <f>IF(A296="","",IF(IF(OR(DATE($B$3,9,30)&gt;EOMONTH(DATE($B$3,9,1),0),NETWORKDAYS.INTL(DATE($B$3,9,30),DATE($B$3,9,30),1,'Non-working days'!$A$6:$A$45)=0),"",IF(COUNTIFS('Leave log'!$A$7:$A$306,Employees!$A$23,'Leave log'!$B$7:$B$306,"&lt;="&amp;DATE($B$3,9,30),'Leave log'!$C$7:$C$306,"&gt;="&amp;DATE($B$3,9,30),'Leave log'!$F$7:$F$306,"Approved")&gt;0,"A",""))="A","A",IF(OR(DATE($B$3,9,30)&gt;EOMONTH(DATE($B$3,9,1),0),NETWORKDAYS.INTL(DATE($B$3,9,30),DATE($B$3,9,30),1,'Non-working days'!$A$6:$A$45)=0),"",IF(COUNTIFS('Leave log'!$A$7:$A$306,Employees!$A$23,'Leave log'!$B$7:$B$306,"&lt;="&amp;DATE($B$3,9,30),'Leave log'!$C$7:$C$306,"&gt;="&amp;DATE($B$3,9,30),'Leave log'!$F$7:$F$306,"Pending")&gt;0,"P",""))))</f>
        <v/>
      </c>
      <c r="AF296" s="23" t="str">
        <f>IF(A296="","",IF(IF(OR(DATE($B$3,9,31)&gt;EOMONTH(DATE($B$3,9,1),0),NETWORKDAYS.INTL(DATE($B$3,9,31),DATE($B$3,9,31),1,'Non-working days'!$A$6:$A$45)=0),"",IF(COUNTIFS('Leave log'!$A$7:$A$306,Employees!$A$23,'Leave log'!$B$7:$B$306,"&lt;="&amp;DATE($B$3,9,31),'Leave log'!$C$7:$C$306,"&gt;="&amp;DATE($B$3,9,31),'Leave log'!$F$7:$F$306,"Approved")&gt;0,"A",""))="A","A",IF(OR(DATE($B$3,9,31)&gt;EOMONTH(DATE($B$3,9,1),0),NETWORKDAYS.INTL(DATE($B$3,9,31),DATE($B$3,9,31),1,'Non-working days'!$A$6:$A$45)=0),"",IF(COUNTIFS('Leave log'!$A$7:$A$306,Employees!$A$23,'Leave log'!$B$7:$B$306,"&lt;="&amp;DATE($B$3,9,31),'Leave log'!$C$7:$C$306,"&gt;="&amp;DATE($B$3,9,31),'Leave log'!$F$7:$F$306,"Pending")&gt;0,"P",""))))</f>
        <v/>
      </c>
    </row>
    <row r="297" spans="1:32" ht="18" customHeight="1" x14ac:dyDescent="0.3">
      <c r="A297" s="22" t="str">
        <f>IF(Employees!F24="Yes",Employees!B24,"")</f>
        <v/>
      </c>
      <c r="B297" s="23" t="str">
        <f>IF(A297="","",IF(IF(OR(DATE($B$3,9,1)&gt;EOMONTH(DATE($B$3,9,1),0),NETWORKDAYS.INTL(DATE($B$3,9,1),DATE($B$3,9,1),1,'Non-working days'!$A$6:$A$45)=0),"",IF(COUNTIFS('Leave log'!$A$7:$A$306,Employees!$A$24,'Leave log'!$B$7:$B$306,"&lt;="&amp;DATE($B$3,9,1),'Leave log'!$C$7:$C$306,"&gt;="&amp;DATE($B$3,9,1),'Leave log'!$F$7:$F$306,"Approved")&gt;0,"A",""))="A","A",IF(OR(DATE($B$3,9,1)&gt;EOMONTH(DATE($B$3,9,1),0),NETWORKDAYS.INTL(DATE($B$3,9,1),DATE($B$3,9,1),1,'Non-working days'!$A$6:$A$45)=0),"",IF(COUNTIFS('Leave log'!$A$7:$A$306,Employees!$A$24,'Leave log'!$B$7:$B$306,"&lt;="&amp;DATE($B$3,9,1),'Leave log'!$C$7:$C$306,"&gt;="&amp;DATE($B$3,9,1),'Leave log'!$F$7:$F$306,"Pending")&gt;0,"P",""))))</f>
        <v/>
      </c>
      <c r="C297" s="23" t="str">
        <f>IF(A297="","",IF(IF(OR(DATE($B$3,9,2)&gt;EOMONTH(DATE($B$3,9,1),0),NETWORKDAYS.INTL(DATE($B$3,9,2),DATE($B$3,9,2),1,'Non-working days'!$A$6:$A$45)=0),"",IF(COUNTIFS('Leave log'!$A$7:$A$306,Employees!$A$24,'Leave log'!$B$7:$B$306,"&lt;="&amp;DATE($B$3,9,2),'Leave log'!$C$7:$C$306,"&gt;="&amp;DATE($B$3,9,2),'Leave log'!$F$7:$F$306,"Approved")&gt;0,"A",""))="A","A",IF(OR(DATE($B$3,9,2)&gt;EOMONTH(DATE($B$3,9,1),0),NETWORKDAYS.INTL(DATE($B$3,9,2),DATE($B$3,9,2),1,'Non-working days'!$A$6:$A$45)=0),"",IF(COUNTIFS('Leave log'!$A$7:$A$306,Employees!$A$24,'Leave log'!$B$7:$B$306,"&lt;="&amp;DATE($B$3,9,2),'Leave log'!$C$7:$C$306,"&gt;="&amp;DATE($B$3,9,2),'Leave log'!$F$7:$F$306,"Pending")&gt;0,"P",""))))</f>
        <v/>
      </c>
      <c r="D297" s="23" t="str">
        <f>IF(A297="","",IF(IF(OR(DATE($B$3,9,3)&gt;EOMONTH(DATE($B$3,9,1),0),NETWORKDAYS.INTL(DATE($B$3,9,3),DATE($B$3,9,3),1,'Non-working days'!$A$6:$A$45)=0),"",IF(COUNTIFS('Leave log'!$A$7:$A$306,Employees!$A$24,'Leave log'!$B$7:$B$306,"&lt;="&amp;DATE($B$3,9,3),'Leave log'!$C$7:$C$306,"&gt;="&amp;DATE($B$3,9,3),'Leave log'!$F$7:$F$306,"Approved")&gt;0,"A",""))="A","A",IF(OR(DATE($B$3,9,3)&gt;EOMONTH(DATE($B$3,9,1),0),NETWORKDAYS.INTL(DATE($B$3,9,3),DATE($B$3,9,3),1,'Non-working days'!$A$6:$A$45)=0),"",IF(COUNTIFS('Leave log'!$A$7:$A$306,Employees!$A$24,'Leave log'!$B$7:$B$306,"&lt;="&amp;DATE($B$3,9,3),'Leave log'!$C$7:$C$306,"&gt;="&amp;DATE($B$3,9,3),'Leave log'!$F$7:$F$306,"Pending")&gt;0,"P",""))))</f>
        <v/>
      </c>
      <c r="E297" s="23" t="str">
        <f>IF(A297="","",IF(IF(OR(DATE($B$3,9,4)&gt;EOMONTH(DATE($B$3,9,1),0),NETWORKDAYS.INTL(DATE($B$3,9,4),DATE($B$3,9,4),1,'Non-working days'!$A$6:$A$45)=0),"",IF(COUNTIFS('Leave log'!$A$7:$A$306,Employees!$A$24,'Leave log'!$B$7:$B$306,"&lt;="&amp;DATE($B$3,9,4),'Leave log'!$C$7:$C$306,"&gt;="&amp;DATE($B$3,9,4),'Leave log'!$F$7:$F$306,"Approved")&gt;0,"A",""))="A","A",IF(OR(DATE($B$3,9,4)&gt;EOMONTH(DATE($B$3,9,1),0),NETWORKDAYS.INTL(DATE($B$3,9,4),DATE($B$3,9,4),1,'Non-working days'!$A$6:$A$45)=0),"",IF(COUNTIFS('Leave log'!$A$7:$A$306,Employees!$A$24,'Leave log'!$B$7:$B$306,"&lt;="&amp;DATE($B$3,9,4),'Leave log'!$C$7:$C$306,"&gt;="&amp;DATE($B$3,9,4),'Leave log'!$F$7:$F$306,"Pending")&gt;0,"P",""))))</f>
        <v/>
      </c>
      <c r="F297" s="23" t="str">
        <f>IF(A297="","",IF(IF(OR(DATE($B$3,9,5)&gt;EOMONTH(DATE($B$3,9,1),0),NETWORKDAYS.INTL(DATE($B$3,9,5),DATE($B$3,9,5),1,'Non-working days'!$A$6:$A$45)=0),"",IF(COUNTIFS('Leave log'!$A$7:$A$306,Employees!$A$24,'Leave log'!$B$7:$B$306,"&lt;="&amp;DATE($B$3,9,5),'Leave log'!$C$7:$C$306,"&gt;="&amp;DATE($B$3,9,5),'Leave log'!$F$7:$F$306,"Approved")&gt;0,"A",""))="A","A",IF(OR(DATE($B$3,9,5)&gt;EOMONTH(DATE($B$3,9,1),0),NETWORKDAYS.INTL(DATE($B$3,9,5),DATE($B$3,9,5),1,'Non-working days'!$A$6:$A$45)=0),"",IF(COUNTIFS('Leave log'!$A$7:$A$306,Employees!$A$24,'Leave log'!$B$7:$B$306,"&lt;="&amp;DATE($B$3,9,5),'Leave log'!$C$7:$C$306,"&gt;="&amp;DATE($B$3,9,5),'Leave log'!$F$7:$F$306,"Pending")&gt;0,"P",""))))</f>
        <v/>
      </c>
      <c r="G297" s="23" t="str">
        <f>IF(A297="","",IF(IF(OR(DATE($B$3,9,6)&gt;EOMONTH(DATE($B$3,9,1),0),NETWORKDAYS.INTL(DATE($B$3,9,6),DATE($B$3,9,6),1,'Non-working days'!$A$6:$A$45)=0),"",IF(COUNTIFS('Leave log'!$A$7:$A$306,Employees!$A$24,'Leave log'!$B$7:$B$306,"&lt;="&amp;DATE($B$3,9,6),'Leave log'!$C$7:$C$306,"&gt;="&amp;DATE($B$3,9,6),'Leave log'!$F$7:$F$306,"Approved")&gt;0,"A",""))="A","A",IF(OR(DATE($B$3,9,6)&gt;EOMONTH(DATE($B$3,9,1),0),NETWORKDAYS.INTL(DATE($B$3,9,6),DATE($B$3,9,6),1,'Non-working days'!$A$6:$A$45)=0),"",IF(COUNTIFS('Leave log'!$A$7:$A$306,Employees!$A$24,'Leave log'!$B$7:$B$306,"&lt;="&amp;DATE($B$3,9,6),'Leave log'!$C$7:$C$306,"&gt;="&amp;DATE($B$3,9,6),'Leave log'!$F$7:$F$306,"Pending")&gt;0,"P",""))))</f>
        <v/>
      </c>
      <c r="H297" s="23" t="str">
        <f>IF(A297="","",IF(IF(OR(DATE($B$3,9,7)&gt;EOMONTH(DATE($B$3,9,1),0),NETWORKDAYS.INTL(DATE($B$3,9,7),DATE($B$3,9,7),1,'Non-working days'!$A$6:$A$45)=0),"",IF(COUNTIFS('Leave log'!$A$7:$A$306,Employees!$A$24,'Leave log'!$B$7:$B$306,"&lt;="&amp;DATE($B$3,9,7),'Leave log'!$C$7:$C$306,"&gt;="&amp;DATE($B$3,9,7),'Leave log'!$F$7:$F$306,"Approved")&gt;0,"A",""))="A","A",IF(OR(DATE($B$3,9,7)&gt;EOMONTH(DATE($B$3,9,1),0),NETWORKDAYS.INTL(DATE($B$3,9,7),DATE($B$3,9,7),1,'Non-working days'!$A$6:$A$45)=0),"",IF(COUNTIFS('Leave log'!$A$7:$A$306,Employees!$A$24,'Leave log'!$B$7:$B$306,"&lt;="&amp;DATE($B$3,9,7),'Leave log'!$C$7:$C$306,"&gt;="&amp;DATE($B$3,9,7),'Leave log'!$F$7:$F$306,"Pending")&gt;0,"P",""))))</f>
        <v/>
      </c>
      <c r="I297" s="23" t="str">
        <f>IF(A297="","",IF(IF(OR(DATE($B$3,9,8)&gt;EOMONTH(DATE($B$3,9,1),0),NETWORKDAYS.INTL(DATE($B$3,9,8),DATE($B$3,9,8),1,'Non-working days'!$A$6:$A$45)=0),"",IF(COUNTIFS('Leave log'!$A$7:$A$306,Employees!$A$24,'Leave log'!$B$7:$B$306,"&lt;="&amp;DATE($B$3,9,8),'Leave log'!$C$7:$C$306,"&gt;="&amp;DATE($B$3,9,8),'Leave log'!$F$7:$F$306,"Approved")&gt;0,"A",""))="A","A",IF(OR(DATE($B$3,9,8)&gt;EOMONTH(DATE($B$3,9,1),0),NETWORKDAYS.INTL(DATE($B$3,9,8),DATE($B$3,9,8),1,'Non-working days'!$A$6:$A$45)=0),"",IF(COUNTIFS('Leave log'!$A$7:$A$306,Employees!$A$24,'Leave log'!$B$7:$B$306,"&lt;="&amp;DATE($B$3,9,8),'Leave log'!$C$7:$C$306,"&gt;="&amp;DATE($B$3,9,8),'Leave log'!$F$7:$F$306,"Pending")&gt;0,"P",""))))</f>
        <v/>
      </c>
      <c r="J297" s="23" t="str">
        <f>IF(A297="","",IF(IF(OR(DATE($B$3,9,9)&gt;EOMONTH(DATE($B$3,9,1),0),NETWORKDAYS.INTL(DATE($B$3,9,9),DATE($B$3,9,9),1,'Non-working days'!$A$6:$A$45)=0),"",IF(COUNTIFS('Leave log'!$A$7:$A$306,Employees!$A$24,'Leave log'!$B$7:$B$306,"&lt;="&amp;DATE($B$3,9,9),'Leave log'!$C$7:$C$306,"&gt;="&amp;DATE($B$3,9,9),'Leave log'!$F$7:$F$306,"Approved")&gt;0,"A",""))="A","A",IF(OR(DATE($B$3,9,9)&gt;EOMONTH(DATE($B$3,9,1),0),NETWORKDAYS.INTL(DATE($B$3,9,9),DATE($B$3,9,9),1,'Non-working days'!$A$6:$A$45)=0),"",IF(COUNTIFS('Leave log'!$A$7:$A$306,Employees!$A$24,'Leave log'!$B$7:$B$306,"&lt;="&amp;DATE($B$3,9,9),'Leave log'!$C$7:$C$306,"&gt;="&amp;DATE($B$3,9,9),'Leave log'!$F$7:$F$306,"Pending")&gt;0,"P",""))))</f>
        <v/>
      </c>
      <c r="K297" s="23" t="str">
        <f>IF(A297="","",IF(IF(OR(DATE($B$3,9,10)&gt;EOMONTH(DATE($B$3,9,1),0),NETWORKDAYS.INTL(DATE($B$3,9,10),DATE($B$3,9,10),1,'Non-working days'!$A$6:$A$45)=0),"",IF(COUNTIFS('Leave log'!$A$7:$A$306,Employees!$A$24,'Leave log'!$B$7:$B$306,"&lt;="&amp;DATE($B$3,9,10),'Leave log'!$C$7:$C$306,"&gt;="&amp;DATE($B$3,9,10),'Leave log'!$F$7:$F$306,"Approved")&gt;0,"A",""))="A","A",IF(OR(DATE($B$3,9,10)&gt;EOMONTH(DATE($B$3,9,1),0),NETWORKDAYS.INTL(DATE($B$3,9,10),DATE($B$3,9,10),1,'Non-working days'!$A$6:$A$45)=0),"",IF(COUNTIFS('Leave log'!$A$7:$A$306,Employees!$A$24,'Leave log'!$B$7:$B$306,"&lt;="&amp;DATE($B$3,9,10),'Leave log'!$C$7:$C$306,"&gt;="&amp;DATE($B$3,9,10),'Leave log'!$F$7:$F$306,"Pending")&gt;0,"P",""))))</f>
        <v/>
      </c>
      <c r="L297" s="23" t="str">
        <f>IF(A297="","",IF(IF(OR(DATE($B$3,9,11)&gt;EOMONTH(DATE($B$3,9,1),0),NETWORKDAYS.INTL(DATE($B$3,9,11),DATE($B$3,9,11),1,'Non-working days'!$A$6:$A$45)=0),"",IF(COUNTIFS('Leave log'!$A$7:$A$306,Employees!$A$24,'Leave log'!$B$7:$B$306,"&lt;="&amp;DATE($B$3,9,11),'Leave log'!$C$7:$C$306,"&gt;="&amp;DATE($B$3,9,11),'Leave log'!$F$7:$F$306,"Approved")&gt;0,"A",""))="A","A",IF(OR(DATE($B$3,9,11)&gt;EOMONTH(DATE($B$3,9,1),0),NETWORKDAYS.INTL(DATE($B$3,9,11),DATE($B$3,9,11),1,'Non-working days'!$A$6:$A$45)=0),"",IF(COUNTIFS('Leave log'!$A$7:$A$306,Employees!$A$24,'Leave log'!$B$7:$B$306,"&lt;="&amp;DATE($B$3,9,11),'Leave log'!$C$7:$C$306,"&gt;="&amp;DATE($B$3,9,11),'Leave log'!$F$7:$F$306,"Pending")&gt;0,"P",""))))</f>
        <v/>
      </c>
      <c r="M297" s="23" t="str">
        <f>IF(A297="","",IF(IF(OR(DATE($B$3,9,12)&gt;EOMONTH(DATE($B$3,9,1),0),NETWORKDAYS.INTL(DATE($B$3,9,12),DATE($B$3,9,12),1,'Non-working days'!$A$6:$A$45)=0),"",IF(COUNTIFS('Leave log'!$A$7:$A$306,Employees!$A$24,'Leave log'!$B$7:$B$306,"&lt;="&amp;DATE($B$3,9,12),'Leave log'!$C$7:$C$306,"&gt;="&amp;DATE($B$3,9,12),'Leave log'!$F$7:$F$306,"Approved")&gt;0,"A",""))="A","A",IF(OR(DATE($B$3,9,12)&gt;EOMONTH(DATE($B$3,9,1),0),NETWORKDAYS.INTL(DATE($B$3,9,12),DATE($B$3,9,12),1,'Non-working days'!$A$6:$A$45)=0),"",IF(COUNTIFS('Leave log'!$A$7:$A$306,Employees!$A$24,'Leave log'!$B$7:$B$306,"&lt;="&amp;DATE($B$3,9,12),'Leave log'!$C$7:$C$306,"&gt;="&amp;DATE($B$3,9,12),'Leave log'!$F$7:$F$306,"Pending")&gt;0,"P",""))))</f>
        <v/>
      </c>
      <c r="N297" s="23" t="str">
        <f>IF(A297="","",IF(IF(OR(DATE($B$3,9,13)&gt;EOMONTH(DATE($B$3,9,1),0),NETWORKDAYS.INTL(DATE($B$3,9,13),DATE($B$3,9,13),1,'Non-working days'!$A$6:$A$45)=0),"",IF(COUNTIFS('Leave log'!$A$7:$A$306,Employees!$A$24,'Leave log'!$B$7:$B$306,"&lt;="&amp;DATE($B$3,9,13),'Leave log'!$C$7:$C$306,"&gt;="&amp;DATE($B$3,9,13),'Leave log'!$F$7:$F$306,"Approved")&gt;0,"A",""))="A","A",IF(OR(DATE($B$3,9,13)&gt;EOMONTH(DATE($B$3,9,1),0),NETWORKDAYS.INTL(DATE($B$3,9,13),DATE($B$3,9,13),1,'Non-working days'!$A$6:$A$45)=0),"",IF(COUNTIFS('Leave log'!$A$7:$A$306,Employees!$A$24,'Leave log'!$B$7:$B$306,"&lt;="&amp;DATE($B$3,9,13),'Leave log'!$C$7:$C$306,"&gt;="&amp;DATE($B$3,9,13),'Leave log'!$F$7:$F$306,"Pending")&gt;0,"P",""))))</f>
        <v/>
      </c>
      <c r="O297" s="23" t="str">
        <f>IF(A297="","",IF(IF(OR(DATE($B$3,9,14)&gt;EOMONTH(DATE($B$3,9,1),0),NETWORKDAYS.INTL(DATE($B$3,9,14),DATE($B$3,9,14),1,'Non-working days'!$A$6:$A$45)=0),"",IF(COUNTIFS('Leave log'!$A$7:$A$306,Employees!$A$24,'Leave log'!$B$7:$B$306,"&lt;="&amp;DATE($B$3,9,14),'Leave log'!$C$7:$C$306,"&gt;="&amp;DATE($B$3,9,14),'Leave log'!$F$7:$F$306,"Approved")&gt;0,"A",""))="A","A",IF(OR(DATE($B$3,9,14)&gt;EOMONTH(DATE($B$3,9,1),0),NETWORKDAYS.INTL(DATE($B$3,9,14),DATE($B$3,9,14),1,'Non-working days'!$A$6:$A$45)=0),"",IF(COUNTIFS('Leave log'!$A$7:$A$306,Employees!$A$24,'Leave log'!$B$7:$B$306,"&lt;="&amp;DATE($B$3,9,14),'Leave log'!$C$7:$C$306,"&gt;="&amp;DATE($B$3,9,14),'Leave log'!$F$7:$F$306,"Pending")&gt;0,"P",""))))</f>
        <v/>
      </c>
      <c r="P297" s="23" t="str">
        <f>IF(A297="","",IF(IF(OR(DATE($B$3,9,15)&gt;EOMONTH(DATE($B$3,9,1),0),NETWORKDAYS.INTL(DATE($B$3,9,15),DATE($B$3,9,15),1,'Non-working days'!$A$6:$A$45)=0),"",IF(COUNTIFS('Leave log'!$A$7:$A$306,Employees!$A$24,'Leave log'!$B$7:$B$306,"&lt;="&amp;DATE($B$3,9,15),'Leave log'!$C$7:$C$306,"&gt;="&amp;DATE($B$3,9,15),'Leave log'!$F$7:$F$306,"Approved")&gt;0,"A",""))="A","A",IF(OR(DATE($B$3,9,15)&gt;EOMONTH(DATE($B$3,9,1),0),NETWORKDAYS.INTL(DATE($B$3,9,15),DATE($B$3,9,15),1,'Non-working days'!$A$6:$A$45)=0),"",IF(COUNTIFS('Leave log'!$A$7:$A$306,Employees!$A$24,'Leave log'!$B$7:$B$306,"&lt;="&amp;DATE($B$3,9,15),'Leave log'!$C$7:$C$306,"&gt;="&amp;DATE($B$3,9,15),'Leave log'!$F$7:$F$306,"Pending")&gt;0,"P",""))))</f>
        <v/>
      </c>
      <c r="Q297" s="23" t="str">
        <f>IF(A297="","",IF(IF(OR(DATE($B$3,9,16)&gt;EOMONTH(DATE($B$3,9,1),0),NETWORKDAYS.INTL(DATE($B$3,9,16),DATE($B$3,9,16),1,'Non-working days'!$A$6:$A$45)=0),"",IF(COUNTIFS('Leave log'!$A$7:$A$306,Employees!$A$24,'Leave log'!$B$7:$B$306,"&lt;="&amp;DATE($B$3,9,16),'Leave log'!$C$7:$C$306,"&gt;="&amp;DATE($B$3,9,16),'Leave log'!$F$7:$F$306,"Approved")&gt;0,"A",""))="A","A",IF(OR(DATE($B$3,9,16)&gt;EOMONTH(DATE($B$3,9,1),0),NETWORKDAYS.INTL(DATE($B$3,9,16),DATE($B$3,9,16),1,'Non-working days'!$A$6:$A$45)=0),"",IF(COUNTIFS('Leave log'!$A$7:$A$306,Employees!$A$24,'Leave log'!$B$7:$B$306,"&lt;="&amp;DATE($B$3,9,16),'Leave log'!$C$7:$C$306,"&gt;="&amp;DATE($B$3,9,16),'Leave log'!$F$7:$F$306,"Pending")&gt;0,"P",""))))</f>
        <v/>
      </c>
      <c r="R297" s="23" t="str">
        <f>IF(A297="","",IF(IF(OR(DATE($B$3,9,17)&gt;EOMONTH(DATE($B$3,9,1),0),NETWORKDAYS.INTL(DATE($B$3,9,17),DATE($B$3,9,17),1,'Non-working days'!$A$6:$A$45)=0),"",IF(COUNTIFS('Leave log'!$A$7:$A$306,Employees!$A$24,'Leave log'!$B$7:$B$306,"&lt;="&amp;DATE($B$3,9,17),'Leave log'!$C$7:$C$306,"&gt;="&amp;DATE($B$3,9,17),'Leave log'!$F$7:$F$306,"Approved")&gt;0,"A",""))="A","A",IF(OR(DATE($B$3,9,17)&gt;EOMONTH(DATE($B$3,9,1),0),NETWORKDAYS.INTL(DATE($B$3,9,17),DATE($B$3,9,17),1,'Non-working days'!$A$6:$A$45)=0),"",IF(COUNTIFS('Leave log'!$A$7:$A$306,Employees!$A$24,'Leave log'!$B$7:$B$306,"&lt;="&amp;DATE($B$3,9,17),'Leave log'!$C$7:$C$306,"&gt;="&amp;DATE($B$3,9,17),'Leave log'!$F$7:$F$306,"Pending")&gt;0,"P",""))))</f>
        <v/>
      </c>
      <c r="S297" s="23" t="str">
        <f>IF(A297="","",IF(IF(OR(DATE($B$3,9,18)&gt;EOMONTH(DATE($B$3,9,1),0),NETWORKDAYS.INTL(DATE($B$3,9,18),DATE($B$3,9,18),1,'Non-working days'!$A$6:$A$45)=0),"",IF(COUNTIFS('Leave log'!$A$7:$A$306,Employees!$A$24,'Leave log'!$B$7:$B$306,"&lt;="&amp;DATE($B$3,9,18),'Leave log'!$C$7:$C$306,"&gt;="&amp;DATE($B$3,9,18),'Leave log'!$F$7:$F$306,"Approved")&gt;0,"A",""))="A","A",IF(OR(DATE($B$3,9,18)&gt;EOMONTH(DATE($B$3,9,1),0),NETWORKDAYS.INTL(DATE($B$3,9,18),DATE($B$3,9,18),1,'Non-working days'!$A$6:$A$45)=0),"",IF(COUNTIFS('Leave log'!$A$7:$A$306,Employees!$A$24,'Leave log'!$B$7:$B$306,"&lt;="&amp;DATE($B$3,9,18),'Leave log'!$C$7:$C$306,"&gt;="&amp;DATE($B$3,9,18),'Leave log'!$F$7:$F$306,"Pending")&gt;0,"P",""))))</f>
        <v/>
      </c>
      <c r="T297" s="23" t="str">
        <f>IF(A297="","",IF(IF(OR(DATE($B$3,9,19)&gt;EOMONTH(DATE($B$3,9,1),0),NETWORKDAYS.INTL(DATE($B$3,9,19),DATE($B$3,9,19),1,'Non-working days'!$A$6:$A$45)=0),"",IF(COUNTIFS('Leave log'!$A$7:$A$306,Employees!$A$24,'Leave log'!$B$7:$B$306,"&lt;="&amp;DATE($B$3,9,19),'Leave log'!$C$7:$C$306,"&gt;="&amp;DATE($B$3,9,19),'Leave log'!$F$7:$F$306,"Approved")&gt;0,"A",""))="A","A",IF(OR(DATE($B$3,9,19)&gt;EOMONTH(DATE($B$3,9,1),0),NETWORKDAYS.INTL(DATE($B$3,9,19),DATE($B$3,9,19),1,'Non-working days'!$A$6:$A$45)=0),"",IF(COUNTIFS('Leave log'!$A$7:$A$306,Employees!$A$24,'Leave log'!$B$7:$B$306,"&lt;="&amp;DATE($B$3,9,19),'Leave log'!$C$7:$C$306,"&gt;="&amp;DATE($B$3,9,19),'Leave log'!$F$7:$F$306,"Pending")&gt;0,"P",""))))</f>
        <v/>
      </c>
      <c r="U297" s="23" t="str">
        <f>IF(A297="","",IF(IF(OR(DATE($B$3,9,20)&gt;EOMONTH(DATE($B$3,9,1),0),NETWORKDAYS.INTL(DATE($B$3,9,20),DATE($B$3,9,20),1,'Non-working days'!$A$6:$A$45)=0),"",IF(COUNTIFS('Leave log'!$A$7:$A$306,Employees!$A$24,'Leave log'!$B$7:$B$306,"&lt;="&amp;DATE($B$3,9,20),'Leave log'!$C$7:$C$306,"&gt;="&amp;DATE($B$3,9,20),'Leave log'!$F$7:$F$306,"Approved")&gt;0,"A",""))="A","A",IF(OR(DATE($B$3,9,20)&gt;EOMONTH(DATE($B$3,9,1),0),NETWORKDAYS.INTL(DATE($B$3,9,20),DATE($B$3,9,20),1,'Non-working days'!$A$6:$A$45)=0),"",IF(COUNTIFS('Leave log'!$A$7:$A$306,Employees!$A$24,'Leave log'!$B$7:$B$306,"&lt;="&amp;DATE($B$3,9,20),'Leave log'!$C$7:$C$306,"&gt;="&amp;DATE($B$3,9,20),'Leave log'!$F$7:$F$306,"Pending")&gt;0,"P",""))))</f>
        <v/>
      </c>
      <c r="V297" s="23" t="str">
        <f>IF(A297="","",IF(IF(OR(DATE($B$3,9,21)&gt;EOMONTH(DATE($B$3,9,1),0),NETWORKDAYS.INTL(DATE($B$3,9,21),DATE($B$3,9,21),1,'Non-working days'!$A$6:$A$45)=0),"",IF(COUNTIFS('Leave log'!$A$7:$A$306,Employees!$A$24,'Leave log'!$B$7:$B$306,"&lt;="&amp;DATE($B$3,9,21),'Leave log'!$C$7:$C$306,"&gt;="&amp;DATE($B$3,9,21),'Leave log'!$F$7:$F$306,"Approved")&gt;0,"A",""))="A","A",IF(OR(DATE($B$3,9,21)&gt;EOMONTH(DATE($B$3,9,1),0),NETWORKDAYS.INTL(DATE($B$3,9,21),DATE($B$3,9,21),1,'Non-working days'!$A$6:$A$45)=0),"",IF(COUNTIFS('Leave log'!$A$7:$A$306,Employees!$A$24,'Leave log'!$B$7:$B$306,"&lt;="&amp;DATE($B$3,9,21),'Leave log'!$C$7:$C$306,"&gt;="&amp;DATE($B$3,9,21),'Leave log'!$F$7:$F$306,"Pending")&gt;0,"P",""))))</f>
        <v/>
      </c>
      <c r="W297" s="23" t="str">
        <f>IF(A297="","",IF(IF(OR(DATE($B$3,9,22)&gt;EOMONTH(DATE($B$3,9,1),0),NETWORKDAYS.INTL(DATE($B$3,9,22),DATE($B$3,9,22),1,'Non-working days'!$A$6:$A$45)=0),"",IF(COUNTIFS('Leave log'!$A$7:$A$306,Employees!$A$24,'Leave log'!$B$7:$B$306,"&lt;="&amp;DATE($B$3,9,22),'Leave log'!$C$7:$C$306,"&gt;="&amp;DATE($B$3,9,22),'Leave log'!$F$7:$F$306,"Approved")&gt;0,"A",""))="A","A",IF(OR(DATE($B$3,9,22)&gt;EOMONTH(DATE($B$3,9,1),0),NETWORKDAYS.INTL(DATE($B$3,9,22),DATE($B$3,9,22),1,'Non-working days'!$A$6:$A$45)=0),"",IF(COUNTIFS('Leave log'!$A$7:$A$306,Employees!$A$24,'Leave log'!$B$7:$B$306,"&lt;="&amp;DATE($B$3,9,22),'Leave log'!$C$7:$C$306,"&gt;="&amp;DATE($B$3,9,22),'Leave log'!$F$7:$F$306,"Pending")&gt;0,"P",""))))</f>
        <v/>
      </c>
      <c r="X297" s="23" t="str">
        <f>IF(A297="","",IF(IF(OR(DATE($B$3,9,23)&gt;EOMONTH(DATE($B$3,9,1),0),NETWORKDAYS.INTL(DATE($B$3,9,23),DATE($B$3,9,23),1,'Non-working days'!$A$6:$A$45)=0),"",IF(COUNTIFS('Leave log'!$A$7:$A$306,Employees!$A$24,'Leave log'!$B$7:$B$306,"&lt;="&amp;DATE($B$3,9,23),'Leave log'!$C$7:$C$306,"&gt;="&amp;DATE($B$3,9,23),'Leave log'!$F$7:$F$306,"Approved")&gt;0,"A",""))="A","A",IF(OR(DATE($B$3,9,23)&gt;EOMONTH(DATE($B$3,9,1),0),NETWORKDAYS.INTL(DATE($B$3,9,23),DATE($B$3,9,23),1,'Non-working days'!$A$6:$A$45)=0),"",IF(COUNTIFS('Leave log'!$A$7:$A$306,Employees!$A$24,'Leave log'!$B$7:$B$306,"&lt;="&amp;DATE($B$3,9,23),'Leave log'!$C$7:$C$306,"&gt;="&amp;DATE($B$3,9,23),'Leave log'!$F$7:$F$306,"Pending")&gt;0,"P",""))))</f>
        <v/>
      </c>
      <c r="Y297" s="23" t="str">
        <f>IF(A297="","",IF(IF(OR(DATE($B$3,9,24)&gt;EOMONTH(DATE($B$3,9,1),0),NETWORKDAYS.INTL(DATE($B$3,9,24),DATE($B$3,9,24),1,'Non-working days'!$A$6:$A$45)=0),"",IF(COUNTIFS('Leave log'!$A$7:$A$306,Employees!$A$24,'Leave log'!$B$7:$B$306,"&lt;="&amp;DATE($B$3,9,24),'Leave log'!$C$7:$C$306,"&gt;="&amp;DATE($B$3,9,24),'Leave log'!$F$7:$F$306,"Approved")&gt;0,"A",""))="A","A",IF(OR(DATE($B$3,9,24)&gt;EOMONTH(DATE($B$3,9,1),0),NETWORKDAYS.INTL(DATE($B$3,9,24),DATE($B$3,9,24),1,'Non-working days'!$A$6:$A$45)=0),"",IF(COUNTIFS('Leave log'!$A$7:$A$306,Employees!$A$24,'Leave log'!$B$7:$B$306,"&lt;="&amp;DATE($B$3,9,24),'Leave log'!$C$7:$C$306,"&gt;="&amp;DATE($B$3,9,24),'Leave log'!$F$7:$F$306,"Pending")&gt;0,"P",""))))</f>
        <v/>
      </c>
      <c r="Z297" s="23" t="str">
        <f>IF(A297="","",IF(IF(OR(DATE($B$3,9,25)&gt;EOMONTH(DATE($B$3,9,1),0),NETWORKDAYS.INTL(DATE($B$3,9,25),DATE($B$3,9,25),1,'Non-working days'!$A$6:$A$45)=0),"",IF(COUNTIFS('Leave log'!$A$7:$A$306,Employees!$A$24,'Leave log'!$B$7:$B$306,"&lt;="&amp;DATE($B$3,9,25),'Leave log'!$C$7:$C$306,"&gt;="&amp;DATE($B$3,9,25),'Leave log'!$F$7:$F$306,"Approved")&gt;0,"A",""))="A","A",IF(OR(DATE($B$3,9,25)&gt;EOMONTH(DATE($B$3,9,1),0),NETWORKDAYS.INTL(DATE($B$3,9,25),DATE($B$3,9,25),1,'Non-working days'!$A$6:$A$45)=0),"",IF(COUNTIFS('Leave log'!$A$7:$A$306,Employees!$A$24,'Leave log'!$B$7:$B$306,"&lt;="&amp;DATE($B$3,9,25),'Leave log'!$C$7:$C$306,"&gt;="&amp;DATE($B$3,9,25),'Leave log'!$F$7:$F$306,"Pending")&gt;0,"P",""))))</f>
        <v/>
      </c>
      <c r="AA297" s="23" t="str">
        <f>IF(A297="","",IF(IF(OR(DATE($B$3,9,26)&gt;EOMONTH(DATE($B$3,9,1),0),NETWORKDAYS.INTL(DATE($B$3,9,26),DATE($B$3,9,26),1,'Non-working days'!$A$6:$A$45)=0),"",IF(COUNTIFS('Leave log'!$A$7:$A$306,Employees!$A$24,'Leave log'!$B$7:$B$306,"&lt;="&amp;DATE($B$3,9,26),'Leave log'!$C$7:$C$306,"&gt;="&amp;DATE($B$3,9,26),'Leave log'!$F$7:$F$306,"Approved")&gt;0,"A",""))="A","A",IF(OR(DATE($B$3,9,26)&gt;EOMONTH(DATE($B$3,9,1),0),NETWORKDAYS.INTL(DATE($B$3,9,26),DATE($B$3,9,26),1,'Non-working days'!$A$6:$A$45)=0),"",IF(COUNTIFS('Leave log'!$A$7:$A$306,Employees!$A$24,'Leave log'!$B$7:$B$306,"&lt;="&amp;DATE($B$3,9,26),'Leave log'!$C$7:$C$306,"&gt;="&amp;DATE($B$3,9,26),'Leave log'!$F$7:$F$306,"Pending")&gt;0,"P",""))))</f>
        <v/>
      </c>
      <c r="AB297" s="23" t="str">
        <f>IF(A297="","",IF(IF(OR(DATE($B$3,9,27)&gt;EOMONTH(DATE($B$3,9,1),0),NETWORKDAYS.INTL(DATE($B$3,9,27),DATE($B$3,9,27),1,'Non-working days'!$A$6:$A$45)=0),"",IF(COUNTIFS('Leave log'!$A$7:$A$306,Employees!$A$24,'Leave log'!$B$7:$B$306,"&lt;="&amp;DATE($B$3,9,27),'Leave log'!$C$7:$C$306,"&gt;="&amp;DATE($B$3,9,27),'Leave log'!$F$7:$F$306,"Approved")&gt;0,"A",""))="A","A",IF(OR(DATE($B$3,9,27)&gt;EOMONTH(DATE($B$3,9,1),0),NETWORKDAYS.INTL(DATE($B$3,9,27),DATE($B$3,9,27),1,'Non-working days'!$A$6:$A$45)=0),"",IF(COUNTIFS('Leave log'!$A$7:$A$306,Employees!$A$24,'Leave log'!$B$7:$B$306,"&lt;="&amp;DATE($B$3,9,27),'Leave log'!$C$7:$C$306,"&gt;="&amp;DATE($B$3,9,27),'Leave log'!$F$7:$F$306,"Pending")&gt;0,"P",""))))</f>
        <v/>
      </c>
      <c r="AC297" s="23" t="str">
        <f>IF(A297="","",IF(IF(OR(DATE($B$3,9,28)&gt;EOMONTH(DATE($B$3,9,1),0),NETWORKDAYS.INTL(DATE($B$3,9,28),DATE($B$3,9,28),1,'Non-working days'!$A$6:$A$45)=0),"",IF(COUNTIFS('Leave log'!$A$7:$A$306,Employees!$A$24,'Leave log'!$B$7:$B$306,"&lt;="&amp;DATE($B$3,9,28),'Leave log'!$C$7:$C$306,"&gt;="&amp;DATE($B$3,9,28),'Leave log'!$F$7:$F$306,"Approved")&gt;0,"A",""))="A","A",IF(OR(DATE($B$3,9,28)&gt;EOMONTH(DATE($B$3,9,1),0),NETWORKDAYS.INTL(DATE($B$3,9,28),DATE($B$3,9,28),1,'Non-working days'!$A$6:$A$45)=0),"",IF(COUNTIFS('Leave log'!$A$7:$A$306,Employees!$A$24,'Leave log'!$B$7:$B$306,"&lt;="&amp;DATE($B$3,9,28),'Leave log'!$C$7:$C$306,"&gt;="&amp;DATE($B$3,9,28),'Leave log'!$F$7:$F$306,"Pending")&gt;0,"P",""))))</f>
        <v/>
      </c>
      <c r="AD297" s="23" t="str">
        <f>IF(A297="","",IF(IF(OR(DATE($B$3,9,29)&gt;EOMONTH(DATE($B$3,9,1),0),NETWORKDAYS.INTL(DATE($B$3,9,29),DATE($B$3,9,29),1,'Non-working days'!$A$6:$A$45)=0),"",IF(COUNTIFS('Leave log'!$A$7:$A$306,Employees!$A$24,'Leave log'!$B$7:$B$306,"&lt;="&amp;DATE($B$3,9,29),'Leave log'!$C$7:$C$306,"&gt;="&amp;DATE($B$3,9,29),'Leave log'!$F$7:$F$306,"Approved")&gt;0,"A",""))="A","A",IF(OR(DATE($B$3,9,29)&gt;EOMONTH(DATE($B$3,9,1),0),NETWORKDAYS.INTL(DATE($B$3,9,29),DATE($B$3,9,29),1,'Non-working days'!$A$6:$A$45)=0),"",IF(COUNTIFS('Leave log'!$A$7:$A$306,Employees!$A$24,'Leave log'!$B$7:$B$306,"&lt;="&amp;DATE($B$3,9,29),'Leave log'!$C$7:$C$306,"&gt;="&amp;DATE($B$3,9,29),'Leave log'!$F$7:$F$306,"Pending")&gt;0,"P",""))))</f>
        <v/>
      </c>
      <c r="AE297" s="23" t="str">
        <f>IF(A297="","",IF(IF(OR(DATE($B$3,9,30)&gt;EOMONTH(DATE($B$3,9,1),0),NETWORKDAYS.INTL(DATE($B$3,9,30),DATE($B$3,9,30),1,'Non-working days'!$A$6:$A$45)=0),"",IF(COUNTIFS('Leave log'!$A$7:$A$306,Employees!$A$24,'Leave log'!$B$7:$B$306,"&lt;="&amp;DATE($B$3,9,30),'Leave log'!$C$7:$C$306,"&gt;="&amp;DATE($B$3,9,30),'Leave log'!$F$7:$F$306,"Approved")&gt;0,"A",""))="A","A",IF(OR(DATE($B$3,9,30)&gt;EOMONTH(DATE($B$3,9,1),0),NETWORKDAYS.INTL(DATE($B$3,9,30),DATE($B$3,9,30),1,'Non-working days'!$A$6:$A$45)=0),"",IF(COUNTIFS('Leave log'!$A$7:$A$306,Employees!$A$24,'Leave log'!$B$7:$B$306,"&lt;="&amp;DATE($B$3,9,30),'Leave log'!$C$7:$C$306,"&gt;="&amp;DATE($B$3,9,30),'Leave log'!$F$7:$F$306,"Pending")&gt;0,"P",""))))</f>
        <v/>
      </c>
      <c r="AF297" s="23" t="str">
        <f>IF(A297="","",IF(IF(OR(DATE($B$3,9,31)&gt;EOMONTH(DATE($B$3,9,1),0),NETWORKDAYS.INTL(DATE($B$3,9,31),DATE($B$3,9,31),1,'Non-working days'!$A$6:$A$45)=0),"",IF(COUNTIFS('Leave log'!$A$7:$A$306,Employees!$A$24,'Leave log'!$B$7:$B$306,"&lt;="&amp;DATE($B$3,9,31),'Leave log'!$C$7:$C$306,"&gt;="&amp;DATE($B$3,9,31),'Leave log'!$F$7:$F$306,"Approved")&gt;0,"A",""))="A","A",IF(OR(DATE($B$3,9,31)&gt;EOMONTH(DATE($B$3,9,1),0),NETWORKDAYS.INTL(DATE($B$3,9,31),DATE($B$3,9,31),1,'Non-working days'!$A$6:$A$45)=0),"",IF(COUNTIFS('Leave log'!$A$7:$A$306,Employees!$A$24,'Leave log'!$B$7:$B$306,"&lt;="&amp;DATE($B$3,9,31),'Leave log'!$C$7:$C$306,"&gt;="&amp;DATE($B$3,9,31),'Leave log'!$F$7:$F$306,"Pending")&gt;0,"P",""))))</f>
        <v/>
      </c>
    </row>
    <row r="298" spans="1:32" ht="18" customHeight="1" x14ac:dyDescent="0.3">
      <c r="A298" s="22" t="str">
        <f>IF(Employees!F25="Yes",Employees!B25,"")</f>
        <v/>
      </c>
      <c r="B298" s="23" t="str">
        <f>IF(A298="","",IF(IF(OR(DATE($B$3,9,1)&gt;EOMONTH(DATE($B$3,9,1),0),NETWORKDAYS.INTL(DATE($B$3,9,1),DATE($B$3,9,1),1,'Non-working days'!$A$6:$A$45)=0),"",IF(COUNTIFS('Leave log'!$A$7:$A$306,Employees!$A$25,'Leave log'!$B$7:$B$306,"&lt;="&amp;DATE($B$3,9,1),'Leave log'!$C$7:$C$306,"&gt;="&amp;DATE($B$3,9,1),'Leave log'!$F$7:$F$306,"Approved")&gt;0,"A",""))="A","A",IF(OR(DATE($B$3,9,1)&gt;EOMONTH(DATE($B$3,9,1),0),NETWORKDAYS.INTL(DATE($B$3,9,1),DATE($B$3,9,1),1,'Non-working days'!$A$6:$A$45)=0),"",IF(COUNTIFS('Leave log'!$A$7:$A$306,Employees!$A$25,'Leave log'!$B$7:$B$306,"&lt;="&amp;DATE($B$3,9,1),'Leave log'!$C$7:$C$306,"&gt;="&amp;DATE($B$3,9,1),'Leave log'!$F$7:$F$306,"Pending")&gt;0,"P",""))))</f>
        <v/>
      </c>
      <c r="C298" s="23" t="str">
        <f>IF(A298="","",IF(IF(OR(DATE($B$3,9,2)&gt;EOMONTH(DATE($B$3,9,1),0),NETWORKDAYS.INTL(DATE($B$3,9,2),DATE($B$3,9,2),1,'Non-working days'!$A$6:$A$45)=0),"",IF(COUNTIFS('Leave log'!$A$7:$A$306,Employees!$A$25,'Leave log'!$B$7:$B$306,"&lt;="&amp;DATE($B$3,9,2),'Leave log'!$C$7:$C$306,"&gt;="&amp;DATE($B$3,9,2),'Leave log'!$F$7:$F$306,"Approved")&gt;0,"A",""))="A","A",IF(OR(DATE($B$3,9,2)&gt;EOMONTH(DATE($B$3,9,1),0),NETWORKDAYS.INTL(DATE($B$3,9,2),DATE($B$3,9,2),1,'Non-working days'!$A$6:$A$45)=0),"",IF(COUNTIFS('Leave log'!$A$7:$A$306,Employees!$A$25,'Leave log'!$B$7:$B$306,"&lt;="&amp;DATE($B$3,9,2),'Leave log'!$C$7:$C$306,"&gt;="&amp;DATE($B$3,9,2),'Leave log'!$F$7:$F$306,"Pending")&gt;0,"P",""))))</f>
        <v/>
      </c>
      <c r="D298" s="23" t="str">
        <f>IF(A298="","",IF(IF(OR(DATE($B$3,9,3)&gt;EOMONTH(DATE($B$3,9,1),0),NETWORKDAYS.INTL(DATE($B$3,9,3),DATE($B$3,9,3),1,'Non-working days'!$A$6:$A$45)=0),"",IF(COUNTIFS('Leave log'!$A$7:$A$306,Employees!$A$25,'Leave log'!$B$7:$B$306,"&lt;="&amp;DATE($B$3,9,3),'Leave log'!$C$7:$C$306,"&gt;="&amp;DATE($B$3,9,3),'Leave log'!$F$7:$F$306,"Approved")&gt;0,"A",""))="A","A",IF(OR(DATE($B$3,9,3)&gt;EOMONTH(DATE($B$3,9,1),0),NETWORKDAYS.INTL(DATE($B$3,9,3),DATE($B$3,9,3),1,'Non-working days'!$A$6:$A$45)=0),"",IF(COUNTIFS('Leave log'!$A$7:$A$306,Employees!$A$25,'Leave log'!$B$7:$B$306,"&lt;="&amp;DATE($B$3,9,3),'Leave log'!$C$7:$C$306,"&gt;="&amp;DATE($B$3,9,3),'Leave log'!$F$7:$F$306,"Pending")&gt;0,"P",""))))</f>
        <v/>
      </c>
      <c r="E298" s="23" t="str">
        <f>IF(A298="","",IF(IF(OR(DATE($B$3,9,4)&gt;EOMONTH(DATE($B$3,9,1),0),NETWORKDAYS.INTL(DATE($B$3,9,4),DATE($B$3,9,4),1,'Non-working days'!$A$6:$A$45)=0),"",IF(COUNTIFS('Leave log'!$A$7:$A$306,Employees!$A$25,'Leave log'!$B$7:$B$306,"&lt;="&amp;DATE($B$3,9,4),'Leave log'!$C$7:$C$306,"&gt;="&amp;DATE($B$3,9,4),'Leave log'!$F$7:$F$306,"Approved")&gt;0,"A",""))="A","A",IF(OR(DATE($B$3,9,4)&gt;EOMONTH(DATE($B$3,9,1),0),NETWORKDAYS.INTL(DATE($B$3,9,4),DATE($B$3,9,4),1,'Non-working days'!$A$6:$A$45)=0),"",IF(COUNTIFS('Leave log'!$A$7:$A$306,Employees!$A$25,'Leave log'!$B$7:$B$306,"&lt;="&amp;DATE($B$3,9,4),'Leave log'!$C$7:$C$306,"&gt;="&amp;DATE($B$3,9,4),'Leave log'!$F$7:$F$306,"Pending")&gt;0,"P",""))))</f>
        <v/>
      </c>
      <c r="F298" s="23" t="str">
        <f>IF(A298="","",IF(IF(OR(DATE($B$3,9,5)&gt;EOMONTH(DATE($B$3,9,1),0),NETWORKDAYS.INTL(DATE($B$3,9,5),DATE($B$3,9,5),1,'Non-working days'!$A$6:$A$45)=0),"",IF(COUNTIFS('Leave log'!$A$7:$A$306,Employees!$A$25,'Leave log'!$B$7:$B$306,"&lt;="&amp;DATE($B$3,9,5),'Leave log'!$C$7:$C$306,"&gt;="&amp;DATE($B$3,9,5),'Leave log'!$F$7:$F$306,"Approved")&gt;0,"A",""))="A","A",IF(OR(DATE($B$3,9,5)&gt;EOMONTH(DATE($B$3,9,1),0),NETWORKDAYS.INTL(DATE($B$3,9,5),DATE($B$3,9,5),1,'Non-working days'!$A$6:$A$45)=0),"",IF(COUNTIFS('Leave log'!$A$7:$A$306,Employees!$A$25,'Leave log'!$B$7:$B$306,"&lt;="&amp;DATE($B$3,9,5),'Leave log'!$C$7:$C$306,"&gt;="&amp;DATE($B$3,9,5),'Leave log'!$F$7:$F$306,"Pending")&gt;0,"P",""))))</f>
        <v/>
      </c>
      <c r="G298" s="23" t="str">
        <f>IF(A298="","",IF(IF(OR(DATE($B$3,9,6)&gt;EOMONTH(DATE($B$3,9,1),0),NETWORKDAYS.INTL(DATE($B$3,9,6),DATE($B$3,9,6),1,'Non-working days'!$A$6:$A$45)=0),"",IF(COUNTIFS('Leave log'!$A$7:$A$306,Employees!$A$25,'Leave log'!$B$7:$B$306,"&lt;="&amp;DATE($B$3,9,6),'Leave log'!$C$7:$C$306,"&gt;="&amp;DATE($B$3,9,6),'Leave log'!$F$7:$F$306,"Approved")&gt;0,"A",""))="A","A",IF(OR(DATE($B$3,9,6)&gt;EOMONTH(DATE($B$3,9,1),0),NETWORKDAYS.INTL(DATE($B$3,9,6),DATE($B$3,9,6),1,'Non-working days'!$A$6:$A$45)=0),"",IF(COUNTIFS('Leave log'!$A$7:$A$306,Employees!$A$25,'Leave log'!$B$7:$B$306,"&lt;="&amp;DATE($B$3,9,6),'Leave log'!$C$7:$C$306,"&gt;="&amp;DATE($B$3,9,6),'Leave log'!$F$7:$F$306,"Pending")&gt;0,"P",""))))</f>
        <v/>
      </c>
      <c r="H298" s="23" t="str">
        <f>IF(A298="","",IF(IF(OR(DATE($B$3,9,7)&gt;EOMONTH(DATE($B$3,9,1),0),NETWORKDAYS.INTL(DATE($B$3,9,7),DATE($B$3,9,7),1,'Non-working days'!$A$6:$A$45)=0),"",IF(COUNTIFS('Leave log'!$A$7:$A$306,Employees!$A$25,'Leave log'!$B$7:$B$306,"&lt;="&amp;DATE($B$3,9,7),'Leave log'!$C$7:$C$306,"&gt;="&amp;DATE($B$3,9,7),'Leave log'!$F$7:$F$306,"Approved")&gt;0,"A",""))="A","A",IF(OR(DATE($B$3,9,7)&gt;EOMONTH(DATE($B$3,9,1),0),NETWORKDAYS.INTL(DATE($B$3,9,7),DATE($B$3,9,7),1,'Non-working days'!$A$6:$A$45)=0),"",IF(COUNTIFS('Leave log'!$A$7:$A$306,Employees!$A$25,'Leave log'!$B$7:$B$306,"&lt;="&amp;DATE($B$3,9,7),'Leave log'!$C$7:$C$306,"&gt;="&amp;DATE($B$3,9,7),'Leave log'!$F$7:$F$306,"Pending")&gt;0,"P",""))))</f>
        <v/>
      </c>
      <c r="I298" s="23" t="str">
        <f>IF(A298="","",IF(IF(OR(DATE($B$3,9,8)&gt;EOMONTH(DATE($B$3,9,1),0),NETWORKDAYS.INTL(DATE($B$3,9,8),DATE($B$3,9,8),1,'Non-working days'!$A$6:$A$45)=0),"",IF(COUNTIFS('Leave log'!$A$7:$A$306,Employees!$A$25,'Leave log'!$B$7:$B$306,"&lt;="&amp;DATE($B$3,9,8),'Leave log'!$C$7:$C$306,"&gt;="&amp;DATE($B$3,9,8),'Leave log'!$F$7:$F$306,"Approved")&gt;0,"A",""))="A","A",IF(OR(DATE($B$3,9,8)&gt;EOMONTH(DATE($B$3,9,1),0),NETWORKDAYS.INTL(DATE($B$3,9,8),DATE($B$3,9,8),1,'Non-working days'!$A$6:$A$45)=0),"",IF(COUNTIFS('Leave log'!$A$7:$A$306,Employees!$A$25,'Leave log'!$B$7:$B$306,"&lt;="&amp;DATE($B$3,9,8),'Leave log'!$C$7:$C$306,"&gt;="&amp;DATE($B$3,9,8),'Leave log'!$F$7:$F$306,"Pending")&gt;0,"P",""))))</f>
        <v/>
      </c>
      <c r="J298" s="23" t="str">
        <f>IF(A298="","",IF(IF(OR(DATE($B$3,9,9)&gt;EOMONTH(DATE($B$3,9,1),0),NETWORKDAYS.INTL(DATE($B$3,9,9),DATE($B$3,9,9),1,'Non-working days'!$A$6:$A$45)=0),"",IF(COUNTIFS('Leave log'!$A$7:$A$306,Employees!$A$25,'Leave log'!$B$7:$B$306,"&lt;="&amp;DATE($B$3,9,9),'Leave log'!$C$7:$C$306,"&gt;="&amp;DATE($B$3,9,9),'Leave log'!$F$7:$F$306,"Approved")&gt;0,"A",""))="A","A",IF(OR(DATE($B$3,9,9)&gt;EOMONTH(DATE($B$3,9,1),0),NETWORKDAYS.INTL(DATE($B$3,9,9),DATE($B$3,9,9),1,'Non-working days'!$A$6:$A$45)=0),"",IF(COUNTIFS('Leave log'!$A$7:$A$306,Employees!$A$25,'Leave log'!$B$7:$B$306,"&lt;="&amp;DATE($B$3,9,9),'Leave log'!$C$7:$C$306,"&gt;="&amp;DATE($B$3,9,9),'Leave log'!$F$7:$F$306,"Pending")&gt;0,"P",""))))</f>
        <v/>
      </c>
      <c r="K298" s="23" t="str">
        <f>IF(A298="","",IF(IF(OR(DATE($B$3,9,10)&gt;EOMONTH(DATE($B$3,9,1),0),NETWORKDAYS.INTL(DATE($B$3,9,10),DATE($B$3,9,10),1,'Non-working days'!$A$6:$A$45)=0),"",IF(COUNTIFS('Leave log'!$A$7:$A$306,Employees!$A$25,'Leave log'!$B$7:$B$306,"&lt;="&amp;DATE($B$3,9,10),'Leave log'!$C$7:$C$306,"&gt;="&amp;DATE($B$3,9,10),'Leave log'!$F$7:$F$306,"Approved")&gt;0,"A",""))="A","A",IF(OR(DATE($B$3,9,10)&gt;EOMONTH(DATE($B$3,9,1),0),NETWORKDAYS.INTL(DATE($B$3,9,10),DATE($B$3,9,10),1,'Non-working days'!$A$6:$A$45)=0),"",IF(COUNTIFS('Leave log'!$A$7:$A$306,Employees!$A$25,'Leave log'!$B$7:$B$306,"&lt;="&amp;DATE($B$3,9,10),'Leave log'!$C$7:$C$306,"&gt;="&amp;DATE($B$3,9,10),'Leave log'!$F$7:$F$306,"Pending")&gt;0,"P",""))))</f>
        <v/>
      </c>
      <c r="L298" s="23" t="str">
        <f>IF(A298="","",IF(IF(OR(DATE($B$3,9,11)&gt;EOMONTH(DATE($B$3,9,1),0),NETWORKDAYS.INTL(DATE($B$3,9,11),DATE($B$3,9,11),1,'Non-working days'!$A$6:$A$45)=0),"",IF(COUNTIFS('Leave log'!$A$7:$A$306,Employees!$A$25,'Leave log'!$B$7:$B$306,"&lt;="&amp;DATE($B$3,9,11),'Leave log'!$C$7:$C$306,"&gt;="&amp;DATE($B$3,9,11),'Leave log'!$F$7:$F$306,"Approved")&gt;0,"A",""))="A","A",IF(OR(DATE($B$3,9,11)&gt;EOMONTH(DATE($B$3,9,1),0),NETWORKDAYS.INTL(DATE($B$3,9,11),DATE($B$3,9,11),1,'Non-working days'!$A$6:$A$45)=0),"",IF(COUNTIFS('Leave log'!$A$7:$A$306,Employees!$A$25,'Leave log'!$B$7:$B$306,"&lt;="&amp;DATE($B$3,9,11),'Leave log'!$C$7:$C$306,"&gt;="&amp;DATE($B$3,9,11),'Leave log'!$F$7:$F$306,"Pending")&gt;0,"P",""))))</f>
        <v/>
      </c>
      <c r="M298" s="23" t="str">
        <f>IF(A298="","",IF(IF(OR(DATE($B$3,9,12)&gt;EOMONTH(DATE($B$3,9,1),0),NETWORKDAYS.INTL(DATE($B$3,9,12),DATE($B$3,9,12),1,'Non-working days'!$A$6:$A$45)=0),"",IF(COUNTIFS('Leave log'!$A$7:$A$306,Employees!$A$25,'Leave log'!$B$7:$B$306,"&lt;="&amp;DATE($B$3,9,12),'Leave log'!$C$7:$C$306,"&gt;="&amp;DATE($B$3,9,12),'Leave log'!$F$7:$F$306,"Approved")&gt;0,"A",""))="A","A",IF(OR(DATE($B$3,9,12)&gt;EOMONTH(DATE($B$3,9,1),0),NETWORKDAYS.INTL(DATE($B$3,9,12),DATE($B$3,9,12),1,'Non-working days'!$A$6:$A$45)=0),"",IF(COUNTIFS('Leave log'!$A$7:$A$306,Employees!$A$25,'Leave log'!$B$7:$B$306,"&lt;="&amp;DATE($B$3,9,12),'Leave log'!$C$7:$C$306,"&gt;="&amp;DATE($B$3,9,12),'Leave log'!$F$7:$F$306,"Pending")&gt;0,"P",""))))</f>
        <v/>
      </c>
      <c r="N298" s="23" t="str">
        <f>IF(A298="","",IF(IF(OR(DATE($B$3,9,13)&gt;EOMONTH(DATE($B$3,9,1),0),NETWORKDAYS.INTL(DATE($B$3,9,13),DATE($B$3,9,13),1,'Non-working days'!$A$6:$A$45)=0),"",IF(COUNTIFS('Leave log'!$A$7:$A$306,Employees!$A$25,'Leave log'!$B$7:$B$306,"&lt;="&amp;DATE($B$3,9,13),'Leave log'!$C$7:$C$306,"&gt;="&amp;DATE($B$3,9,13),'Leave log'!$F$7:$F$306,"Approved")&gt;0,"A",""))="A","A",IF(OR(DATE($B$3,9,13)&gt;EOMONTH(DATE($B$3,9,1),0),NETWORKDAYS.INTL(DATE($B$3,9,13),DATE($B$3,9,13),1,'Non-working days'!$A$6:$A$45)=0),"",IF(COUNTIFS('Leave log'!$A$7:$A$306,Employees!$A$25,'Leave log'!$B$7:$B$306,"&lt;="&amp;DATE($B$3,9,13),'Leave log'!$C$7:$C$306,"&gt;="&amp;DATE($B$3,9,13),'Leave log'!$F$7:$F$306,"Pending")&gt;0,"P",""))))</f>
        <v/>
      </c>
      <c r="O298" s="23" t="str">
        <f>IF(A298="","",IF(IF(OR(DATE($B$3,9,14)&gt;EOMONTH(DATE($B$3,9,1),0),NETWORKDAYS.INTL(DATE($B$3,9,14),DATE($B$3,9,14),1,'Non-working days'!$A$6:$A$45)=0),"",IF(COUNTIFS('Leave log'!$A$7:$A$306,Employees!$A$25,'Leave log'!$B$7:$B$306,"&lt;="&amp;DATE($B$3,9,14),'Leave log'!$C$7:$C$306,"&gt;="&amp;DATE($B$3,9,14),'Leave log'!$F$7:$F$306,"Approved")&gt;0,"A",""))="A","A",IF(OR(DATE($B$3,9,14)&gt;EOMONTH(DATE($B$3,9,1),0),NETWORKDAYS.INTL(DATE($B$3,9,14),DATE($B$3,9,14),1,'Non-working days'!$A$6:$A$45)=0),"",IF(COUNTIFS('Leave log'!$A$7:$A$306,Employees!$A$25,'Leave log'!$B$7:$B$306,"&lt;="&amp;DATE($B$3,9,14),'Leave log'!$C$7:$C$306,"&gt;="&amp;DATE($B$3,9,14),'Leave log'!$F$7:$F$306,"Pending")&gt;0,"P",""))))</f>
        <v/>
      </c>
      <c r="P298" s="23" t="str">
        <f>IF(A298="","",IF(IF(OR(DATE($B$3,9,15)&gt;EOMONTH(DATE($B$3,9,1),0),NETWORKDAYS.INTL(DATE($B$3,9,15),DATE($B$3,9,15),1,'Non-working days'!$A$6:$A$45)=0),"",IF(COUNTIFS('Leave log'!$A$7:$A$306,Employees!$A$25,'Leave log'!$B$7:$B$306,"&lt;="&amp;DATE($B$3,9,15),'Leave log'!$C$7:$C$306,"&gt;="&amp;DATE($B$3,9,15),'Leave log'!$F$7:$F$306,"Approved")&gt;0,"A",""))="A","A",IF(OR(DATE($B$3,9,15)&gt;EOMONTH(DATE($B$3,9,1),0),NETWORKDAYS.INTL(DATE($B$3,9,15),DATE($B$3,9,15),1,'Non-working days'!$A$6:$A$45)=0),"",IF(COUNTIFS('Leave log'!$A$7:$A$306,Employees!$A$25,'Leave log'!$B$7:$B$306,"&lt;="&amp;DATE($B$3,9,15),'Leave log'!$C$7:$C$306,"&gt;="&amp;DATE($B$3,9,15),'Leave log'!$F$7:$F$306,"Pending")&gt;0,"P",""))))</f>
        <v/>
      </c>
      <c r="Q298" s="23" t="str">
        <f>IF(A298="","",IF(IF(OR(DATE($B$3,9,16)&gt;EOMONTH(DATE($B$3,9,1),0),NETWORKDAYS.INTL(DATE($B$3,9,16),DATE($B$3,9,16),1,'Non-working days'!$A$6:$A$45)=0),"",IF(COUNTIFS('Leave log'!$A$7:$A$306,Employees!$A$25,'Leave log'!$B$7:$B$306,"&lt;="&amp;DATE($B$3,9,16),'Leave log'!$C$7:$C$306,"&gt;="&amp;DATE($B$3,9,16),'Leave log'!$F$7:$F$306,"Approved")&gt;0,"A",""))="A","A",IF(OR(DATE($B$3,9,16)&gt;EOMONTH(DATE($B$3,9,1),0),NETWORKDAYS.INTL(DATE($B$3,9,16),DATE($B$3,9,16),1,'Non-working days'!$A$6:$A$45)=0),"",IF(COUNTIFS('Leave log'!$A$7:$A$306,Employees!$A$25,'Leave log'!$B$7:$B$306,"&lt;="&amp;DATE($B$3,9,16),'Leave log'!$C$7:$C$306,"&gt;="&amp;DATE($B$3,9,16),'Leave log'!$F$7:$F$306,"Pending")&gt;0,"P",""))))</f>
        <v/>
      </c>
      <c r="R298" s="23" t="str">
        <f>IF(A298="","",IF(IF(OR(DATE($B$3,9,17)&gt;EOMONTH(DATE($B$3,9,1),0),NETWORKDAYS.INTL(DATE($B$3,9,17),DATE($B$3,9,17),1,'Non-working days'!$A$6:$A$45)=0),"",IF(COUNTIFS('Leave log'!$A$7:$A$306,Employees!$A$25,'Leave log'!$B$7:$B$306,"&lt;="&amp;DATE($B$3,9,17),'Leave log'!$C$7:$C$306,"&gt;="&amp;DATE($B$3,9,17),'Leave log'!$F$7:$F$306,"Approved")&gt;0,"A",""))="A","A",IF(OR(DATE($B$3,9,17)&gt;EOMONTH(DATE($B$3,9,1),0),NETWORKDAYS.INTL(DATE($B$3,9,17),DATE($B$3,9,17),1,'Non-working days'!$A$6:$A$45)=0),"",IF(COUNTIFS('Leave log'!$A$7:$A$306,Employees!$A$25,'Leave log'!$B$7:$B$306,"&lt;="&amp;DATE($B$3,9,17),'Leave log'!$C$7:$C$306,"&gt;="&amp;DATE($B$3,9,17),'Leave log'!$F$7:$F$306,"Pending")&gt;0,"P",""))))</f>
        <v/>
      </c>
      <c r="S298" s="23" t="str">
        <f>IF(A298="","",IF(IF(OR(DATE($B$3,9,18)&gt;EOMONTH(DATE($B$3,9,1),0),NETWORKDAYS.INTL(DATE($B$3,9,18),DATE($B$3,9,18),1,'Non-working days'!$A$6:$A$45)=0),"",IF(COUNTIFS('Leave log'!$A$7:$A$306,Employees!$A$25,'Leave log'!$B$7:$B$306,"&lt;="&amp;DATE($B$3,9,18),'Leave log'!$C$7:$C$306,"&gt;="&amp;DATE($B$3,9,18),'Leave log'!$F$7:$F$306,"Approved")&gt;0,"A",""))="A","A",IF(OR(DATE($B$3,9,18)&gt;EOMONTH(DATE($B$3,9,1),0),NETWORKDAYS.INTL(DATE($B$3,9,18),DATE($B$3,9,18),1,'Non-working days'!$A$6:$A$45)=0),"",IF(COUNTIFS('Leave log'!$A$7:$A$306,Employees!$A$25,'Leave log'!$B$7:$B$306,"&lt;="&amp;DATE($B$3,9,18),'Leave log'!$C$7:$C$306,"&gt;="&amp;DATE($B$3,9,18),'Leave log'!$F$7:$F$306,"Pending")&gt;0,"P",""))))</f>
        <v/>
      </c>
      <c r="T298" s="23" t="str">
        <f>IF(A298="","",IF(IF(OR(DATE($B$3,9,19)&gt;EOMONTH(DATE($B$3,9,1),0),NETWORKDAYS.INTL(DATE($B$3,9,19),DATE($B$3,9,19),1,'Non-working days'!$A$6:$A$45)=0),"",IF(COUNTIFS('Leave log'!$A$7:$A$306,Employees!$A$25,'Leave log'!$B$7:$B$306,"&lt;="&amp;DATE($B$3,9,19),'Leave log'!$C$7:$C$306,"&gt;="&amp;DATE($B$3,9,19),'Leave log'!$F$7:$F$306,"Approved")&gt;0,"A",""))="A","A",IF(OR(DATE($B$3,9,19)&gt;EOMONTH(DATE($B$3,9,1),0),NETWORKDAYS.INTL(DATE($B$3,9,19),DATE($B$3,9,19),1,'Non-working days'!$A$6:$A$45)=0),"",IF(COUNTIFS('Leave log'!$A$7:$A$306,Employees!$A$25,'Leave log'!$B$7:$B$306,"&lt;="&amp;DATE($B$3,9,19),'Leave log'!$C$7:$C$306,"&gt;="&amp;DATE($B$3,9,19),'Leave log'!$F$7:$F$306,"Pending")&gt;0,"P",""))))</f>
        <v/>
      </c>
      <c r="U298" s="23" t="str">
        <f>IF(A298="","",IF(IF(OR(DATE($B$3,9,20)&gt;EOMONTH(DATE($B$3,9,1),0),NETWORKDAYS.INTL(DATE($B$3,9,20),DATE($B$3,9,20),1,'Non-working days'!$A$6:$A$45)=0),"",IF(COUNTIFS('Leave log'!$A$7:$A$306,Employees!$A$25,'Leave log'!$B$7:$B$306,"&lt;="&amp;DATE($B$3,9,20),'Leave log'!$C$7:$C$306,"&gt;="&amp;DATE($B$3,9,20),'Leave log'!$F$7:$F$306,"Approved")&gt;0,"A",""))="A","A",IF(OR(DATE($B$3,9,20)&gt;EOMONTH(DATE($B$3,9,1),0),NETWORKDAYS.INTL(DATE($B$3,9,20),DATE($B$3,9,20),1,'Non-working days'!$A$6:$A$45)=0),"",IF(COUNTIFS('Leave log'!$A$7:$A$306,Employees!$A$25,'Leave log'!$B$7:$B$306,"&lt;="&amp;DATE($B$3,9,20),'Leave log'!$C$7:$C$306,"&gt;="&amp;DATE($B$3,9,20),'Leave log'!$F$7:$F$306,"Pending")&gt;0,"P",""))))</f>
        <v/>
      </c>
      <c r="V298" s="23" t="str">
        <f>IF(A298="","",IF(IF(OR(DATE($B$3,9,21)&gt;EOMONTH(DATE($B$3,9,1),0),NETWORKDAYS.INTL(DATE($B$3,9,21),DATE($B$3,9,21),1,'Non-working days'!$A$6:$A$45)=0),"",IF(COUNTIFS('Leave log'!$A$7:$A$306,Employees!$A$25,'Leave log'!$B$7:$B$306,"&lt;="&amp;DATE($B$3,9,21),'Leave log'!$C$7:$C$306,"&gt;="&amp;DATE($B$3,9,21),'Leave log'!$F$7:$F$306,"Approved")&gt;0,"A",""))="A","A",IF(OR(DATE($B$3,9,21)&gt;EOMONTH(DATE($B$3,9,1),0),NETWORKDAYS.INTL(DATE($B$3,9,21),DATE($B$3,9,21),1,'Non-working days'!$A$6:$A$45)=0),"",IF(COUNTIFS('Leave log'!$A$7:$A$306,Employees!$A$25,'Leave log'!$B$7:$B$306,"&lt;="&amp;DATE($B$3,9,21),'Leave log'!$C$7:$C$306,"&gt;="&amp;DATE($B$3,9,21),'Leave log'!$F$7:$F$306,"Pending")&gt;0,"P",""))))</f>
        <v/>
      </c>
      <c r="W298" s="23" t="str">
        <f>IF(A298="","",IF(IF(OR(DATE($B$3,9,22)&gt;EOMONTH(DATE($B$3,9,1),0),NETWORKDAYS.INTL(DATE($B$3,9,22),DATE($B$3,9,22),1,'Non-working days'!$A$6:$A$45)=0),"",IF(COUNTIFS('Leave log'!$A$7:$A$306,Employees!$A$25,'Leave log'!$B$7:$B$306,"&lt;="&amp;DATE($B$3,9,22),'Leave log'!$C$7:$C$306,"&gt;="&amp;DATE($B$3,9,22),'Leave log'!$F$7:$F$306,"Approved")&gt;0,"A",""))="A","A",IF(OR(DATE($B$3,9,22)&gt;EOMONTH(DATE($B$3,9,1),0),NETWORKDAYS.INTL(DATE($B$3,9,22),DATE($B$3,9,22),1,'Non-working days'!$A$6:$A$45)=0),"",IF(COUNTIFS('Leave log'!$A$7:$A$306,Employees!$A$25,'Leave log'!$B$7:$B$306,"&lt;="&amp;DATE($B$3,9,22),'Leave log'!$C$7:$C$306,"&gt;="&amp;DATE($B$3,9,22),'Leave log'!$F$7:$F$306,"Pending")&gt;0,"P",""))))</f>
        <v/>
      </c>
      <c r="X298" s="23" t="str">
        <f>IF(A298="","",IF(IF(OR(DATE($B$3,9,23)&gt;EOMONTH(DATE($B$3,9,1),0),NETWORKDAYS.INTL(DATE($B$3,9,23),DATE($B$3,9,23),1,'Non-working days'!$A$6:$A$45)=0),"",IF(COUNTIFS('Leave log'!$A$7:$A$306,Employees!$A$25,'Leave log'!$B$7:$B$306,"&lt;="&amp;DATE($B$3,9,23),'Leave log'!$C$7:$C$306,"&gt;="&amp;DATE($B$3,9,23),'Leave log'!$F$7:$F$306,"Approved")&gt;0,"A",""))="A","A",IF(OR(DATE($B$3,9,23)&gt;EOMONTH(DATE($B$3,9,1),0),NETWORKDAYS.INTL(DATE($B$3,9,23),DATE($B$3,9,23),1,'Non-working days'!$A$6:$A$45)=0),"",IF(COUNTIFS('Leave log'!$A$7:$A$306,Employees!$A$25,'Leave log'!$B$7:$B$306,"&lt;="&amp;DATE($B$3,9,23),'Leave log'!$C$7:$C$306,"&gt;="&amp;DATE($B$3,9,23),'Leave log'!$F$7:$F$306,"Pending")&gt;0,"P",""))))</f>
        <v/>
      </c>
      <c r="Y298" s="23" t="str">
        <f>IF(A298="","",IF(IF(OR(DATE($B$3,9,24)&gt;EOMONTH(DATE($B$3,9,1),0),NETWORKDAYS.INTL(DATE($B$3,9,24),DATE($B$3,9,24),1,'Non-working days'!$A$6:$A$45)=0),"",IF(COUNTIFS('Leave log'!$A$7:$A$306,Employees!$A$25,'Leave log'!$B$7:$B$306,"&lt;="&amp;DATE($B$3,9,24),'Leave log'!$C$7:$C$306,"&gt;="&amp;DATE($B$3,9,24),'Leave log'!$F$7:$F$306,"Approved")&gt;0,"A",""))="A","A",IF(OR(DATE($B$3,9,24)&gt;EOMONTH(DATE($B$3,9,1),0),NETWORKDAYS.INTL(DATE($B$3,9,24),DATE($B$3,9,24),1,'Non-working days'!$A$6:$A$45)=0),"",IF(COUNTIFS('Leave log'!$A$7:$A$306,Employees!$A$25,'Leave log'!$B$7:$B$306,"&lt;="&amp;DATE($B$3,9,24),'Leave log'!$C$7:$C$306,"&gt;="&amp;DATE($B$3,9,24),'Leave log'!$F$7:$F$306,"Pending")&gt;0,"P",""))))</f>
        <v/>
      </c>
      <c r="Z298" s="23" t="str">
        <f>IF(A298="","",IF(IF(OR(DATE($B$3,9,25)&gt;EOMONTH(DATE($B$3,9,1),0),NETWORKDAYS.INTL(DATE($B$3,9,25),DATE($B$3,9,25),1,'Non-working days'!$A$6:$A$45)=0),"",IF(COUNTIFS('Leave log'!$A$7:$A$306,Employees!$A$25,'Leave log'!$B$7:$B$306,"&lt;="&amp;DATE($B$3,9,25),'Leave log'!$C$7:$C$306,"&gt;="&amp;DATE($B$3,9,25),'Leave log'!$F$7:$F$306,"Approved")&gt;0,"A",""))="A","A",IF(OR(DATE($B$3,9,25)&gt;EOMONTH(DATE($B$3,9,1),0),NETWORKDAYS.INTL(DATE($B$3,9,25),DATE($B$3,9,25),1,'Non-working days'!$A$6:$A$45)=0),"",IF(COUNTIFS('Leave log'!$A$7:$A$306,Employees!$A$25,'Leave log'!$B$7:$B$306,"&lt;="&amp;DATE($B$3,9,25),'Leave log'!$C$7:$C$306,"&gt;="&amp;DATE($B$3,9,25),'Leave log'!$F$7:$F$306,"Pending")&gt;0,"P",""))))</f>
        <v/>
      </c>
      <c r="AA298" s="23" t="str">
        <f>IF(A298="","",IF(IF(OR(DATE($B$3,9,26)&gt;EOMONTH(DATE($B$3,9,1),0),NETWORKDAYS.INTL(DATE($B$3,9,26),DATE($B$3,9,26),1,'Non-working days'!$A$6:$A$45)=0),"",IF(COUNTIFS('Leave log'!$A$7:$A$306,Employees!$A$25,'Leave log'!$B$7:$B$306,"&lt;="&amp;DATE($B$3,9,26),'Leave log'!$C$7:$C$306,"&gt;="&amp;DATE($B$3,9,26),'Leave log'!$F$7:$F$306,"Approved")&gt;0,"A",""))="A","A",IF(OR(DATE($B$3,9,26)&gt;EOMONTH(DATE($B$3,9,1),0),NETWORKDAYS.INTL(DATE($B$3,9,26),DATE($B$3,9,26),1,'Non-working days'!$A$6:$A$45)=0),"",IF(COUNTIFS('Leave log'!$A$7:$A$306,Employees!$A$25,'Leave log'!$B$7:$B$306,"&lt;="&amp;DATE($B$3,9,26),'Leave log'!$C$7:$C$306,"&gt;="&amp;DATE($B$3,9,26),'Leave log'!$F$7:$F$306,"Pending")&gt;0,"P",""))))</f>
        <v/>
      </c>
      <c r="AB298" s="23" t="str">
        <f>IF(A298="","",IF(IF(OR(DATE($B$3,9,27)&gt;EOMONTH(DATE($B$3,9,1),0),NETWORKDAYS.INTL(DATE($B$3,9,27),DATE($B$3,9,27),1,'Non-working days'!$A$6:$A$45)=0),"",IF(COUNTIFS('Leave log'!$A$7:$A$306,Employees!$A$25,'Leave log'!$B$7:$B$306,"&lt;="&amp;DATE($B$3,9,27),'Leave log'!$C$7:$C$306,"&gt;="&amp;DATE($B$3,9,27),'Leave log'!$F$7:$F$306,"Approved")&gt;0,"A",""))="A","A",IF(OR(DATE($B$3,9,27)&gt;EOMONTH(DATE($B$3,9,1),0),NETWORKDAYS.INTL(DATE($B$3,9,27),DATE($B$3,9,27),1,'Non-working days'!$A$6:$A$45)=0),"",IF(COUNTIFS('Leave log'!$A$7:$A$306,Employees!$A$25,'Leave log'!$B$7:$B$306,"&lt;="&amp;DATE($B$3,9,27),'Leave log'!$C$7:$C$306,"&gt;="&amp;DATE($B$3,9,27),'Leave log'!$F$7:$F$306,"Pending")&gt;0,"P",""))))</f>
        <v/>
      </c>
      <c r="AC298" s="23" t="str">
        <f>IF(A298="","",IF(IF(OR(DATE($B$3,9,28)&gt;EOMONTH(DATE($B$3,9,1),0),NETWORKDAYS.INTL(DATE($B$3,9,28),DATE($B$3,9,28),1,'Non-working days'!$A$6:$A$45)=0),"",IF(COUNTIFS('Leave log'!$A$7:$A$306,Employees!$A$25,'Leave log'!$B$7:$B$306,"&lt;="&amp;DATE($B$3,9,28),'Leave log'!$C$7:$C$306,"&gt;="&amp;DATE($B$3,9,28),'Leave log'!$F$7:$F$306,"Approved")&gt;0,"A",""))="A","A",IF(OR(DATE($B$3,9,28)&gt;EOMONTH(DATE($B$3,9,1),0),NETWORKDAYS.INTL(DATE($B$3,9,28),DATE($B$3,9,28),1,'Non-working days'!$A$6:$A$45)=0),"",IF(COUNTIFS('Leave log'!$A$7:$A$306,Employees!$A$25,'Leave log'!$B$7:$B$306,"&lt;="&amp;DATE($B$3,9,28),'Leave log'!$C$7:$C$306,"&gt;="&amp;DATE($B$3,9,28),'Leave log'!$F$7:$F$306,"Pending")&gt;0,"P",""))))</f>
        <v/>
      </c>
      <c r="AD298" s="23" t="str">
        <f>IF(A298="","",IF(IF(OR(DATE($B$3,9,29)&gt;EOMONTH(DATE($B$3,9,1),0),NETWORKDAYS.INTL(DATE($B$3,9,29),DATE($B$3,9,29),1,'Non-working days'!$A$6:$A$45)=0),"",IF(COUNTIFS('Leave log'!$A$7:$A$306,Employees!$A$25,'Leave log'!$B$7:$B$306,"&lt;="&amp;DATE($B$3,9,29),'Leave log'!$C$7:$C$306,"&gt;="&amp;DATE($B$3,9,29),'Leave log'!$F$7:$F$306,"Approved")&gt;0,"A",""))="A","A",IF(OR(DATE($B$3,9,29)&gt;EOMONTH(DATE($B$3,9,1),0),NETWORKDAYS.INTL(DATE($B$3,9,29),DATE($B$3,9,29),1,'Non-working days'!$A$6:$A$45)=0),"",IF(COUNTIFS('Leave log'!$A$7:$A$306,Employees!$A$25,'Leave log'!$B$7:$B$306,"&lt;="&amp;DATE($B$3,9,29),'Leave log'!$C$7:$C$306,"&gt;="&amp;DATE($B$3,9,29),'Leave log'!$F$7:$F$306,"Pending")&gt;0,"P",""))))</f>
        <v/>
      </c>
      <c r="AE298" s="23" t="str">
        <f>IF(A298="","",IF(IF(OR(DATE($B$3,9,30)&gt;EOMONTH(DATE($B$3,9,1),0),NETWORKDAYS.INTL(DATE($B$3,9,30),DATE($B$3,9,30),1,'Non-working days'!$A$6:$A$45)=0),"",IF(COUNTIFS('Leave log'!$A$7:$A$306,Employees!$A$25,'Leave log'!$B$7:$B$306,"&lt;="&amp;DATE($B$3,9,30),'Leave log'!$C$7:$C$306,"&gt;="&amp;DATE($B$3,9,30),'Leave log'!$F$7:$F$306,"Approved")&gt;0,"A",""))="A","A",IF(OR(DATE($B$3,9,30)&gt;EOMONTH(DATE($B$3,9,1),0),NETWORKDAYS.INTL(DATE($B$3,9,30),DATE($B$3,9,30),1,'Non-working days'!$A$6:$A$45)=0),"",IF(COUNTIFS('Leave log'!$A$7:$A$306,Employees!$A$25,'Leave log'!$B$7:$B$306,"&lt;="&amp;DATE($B$3,9,30),'Leave log'!$C$7:$C$306,"&gt;="&amp;DATE($B$3,9,30),'Leave log'!$F$7:$F$306,"Pending")&gt;0,"P",""))))</f>
        <v/>
      </c>
      <c r="AF298" s="23" t="str">
        <f>IF(A298="","",IF(IF(OR(DATE($B$3,9,31)&gt;EOMONTH(DATE($B$3,9,1),0),NETWORKDAYS.INTL(DATE($B$3,9,31),DATE($B$3,9,31),1,'Non-working days'!$A$6:$A$45)=0),"",IF(COUNTIFS('Leave log'!$A$7:$A$306,Employees!$A$25,'Leave log'!$B$7:$B$306,"&lt;="&amp;DATE($B$3,9,31),'Leave log'!$C$7:$C$306,"&gt;="&amp;DATE($B$3,9,31),'Leave log'!$F$7:$F$306,"Approved")&gt;0,"A",""))="A","A",IF(OR(DATE($B$3,9,31)&gt;EOMONTH(DATE($B$3,9,1),0),NETWORKDAYS.INTL(DATE($B$3,9,31),DATE($B$3,9,31),1,'Non-working days'!$A$6:$A$45)=0),"",IF(COUNTIFS('Leave log'!$A$7:$A$306,Employees!$A$25,'Leave log'!$B$7:$B$306,"&lt;="&amp;DATE($B$3,9,31),'Leave log'!$C$7:$C$306,"&gt;="&amp;DATE($B$3,9,31),'Leave log'!$F$7:$F$306,"Pending")&gt;0,"P",""))))</f>
        <v/>
      </c>
    </row>
    <row r="299" spans="1:32" ht="18" customHeight="1" x14ac:dyDescent="0.3">
      <c r="A299" s="22" t="str">
        <f>IF(Employees!F26="Yes",Employees!B26,"")</f>
        <v/>
      </c>
      <c r="B299" s="23" t="str">
        <f>IF(A299="","",IF(IF(OR(DATE($B$3,9,1)&gt;EOMONTH(DATE($B$3,9,1),0),NETWORKDAYS.INTL(DATE($B$3,9,1),DATE($B$3,9,1),1,'Non-working days'!$A$6:$A$45)=0),"",IF(COUNTIFS('Leave log'!$A$7:$A$306,Employees!$A$26,'Leave log'!$B$7:$B$306,"&lt;="&amp;DATE($B$3,9,1),'Leave log'!$C$7:$C$306,"&gt;="&amp;DATE($B$3,9,1),'Leave log'!$F$7:$F$306,"Approved")&gt;0,"A",""))="A","A",IF(OR(DATE($B$3,9,1)&gt;EOMONTH(DATE($B$3,9,1),0),NETWORKDAYS.INTL(DATE($B$3,9,1),DATE($B$3,9,1),1,'Non-working days'!$A$6:$A$45)=0),"",IF(COUNTIFS('Leave log'!$A$7:$A$306,Employees!$A$26,'Leave log'!$B$7:$B$306,"&lt;="&amp;DATE($B$3,9,1),'Leave log'!$C$7:$C$306,"&gt;="&amp;DATE($B$3,9,1),'Leave log'!$F$7:$F$306,"Pending")&gt;0,"P",""))))</f>
        <v/>
      </c>
      <c r="C299" s="23" t="str">
        <f>IF(A299="","",IF(IF(OR(DATE($B$3,9,2)&gt;EOMONTH(DATE($B$3,9,1),0),NETWORKDAYS.INTL(DATE($B$3,9,2),DATE($B$3,9,2),1,'Non-working days'!$A$6:$A$45)=0),"",IF(COUNTIFS('Leave log'!$A$7:$A$306,Employees!$A$26,'Leave log'!$B$7:$B$306,"&lt;="&amp;DATE($B$3,9,2),'Leave log'!$C$7:$C$306,"&gt;="&amp;DATE($B$3,9,2),'Leave log'!$F$7:$F$306,"Approved")&gt;0,"A",""))="A","A",IF(OR(DATE($B$3,9,2)&gt;EOMONTH(DATE($B$3,9,1),0),NETWORKDAYS.INTL(DATE($B$3,9,2),DATE($B$3,9,2),1,'Non-working days'!$A$6:$A$45)=0),"",IF(COUNTIFS('Leave log'!$A$7:$A$306,Employees!$A$26,'Leave log'!$B$7:$B$306,"&lt;="&amp;DATE($B$3,9,2),'Leave log'!$C$7:$C$306,"&gt;="&amp;DATE($B$3,9,2),'Leave log'!$F$7:$F$306,"Pending")&gt;0,"P",""))))</f>
        <v/>
      </c>
      <c r="D299" s="23" t="str">
        <f>IF(A299="","",IF(IF(OR(DATE($B$3,9,3)&gt;EOMONTH(DATE($B$3,9,1),0),NETWORKDAYS.INTL(DATE($B$3,9,3),DATE($B$3,9,3),1,'Non-working days'!$A$6:$A$45)=0),"",IF(COUNTIFS('Leave log'!$A$7:$A$306,Employees!$A$26,'Leave log'!$B$7:$B$306,"&lt;="&amp;DATE($B$3,9,3),'Leave log'!$C$7:$C$306,"&gt;="&amp;DATE($B$3,9,3),'Leave log'!$F$7:$F$306,"Approved")&gt;0,"A",""))="A","A",IF(OR(DATE($B$3,9,3)&gt;EOMONTH(DATE($B$3,9,1),0),NETWORKDAYS.INTL(DATE($B$3,9,3),DATE($B$3,9,3),1,'Non-working days'!$A$6:$A$45)=0),"",IF(COUNTIFS('Leave log'!$A$7:$A$306,Employees!$A$26,'Leave log'!$B$7:$B$306,"&lt;="&amp;DATE($B$3,9,3),'Leave log'!$C$7:$C$306,"&gt;="&amp;DATE($B$3,9,3),'Leave log'!$F$7:$F$306,"Pending")&gt;0,"P",""))))</f>
        <v/>
      </c>
      <c r="E299" s="23" t="str">
        <f>IF(A299="","",IF(IF(OR(DATE($B$3,9,4)&gt;EOMONTH(DATE($B$3,9,1),0),NETWORKDAYS.INTL(DATE($B$3,9,4),DATE($B$3,9,4),1,'Non-working days'!$A$6:$A$45)=0),"",IF(COUNTIFS('Leave log'!$A$7:$A$306,Employees!$A$26,'Leave log'!$B$7:$B$306,"&lt;="&amp;DATE($B$3,9,4),'Leave log'!$C$7:$C$306,"&gt;="&amp;DATE($B$3,9,4),'Leave log'!$F$7:$F$306,"Approved")&gt;0,"A",""))="A","A",IF(OR(DATE($B$3,9,4)&gt;EOMONTH(DATE($B$3,9,1),0),NETWORKDAYS.INTL(DATE($B$3,9,4),DATE($B$3,9,4),1,'Non-working days'!$A$6:$A$45)=0),"",IF(COUNTIFS('Leave log'!$A$7:$A$306,Employees!$A$26,'Leave log'!$B$7:$B$306,"&lt;="&amp;DATE($B$3,9,4),'Leave log'!$C$7:$C$306,"&gt;="&amp;DATE($B$3,9,4),'Leave log'!$F$7:$F$306,"Pending")&gt;0,"P",""))))</f>
        <v/>
      </c>
      <c r="F299" s="23" t="str">
        <f>IF(A299="","",IF(IF(OR(DATE($B$3,9,5)&gt;EOMONTH(DATE($B$3,9,1),0),NETWORKDAYS.INTL(DATE($B$3,9,5),DATE($B$3,9,5),1,'Non-working days'!$A$6:$A$45)=0),"",IF(COUNTIFS('Leave log'!$A$7:$A$306,Employees!$A$26,'Leave log'!$B$7:$B$306,"&lt;="&amp;DATE($B$3,9,5),'Leave log'!$C$7:$C$306,"&gt;="&amp;DATE($B$3,9,5),'Leave log'!$F$7:$F$306,"Approved")&gt;0,"A",""))="A","A",IF(OR(DATE($B$3,9,5)&gt;EOMONTH(DATE($B$3,9,1),0),NETWORKDAYS.INTL(DATE($B$3,9,5),DATE($B$3,9,5),1,'Non-working days'!$A$6:$A$45)=0),"",IF(COUNTIFS('Leave log'!$A$7:$A$306,Employees!$A$26,'Leave log'!$B$7:$B$306,"&lt;="&amp;DATE($B$3,9,5),'Leave log'!$C$7:$C$306,"&gt;="&amp;DATE($B$3,9,5),'Leave log'!$F$7:$F$306,"Pending")&gt;0,"P",""))))</f>
        <v/>
      </c>
      <c r="G299" s="23" t="str">
        <f>IF(A299="","",IF(IF(OR(DATE($B$3,9,6)&gt;EOMONTH(DATE($B$3,9,1),0),NETWORKDAYS.INTL(DATE($B$3,9,6),DATE($B$3,9,6),1,'Non-working days'!$A$6:$A$45)=0),"",IF(COUNTIFS('Leave log'!$A$7:$A$306,Employees!$A$26,'Leave log'!$B$7:$B$306,"&lt;="&amp;DATE($B$3,9,6),'Leave log'!$C$7:$C$306,"&gt;="&amp;DATE($B$3,9,6),'Leave log'!$F$7:$F$306,"Approved")&gt;0,"A",""))="A","A",IF(OR(DATE($B$3,9,6)&gt;EOMONTH(DATE($B$3,9,1),0),NETWORKDAYS.INTL(DATE($B$3,9,6),DATE($B$3,9,6),1,'Non-working days'!$A$6:$A$45)=0),"",IF(COUNTIFS('Leave log'!$A$7:$A$306,Employees!$A$26,'Leave log'!$B$7:$B$306,"&lt;="&amp;DATE($B$3,9,6),'Leave log'!$C$7:$C$306,"&gt;="&amp;DATE($B$3,9,6),'Leave log'!$F$7:$F$306,"Pending")&gt;0,"P",""))))</f>
        <v/>
      </c>
      <c r="H299" s="23" t="str">
        <f>IF(A299="","",IF(IF(OR(DATE($B$3,9,7)&gt;EOMONTH(DATE($B$3,9,1),0),NETWORKDAYS.INTL(DATE($B$3,9,7),DATE($B$3,9,7),1,'Non-working days'!$A$6:$A$45)=0),"",IF(COUNTIFS('Leave log'!$A$7:$A$306,Employees!$A$26,'Leave log'!$B$7:$B$306,"&lt;="&amp;DATE($B$3,9,7),'Leave log'!$C$7:$C$306,"&gt;="&amp;DATE($B$3,9,7),'Leave log'!$F$7:$F$306,"Approved")&gt;0,"A",""))="A","A",IF(OR(DATE($B$3,9,7)&gt;EOMONTH(DATE($B$3,9,1),0),NETWORKDAYS.INTL(DATE($B$3,9,7),DATE($B$3,9,7),1,'Non-working days'!$A$6:$A$45)=0),"",IF(COUNTIFS('Leave log'!$A$7:$A$306,Employees!$A$26,'Leave log'!$B$7:$B$306,"&lt;="&amp;DATE($B$3,9,7),'Leave log'!$C$7:$C$306,"&gt;="&amp;DATE($B$3,9,7),'Leave log'!$F$7:$F$306,"Pending")&gt;0,"P",""))))</f>
        <v/>
      </c>
      <c r="I299" s="23" t="str">
        <f>IF(A299="","",IF(IF(OR(DATE($B$3,9,8)&gt;EOMONTH(DATE($B$3,9,1),0),NETWORKDAYS.INTL(DATE($B$3,9,8),DATE($B$3,9,8),1,'Non-working days'!$A$6:$A$45)=0),"",IF(COUNTIFS('Leave log'!$A$7:$A$306,Employees!$A$26,'Leave log'!$B$7:$B$306,"&lt;="&amp;DATE($B$3,9,8),'Leave log'!$C$7:$C$306,"&gt;="&amp;DATE($B$3,9,8),'Leave log'!$F$7:$F$306,"Approved")&gt;0,"A",""))="A","A",IF(OR(DATE($B$3,9,8)&gt;EOMONTH(DATE($B$3,9,1),0),NETWORKDAYS.INTL(DATE($B$3,9,8),DATE($B$3,9,8),1,'Non-working days'!$A$6:$A$45)=0),"",IF(COUNTIFS('Leave log'!$A$7:$A$306,Employees!$A$26,'Leave log'!$B$7:$B$306,"&lt;="&amp;DATE($B$3,9,8),'Leave log'!$C$7:$C$306,"&gt;="&amp;DATE($B$3,9,8),'Leave log'!$F$7:$F$306,"Pending")&gt;0,"P",""))))</f>
        <v/>
      </c>
      <c r="J299" s="23" t="str">
        <f>IF(A299="","",IF(IF(OR(DATE($B$3,9,9)&gt;EOMONTH(DATE($B$3,9,1),0),NETWORKDAYS.INTL(DATE($B$3,9,9),DATE($B$3,9,9),1,'Non-working days'!$A$6:$A$45)=0),"",IF(COUNTIFS('Leave log'!$A$7:$A$306,Employees!$A$26,'Leave log'!$B$7:$B$306,"&lt;="&amp;DATE($B$3,9,9),'Leave log'!$C$7:$C$306,"&gt;="&amp;DATE($B$3,9,9),'Leave log'!$F$7:$F$306,"Approved")&gt;0,"A",""))="A","A",IF(OR(DATE($B$3,9,9)&gt;EOMONTH(DATE($B$3,9,1),0),NETWORKDAYS.INTL(DATE($B$3,9,9),DATE($B$3,9,9),1,'Non-working days'!$A$6:$A$45)=0),"",IF(COUNTIFS('Leave log'!$A$7:$A$306,Employees!$A$26,'Leave log'!$B$7:$B$306,"&lt;="&amp;DATE($B$3,9,9),'Leave log'!$C$7:$C$306,"&gt;="&amp;DATE($B$3,9,9),'Leave log'!$F$7:$F$306,"Pending")&gt;0,"P",""))))</f>
        <v/>
      </c>
      <c r="K299" s="23" t="str">
        <f>IF(A299="","",IF(IF(OR(DATE($B$3,9,10)&gt;EOMONTH(DATE($B$3,9,1),0),NETWORKDAYS.INTL(DATE($B$3,9,10),DATE($B$3,9,10),1,'Non-working days'!$A$6:$A$45)=0),"",IF(COUNTIFS('Leave log'!$A$7:$A$306,Employees!$A$26,'Leave log'!$B$7:$B$306,"&lt;="&amp;DATE($B$3,9,10),'Leave log'!$C$7:$C$306,"&gt;="&amp;DATE($B$3,9,10),'Leave log'!$F$7:$F$306,"Approved")&gt;0,"A",""))="A","A",IF(OR(DATE($B$3,9,10)&gt;EOMONTH(DATE($B$3,9,1),0),NETWORKDAYS.INTL(DATE($B$3,9,10),DATE($B$3,9,10),1,'Non-working days'!$A$6:$A$45)=0),"",IF(COUNTIFS('Leave log'!$A$7:$A$306,Employees!$A$26,'Leave log'!$B$7:$B$306,"&lt;="&amp;DATE($B$3,9,10),'Leave log'!$C$7:$C$306,"&gt;="&amp;DATE($B$3,9,10),'Leave log'!$F$7:$F$306,"Pending")&gt;0,"P",""))))</f>
        <v/>
      </c>
      <c r="L299" s="23" t="str">
        <f>IF(A299="","",IF(IF(OR(DATE($B$3,9,11)&gt;EOMONTH(DATE($B$3,9,1),0),NETWORKDAYS.INTL(DATE($B$3,9,11),DATE($B$3,9,11),1,'Non-working days'!$A$6:$A$45)=0),"",IF(COUNTIFS('Leave log'!$A$7:$A$306,Employees!$A$26,'Leave log'!$B$7:$B$306,"&lt;="&amp;DATE($B$3,9,11),'Leave log'!$C$7:$C$306,"&gt;="&amp;DATE($B$3,9,11),'Leave log'!$F$7:$F$306,"Approved")&gt;0,"A",""))="A","A",IF(OR(DATE($B$3,9,11)&gt;EOMONTH(DATE($B$3,9,1),0),NETWORKDAYS.INTL(DATE($B$3,9,11),DATE($B$3,9,11),1,'Non-working days'!$A$6:$A$45)=0),"",IF(COUNTIFS('Leave log'!$A$7:$A$306,Employees!$A$26,'Leave log'!$B$7:$B$306,"&lt;="&amp;DATE($B$3,9,11),'Leave log'!$C$7:$C$306,"&gt;="&amp;DATE($B$3,9,11),'Leave log'!$F$7:$F$306,"Pending")&gt;0,"P",""))))</f>
        <v/>
      </c>
      <c r="M299" s="23" t="str">
        <f>IF(A299="","",IF(IF(OR(DATE($B$3,9,12)&gt;EOMONTH(DATE($B$3,9,1),0),NETWORKDAYS.INTL(DATE($B$3,9,12),DATE($B$3,9,12),1,'Non-working days'!$A$6:$A$45)=0),"",IF(COUNTIFS('Leave log'!$A$7:$A$306,Employees!$A$26,'Leave log'!$B$7:$B$306,"&lt;="&amp;DATE($B$3,9,12),'Leave log'!$C$7:$C$306,"&gt;="&amp;DATE($B$3,9,12),'Leave log'!$F$7:$F$306,"Approved")&gt;0,"A",""))="A","A",IF(OR(DATE($B$3,9,12)&gt;EOMONTH(DATE($B$3,9,1),0),NETWORKDAYS.INTL(DATE($B$3,9,12),DATE($B$3,9,12),1,'Non-working days'!$A$6:$A$45)=0),"",IF(COUNTIFS('Leave log'!$A$7:$A$306,Employees!$A$26,'Leave log'!$B$7:$B$306,"&lt;="&amp;DATE($B$3,9,12),'Leave log'!$C$7:$C$306,"&gt;="&amp;DATE($B$3,9,12),'Leave log'!$F$7:$F$306,"Pending")&gt;0,"P",""))))</f>
        <v/>
      </c>
      <c r="N299" s="23" t="str">
        <f>IF(A299="","",IF(IF(OR(DATE($B$3,9,13)&gt;EOMONTH(DATE($B$3,9,1),0),NETWORKDAYS.INTL(DATE($B$3,9,13),DATE($B$3,9,13),1,'Non-working days'!$A$6:$A$45)=0),"",IF(COUNTIFS('Leave log'!$A$7:$A$306,Employees!$A$26,'Leave log'!$B$7:$B$306,"&lt;="&amp;DATE($B$3,9,13),'Leave log'!$C$7:$C$306,"&gt;="&amp;DATE($B$3,9,13),'Leave log'!$F$7:$F$306,"Approved")&gt;0,"A",""))="A","A",IF(OR(DATE($B$3,9,13)&gt;EOMONTH(DATE($B$3,9,1),0),NETWORKDAYS.INTL(DATE($B$3,9,13),DATE($B$3,9,13),1,'Non-working days'!$A$6:$A$45)=0),"",IF(COUNTIFS('Leave log'!$A$7:$A$306,Employees!$A$26,'Leave log'!$B$7:$B$306,"&lt;="&amp;DATE($B$3,9,13),'Leave log'!$C$7:$C$306,"&gt;="&amp;DATE($B$3,9,13),'Leave log'!$F$7:$F$306,"Pending")&gt;0,"P",""))))</f>
        <v/>
      </c>
      <c r="O299" s="23" t="str">
        <f>IF(A299="","",IF(IF(OR(DATE($B$3,9,14)&gt;EOMONTH(DATE($B$3,9,1),0),NETWORKDAYS.INTL(DATE($B$3,9,14),DATE($B$3,9,14),1,'Non-working days'!$A$6:$A$45)=0),"",IF(COUNTIFS('Leave log'!$A$7:$A$306,Employees!$A$26,'Leave log'!$B$7:$B$306,"&lt;="&amp;DATE($B$3,9,14),'Leave log'!$C$7:$C$306,"&gt;="&amp;DATE($B$3,9,14),'Leave log'!$F$7:$F$306,"Approved")&gt;0,"A",""))="A","A",IF(OR(DATE($B$3,9,14)&gt;EOMONTH(DATE($B$3,9,1),0),NETWORKDAYS.INTL(DATE($B$3,9,14),DATE($B$3,9,14),1,'Non-working days'!$A$6:$A$45)=0),"",IF(COUNTIFS('Leave log'!$A$7:$A$306,Employees!$A$26,'Leave log'!$B$7:$B$306,"&lt;="&amp;DATE($B$3,9,14),'Leave log'!$C$7:$C$306,"&gt;="&amp;DATE($B$3,9,14),'Leave log'!$F$7:$F$306,"Pending")&gt;0,"P",""))))</f>
        <v/>
      </c>
      <c r="P299" s="23" t="str">
        <f>IF(A299="","",IF(IF(OR(DATE($B$3,9,15)&gt;EOMONTH(DATE($B$3,9,1),0),NETWORKDAYS.INTL(DATE($B$3,9,15),DATE($B$3,9,15),1,'Non-working days'!$A$6:$A$45)=0),"",IF(COUNTIFS('Leave log'!$A$7:$A$306,Employees!$A$26,'Leave log'!$B$7:$B$306,"&lt;="&amp;DATE($B$3,9,15),'Leave log'!$C$7:$C$306,"&gt;="&amp;DATE($B$3,9,15),'Leave log'!$F$7:$F$306,"Approved")&gt;0,"A",""))="A","A",IF(OR(DATE($B$3,9,15)&gt;EOMONTH(DATE($B$3,9,1),0),NETWORKDAYS.INTL(DATE($B$3,9,15),DATE($B$3,9,15),1,'Non-working days'!$A$6:$A$45)=0),"",IF(COUNTIFS('Leave log'!$A$7:$A$306,Employees!$A$26,'Leave log'!$B$7:$B$306,"&lt;="&amp;DATE($B$3,9,15),'Leave log'!$C$7:$C$306,"&gt;="&amp;DATE($B$3,9,15),'Leave log'!$F$7:$F$306,"Pending")&gt;0,"P",""))))</f>
        <v/>
      </c>
      <c r="Q299" s="23" t="str">
        <f>IF(A299="","",IF(IF(OR(DATE($B$3,9,16)&gt;EOMONTH(DATE($B$3,9,1),0),NETWORKDAYS.INTL(DATE($B$3,9,16),DATE($B$3,9,16),1,'Non-working days'!$A$6:$A$45)=0),"",IF(COUNTIFS('Leave log'!$A$7:$A$306,Employees!$A$26,'Leave log'!$B$7:$B$306,"&lt;="&amp;DATE($B$3,9,16),'Leave log'!$C$7:$C$306,"&gt;="&amp;DATE($B$3,9,16),'Leave log'!$F$7:$F$306,"Approved")&gt;0,"A",""))="A","A",IF(OR(DATE($B$3,9,16)&gt;EOMONTH(DATE($B$3,9,1),0),NETWORKDAYS.INTL(DATE($B$3,9,16),DATE($B$3,9,16),1,'Non-working days'!$A$6:$A$45)=0),"",IF(COUNTIFS('Leave log'!$A$7:$A$306,Employees!$A$26,'Leave log'!$B$7:$B$306,"&lt;="&amp;DATE($B$3,9,16),'Leave log'!$C$7:$C$306,"&gt;="&amp;DATE($B$3,9,16),'Leave log'!$F$7:$F$306,"Pending")&gt;0,"P",""))))</f>
        <v/>
      </c>
      <c r="R299" s="23" t="str">
        <f>IF(A299="","",IF(IF(OR(DATE($B$3,9,17)&gt;EOMONTH(DATE($B$3,9,1),0),NETWORKDAYS.INTL(DATE($B$3,9,17),DATE($B$3,9,17),1,'Non-working days'!$A$6:$A$45)=0),"",IF(COUNTIFS('Leave log'!$A$7:$A$306,Employees!$A$26,'Leave log'!$B$7:$B$306,"&lt;="&amp;DATE($B$3,9,17),'Leave log'!$C$7:$C$306,"&gt;="&amp;DATE($B$3,9,17),'Leave log'!$F$7:$F$306,"Approved")&gt;0,"A",""))="A","A",IF(OR(DATE($B$3,9,17)&gt;EOMONTH(DATE($B$3,9,1),0),NETWORKDAYS.INTL(DATE($B$3,9,17),DATE($B$3,9,17),1,'Non-working days'!$A$6:$A$45)=0),"",IF(COUNTIFS('Leave log'!$A$7:$A$306,Employees!$A$26,'Leave log'!$B$7:$B$306,"&lt;="&amp;DATE($B$3,9,17),'Leave log'!$C$7:$C$306,"&gt;="&amp;DATE($B$3,9,17),'Leave log'!$F$7:$F$306,"Pending")&gt;0,"P",""))))</f>
        <v/>
      </c>
      <c r="S299" s="23" t="str">
        <f>IF(A299="","",IF(IF(OR(DATE($B$3,9,18)&gt;EOMONTH(DATE($B$3,9,1),0),NETWORKDAYS.INTL(DATE($B$3,9,18),DATE($B$3,9,18),1,'Non-working days'!$A$6:$A$45)=0),"",IF(COUNTIFS('Leave log'!$A$7:$A$306,Employees!$A$26,'Leave log'!$B$7:$B$306,"&lt;="&amp;DATE($B$3,9,18),'Leave log'!$C$7:$C$306,"&gt;="&amp;DATE($B$3,9,18),'Leave log'!$F$7:$F$306,"Approved")&gt;0,"A",""))="A","A",IF(OR(DATE($B$3,9,18)&gt;EOMONTH(DATE($B$3,9,1),0),NETWORKDAYS.INTL(DATE($B$3,9,18),DATE($B$3,9,18),1,'Non-working days'!$A$6:$A$45)=0),"",IF(COUNTIFS('Leave log'!$A$7:$A$306,Employees!$A$26,'Leave log'!$B$7:$B$306,"&lt;="&amp;DATE($B$3,9,18),'Leave log'!$C$7:$C$306,"&gt;="&amp;DATE($B$3,9,18),'Leave log'!$F$7:$F$306,"Pending")&gt;0,"P",""))))</f>
        <v/>
      </c>
      <c r="T299" s="23" t="str">
        <f>IF(A299="","",IF(IF(OR(DATE($B$3,9,19)&gt;EOMONTH(DATE($B$3,9,1),0),NETWORKDAYS.INTL(DATE($B$3,9,19),DATE($B$3,9,19),1,'Non-working days'!$A$6:$A$45)=0),"",IF(COUNTIFS('Leave log'!$A$7:$A$306,Employees!$A$26,'Leave log'!$B$7:$B$306,"&lt;="&amp;DATE($B$3,9,19),'Leave log'!$C$7:$C$306,"&gt;="&amp;DATE($B$3,9,19),'Leave log'!$F$7:$F$306,"Approved")&gt;0,"A",""))="A","A",IF(OR(DATE($B$3,9,19)&gt;EOMONTH(DATE($B$3,9,1),0),NETWORKDAYS.INTL(DATE($B$3,9,19),DATE($B$3,9,19),1,'Non-working days'!$A$6:$A$45)=0),"",IF(COUNTIFS('Leave log'!$A$7:$A$306,Employees!$A$26,'Leave log'!$B$7:$B$306,"&lt;="&amp;DATE($B$3,9,19),'Leave log'!$C$7:$C$306,"&gt;="&amp;DATE($B$3,9,19),'Leave log'!$F$7:$F$306,"Pending")&gt;0,"P",""))))</f>
        <v/>
      </c>
      <c r="U299" s="23" t="str">
        <f>IF(A299="","",IF(IF(OR(DATE($B$3,9,20)&gt;EOMONTH(DATE($B$3,9,1),0),NETWORKDAYS.INTL(DATE($B$3,9,20),DATE($B$3,9,20),1,'Non-working days'!$A$6:$A$45)=0),"",IF(COUNTIFS('Leave log'!$A$7:$A$306,Employees!$A$26,'Leave log'!$B$7:$B$306,"&lt;="&amp;DATE($B$3,9,20),'Leave log'!$C$7:$C$306,"&gt;="&amp;DATE($B$3,9,20),'Leave log'!$F$7:$F$306,"Approved")&gt;0,"A",""))="A","A",IF(OR(DATE($B$3,9,20)&gt;EOMONTH(DATE($B$3,9,1),0),NETWORKDAYS.INTL(DATE($B$3,9,20),DATE($B$3,9,20),1,'Non-working days'!$A$6:$A$45)=0),"",IF(COUNTIFS('Leave log'!$A$7:$A$306,Employees!$A$26,'Leave log'!$B$7:$B$306,"&lt;="&amp;DATE($B$3,9,20),'Leave log'!$C$7:$C$306,"&gt;="&amp;DATE($B$3,9,20),'Leave log'!$F$7:$F$306,"Pending")&gt;0,"P",""))))</f>
        <v/>
      </c>
      <c r="V299" s="23" t="str">
        <f>IF(A299="","",IF(IF(OR(DATE($B$3,9,21)&gt;EOMONTH(DATE($B$3,9,1),0),NETWORKDAYS.INTL(DATE($B$3,9,21),DATE($B$3,9,21),1,'Non-working days'!$A$6:$A$45)=0),"",IF(COUNTIFS('Leave log'!$A$7:$A$306,Employees!$A$26,'Leave log'!$B$7:$B$306,"&lt;="&amp;DATE($B$3,9,21),'Leave log'!$C$7:$C$306,"&gt;="&amp;DATE($B$3,9,21),'Leave log'!$F$7:$F$306,"Approved")&gt;0,"A",""))="A","A",IF(OR(DATE($B$3,9,21)&gt;EOMONTH(DATE($B$3,9,1),0),NETWORKDAYS.INTL(DATE($B$3,9,21),DATE($B$3,9,21),1,'Non-working days'!$A$6:$A$45)=0),"",IF(COUNTIFS('Leave log'!$A$7:$A$306,Employees!$A$26,'Leave log'!$B$7:$B$306,"&lt;="&amp;DATE($B$3,9,21),'Leave log'!$C$7:$C$306,"&gt;="&amp;DATE($B$3,9,21),'Leave log'!$F$7:$F$306,"Pending")&gt;0,"P",""))))</f>
        <v/>
      </c>
      <c r="W299" s="23" t="str">
        <f>IF(A299="","",IF(IF(OR(DATE($B$3,9,22)&gt;EOMONTH(DATE($B$3,9,1),0),NETWORKDAYS.INTL(DATE($B$3,9,22),DATE($B$3,9,22),1,'Non-working days'!$A$6:$A$45)=0),"",IF(COUNTIFS('Leave log'!$A$7:$A$306,Employees!$A$26,'Leave log'!$B$7:$B$306,"&lt;="&amp;DATE($B$3,9,22),'Leave log'!$C$7:$C$306,"&gt;="&amp;DATE($B$3,9,22),'Leave log'!$F$7:$F$306,"Approved")&gt;0,"A",""))="A","A",IF(OR(DATE($B$3,9,22)&gt;EOMONTH(DATE($B$3,9,1),0),NETWORKDAYS.INTL(DATE($B$3,9,22),DATE($B$3,9,22),1,'Non-working days'!$A$6:$A$45)=0),"",IF(COUNTIFS('Leave log'!$A$7:$A$306,Employees!$A$26,'Leave log'!$B$7:$B$306,"&lt;="&amp;DATE($B$3,9,22),'Leave log'!$C$7:$C$306,"&gt;="&amp;DATE($B$3,9,22),'Leave log'!$F$7:$F$306,"Pending")&gt;0,"P",""))))</f>
        <v/>
      </c>
      <c r="X299" s="23" t="str">
        <f>IF(A299="","",IF(IF(OR(DATE($B$3,9,23)&gt;EOMONTH(DATE($B$3,9,1),0),NETWORKDAYS.INTL(DATE($B$3,9,23),DATE($B$3,9,23),1,'Non-working days'!$A$6:$A$45)=0),"",IF(COUNTIFS('Leave log'!$A$7:$A$306,Employees!$A$26,'Leave log'!$B$7:$B$306,"&lt;="&amp;DATE($B$3,9,23),'Leave log'!$C$7:$C$306,"&gt;="&amp;DATE($B$3,9,23),'Leave log'!$F$7:$F$306,"Approved")&gt;0,"A",""))="A","A",IF(OR(DATE($B$3,9,23)&gt;EOMONTH(DATE($B$3,9,1),0),NETWORKDAYS.INTL(DATE($B$3,9,23),DATE($B$3,9,23),1,'Non-working days'!$A$6:$A$45)=0),"",IF(COUNTIFS('Leave log'!$A$7:$A$306,Employees!$A$26,'Leave log'!$B$7:$B$306,"&lt;="&amp;DATE($B$3,9,23),'Leave log'!$C$7:$C$306,"&gt;="&amp;DATE($B$3,9,23),'Leave log'!$F$7:$F$306,"Pending")&gt;0,"P",""))))</f>
        <v/>
      </c>
      <c r="Y299" s="23" t="str">
        <f>IF(A299="","",IF(IF(OR(DATE($B$3,9,24)&gt;EOMONTH(DATE($B$3,9,1),0),NETWORKDAYS.INTL(DATE($B$3,9,24),DATE($B$3,9,24),1,'Non-working days'!$A$6:$A$45)=0),"",IF(COUNTIFS('Leave log'!$A$7:$A$306,Employees!$A$26,'Leave log'!$B$7:$B$306,"&lt;="&amp;DATE($B$3,9,24),'Leave log'!$C$7:$C$306,"&gt;="&amp;DATE($B$3,9,24),'Leave log'!$F$7:$F$306,"Approved")&gt;0,"A",""))="A","A",IF(OR(DATE($B$3,9,24)&gt;EOMONTH(DATE($B$3,9,1),0),NETWORKDAYS.INTL(DATE($B$3,9,24),DATE($B$3,9,24),1,'Non-working days'!$A$6:$A$45)=0),"",IF(COUNTIFS('Leave log'!$A$7:$A$306,Employees!$A$26,'Leave log'!$B$7:$B$306,"&lt;="&amp;DATE($B$3,9,24),'Leave log'!$C$7:$C$306,"&gt;="&amp;DATE($B$3,9,24),'Leave log'!$F$7:$F$306,"Pending")&gt;0,"P",""))))</f>
        <v/>
      </c>
      <c r="Z299" s="23" t="str">
        <f>IF(A299="","",IF(IF(OR(DATE($B$3,9,25)&gt;EOMONTH(DATE($B$3,9,1),0),NETWORKDAYS.INTL(DATE($B$3,9,25),DATE($B$3,9,25),1,'Non-working days'!$A$6:$A$45)=0),"",IF(COUNTIFS('Leave log'!$A$7:$A$306,Employees!$A$26,'Leave log'!$B$7:$B$306,"&lt;="&amp;DATE($B$3,9,25),'Leave log'!$C$7:$C$306,"&gt;="&amp;DATE($B$3,9,25),'Leave log'!$F$7:$F$306,"Approved")&gt;0,"A",""))="A","A",IF(OR(DATE($B$3,9,25)&gt;EOMONTH(DATE($B$3,9,1),0),NETWORKDAYS.INTL(DATE($B$3,9,25),DATE($B$3,9,25),1,'Non-working days'!$A$6:$A$45)=0),"",IF(COUNTIFS('Leave log'!$A$7:$A$306,Employees!$A$26,'Leave log'!$B$7:$B$306,"&lt;="&amp;DATE($B$3,9,25),'Leave log'!$C$7:$C$306,"&gt;="&amp;DATE($B$3,9,25),'Leave log'!$F$7:$F$306,"Pending")&gt;0,"P",""))))</f>
        <v/>
      </c>
      <c r="AA299" s="23" t="str">
        <f>IF(A299="","",IF(IF(OR(DATE($B$3,9,26)&gt;EOMONTH(DATE($B$3,9,1),0),NETWORKDAYS.INTL(DATE($B$3,9,26),DATE($B$3,9,26),1,'Non-working days'!$A$6:$A$45)=0),"",IF(COUNTIFS('Leave log'!$A$7:$A$306,Employees!$A$26,'Leave log'!$B$7:$B$306,"&lt;="&amp;DATE($B$3,9,26),'Leave log'!$C$7:$C$306,"&gt;="&amp;DATE($B$3,9,26),'Leave log'!$F$7:$F$306,"Approved")&gt;0,"A",""))="A","A",IF(OR(DATE($B$3,9,26)&gt;EOMONTH(DATE($B$3,9,1),0),NETWORKDAYS.INTL(DATE($B$3,9,26),DATE($B$3,9,26),1,'Non-working days'!$A$6:$A$45)=0),"",IF(COUNTIFS('Leave log'!$A$7:$A$306,Employees!$A$26,'Leave log'!$B$7:$B$306,"&lt;="&amp;DATE($B$3,9,26),'Leave log'!$C$7:$C$306,"&gt;="&amp;DATE($B$3,9,26),'Leave log'!$F$7:$F$306,"Pending")&gt;0,"P",""))))</f>
        <v/>
      </c>
      <c r="AB299" s="23" t="str">
        <f>IF(A299="","",IF(IF(OR(DATE($B$3,9,27)&gt;EOMONTH(DATE($B$3,9,1),0),NETWORKDAYS.INTL(DATE($B$3,9,27),DATE($B$3,9,27),1,'Non-working days'!$A$6:$A$45)=0),"",IF(COUNTIFS('Leave log'!$A$7:$A$306,Employees!$A$26,'Leave log'!$B$7:$B$306,"&lt;="&amp;DATE($B$3,9,27),'Leave log'!$C$7:$C$306,"&gt;="&amp;DATE($B$3,9,27),'Leave log'!$F$7:$F$306,"Approved")&gt;0,"A",""))="A","A",IF(OR(DATE($B$3,9,27)&gt;EOMONTH(DATE($B$3,9,1),0),NETWORKDAYS.INTL(DATE($B$3,9,27),DATE($B$3,9,27),1,'Non-working days'!$A$6:$A$45)=0),"",IF(COUNTIFS('Leave log'!$A$7:$A$306,Employees!$A$26,'Leave log'!$B$7:$B$306,"&lt;="&amp;DATE($B$3,9,27),'Leave log'!$C$7:$C$306,"&gt;="&amp;DATE($B$3,9,27),'Leave log'!$F$7:$F$306,"Pending")&gt;0,"P",""))))</f>
        <v/>
      </c>
      <c r="AC299" s="23" t="str">
        <f>IF(A299="","",IF(IF(OR(DATE($B$3,9,28)&gt;EOMONTH(DATE($B$3,9,1),0),NETWORKDAYS.INTL(DATE($B$3,9,28),DATE($B$3,9,28),1,'Non-working days'!$A$6:$A$45)=0),"",IF(COUNTIFS('Leave log'!$A$7:$A$306,Employees!$A$26,'Leave log'!$B$7:$B$306,"&lt;="&amp;DATE($B$3,9,28),'Leave log'!$C$7:$C$306,"&gt;="&amp;DATE($B$3,9,28),'Leave log'!$F$7:$F$306,"Approved")&gt;0,"A",""))="A","A",IF(OR(DATE($B$3,9,28)&gt;EOMONTH(DATE($B$3,9,1),0),NETWORKDAYS.INTL(DATE($B$3,9,28),DATE($B$3,9,28),1,'Non-working days'!$A$6:$A$45)=0),"",IF(COUNTIFS('Leave log'!$A$7:$A$306,Employees!$A$26,'Leave log'!$B$7:$B$306,"&lt;="&amp;DATE($B$3,9,28),'Leave log'!$C$7:$C$306,"&gt;="&amp;DATE($B$3,9,28),'Leave log'!$F$7:$F$306,"Pending")&gt;0,"P",""))))</f>
        <v/>
      </c>
      <c r="AD299" s="23" t="str">
        <f>IF(A299="","",IF(IF(OR(DATE($B$3,9,29)&gt;EOMONTH(DATE($B$3,9,1),0),NETWORKDAYS.INTL(DATE($B$3,9,29),DATE($B$3,9,29),1,'Non-working days'!$A$6:$A$45)=0),"",IF(COUNTIFS('Leave log'!$A$7:$A$306,Employees!$A$26,'Leave log'!$B$7:$B$306,"&lt;="&amp;DATE($B$3,9,29),'Leave log'!$C$7:$C$306,"&gt;="&amp;DATE($B$3,9,29),'Leave log'!$F$7:$F$306,"Approved")&gt;0,"A",""))="A","A",IF(OR(DATE($B$3,9,29)&gt;EOMONTH(DATE($B$3,9,1),0),NETWORKDAYS.INTL(DATE($B$3,9,29),DATE($B$3,9,29),1,'Non-working days'!$A$6:$A$45)=0),"",IF(COUNTIFS('Leave log'!$A$7:$A$306,Employees!$A$26,'Leave log'!$B$7:$B$306,"&lt;="&amp;DATE($B$3,9,29),'Leave log'!$C$7:$C$306,"&gt;="&amp;DATE($B$3,9,29),'Leave log'!$F$7:$F$306,"Pending")&gt;0,"P",""))))</f>
        <v/>
      </c>
      <c r="AE299" s="23" t="str">
        <f>IF(A299="","",IF(IF(OR(DATE($B$3,9,30)&gt;EOMONTH(DATE($B$3,9,1),0),NETWORKDAYS.INTL(DATE($B$3,9,30),DATE($B$3,9,30),1,'Non-working days'!$A$6:$A$45)=0),"",IF(COUNTIFS('Leave log'!$A$7:$A$306,Employees!$A$26,'Leave log'!$B$7:$B$306,"&lt;="&amp;DATE($B$3,9,30),'Leave log'!$C$7:$C$306,"&gt;="&amp;DATE($B$3,9,30),'Leave log'!$F$7:$F$306,"Approved")&gt;0,"A",""))="A","A",IF(OR(DATE($B$3,9,30)&gt;EOMONTH(DATE($B$3,9,1),0),NETWORKDAYS.INTL(DATE($B$3,9,30),DATE($B$3,9,30),1,'Non-working days'!$A$6:$A$45)=0),"",IF(COUNTIFS('Leave log'!$A$7:$A$306,Employees!$A$26,'Leave log'!$B$7:$B$306,"&lt;="&amp;DATE($B$3,9,30),'Leave log'!$C$7:$C$306,"&gt;="&amp;DATE($B$3,9,30),'Leave log'!$F$7:$F$306,"Pending")&gt;0,"P",""))))</f>
        <v/>
      </c>
      <c r="AF299" s="23" t="str">
        <f>IF(A299="","",IF(IF(OR(DATE($B$3,9,31)&gt;EOMONTH(DATE($B$3,9,1),0),NETWORKDAYS.INTL(DATE($B$3,9,31),DATE($B$3,9,31),1,'Non-working days'!$A$6:$A$45)=0),"",IF(COUNTIFS('Leave log'!$A$7:$A$306,Employees!$A$26,'Leave log'!$B$7:$B$306,"&lt;="&amp;DATE($B$3,9,31),'Leave log'!$C$7:$C$306,"&gt;="&amp;DATE($B$3,9,31),'Leave log'!$F$7:$F$306,"Approved")&gt;0,"A",""))="A","A",IF(OR(DATE($B$3,9,31)&gt;EOMONTH(DATE($B$3,9,1),0),NETWORKDAYS.INTL(DATE($B$3,9,31),DATE($B$3,9,31),1,'Non-working days'!$A$6:$A$45)=0),"",IF(COUNTIFS('Leave log'!$A$7:$A$306,Employees!$A$26,'Leave log'!$B$7:$B$306,"&lt;="&amp;DATE($B$3,9,31),'Leave log'!$C$7:$C$306,"&gt;="&amp;DATE($B$3,9,31),'Leave log'!$F$7:$F$306,"Pending")&gt;0,"P",""))))</f>
        <v/>
      </c>
    </row>
    <row r="300" spans="1:32" ht="18" customHeight="1" x14ac:dyDescent="0.3">
      <c r="A300" s="22" t="str">
        <f>IF(Employees!F27="Yes",Employees!B27,"")</f>
        <v/>
      </c>
      <c r="B300" s="23" t="str">
        <f>IF(A300="","",IF(IF(OR(DATE($B$3,9,1)&gt;EOMONTH(DATE($B$3,9,1),0),NETWORKDAYS.INTL(DATE($B$3,9,1),DATE($B$3,9,1),1,'Non-working days'!$A$6:$A$45)=0),"",IF(COUNTIFS('Leave log'!$A$7:$A$306,Employees!$A$27,'Leave log'!$B$7:$B$306,"&lt;="&amp;DATE($B$3,9,1),'Leave log'!$C$7:$C$306,"&gt;="&amp;DATE($B$3,9,1),'Leave log'!$F$7:$F$306,"Approved")&gt;0,"A",""))="A","A",IF(OR(DATE($B$3,9,1)&gt;EOMONTH(DATE($B$3,9,1),0),NETWORKDAYS.INTL(DATE($B$3,9,1),DATE($B$3,9,1),1,'Non-working days'!$A$6:$A$45)=0),"",IF(COUNTIFS('Leave log'!$A$7:$A$306,Employees!$A$27,'Leave log'!$B$7:$B$306,"&lt;="&amp;DATE($B$3,9,1),'Leave log'!$C$7:$C$306,"&gt;="&amp;DATE($B$3,9,1),'Leave log'!$F$7:$F$306,"Pending")&gt;0,"P",""))))</f>
        <v/>
      </c>
      <c r="C300" s="23" t="str">
        <f>IF(A300="","",IF(IF(OR(DATE($B$3,9,2)&gt;EOMONTH(DATE($B$3,9,1),0),NETWORKDAYS.INTL(DATE($B$3,9,2),DATE($B$3,9,2),1,'Non-working days'!$A$6:$A$45)=0),"",IF(COUNTIFS('Leave log'!$A$7:$A$306,Employees!$A$27,'Leave log'!$B$7:$B$306,"&lt;="&amp;DATE($B$3,9,2),'Leave log'!$C$7:$C$306,"&gt;="&amp;DATE($B$3,9,2),'Leave log'!$F$7:$F$306,"Approved")&gt;0,"A",""))="A","A",IF(OR(DATE($B$3,9,2)&gt;EOMONTH(DATE($B$3,9,1),0),NETWORKDAYS.INTL(DATE($B$3,9,2),DATE($B$3,9,2),1,'Non-working days'!$A$6:$A$45)=0),"",IF(COUNTIFS('Leave log'!$A$7:$A$306,Employees!$A$27,'Leave log'!$B$7:$B$306,"&lt;="&amp;DATE($B$3,9,2),'Leave log'!$C$7:$C$306,"&gt;="&amp;DATE($B$3,9,2),'Leave log'!$F$7:$F$306,"Pending")&gt;0,"P",""))))</f>
        <v/>
      </c>
      <c r="D300" s="23" t="str">
        <f>IF(A300="","",IF(IF(OR(DATE($B$3,9,3)&gt;EOMONTH(DATE($B$3,9,1),0),NETWORKDAYS.INTL(DATE($B$3,9,3),DATE($B$3,9,3),1,'Non-working days'!$A$6:$A$45)=0),"",IF(COUNTIFS('Leave log'!$A$7:$A$306,Employees!$A$27,'Leave log'!$B$7:$B$306,"&lt;="&amp;DATE($B$3,9,3),'Leave log'!$C$7:$C$306,"&gt;="&amp;DATE($B$3,9,3),'Leave log'!$F$7:$F$306,"Approved")&gt;0,"A",""))="A","A",IF(OR(DATE($B$3,9,3)&gt;EOMONTH(DATE($B$3,9,1),0),NETWORKDAYS.INTL(DATE($B$3,9,3),DATE($B$3,9,3),1,'Non-working days'!$A$6:$A$45)=0),"",IF(COUNTIFS('Leave log'!$A$7:$A$306,Employees!$A$27,'Leave log'!$B$7:$B$306,"&lt;="&amp;DATE($B$3,9,3),'Leave log'!$C$7:$C$306,"&gt;="&amp;DATE($B$3,9,3),'Leave log'!$F$7:$F$306,"Pending")&gt;0,"P",""))))</f>
        <v/>
      </c>
      <c r="E300" s="23" t="str">
        <f>IF(A300="","",IF(IF(OR(DATE($B$3,9,4)&gt;EOMONTH(DATE($B$3,9,1),0),NETWORKDAYS.INTL(DATE($B$3,9,4),DATE($B$3,9,4),1,'Non-working days'!$A$6:$A$45)=0),"",IF(COUNTIFS('Leave log'!$A$7:$A$306,Employees!$A$27,'Leave log'!$B$7:$B$306,"&lt;="&amp;DATE($B$3,9,4),'Leave log'!$C$7:$C$306,"&gt;="&amp;DATE($B$3,9,4),'Leave log'!$F$7:$F$306,"Approved")&gt;0,"A",""))="A","A",IF(OR(DATE($B$3,9,4)&gt;EOMONTH(DATE($B$3,9,1),0),NETWORKDAYS.INTL(DATE($B$3,9,4),DATE($B$3,9,4),1,'Non-working days'!$A$6:$A$45)=0),"",IF(COUNTIFS('Leave log'!$A$7:$A$306,Employees!$A$27,'Leave log'!$B$7:$B$306,"&lt;="&amp;DATE($B$3,9,4),'Leave log'!$C$7:$C$306,"&gt;="&amp;DATE($B$3,9,4),'Leave log'!$F$7:$F$306,"Pending")&gt;0,"P",""))))</f>
        <v/>
      </c>
      <c r="F300" s="23" t="str">
        <f>IF(A300="","",IF(IF(OR(DATE($B$3,9,5)&gt;EOMONTH(DATE($B$3,9,1),0),NETWORKDAYS.INTL(DATE($B$3,9,5),DATE($B$3,9,5),1,'Non-working days'!$A$6:$A$45)=0),"",IF(COUNTIFS('Leave log'!$A$7:$A$306,Employees!$A$27,'Leave log'!$B$7:$B$306,"&lt;="&amp;DATE($B$3,9,5),'Leave log'!$C$7:$C$306,"&gt;="&amp;DATE($B$3,9,5),'Leave log'!$F$7:$F$306,"Approved")&gt;0,"A",""))="A","A",IF(OR(DATE($B$3,9,5)&gt;EOMONTH(DATE($B$3,9,1),0),NETWORKDAYS.INTL(DATE($B$3,9,5),DATE($B$3,9,5),1,'Non-working days'!$A$6:$A$45)=0),"",IF(COUNTIFS('Leave log'!$A$7:$A$306,Employees!$A$27,'Leave log'!$B$7:$B$306,"&lt;="&amp;DATE($B$3,9,5),'Leave log'!$C$7:$C$306,"&gt;="&amp;DATE($B$3,9,5),'Leave log'!$F$7:$F$306,"Pending")&gt;0,"P",""))))</f>
        <v/>
      </c>
      <c r="G300" s="23" t="str">
        <f>IF(A300="","",IF(IF(OR(DATE($B$3,9,6)&gt;EOMONTH(DATE($B$3,9,1),0),NETWORKDAYS.INTL(DATE($B$3,9,6),DATE($B$3,9,6),1,'Non-working days'!$A$6:$A$45)=0),"",IF(COUNTIFS('Leave log'!$A$7:$A$306,Employees!$A$27,'Leave log'!$B$7:$B$306,"&lt;="&amp;DATE($B$3,9,6),'Leave log'!$C$7:$C$306,"&gt;="&amp;DATE($B$3,9,6),'Leave log'!$F$7:$F$306,"Approved")&gt;0,"A",""))="A","A",IF(OR(DATE($B$3,9,6)&gt;EOMONTH(DATE($B$3,9,1),0),NETWORKDAYS.INTL(DATE($B$3,9,6),DATE($B$3,9,6),1,'Non-working days'!$A$6:$A$45)=0),"",IF(COUNTIFS('Leave log'!$A$7:$A$306,Employees!$A$27,'Leave log'!$B$7:$B$306,"&lt;="&amp;DATE($B$3,9,6),'Leave log'!$C$7:$C$306,"&gt;="&amp;DATE($B$3,9,6),'Leave log'!$F$7:$F$306,"Pending")&gt;0,"P",""))))</f>
        <v/>
      </c>
      <c r="H300" s="23" t="str">
        <f>IF(A300="","",IF(IF(OR(DATE($B$3,9,7)&gt;EOMONTH(DATE($B$3,9,1),0),NETWORKDAYS.INTL(DATE($B$3,9,7),DATE($B$3,9,7),1,'Non-working days'!$A$6:$A$45)=0),"",IF(COUNTIFS('Leave log'!$A$7:$A$306,Employees!$A$27,'Leave log'!$B$7:$B$306,"&lt;="&amp;DATE($B$3,9,7),'Leave log'!$C$7:$C$306,"&gt;="&amp;DATE($B$3,9,7),'Leave log'!$F$7:$F$306,"Approved")&gt;0,"A",""))="A","A",IF(OR(DATE($B$3,9,7)&gt;EOMONTH(DATE($B$3,9,1),0),NETWORKDAYS.INTL(DATE($B$3,9,7),DATE($B$3,9,7),1,'Non-working days'!$A$6:$A$45)=0),"",IF(COUNTIFS('Leave log'!$A$7:$A$306,Employees!$A$27,'Leave log'!$B$7:$B$306,"&lt;="&amp;DATE($B$3,9,7),'Leave log'!$C$7:$C$306,"&gt;="&amp;DATE($B$3,9,7),'Leave log'!$F$7:$F$306,"Pending")&gt;0,"P",""))))</f>
        <v/>
      </c>
      <c r="I300" s="23" t="str">
        <f>IF(A300="","",IF(IF(OR(DATE($B$3,9,8)&gt;EOMONTH(DATE($B$3,9,1),0),NETWORKDAYS.INTL(DATE($B$3,9,8),DATE($B$3,9,8),1,'Non-working days'!$A$6:$A$45)=0),"",IF(COUNTIFS('Leave log'!$A$7:$A$306,Employees!$A$27,'Leave log'!$B$7:$B$306,"&lt;="&amp;DATE($B$3,9,8),'Leave log'!$C$7:$C$306,"&gt;="&amp;DATE($B$3,9,8),'Leave log'!$F$7:$F$306,"Approved")&gt;0,"A",""))="A","A",IF(OR(DATE($B$3,9,8)&gt;EOMONTH(DATE($B$3,9,1),0),NETWORKDAYS.INTL(DATE($B$3,9,8),DATE($B$3,9,8),1,'Non-working days'!$A$6:$A$45)=0),"",IF(COUNTIFS('Leave log'!$A$7:$A$306,Employees!$A$27,'Leave log'!$B$7:$B$306,"&lt;="&amp;DATE($B$3,9,8),'Leave log'!$C$7:$C$306,"&gt;="&amp;DATE($B$3,9,8),'Leave log'!$F$7:$F$306,"Pending")&gt;0,"P",""))))</f>
        <v/>
      </c>
      <c r="J300" s="23" t="str">
        <f>IF(A300="","",IF(IF(OR(DATE($B$3,9,9)&gt;EOMONTH(DATE($B$3,9,1),0),NETWORKDAYS.INTL(DATE($B$3,9,9),DATE($B$3,9,9),1,'Non-working days'!$A$6:$A$45)=0),"",IF(COUNTIFS('Leave log'!$A$7:$A$306,Employees!$A$27,'Leave log'!$B$7:$B$306,"&lt;="&amp;DATE($B$3,9,9),'Leave log'!$C$7:$C$306,"&gt;="&amp;DATE($B$3,9,9),'Leave log'!$F$7:$F$306,"Approved")&gt;0,"A",""))="A","A",IF(OR(DATE($B$3,9,9)&gt;EOMONTH(DATE($B$3,9,1),0),NETWORKDAYS.INTL(DATE($B$3,9,9),DATE($B$3,9,9),1,'Non-working days'!$A$6:$A$45)=0),"",IF(COUNTIFS('Leave log'!$A$7:$A$306,Employees!$A$27,'Leave log'!$B$7:$B$306,"&lt;="&amp;DATE($B$3,9,9),'Leave log'!$C$7:$C$306,"&gt;="&amp;DATE($B$3,9,9),'Leave log'!$F$7:$F$306,"Pending")&gt;0,"P",""))))</f>
        <v/>
      </c>
      <c r="K300" s="23" t="str">
        <f>IF(A300="","",IF(IF(OR(DATE($B$3,9,10)&gt;EOMONTH(DATE($B$3,9,1),0),NETWORKDAYS.INTL(DATE($B$3,9,10),DATE($B$3,9,10),1,'Non-working days'!$A$6:$A$45)=0),"",IF(COUNTIFS('Leave log'!$A$7:$A$306,Employees!$A$27,'Leave log'!$B$7:$B$306,"&lt;="&amp;DATE($B$3,9,10),'Leave log'!$C$7:$C$306,"&gt;="&amp;DATE($B$3,9,10),'Leave log'!$F$7:$F$306,"Approved")&gt;0,"A",""))="A","A",IF(OR(DATE($B$3,9,10)&gt;EOMONTH(DATE($B$3,9,1),0),NETWORKDAYS.INTL(DATE($B$3,9,10),DATE($B$3,9,10),1,'Non-working days'!$A$6:$A$45)=0),"",IF(COUNTIFS('Leave log'!$A$7:$A$306,Employees!$A$27,'Leave log'!$B$7:$B$306,"&lt;="&amp;DATE($B$3,9,10),'Leave log'!$C$7:$C$306,"&gt;="&amp;DATE($B$3,9,10),'Leave log'!$F$7:$F$306,"Pending")&gt;0,"P",""))))</f>
        <v/>
      </c>
      <c r="L300" s="23" t="str">
        <f>IF(A300="","",IF(IF(OR(DATE($B$3,9,11)&gt;EOMONTH(DATE($B$3,9,1),0),NETWORKDAYS.INTL(DATE($B$3,9,11),DATE($B$3,9,11),1,'Non-working days'!$A$6:$A$45)=0),"",IF(COUNTIFS('Leave log'!$A$7:$A$306,Employees!$A$27,'Leave log'!$B$7:$B$306,"&lt;="&amp;DATE($B$3,9,11),'Leave log'!$C$7:$C$306,"&gt;="&amp;DATE($B$3,9,11),'Leave log'!$F$7:$F$306,"Approved")&gt;0,"A",""))="A","A",IF(OR(DATE($B$3,9,11)&gt;EOMONTH(DATE($B$3,9,1),0),NETWORKDAYS.INTL(DATE($B$3,9,11),DATE($B$3,9,11),1,'Non-working days'!$A$6:$A$45)=0),"",IF(COUNTIFS('Leave log'!$A$7:$A$306,Employees!$A$27,'Leave log'!$B$7:$B$306,"&lt;="&amp;DATE($B$3,9,11),'Leave log'!$C$7:$C$306,"&gt;="&amp;DATE($B$3,9,11),'Leave log'!$F$7:$F$306,"Pending")&gt;0,"P",""))))</f>
        <v/>
      </c>
      <c r="M300" s="23" t="str">
        <f>IF(A300="","",IF(IF(OR(DATE($B$3,9,12)&gt;EOMONTH(DATE($B$3,9,1),0),NETWORKDAYS.INTL(DATE($B$3,9,12),DATE($B$3,9,12),1,'Non-working days'!$A$6:$A$45)=0),"",IF(COUNTIFS('Leave log'!$A$7:$A$306,Employees!$A$27,'Leave log'!$B$7:$B$306,"&lt;="&amp;DATE($B$3,9,12),'Leave log'!$C$7:$C$306,"&gt;="&amp;DATE($B$3,9,12),'Leave log'!$F$7:$F$306,"Approved")&gt;0,"A",""))="A","A",IF(OR(DATE($B$3,9,12)&gt;EOMONTH(DATE($B$3,9,1),0),NETWORKDAYS.INTL(DATE($B$3,9,12),DATE($B$3,9,12),1,'Non-working days'!$A$6:$A$45)=0),"",IF(COUNTIFS('Leave log'!$A$7:$A$306,Employees!$A$27,'Leave log'!$B$7:$B$306,"&lt;="&amp;DATE($B$3,9,12),'Leave log'!$C$7:$C$306,"&gt;="&amp;DATE($B$3,9,12),'Leave log'!$F$7:$F$306,"Pending")&gt;0,"P",""))))</f>
        <v/>
      </c>
      <c r="N300" s="23" t="str">
        <f>IF(A300="","",IF(IF(OR(DATE($B$3,9,13)&gt;EOMONTH(DATE($B$3,9,1),0),NETWORKDAYS.INTL(DATE($B$3,9,13),DATE($B$3,9,13),1,'Non-working days'!$A$6:$A$45)=0),"",IF(COUNTIFS('Leave log'!$A$7:$A$306,Employees!$A$27,'Leave log'!$B$7:$B$306,"&lt;="&amp;DATE($B$3,9,13),'Leave log'!$C$7:$C$306,"&gt;="&amp;DATE($B$3,9,13),'Leave log'!$F$7:$F$306,"Approved")&gt;0,"A",""))="A","A",IF(OR(DATE($B$3,9,13)&gt;EOMONTH(DATE($B$3,9,1),0),NETWORKDAYS.INTL(DATE($B$3,9,13),DATE($B$3,9,13),1,'Non-working days'!$A$6:$A$45)=0),"",IF(COUNTIFS('Leave log'!$A$7:$A$306,Employees!$A$27,'Leave log'!$B$7:$B$306,"&lt;="&amp;DATE($B$3,9,13),'Leave log'!$C$7:$C$306,"&gt;="&amp;DATE($B$3,9,13),'Leave log'!$F$7:$F$306,"Pending")&gt;0,"P",""))))</f>
        <v/>
      </c>
      <c r="O300" s="23" t="str">
        <f>IF(A300="","",IF(IF(OR(DATE($B$3,9,14)&gt;EOMONTH(DATE($B$3,9,1),0),NETWORKDAYS.INTL(DATE($B$3,9,14),DATE($B$3,9,14),1,'Non-working days'!$A$6:$A$45)=0),"",IF(COUNTIFS('Leave log'!$A$7:$A$306,Employees!$A$27,'Leave log'!$B$7:$B$306,"&lt;="&amp;DATE($B$3,9,14),'Leave log'!$C$7:$C$306,"&gt;="&amp;DATE($B$3,9,14),'Leave log'!$F$7:$F$306,"Approved")&gt;0,"A",""))="A","A",IF(OR(DATE($B$3,9,14)&gt;EOMONTH(DATE($B$3,9,1),0),NETWORKDAYS.INTL(DATE($B$3,9,14),DATE($B$3,9,14),1,'Non-working days'!$A$6:$A$45)=0),"",IF(COUNTIFS('Leave log'!$A$7:$A$306,Employees!$A$27,'Leave log'!$B$7:$B$306,"&lt;="&amp;DATE($B$3,9,14),'Leave log'!$C$7:$C$306,"&gt;="&amp;DATE($B$3,9,14),'Leave log'!$F$7:$F$306,"Pending")&gt;0,"P",""))))</f>
        <v/>
      </c>
      <c r="P300" s="23" t="str">
        <f>IF(A300="","",IF(IF(OR(DATE($B$3,9,15)&gt;EOMONTH(DATE($B$3,9,1),0),NETWORKDAYS.INTL(DATE($B$3,9,15),DATE($B$3,9,15),1,'Non-working days'!$A$6:$A$45)=0),"",IF(COUNTIFS('Leave log'!$A$7:$A$306,Employees!$A$27,'Leave log'!$B$7:$B$306,"&lt;="&amp;DATE($B$3,9,15),'Leave log'!$C$7:$C$306,"&gt;="&amp;DATE($B$3,9,15),'Leave log'!$F$7:$F$306,"Approved")&gt;0,"A",""))="A","A",IF(OR(DATE($B$3,9,15)&gt;EOMONTH(DATE($B$3,9,1),0),NETWORKDAYS.INTL(DATE($B$3,9,15),DATE($B$3,9,15),1,'Non-working days'!$A$6:$A$45)=0),"",IF(COUNTIFS('Leave log'!$A$7:$A$306,Employees!$A$27,'Leave log'!$B$7:$B$306,"&lt;="&amp;DATE($B$3,9,15),'Leave log'!$C$7:$C$306,"&gt;="&amp;DATE($B$3,9,15),'Leave log'!$F$7:$F$306,"Pending")&gt;0,"P",""))))</f>
        <v/>
      </c>
      <c r="Q300" s="23" t="str">
        <f>IF(A300="","",IF(IF(OR(DATE($B$3,9,16)&gt;EOMONTH(DATE($B$3,9,1),0),NETWORKDAYS.INTL(DATE($B$3,9,16),DATE($B$3,9,16),1,'Non-working days'!$A$6:$A$45)=0),"",IF(COUNTIFS('Leave log'!$A$7:$A$306,Employees!$A$27,'Leave log'!$B$7:$B$306,"&lt;="&amp;DATE($B$3,9,16),'Leave log'!$C$7:$C$306,"&gt;="&amp;DATE($B$3,9,16),'Leave log'!$F$7:$F$306,"Approved")&gt;0,"A",""))="A","A",IF(OR(DATE($B$3,9,16)&gt;EOMONTH(DATE($B$3,9,1),0),NETWORKDAYS.INTL(DATE($B$3,9,16),DATE($B$3,9,16),1,'Non-working days'!$A$6:$A$45)=0),"",IF(COUNTIFS('Leave log'!$A$7:$A$306,Employees!$A$27,'Leave log'!$B$7:$B$306,"&lt;="&amp;DATE($B$3,9,16),'Leave log'!$C$7:$C$306,"&gt;="&amp;DATE($B$3,9,16),'Leave log'!$F$7:$F$306,"Pending")&gt;0,"P",""))))</f>
        <v/>
      </c>
      <c r="R300" s="23" t="str">
        <f>IF(A300="","",IF(IF(OR(DATE($B$3,9,17)&gt;EOMONTH(DATE($B$3,9,1),0),NETWORKDAYS.INTL(DATE($B$3,9,17),DATE($B$3,9,17),1,'Non-working days'!$A$6:$A$45)=0),"",IF(COUNTIFS('Leave log'!$A$7:$A$306,Employees!$A$27,'Leave log'!$B$7:$B$306,"&lt;="&amp;DATE($B$3,9,17),'Leave log'!$C$7:$C$306,"&gt;="&amp;DATE($B$3,9,17),'Leave log'!$F$7:$F$306,"Approved")&gt;0,"A",""))="A","A",IF(OR(DATE($B$3,9,17)&gt;EOMONTH(DATE($B$3,9,1),0),NETWORKDAYS.INTL(DATE($B$3,9,17),DATE($B$3,9,17),1,'Non-working days'!$A$6:$A$45)=0),"",IF(COUNTIFS('Leave log'!$A$7:$A$306,Employees!$A$27,'Leave log'!$B$7:$B$306,"&lt;="&amp;DATE($B$3,9,17),'Leave log'!$C$7:$C$306,"&gt;="&amp;DATE($B$3,9,17),'Leave log'!$F$7:$F$306,"Pending")&gt;0,"P",""))))</f>
        <v/>
      </c>
      <c r="S300" s="23" t="str">
        <f>IF(A300="","",IF(IF(OR(DATE($B$3,9,18)&gt;EOMONTH(DATE($B$3,9,1),0),NETWORKDAYS.INTL(DATE($B$3,9,18),DATE($B$3,9,18),1,'Non-working days'!$A$6:$A$45)=0),"",IF(COUNTIFS('Leave log'!$A$7:$A$306,Employees!$A$27,'Leave log'!$B$7:$B$306,"&lt;="&amp;DATE($B$3,9,18),'Leave log'!$C$7:$C$306,"&gt;="&amp;DATE($B$3,9,18),'Leave log'!$F$7:$F$306,"Approved")&gt;0,"A",""))="A","A",IF(OR(DATE($B$3,9,18)&gt;EOMONTH(DATE($B$3,9,1),0),NETWORKDAYS.INTL(DATE($B$3,9,18),DATE($B$3,9,18),1,'Non-working days'!$A$6:$A$45)=0),"",IF(COUNTIFS('Leave log'!$A$7:$A$306,Employees!$A$27,'Leave log'!$B$7:$B$306,"&lt;="&amp;DATE($B$3,9,18),'Leave log'!$C$7:$C$306,"&gt;="&amp;DATE($B$3,9,18),'Leave log'!$F$7:$F$306,"Pending")&gt;0,"P",""))))</f>
        <v/>
      </c>
      <c r="T300" s="23" t="str">
        <f>IF(A300="","",IF(IF(OR(DATE($B$3,9,19)&gt;EOMONTH(DATE($B$3,9,1),0),NETWORKDAYS.INTL(DATE($B$3,9,19),DATE($B$3,9,19),1,'Non-working days'!$A$6:$A$45)=0),"",IF(COUNTIFS('Leave log'!$A$7:$A$306,Employees!$A$27,'Leave log'!$B$7:$B$306,"&lt;="&amp;DATE($B$3,9,19),'Leave log'!$C$7:$C$306,"&gt;="&amp;DATE($B$3,9,19),'Leave log'!$F$7:$F$306,"Approved")&gt;0,"A",""))="A","A",IF(OR(DATE($B$3,9,19)&gt;EOMONTH(DATE($B$3,9,1),0),NETWORKDAYS.INTL(DATE($B$3,9,19),DATE($B$3,9,19),1,'Non-working days'!$A$6:$A$45)=0),"",IF(COUNTIFS('Leave log'!$A$7:$A$306,Employees!$A$27,'Leave log'!$B$7:$B$306,"&lt;="&amp;DATE($B$3,9,19),'Leave log'!$C$7:$C$306,"&gt;="&amp;DATE($B$3,9,19),'Leave log'!$F$7:$F$306,"Pending")&gt;0,"P",""))))</f>
        <v/>
      </c>
      <c r="U300" s="23" t="str">
        <f>IF(A300="","",IF(IF(OR(DATE($B$3,9,20)&gt;EOMONTH(DATE($B$3,9,1),0),NETWORKDAYS.INTL(DATE($B$3,9,20),DATE($B$3,9,20),1,'Non-working days'!$A$6:$A$45)=0),"",IF(COUNTIFS('Leave log'!$A$7:$A$306,Employees!$A$27,'Leave log'!$B$7:$B$306,"&lt;="&amp;DATE($B$3,9,20),'Leave log'!$C$7:$C$306,"&gt;="&amp;DATE($B$3,9,20),'Leave log'!$F$7:$F$306,"Approved")&gt;0,"A",""))="A","A",IF(OR(DATE($B$3,9,20)&gt;EOMONTH(DATE($B$3,9,1),0),NETWORKDAYS.INTL(DATE($B$3,9,20),DATE($B$3,9,20),1,'Non-working days'!$A$6:$A$45)=0),"",IF(COUNTIFS('Leave log'!$A$7:$A$306,Employees!$A$27,'Leave log'!$B$7:$B$306,"&lt;="&amp;DATE($B$3,9,20),'Leave log'!$C$7:$C$306,"&gt;="&amp;DATE($B$3,9,20),'Leave log'!$F$7:$F$306,"Pending")&gt;0,"P",""))))</f>
        <v/>
      </c>
      <c r="V300" s="23" t="str">
        <f>IF(A300="","",IF(IF(OR(DATE($B$3,9,21)&gt;EOMONTH(DATE($B$3,9,1),0),NETWORKDAYS.INTL(DATE($B$3,9,21),DATE($B$3,9,21),1,'Non-working days'!$A$6:$A$45)=0),"",IF(COUNTIFS('Leave log'!$A$7:$A$306,Employees!$A$27,'Leave log'!$B$7:$B$306,"&lt;="&amp;DATE($B$3,9,21),'Leave log'!$C$7:$C$306,"&gt;="&amp;DATE($B$3,9,21),'Leave log'!$F$7:$F$306,"Approved")&gt;0,"A",""))="A","A",IF(OR(DATE($B$3,9,21)&gt;EOMONTH(DATE($B$3,9,1),0),NETWORKDAYS.INTL(DATE($B$3,9,21),DATE($B$3,9,21),1,'Non-working days'!$A$6:$A$45)=0),"",IF(COUNTIFS('Leave log'!$A$7:$A$306,Employees!$A$27,'Leave log'!$B$7:$B$306,"&lt;="&amp;DATE($B$3,9,21),'Leave log'!$C$7:$C$306,"&gt;="&amp;DATE($B$3,9,21),'Leave log'!$F$7:$F$306,"Pending")&gt;0,"P",""))))</f>
        <v/>
      </c>
      <c r="W300" s="23" t="str">
        <f>IF(A300="","",IF(IF(OR(DATE($B$3,9,22)&gt;EOMONTH(DATE($B$3,9,1),0),NETWORKDAYS.INTL(DATE($B$3,9,22),DATE($B$3,9,22),1,'Non-working days'!$A$6:$A$45)=0),"",IF(COUNTIFS('Leave log'!$A$7:$A$306,Employees!$A$27,'Leave log'!$B$7:$B$306,"&lt;="&amp;DATE($B$3,9,22),'Leave log'!$C$7:$C$306,"&gt;="&amp;DATE($B$3,9,22),'Leave log'!$F$7:$F$306,"Approved")&gt;0,"A",""))="A","A",IF(OR(DATE($B$3,9,22)&gt;EOMONTH(DATE($B$3,9,1),0),NETWORKDAYS.INTL(DATE($B$3,9,22),DATE($B$3,9,22),1,'Non-working days'!$A$6:$A$45)=0),"",IF(COUNTIFS('Leave log'!$A$7:$A$306,Employees!$A$27,'Leave log'!$B$7:$B$306,"&lt;="&amp;DATE($B$3,9,22),'Leave log'!$C$7:$C$306,"&gt;="&amp;DATE($B$3,9,22),'Leave log'!$F$7:$F$306,"Pending")&gt;0,"P",""))))</f>
        <v/>
      </c>
      <c r="X300" s="23" t="str">
        <f>IF(A300="","",IF(IF(OR(DATE($B$3,9,23)&gt;EOMONTH(DATE($B$3,9,1),0),NETWORKDAYS.INTL(DATE($B$3,9,23),DATE($B$3,9,23),1,'Non-working days'!$A$6:$A$45)=0),"",IF(COUNTIFS('Leave log'!$A$7:$A$306,Employees!$A$27,'Leave log'!$B$7:$B$306,"&lt;="&amp;DATE($B$3,9,23),'Leave log'!$C$7:$C$306,"&gt;="&amp;DATE($B$3,9,23),'Leave log'!$F$7:$F$306,"Approved")&gt;0,"A",""))="A","A",IF(OR(DATE($B$3,9,23)&gt;EOMONTH(DATE($B$3,9,1),0),NETWORKDAYS.INTL(DATE($B$3,9,23),DATE($B$3,9,23),1,'Non-working days'!$A$6:$A$45)=0),"",IF(COUNTIFS('Leave log'!$A$7:$A$306,Employees!$A$27,'Leave log'!$B$7:$B$306,"&lt;="&amp;DATE($B$3,9,23),'Leave log'!$C$7:$C$306,"&gt;="&amp;DATE($B$3,9,23),'Leave log'!$F$7:$F$306,"Pending")&gt;0,"P",""))))</f>
        <v/>
      </c>
      <c r="Y300" s="23" t="str">
        <f>IF(A300="","",IF(IF(OR(DATE($B$3,9,24)&gt;EOMONTH(DATE($B$3,9,1),0),NETWORKDAYS.INTL(DATE($B$3,9,24),DATE($B$3,9,24),1,'Non-working days'!$A$6:$A$45)=0),"",IF(COUNTIFS('Leave log'!$A$7:$A$306,Employees!$A$27,'Leave log'!$B$7:$B$306,"&lt;="&amp;DATE($B$3,9,24),'Leave log'!$C$7:$C$306,"&gt;="&amp;DATE($B$3,9,24),'Leave log'!$F$7:$F$306,"Approved")&gt;0,"A",""))="A","A",IF(OR(DATE($B$3,9,24)&gt;EOMONTH(DATE($B$3,9,1),0),NETWORKDAYS.INTL(DATE($B$3,9,24),DATE($B$3,9,24),1,'Non-working days'!$A$6:$A$45)=0),"",IF(COUNTIFS('Leave log'!$A$7:$A$306,Employees!$A$27,'Leave log'!$B$7:$B$306,"&lt;="&amp;DATE($B$3,9,24),'Leave log'!$C$7:$C$306,"&gt;="&amp;DATE($B$3,9,24),'Leave log'!$F$7:$F$306,"Pending")&gt;0,"P",""))))</f>
        <v/>
      </c>
      <c r="Z300" s="23" t="str">
        <f>IF(A300="","",IF(IF(OR(DATE($B$3,9,25)&gt;EOMONTH(DATE($B$3,9,1),0),NETWORKDAYS.INTL(DATE($B$3,9,25),DATE($B$3,9,25),1,'Non-working days'!$A$6:$A$45)=0),"",IF(COUNTIFS('Leave log'!$A$7:$A$306,Employees!$A$27,'Leave log'!$B$7:$B$306,"&lt;="&amp;DATE($B$3,9,25),'Leave log'!$C$7:$C$306,"&gt;="&amp;DATE($B$3,9,25),'Leave log'!$F$7:$F$306,"Approved")&gt;0,"A",""))="A","A",IF(OR(DATE($B$3,9,25)&gt;EOMONTH(DATE($B$3,9,1),0),NETWORKDAYS.INTL(DATE($B$3,9,25),DATE($B$3,9,25),1,'Non-working days'!$A$6:$A$45)=0),"",IF(COUNTIFS('Leave log'!$A$7:$A$306,Employees!$A$27,'Leave log'!$B$7:$B$306,"&lt;="&amp;DATE($B$3,9,25),'Leave log'!$C$7:$C$306,"&gt;="&amp;DATE($B$3,9,25),'Leave log'!$F$7:$F$306,"Pending")&gt;0,"P",""))))</f>
        <v/>
      </c>
      <c r="AA300" s="23" t="str">
        <f>IF(A300="","",IF(IF(OR(DATE($B$3,9,26)&gt;EOMONTH(DATE($B$3,9,1),0),NETWORKDAYS.INTL(DATE($B$3,9,26),DATE($B$3,9,26),1,'Non-working days'!$A$6:$A$45)=0),"",IF(COUNTIFS('Leave log'!$A$7:$A$306,Employees!$A$27,'Leave log'!$B$7:$B$306,"&lt;="&amp;DATE($B$3,9,26),'Leave log'!$C$7:$C$306,"&gt;="&amp;DATE($B$3,9,26),'Leave log'!$F$7:$F$306,"Approved")&gt;0,"A",""))="A","A",IF(OR(DATE($B$3,9,26)&gt;EOMONTH(DATE($B$3,9,1),0),NETWORKDAYS.INTL(DATE($B$3,9,26),DATE($B$3,9,26),1,'Non-working days'!$A$6:$A$45)=0),"",IF(COUNTIFS('Leave log'!$A$7:$A$306,Employees!$A$27,'Leave log'!$B$7:$B$306,"&lt;="&amp;DATE($B$3,9,26),'Leave log'!$C$7:$C$306,"&gt;="&amp;DATE($B$3,9,26),'Leave log'!$F$7:$F$306,"Pending")&gt;0,"P",""))))</f>
        <v/>
      </c>
      <c r="AB300" s="23" t="str">
        <f>IF(A300="","",IF(IF(OR(DATE($B$3,9,27)&gt;EOMONTH(DATE($B$3,9,1),0),NETWORKDAYS.INTL(DATE($B$3,9,27),DATE($B$3,9,27),1,'Non-working days'!$A$6:$A$45)=0),"",IF(COUNTIFS('Leave log'!$A$7:$A$306,Employees!$A$27,'Leave log'!$B$7:$B$306,"&lt;="&amp;DATE($B$3,9,27),'Leave log'!$C$7:$C$306,"&gt;="&amp;DATE($B$3,9,27),'Leave log'!$F$7:$F$306,"Approved")&gt;0,"A",""))="A","A",IF(OR(DATE($B$3,9,27)&gt;EOMONTH(DATE($B$3,9,1),0),NETWORKDAYS.INTL(DATE($B$3,9,27),DATE($B$3,9,27),1,'Non-working days'!$A$6:$A$45)=0),"",IF(COUNTIFS('Leave log'!$A$7:$A$306,Employees!$A$27,'Leave log'!$B$7:$B$306,"&lt;="&amp;DATE($B$3,9,27),'Leave log'!$C$7:$C$306,"&gt;="&amp;DATE($B$3,9,27),'Leave log'!$F$7:$F$306,"Pending")&gt;0,"P",""))))</f>
        <v/>
      </c>
      <c r="AC300" s="23" t="str">
        <f>IF(A300="","",IF(IF(OR(DATE($B$3,9,28)&gt;EOMONTH(DATE($B$3,9,1),0),NETWORKDAYS.INTL(DATE($B$3,9,28),DATE($B$3,9,28),1,'Non-working days'!$A$6:$A$45)=0),"",IF(COUNTIFS('Leave log'!$A$7:$A$306,Employees!$A$27,'Leave log'!$B$7:$B$306,"&lt;="&amp;DATE($B$3,9,28),'Leave log'!$C$7:$C$306,"&gt;="&amp;DATE($B$3,9,28),'Leave log'!$F$7:$F$306,"Approved")&gt;0,"A",""))="A","A",IF(OR(DATE($B$3,9,28)&gt;EOMONTH(DATE($B$3,9,1),0),NETWORKDAYS.INTL(DATE($B$3,9,28),DATE($B$3,9,28),1,'Non-working days'!$A$6:$A$45)=0),"",IF(COUNTIFS('Leave log'!$A$7:$A$306,Employees!$A$27,'Leave log'!$B$7:$B$306,"&lt;="&amp;DATE($B$3,9,28),'Leave log'!$C$7:$C$306,"&gt;="&amp;DATE($B$3,9,28),'Leave log'!$F$7:$F$306,"Pending")&gt;0,"P",""))))</f>
        <v/>
      </c>
      <c r="AD300" s="23" t="str">
        <f>IF(A300="","",IF(IF(OR(DATE($B$3,9,29)&gt;EOMONTH(DATE($B$3,9,1),0),NETWORKDAYS.INTL(DATE($B$3,9,29),DATE($B$3,9,29),1,'Non-working days'!$A$6:$A$45)=0),"",IF(COUNTIFS('Leave log'!$A$7:$A$306,Employees!$A$27,'Leave log'!$B$7:$B$306,"&lt;="&amp;DATE($B$3,9,29),'Leave log'!$C$7:$C$306,"&gt;="&amp;DATE($B$3,9,29),'Leave log'!$F$7:$F$306,"Approved")&gt;0,"A",""))="A","A",IF(OR(DATE($B$3,9,29)&gt;EOMONTH(DATE($B$3,9,1),0),NETWORKDAYS.INTL(DATE($B$3,9,29),DATE($B$3,9,29),1,'Non-working days'!$A$6:$A$45)=0),"",IF(COUNTIFS('Leave log'!$A$7:$A$306,Employees!$A$27,'Leave log'!$B$7:$B$306,"&lt;="&amp;DATE($B$3,9,29),'Leave log'!$C$7:$C$306,"&gt;="&amp;DATE($B$3,9,29),'Leave log'!$F$7:$F$306,"Pending")&gt;0,"P",""))))</f>
        <v/>
      </c>
      <c r="AE300" s="23" t="str">
        <f>IF(A300="","",IF(IF(OR(DATE($B$3,9,30)&gt;EOMONTH(DATE($B$3,9,1),0),NETWORKDAYS.INTL(DATE($B$3,9,30),DATE($B$3,9,30),1,'Non-working days'!$A$6:$A$45)=0),"",IF(COUNTIFS('Leave log'!$A$7:$A$306,Employees!$A$27,'Leave log'!$B$7:$B$306,"&lt;="&amp;DATE($B$3,9,30),'Leave log'!$C$7:$C$306,"&gt;="&amp;DATE($B$3,9,30),'Leave log'!$F$7:$F$306,"Approved")&gt;0,"A",""))="A","A",IF(OR(DATE($B$3,9,30)&gt;EOMONTH(DATE($B$3,9,1),0),NETWORKDAYS.INTL(DATE($B$3,9,30),DATE($B$3,9,30),1,'Non-working days'!$A$6:$A$45)=0),"",IF(COUNTIFS('Leave log'!$A$7:$A$306,Employees!$A$27,'Leave log'!$B$7:$B$306,"&lt;="&amp;DATE($B$3,9,30),'Leave log'!$C$7:$C$306,"&gt;="&amp;DATE($B$3,9,30),'Leave log'!$F$7:$F$306,"Pending")&gt;0,"P",""))))</f>
        <v/>
      </c>
      <c r="AF300" s="23" t="str">
        <f>IF(A300="","",IF(IF(OR(DATE($B$3,9,31)&gt;EOMONTH(DATE($B$3,9,1),0),NETWORKDAYS.INTL(DATE($B$3,9,31),DATE($B$3,9,31),1,'Non-working days'!$A$6:$A$45)=0),"",IF(COUNTIFS('Leave log'!$A$7:$A$306,Employees!$A$27,'Leave log'!$B$7:$B$306,"&lt;="&amp;DATE($B$3,9,31),'Leave log'!$C$7:$C$306,"&gt;="&amp;DATE($B$3,9,31),'Leave log'!$F$7:$F$306,"Approved")&gt;0,"A",""))="A","A",IF(OR(DATE($B$3,9,31)&gt;EOMONTH(DATE($B$3,9,1),0),NETWORKDAYS.INTL(DATE($B$3,9,31),DATE($B$3,9,31),1,'Non-working days'!$A$6:$A$45)=0),"",IF(COUNTIFS('Leave log'!$A$7:$A$306,Employees!$A$27,'Leave log'!$B$7:$B$306,"&lt;="&amp;DATE($B$3,9,31),'Leave log'!$C$7:$C$306,"&gt;="&amp;DATE($B$3,9,31),'Leave log'!$F$7:$F$306,"Pending")&gt;0,"P",""))))</f>
        <v/>
      </c>
    </row>
    <row r="301" spans="1:32" ht="18" customHeight="1" x14ac:dyDescent="0.3">
      <c r="A301" s="22" t="str">
        <f>IF(Employees!F28="Yes",Employees!B28,"")</f>
        <v/>
      </c>
      <c r="B301" s="23" t="str">
        <f>IF(A301="","",IF(IF(OR(DATE($B$3,9,1)&gt;EOMONTH(DATE($B$3,9,1),0),NETWORKDAYS.INTL(DATE($B$3,9,1),DATE($B$3,9,1),1,'Non-working days'!$A$6:$A$45)=0),"",IF(COUNTIFS('Leave log'!$A$7:$A$306,Employees!$A$28,'Leave log'!$B$7:$B$306,"&lt;="&amp;DATE($B$3,9,1),'Leave log'!$C$7:$C$306,"&gt;="&amp;DATE($B$3,9,1),'Leave log'!$F$7:$F$306,"Approved")&gt;0,"A",""))="A","A",IF(OR(DATE($B$3,9,1)&gt;EOMONTH(DATE($B$3,9,1),0),NETWORKDAYS.INTL(DATE($B$3,9,1),DATE($B$3,9,1),1,'Non-working days'!$A$6:$A$45)=0),"",IF(COUNTIFS('Leave log'!$A$7:$A$306,Employees!$A$28,'Leave log'!$B$7:$B$306,"&lt;="&amp;DATE($B$3,9,1),'Leave log'!$C$7:$C$306,"&gt;="&amp;DATE($B$3,9,1),'Leave log'!$F$7:$F$306,"Pending")&gt;0,"P",""))))</f>
        <v/>
      </c>
      <c r="C301" s="23" t="str">
        <f>IF(A301="","",IF(IF(OR(DATE($B$3,9,2)&gt;EOMONTH(DATE($B$3,9,1),0),NETWORKDAYS.INTL(DATE($B$3,9,2),DATE($B$3,9,2),1,'Non-working days'!$A$6:$A$45)=0),"",IF(COUNTIFS('Leave log'!$A$7:$A$306,Employees!$A$28,'Leave log'!$B$7:$B$306,"&lt;="&amp;DATE($B$3,9,2),'Leave log'!$C$7:$C$306,"&gt;="&amp;DATE($B$3,9,2),'Leave log'!$F$7:$F$306,"Approved")&gt;0,"A",""))="A","A",IF(OR(DATE($B$3,9,2)&gt;EOMONTH(DATE($B$3,9,1),0),NETWORKDAYS.INTL(DATE($B$3,9,2),DATE($B$3,9,2),1,'Non-working days'!$A$6:$A$45)=0),"",IF(COUNTIFS('Leave log'!$A$7:$A$306,Employees!$A$28,'Leave log'!$B$7:$B$306,"&lt;="&amp;DATE($B$3,9,2),'Leave log'!$C$7:$C$306,"&gt;="&amp;DATE($B$3,9,2),'Leave log'!$F$7:$F$306,"Pending")&gt;0,"P",""))))</f>
        <v/>
      </c>
      <c r="D301" s="23" t="str">
        <f>IF(A301="","",IF(IF(OR(DATE($B$3,9,3)&gt;EOMONTH(DATE($B$3,9,1),0),NETWORKDAYS.INTL(DATE($B$3,9,3),DATE($B$3,9,3),1,'Non-working days'!$A$6:$A$45)=0),"",IF(COUNTIFS('Leave log'!$A$7:$A$306,Employees!$A$28,'Leave log'!$B$7:$B$306,"&lt;="&amp;DATE($B$3,9,3),'Leave log'!$C$7:$C$306,"&gt;="&amp;DATE($B$3,9,3),'Leave log'!$F$7:$F$306,"Approved")&gt;0,"A",""))="A","A",IF(OR(DATE($B$3,9,3)&gt;EOMONTH(DATE($B$3,9,1),0),NETWORKDAYS.INTL(DATE($B$3,9,3),DATE($B$3,9,3),1,'Non-working days'!$A$6:$A$45)=0),"",IF(COUNTIFS('Leave log'!$A$7:$A$306,Employees!$A$28,'Leave log'!$B$7:$B$306,"&lt;="&amp;DATE($B$3,9,3),'Leave log'!$C$7:$C$306,"&gt;="&amp;DATE($B$3,9,3),'Leave log'!$F$7:$F$306,"Pending")&gt;0,"P",""))))</f>
        <v/>
      </c>
      <c r="E301" s="23" t="str">
        <f>IF(A301="","",IF(IF(OR(DATE($B$3,9,4)&gt;EOMONTH(DATE($B$3,9,1),0),NETWORKDAYS.INTL(DATE($B$3,9,4),DATE($B$3,9,4),1,'Non-working days'!$A$6:$A$45)=0),"",IF(COUNTIFS('Leave log'!$A$7:$A$306,Employees!$A$28,'Leave log'!$B$7:$B$306,"&lt;="&amp;DATE($B$3,9,4),'Leave log'!$C$7:$C$306,"&gt;="&amp;DATE($B$3,9,4),'Leave log'!$F$7:$F$306,"Approved")&gt;0,"A",""))="A","A",IF(OR(DATE($B$3,9,4)&gt;EOMONTH(DATE($B$3,9,1),0),NETWORKDAYS.INTL(DATE($B$3,9,4),DATE($B$3,9,4),1,'Non-working days'!$A$6:$A$45)=0),"",IF(COUNTIFS('Leave log'!$A$7:$A$306,Employees!$A$28,'Leave log'!$B$7:$B$306,"&lt;="&amp;DATE($B$3,9,4),'Leave log'!$C$7:$C$306,"&gt;="&amp;DATE($B$3,9,4),'Leave log'!$F$7:$F$306,"Pending")&gt;0,"P",""))))</f>
        <v/>
      </c>
      <c r="F301" s="23" t="str">
        <f>IF(A301="","",IF(IF(OR(DATE($B$3,9,5)&gt;EOMONTH(DATE($B$3,9,1),0),NETWORKDAYS.INTL(DATE($B$3,9,5),DATE($B$3,9,5),1,'Non-working days'!$A$6:$A$45)=0),"",IF(COUNTIFS('Leave log'!$A$7:$A$306,Employees!$A$28,'Leave log'!$B$7:$B$306,"&lt;="&amp;DATE($B$3,9,5),'Leave log'!$C$7:$C$306,"&gt;="&amp;DATE($B$3,9,5),'Leave log'!$F$7:$F$306,"Approved")&gt;0,"A",""))="A","A",IF(OR(DATE($B$3,9,5)&gt;EOMONTH(DATE($B$3,9,1),0),NETWORKDAYS.INTL(DATE($B$3,9,5),DATE($B$3,9,5),1,'Non-working days'!$A$6:$A$45)=0),"",IF(COUNTIFS('Leave log'!$A$7:$A$306,Employees!$A$28,'Leave log'!$B$7:$B$306,"&lt;="&amp;DATE($B$3,9,5),'Leave log'!$C$7:$C$306,"&gt;="&amp;DATE($B$3,9,5),'Leave log'!$F$7:$F$306,"Pending")&gt;0,"P",""))))</f>
        <v/>
      </c>
      <c r="G301" s="23" t="str">
        <f>IF(A301="","",IF(IF(OR(DATE($B$3,9,6)&gt;EOMONTH(DATE($B$3,9,1),0),NETWORKDAYS.INTL(DATE($B$3,9,6),DATE($B$3,9,6),1,'Non-working days'!$A$6:$A$45)=0),"",IF(COUNTIFS('Leave log'!$A$7:$A$306,Employees!$A$28,'Leave log'!$B$7:$B$306,"&lt;="&amp;DATE($B$3,9,6),'Leave log'!$C$7:$C$306,"&gt;="&amp;DATE($B$3,9,6),'Leave log'!$F$7:$F$306,"Approved")&gt;0,"A",""))="A","A",IF(OR(DATE($B$3,9,6)&gt;EOMONTH(DATE($B$3,9,1),0),NETWORKDAYS.INTL(DATE($B$3,9,6),DATE($B$3,9,6),1,'Non-working days'!$A$6:$A$45)=0),"",IF(COUNTIFS('Leave log'!$A$7:$A$306,Employees!$A$28,'Leave log'!$B$7:$B$306,"&lt;="&amp;DATE($B$3,9,6),'Leave log'!$C$7:$C$306,"&gt;="&amp;DATE($B$3,9,6),'Leave log'!$F$7:$F$306,"Pending")&gt;0,"P",""))))</f>
        <v/>
      </c>
      <c r="H301" s="23" t="str">
        <f>IF(A301="","",IF(IF(OR(DATE($B$3,9,7)&gt;EOMONTH(DATE($B$3,9,1),0),NETWORKDAYS.INTL(DATE($B$3,9,7),DATE($B$3,9,7),1,'Non-working days'!$A$6:$A$45)=0),"",IF(COUNTIFS('Leave log'!$A$7:$A$306,Employees!$A$28,'Leave log'!$B$7:$B$306,"&lt;="&amp;DATE($B$3,9,7),'Leave log'!$C$7:$C$306,"&gt;="&amp;DATE($B$3,9,7),'Leave log'!$F$7:$F$306,"Approved")&gt;0,"A",""))="A","A",IF(OR(DATE($B$3,9,7)&gt;EOMONTH(DATE($B$3,9,1),0),NETWORKDAYS.INTL(DATE($B$3,9,7),DATE($B$3,9,7),1,'Non-working days'!$A$6:$A$45)=0),"",IF(COUNTIFS('Leave log'!$A$7:$A$306,Employees!$A$28,'Leave log'!$B$7:$B$306,"&lt;="&amp;DATE($B$3,9,7),'Leave log'!$C$7:$C$306,"&gt;="&amp;DATE($B$3,9,7),'Leave log'!$F$7:$F$306,"Pending")&gt;0,"P",""))))</f>
        <v/>
      </c>
      <c r="I301" s="23" t="str">
        <f>IF(A301="","",IF(IF(OR(DATE($B$3,9,8)&gt;EOMONTH(DATE($B$3,9,1),0),NETWORKDAYS.INTL(DATE($B$3,9,8),DATE($B$3,9,8),1,'Non-working days'!$A$6:$A$45)=0),"",IF(COUNTIFS('Leave log'!$A$7:$A$306,Employees!$A$28,'Leave log'!$B$7:$B$306,"&lt;="&amp;DATE($B$3,9,8),'Leave log'!$C$7:$C$306,"&gt;="&amp;DATE($B$3,9,8),'Leave log'!$F$7:$F$306,"Approved")&gt;0,"A",""))="A","A",IF(OR(DATE($B$3,9,8)&gt;EOMONTH(DATE($B$3,9,1),0),NETWORKDAYS.INTL(DATE($B$3,9,8),DATE($B$3,9,8),1,'Non-working days'!$A$6:$A$45)=0),"",IF(COUNTIFS('Leave log'!$A$7:$A$306,Employees!$A$28,'Leave log'!$B$7:$B$306,"&lt;="&amp;DATE($B$3,9,8),'Leave log'!$C$7:$C$306,"&gt;="&amp;DATE($B$3,9,8),'Leave log'!$F$7:$F$306,"Pending")&gt;0,"P",""))))</f>
        <v/>
      </c>
      <c r="J301" s="23" t="str">
        <f>IF(A301="","",IF(IF(OR(DATE($B$3,9,9)&gt;EOMONTH(DATE($B$3,9,1),0),NETWORKDAYS.INTL(DATE($B$3,9,9),DATE($B$3,9,9),1,'Non-working days'!$A$6:$A$45)=0),"",IF(COUNTIFS('Leave log'!$A$7:$A$306,Employees!$A$28,'Leave log'!$B$7:$B$306,"&lt;="&amp;DATE($B$3,9,9),'Leave log'!$C$7:$C$306,"&gt;="&amp;DATE($B$3,9,9),'Leave log'!$F$7:$F$306,"Approved")&gt;0,"A",""))="A","A",IF(OR(DATE($B$3,9,9)&gt;EOMONTH(DATE($B$3,9,1),0),NETWORKDAYS.INTL(DATE($B$3,9,9),DATE($B$3,9,9),1,'Non-working days'!$A$6:$A$45)=0),"",IF(COUNTIFS('Leave log'!$A$7:$A$306,Employees!$A$28,'Leave log'!$B$7:$B$306,"&lt;="&amp;DATE($B$3,9,9),'Leave log'!$C$7:$C$306,"&gt;="&amp;DATE($B$3,9,9),'Leave log'!$F$7:$F$306,"Pending")&gt;0,"P",""))))</f>
        <v/>
      </c>
      <c r="K301" s="23" t="str">
        <f>IF(A301="","",IF(IF(OR(DATE($B$3,9,10)&gt;EOMONTH(DATE($B$3,9,1),0),NETWORKDAYS.INTL(DATE($B$3,9,10),DATE($B$3,9,10),1,'Non-working days'!$A$6:$A$45)=0),"",IF(COUNTIFS('Leave log'!$A$7:$A$306,Employees!$A$28,'Leave log'!$B$7:$B$306,"&lt;="&amp;DATE($B$3,9,10),'Leave log'!$C$7:$C$306,"&gt;="&amp;DATE($B$3,9,10),'Leave log'!$F$7:$F$306,"Approved")&gt;0,"A",""))="A","A",IF(OR(DATE($B$3,9,10)&gt;EOMONTH(DATE($B$3,9,1),0),NETWORKDAYS.INTL(DATE($B$3,9,10),DATE($B$3,9,10),1,'Non-working days'!$A$6:$A$45)=0),"",IF(COUNTIFS('Leave log'!$A$7:$A$306,Employees!$A$28,'Leave log'!$B$7:$B$306,"&lt;="&amp;DATE($B$3,9,10),'Leave log'!$C$7:$C$306,"&gt;="&amp;DATE($B$3,9,10),'Leave log'!$F$7:$F$306,"Pending")&gt;0,"P",""))))</f>
        <v/>
      </c>
      <c r="L301" s="23" t="str">
        <f>IF(A301="","",IF(IF(OR(DATE($B$3,9,11)&gt;EOMONTH(DATE($B$3,9,1),0),NETWORKDAYS.INTL(DATE($B$3,9,11),DATE($B$3,9,11),1,'Non-working days'!$A$6:$A$45)=0),"",IF(COUNTIFS('Leave log'!$A$7:$A$306,Employees!$A$28,'Leave log'!$B$7:$B$306,"&lt;="&amp;DATE($B$3,9,11),'Leave log'!$C$7:$C$306,"&gt;="&amp;DATE($B$3,9,11),'Leave log'!$F$7:$F$306,"Approved")&gt;0,"A",""))="A","A",IF(OR(DATE($B$3,9,11)&gt;EOMONTH(DATE($B$3,9,1),0),NETWORKDAYS.INTL(DATE($B$3,9,11),DATE($B$3,9,11),1,'Non-working days'!$A$6:$A$45)=0),"",IF(COUNTIFS('Leave log'!$A$7:$A$306,Employees!$A$28,'Leave log'!$B$7:$B$306,"&lt;="&amp;DATE($B$3,9,11),'Leave log'!$C$7:$C$306,"&gt;="&amp;DATE($B$3,9,11),'Leave log'!$F$7:$F$306,"Pending")&gt;0,"P",""))))</f>
        <v/>
      </c>
      <c r="M301" s="23" t="str">
        <f>IF(A301="","",IF(IF(OR(DATE($B$3,9,12)&gt;EOMONTH(DATE($B$3,9,1),0),NETWORKDAYS.INTL(DATE($B$3,9,12),DATE($B$3,9,12),1,'Non-working days'!$A$6:$A$45)=0),"",IF(COUNTIFS('Leave log'!$A$7:$A$306,Employees!$A$28,'Leave log'!$B$7:$B$306,"&lt;="&amp;DATE($B$3,9,12),'Leave log'!$C$7:$C$306,"&gt;="&amp;DATE($B$3,9,12),'Leave log'!$F$7:$F$306,"Approved")&gt;0,"A",""))="A","A",IF(OR(DATE($B$3,9,12)&gt;EOMONTH(DATE($B$3,9,1),0),NETWORKDAYS.INTL(DATE($B$3,9,12),DATE($B$3,9,12),1,'Non-working days'!$A$6:$A$45)=0),"",IF(COUNTIFS('Leave log'!$A$7:$A$306,Employees!$A$28,'Leave log'!$B$7:$B$306,"&lt;="&amp;DATE($B$3,9,12),'Leave log'!$C$7:$C$306,"&gt;="&amp;DATE($B$3,9,12),'Leave log'!$F$7:$F$306,"Pending")&gt;0,"P",""))))</f>
        <v/>
      </c>
      <c r="N301" s="23" t="str">
        <f>IF(A301="","",IF(IF(OR(DATE($B$3,9,13)&gt;EOMONTH(DATE($B$3,9,1),0),NETWORKDAYS.INTL(DATE($B$3,9,13),DATE($B$3,9,13),1,'Non-working days'!$A$6:$A$45)=0),"",IF(COUNTIFS('Leave log'!$A$7:$A$306,Employees!$A$28,'Leave log'!$B$7:$B$306,"&lt;="&amp;DATE($B$3,9,13),'Leave log'!$C$7:$C$306,"&gt;="&amp;DATE($B$3,9,13),'Leave log'!$F$7:$F$306,"Approved")&gt;0,"A",""))="A","A",IF(OR(DATE($B$3,9,13)&gt;EOMONTH(DATE($B$3,9,1),0),NETWORKDAYS.INTL(DATE($B$3,9,13),DATE($B$3,9,13),1,'Non-working days'!$A$6:$A$45)=0),"",IF(COUNTIFS('Leave log'!$A$7:$A$306,Employees!$A$28,'Leave log'!$B$7:$B$306,"&lt;="&amp;DATE($B$3,9,13),'Leave log'!$C$7:$C$306,"&gt;="&amp;DATE($B$3,9,13),'Leave log'!$F$7:$F$306,"Pending")&gt;0,"P",""))))</f>
        <v/>
      </c>
      <c r="O301" s="23" t="str">
        <f>IF(A301="","",IF(IF(OR(DATE($B$3,9,14)&gt;EOMONTH(DATE($B$3,9,1),0),NETWORKDAYS.INTL(DATE($B$3,9,14),DATE($B$3,9,14),1,'Non-working days'!$A$6:$A$45)=0),"",IF(COUNTIFS('Leave log'!$A$7:$A$306,Employees!$A$28,'Leave log'!$B$7:$B$306,"&lt;="&amp;DATE($B$3,9,14),'Leave log'!$C$7:$C$306,"&gt;="&amp;DATE($B$3,9,14),'Leave log'!$F$7:$F$306,"Approved")&gt;0,"A",""))="A","A",IF(OR(DATE($B$3,9,14)&gt;EOMONTH(DATE($B$3,9,1),0),NETWORKDAYS.INTL(DATE($B$3,9,14),DATE($B$3,9,14),1,'Non-working days'!$A$6:$A$45)=0),"",IF(COUNTIFS('Leave log'!$A$7:$A$306,Employees!$A$28,'Leave log'!$B$7:$B$306,"&lt;="&amp;DATE($B$3,9,14),'Leave log'!$C$7:$C$306,"&gt;="&amp;DATE($B$3,9,14),'Leave log'!$F$7:$F$306,"Pending")&gt;0,"P",""))))</f>
        <v/>
      </c>
      <c r="P301" s="23" t="str">
        <f>IF(A301="","",IF(IF(OR(DATE($B$3,9,15)&gt;EOMONTH(DATE($B$3,9,1),0),NETWORKDAYS.INTL(DATE($B$3,9,15),DATE($B$3,9,15),1,'Non-working days'!$A$6:$A$45)=0),"",IF(COUNTIFS('Leave log'!$A$7:$A$306,Employees!$A$28,'Leave log'!$B$7:$B$306,"&lt;="&amp;DATE($B$3,9,15),'Leave log'!$C$7:$C$306,"&gt;="&amp;DATE($B$3,9,15),'Leave log'!$F$7:$F$306,"Approved")&gt;0,"A",""))="A","A",IF(OR(DATE($B$3,9,15)&gt;EOMONTH(DATE($B$3,9,1),0),NETWORKDAYS.INTL(DATE($B$3,9,15),DATE($B$3,9,15),1,'Non-working days'!$A$6:$A$45)=0),"",IF(COUNTIFS('Leave log'!$A$7:$A$306,Employees!$A$28,'Leave log'!$B$7:$B$306,"&lt;="&amp;DATE($B$3,9,15),'Leave log'!$C$7:$C$306,"&gt;="&amp;DATE($B$3,9,15),'Leave log'!$F$7:$F$306,"Pending")&gt;0,"P",""))))</f>
        <v/>
      </c>
      <c r="Q301" s="23" t="str">
        <f>IF(A301="","",IF(IF(OR(DATE($B$3,9,16)&gt;EOMONTH(DATE($B$3,9,1),0),NETWORKDAYS.INTL(DATE($B$3,9,16),DATE($B$3,9,16),1,'Non-working days'!$A$6:$A$45)=0),"",IF(COUNTIFS('Leave log'!$A$7:$A$306,Employees!$A$28,'Leave log'!$B$7:$B$306,"&lt;="&amp;DATE($B$3,9,16),'Leave log'!$C$7:$C$306,"&gt;="&amp;DATE($B$3,9,16),'Leave log'!$F$7:$F$306,"Approved")&gt;0,"A",""))="A","A",IF(OR(DATE($B$3,9,16)&gt;EOMONTH(DATE($B$3,9,1),0),NETWORKDAYS.INTL(DATE($B$3,9,16),DATE($B$3,9,16),1,'Non-working days'!$A$6:$A$45)=0),"",IF(COUNTIFS('Leave log'!$A$7:$A$306,Employees!$A$28,'Leave log'!$B$7:$B$306,"&lt;="&amp;DATE($B$3,9,16),'Leave log'!$C$7:$C$306,"&gt;="&amp;DATE($B$3,9,16),'Leave log'!$F$7:$F$306,"Pending")&gt;0,"P",""))))</f>
        <v/>
      </c>
      <c r="R301" s="23" t="str">
        <f>IF(A301="","",IF(IF(OR(DATE($B$3,9,17)&gt;EOMONTH(DATE($B$3,9,1),0),NETWORKDAYS.INTL(DATE($B$3,9,17),DATE($B$3,9,17),1,'Non-working days'!$A$6:$A$45)=0),"",IF(COUNTIFS('Leave log'!$A$7:$A$306,Employees!$A$28,'Leave log'!$B$7:$B$306,"&lt;="&amp;DATE($B$3,9,17),'Leave log'!$C$7:$C$306,"&gt;="&amp;DATE($B$3,9,17),'Leave log'!$F$7:$F$306,"Approved")&gt;0,"A",""))="A","A",IF(OR(DATE($B$3,9,17)&gt;EOMONTH(DATE($B$3,9,1),0),NETWORKDAYS.INTL(DATE($B$3,9,17),DATE($B$3,9,17),1,'Non-working days'!$A$6:$A$45)=0),"",IF(COUNTIFS('Leave log'!$A$7:$A$306,Employees!$A$28,'Leave log'!$B$7:$B$306,"&lt;="&amp;DATE($B$3,9,17),'Leave log'!$C$7:$C$306,"&gt;="&amp;DATE($B$3,9,17),'Leave log'!$F$7:$F$306,"Pending")&gt;0,"P",""))))</f>
        <v/>
      </c>
      <c r="S301" s="23" t="str">
        <f>IF(A301="","",IF(IF(OR(DATE($B$3,9,18)&gt;EOMONTH(DATE($B$3,9,1),0),NETWORKDAYS.INTL(DATE($B$3,9,18),DATE($B$3,9,18),1,'Non-working days'!$A$6:$A$45)=0),"",IF(COUNTIFS('Leave log'!$A$7:$A$306,Employees!$A$28,'Leave log'!$B$7:$B$306,"&lt;="&amp;DATE($B$3,9,18),'Leave log'!$C$7:$C$306,"&gt;="&amp;DATE($B$3,9,18),'Leave log'!$F$7:$F$306,"Approved")&gt;0,"A",""))="A","A",IF(OR(DATE($B$3,9,18)&gt;EOMONTH(DATE($B$3,9,1),0),NETWORKDAYS.INTL(DATE($B$3,9,18),DATE($B$3,9,18),1,'Non-working days'!$A$6:$A$45)=0),"",IF(COUNTIFS('Leave log'!$A$7:$A$306,Employees!$A$28,'Leave log'!$B$7:$B$306,"&lt;="&amp;DATE($B$3,9,18),'Leave log'!$C$7:$C$306,"&gt;="&amp;DATE($B$3,9,18),'Leave log'!$F$7:$F$306,"Pending")&gt;0,"P",""))))</f>
        <v/>
      </c>
      <c r="T301" s="23" t="str">
        <f>IF(A301="","",IF(IF(OR(DATE($B$3,9,19)&gt;EOMONTH(DATE($B$3,9,1),0),NETWORKDAYS.INTL(DATE($B$3,9,19),DATE($B$3,9,19),1,'Non-working days'!$A$6:$A$45)=0),"",IF(COUNTIFS('Leave log'!$A$7:$A$306,Employees!$A$28,'Leave log'!$B$7:$B$306,"&lt;="&amp;DATE($B$3,9,19),'Leave log'!$C$7:$C$306,"&gt;="&amp;DATE($B$3,9,19),'Leave log'!$F$7:$F$306,"Approved")&gt;0,"A",""))="A","A",IF(OR(DATE($B$3,9,19)&gt;EOMONTH(DATE($B$3,9,1),0),NETWORKDAYS.INTL(DATE($B$3,9,19),DATE($B$3,9,19),1,'Non-working days'!$A$6:$A$45)=0),"",IF(COUNTIFS('Leave log'!$A$7:$A$306,Employees!$A$28,'Leave log'!$B$7:$B$306,"&lt;="&amp;DATE($B$3,9,19),'Leave log'!$C$7:$C$306,"&gt;="&amp;DATE($B$3,9,19),'Leave log'!$F$7:$F$306,"Pending")&gt;0,"P",""))))</f>
        <v/>
      </c>
      <c r="U301" s="23" t="str">
        <f>IF(A301="","",IF(IF(OR(DATE($B$3,9,20)&gt;EOMONTH(DATE($B$3,9,1),0),NETWORKDAYS.INTL(DATE($B$3,9,20),DATE($B$3,9,20),1,'Non-working days'!$A$6:$A$45)=0),"",IF(COUNTIFS('Leave log'!$A$7:$A$306,Employees!$A$28,'Leave log'!$B$7:$B$306,"&lt;="&amp;DATE($B$3,9,20),'Leave log'!$C$7:$C$306,"&gt;="&amp;DATE($B$3,9,20),'Leave log'!$F$7:$F$306,"Approved")&gt;0,"A",""))="A","A",IF(OR(DATE($B$3,9,20)&gt;EOMONTH(DATE($B$3,9,1),0),NETWORKDAYS.INTL(DATE($B$3,9,20),DATE($B$3,9,20),1,'Non-working days'!$A$6:$A$45)=0),"",IF(COUNTIFS('Leave log'!$A$7:$A$306,Employees!$A$28,'Leave log'!$B$7:$B$306,"&lt;="&amp;DATE($B$3,9,20),'Leave log'!$C$7:$C$306,"&gt;="&amp;DATE($B$3,9,20),'Leave log'!$F$7:$F$306,"Pending")&gt;0,"P",""))))</f>
        <v/>
      </c>
      <c r="V301" s="23" t="str">
        <f>IF(A301="","",IF(IF(OR(DATE($B$3,9,21)&gt;EOMONTH(DATE($B$3,9,1),0),NETWORKDAYS.INTL(DATE($B$3,9,21),DATE($B$3,9,21),1,'Non-working days'!$A$6:$A$45)=0),"",IF(COUNTIFS('Leave log'!$A$7:$A$306,Employees!$A$28,'Leave log'!$B$7:$B$306,"&lt;="&amp;DATE($B$3,9,21),'Leave log'!$C$7:$C$306,"&gt;="&amp;DATE($B$3,9,21),'Leave log'!$F$7:$F$306,"Approved")&gt;0,"A",""))="A","A",IF(OR(DATE($B$3,9,21)&gt;EOMONTH(DATE($B$3,9,1),0),NETWORKDAYS.INTL(DATE($B$3,9,21),DATE($B$3,9,21),1,'Non-working days'!$A$6:$A$45)=0),"",IF(COUNTIFS('Leave log'!$A$7:$A$306,Employees!$A$28,'Leave log'!$B$7:$B$306,"&lt;="&amp;DATE($B$3,9,21),'Leave log'!$C$7:$C$306,"&gt;="&amp;DATE($B$3,9,21),'Leave log'!$F$7:$F$306,"Pending")&gt;0,"P",""))))</f>
        <v/>
      </c>
      <c r="W301" s="23" t="str">
        <f>IF(A301="","",IF(IF(OR(DATE($B$3,9,22)&gt;EOMONTH(DATE($B$3,9,1),0),NETWORKDAYS.INTL(DATE($B$3,9,22),DATE($B$3,9,22),1,'Non-working days'!$A$6:$A$45)=0),"",IF(COUNTIFS('Leave log'!$A$7:$A$306,Employees!$A$28,'Leave log'!$B$7:$B$306,"&lt;="&amp;DATE($B$3,9,22),'Leave log'!$C$7:$C$306,"&gt;="&amp;DATE($B$3,9,22),'Leave log'!$F$7:$F$306,"Approved")&gt;0,"A",""))="A","A",IF(OR(DATE($B$3,9,22)&gt;EOMONTH(DATE($B$3,9,1),0),NETWORKDAYS.INTL(DATE($B$3,9,22),DATE($B$3,9,22),1,'Non-working days'!$A$6:$A$45)=0),"",IF(COUNTIFS('Leave log'!$A$7:$A$306,Employees!$A$28,'Leave log'!$B$7:$B$306,"&lt;="&amp;DATE($B$3,9,22),'Leave log'!$C$7:$C$306,"&gt;="&amp;DATE($B$3,9,22),'Leave log'!$F$7:$F$306,"Pending")&gt;0,"P",""))))</f>
        <v/>
      </c>
      <c r="X301" s="23" t="str">
        <f>IF(A301="","",IF(IF(OR(DATE($B$3,9,23)&gt;EOMONTH(DATE($B$3,9,1),0),NETWORKDAYS.INTL(DATE($B$3,9,23),DATE($B$3,9,23),1,'Non-working days'!$A$6:$A$45)=0),"",IF(COUNTIFS('Leave log'!$A$7:$A$306,Employees!$A$28,'Leave log'!$B$7:$B$306,"&lt;="&amp;DATE($B$3,9,23),'Leave log'!$C$7:$C$306,"&gt;="&amp;DATE($B$3,9,23),'Leave log'!$F$7:$F$306,"Approved")&gt;0,"A",""))="A","A",IF(OR(DATE($B$3,9,23)&gt;EOMONTH(DATE($B$3,9,1),0),NETWORKDAYS.INTL(DATE($B$3,9,23),DATE($B$3,9,23),1,'Non-working days'!$A$6:$A$45)=0),"",IF(COUNTIFS('Leave log'!$A$7:$A$306,Employees!$A$28,'Leave log'!$B$7:$B$306,"&lt;="&amp;DATE($B$3,9,23),'Leave log'!$C$7:$C$306,"&gt;="&amp;DATE($B$3,9,23),'Leave log'!$F$7:$F$306,"Pending")&gt;0,"P",""))))</f>
        <v/>
      </c>
      <c r="Y301" s="23" t="str">
        <f>IF(A301="","",IF(IF(OR(DATE($B$3,9,24)&gt;EOMONTH(DATE($B$3,9,1),0),NETWORKDAYS.INTL(DATE($B$3,9,24),DATE($B$3,9,24),1,'Non-working days'!$A$6:$A$45)=0),"",IF(COUNTIFS('Leave log'!$A$7:$A$306,Employees!$A$28,'Leave log'!$B$7:$B$306,"&lt;="&amp;DATE($B$3,9,24),'Leave log'!$C$7:$C$306,"&gt;="&amp;DATE($B$3,9,24),'Leave log'!$F$7:$F$306,"Approved")&gt;0,"A",""))="A","A",IF(OR(DATE($B$3,9,24)&gt;EOMONTH(DATE($B$3,9,1),0),NETWORKDAYS.INTL(DATE($B$3,9,24),DATE($B$3,9,24),1,'Non-working days'!$A$6:$A$45)=0),"",IF(COUNTIFS('Leave log'!$A$7:$A$306,Employees!$A$28,'Leave log'!$B$7:$B$306,"&lt;="&amp;DATE($B$3,9,24),'Leave log'!$C$7:$C$306,"&gt;="&amp;DATE($B$3,9,24),'Leave log'!$F$7:$F$306,"Pending")&gt;0,"P",""))))</f>
        <v/>
      </c>
      <c r="Z301" s="23" t="str">
        <f>IF(A301="","",IF(IF(OR(DATE($B$3,9,25)&gt;EOMONTH(DATE($B$3,9,1),0),NETWORKDAYS.INTL(DATE($B$3,9,25),DATE($B$3,9,25),1,'Non-working days'!$A$6:$A$45)=0),"",IF(COUNTIFS('Leave log'!$A$7:$A$306,Employees!$A$28,'Leave log'!$B$7:$B$306,"&lt;="&amp;DATE($B$3,9,25),'Leave log'!$C$7:$C$306,"&gt;="&amp;DATE($B$3,9,25),'Leave log'!$F$7:$F$306,"Approved")&gt;0,"A",""))="A","A",IF(OR(DATE($B$3,9,25)&gt;EOMONTH(DATE($B$3,9,1),0),NETWORKDAYS.INTL(DATE($B$3,9,25),DATE($B$3,9,25),1,'Non-working days'!$A$6:$A$45)=0),"",IF(COUNTIFS('Leave log'!$A$7:$A$306,Employees!$A$28,'Leave log'!$B$7:$B$306,"&lt;="&amp;DATE($B$3,9,25),'Leave log'!$C$7:$C$306,"&gt;="&amp;DATE($B$3,9,25),'Leave log'!$F$7:$F$306,"Pending")&gt;0,"P",""))))</f>
        <v/>
      </c>
      <c r="AA301" s="23" t="str">
        <f>IF(A301="","",IF(IF(OR(DATE($B$3,9,26)&gt;EOMONTH(DATE($B$3,9,1),0),NETWORKDAYS.INTL(DATE($B$3,9,26),DATE($B$3,9,26),1,'Non-working days'!$A$6:$A$45)=0),"",IF(COUNTIFS('Leave log'!$A$7:$A$306,Employees!$A$28,'Leave log'!$B$7:$B$306,"&lt;="&amp;DATE($B$3,9,26),'Leave log'!$C$7:$C$306,"&gt;="&amp;DATE($B$3,9,26),'Leave log'!$F$7:$F$306,"Approved")&gt;0,"A",""))="A","A",IF(OR(DATE($B$3,9,26)&gt;EOMONTH(DATE($B$3,9,1),0),NETWORKDAYS.INTL(DATE($B$3,9,26),DATE($B$3,9,26),1,'Non-working days'!$A$6:$A$45)=0),"",IF(COUNTIFS('Leave log'!$A$7:$A$306,Employees!$A$28,'Leave log'!$B$7:$B$306,"&lt;="&amp;DATE($B$3,9,26),'Leave log'!$C$7:$C$306,"&gt;="&amp;DATE($B$3,9,26),'Leave log'!$F$7:$F$306,"Pending")&gt;0,"P",""))))</f>
        <v/>
      </c>
      <c r="AB301" s="23" t="str">
        <f>IF(A301="","",IF(IF(OR(DATE($B$3,9,27)&gt;EOMONTH(DATE($B$3,9,1),0),NETWORKDAYS.INTL(DATE($B$3,9,27),DATE($B$3,9,27),1,'Non-working days'!$A$6:$A$45)=0),"",IF(COUNTIFS('Leave log'!$A$7:$A$306,Employees!$A$28,'Leave log'!$B$7:$B$306,"&lt;="&amp;DATE($B$3,9,27),'Leave log'!$C$7:$C$306,"&gt;="&amp;DATE($B$3,9,27),'Leave log'!$F$7:$F$306,"Approved")&gt;0,"A",""))="A","A",IF(OR(DATE($B$3,9,27)&gt;EOMONTH(DATE($B$3,9,1),0),NETWORKDAYS.INTL(DATE($B$3,9,27),DATE($B$3,9,27),1,'Non-working days'!$A$6:$A$45)=0),"",IF(COUNTIFS('Leave log'!$A$7:$A$306,Employees!$A$28,'Leave log'!$B$7:$B$306,"&lt;="&amp;DATE($B$3,9,27),'Leave log'!$C$7:$C$306,"&gt;="&amp;DATE($B$3,9,27),'Leave log'!$F$7:$F$306,"Pending")&gt;0,"P",""))))</f>
        <v/>
      </c>
      <c r="AC301" s="23" t="str">
        <f>IF(A301="","",IF(IF(OR(DATE($B$3,9,28)&gt;EOMONTH(DATE($B$3,9,1),0),NETWORKDAYS.INTL(DATE($B$3,9,28),DATE($B$3,9,28),1,'Non-working days'!$A$6:$A$45)=0),"",IF(COUNTIFS('Leave log'!$A$7:$A$306,Employees!$A$28,'Leave log'!$B$7:$B$306,"&lt;="&amp;DATE($B$3,9,28),'Leave log'!$C$7:$C$306,"&gt;="&amp;DATE($B$3,9,28),'Leave log'!$F$7:$F$306,"Approved")&gt;0,"A",""))="A","A",IF(OR(DATE($B$3,9,28)&gt;EOMONTH(DATE($B$3,9,1),0),NETWORKDAYS.INTL(DATE($B$3,9,28),DATE($B$3,9,28),1,'Non-working days'!$A$6:$A$45)=0),"",IF(COUNTIFS('Leave log'!$A$7:$A$306,Employees!$A$28,'Leave log'!$B$7:$B$306,"&lt;="&amp;DATE($B$3,9,28),'Leave log'!$C$7:$C$306,"&gt;="&amp;DATE($B$3,9,28),'Leave log'!$F$7:$F$306,"Pending")&gt;0,"P",""))))</f>
        <v/>
      </c>
      <c r="AD301" s="23" t="str">
        <f>IF(A301="","",IF(IF(OR(DATE($B$3,9,29)&gt;EOMONTH(DATE($B$3,9,1),0),NETWORKDAYS.INTL(DATE($B$3,9,29),DATE($B$3,9,29),1,'Non-working days'!$A$6:$A$45)=0),"",IF(COUNTIFS('Leave log'!$A$7:$A$306,Employees!$A$28,'Leave log'!$B$7:$B$306,"&lt;="&amp;DATE($B$3,9,29),'Leave log'!$C$7:$C$306,"&gt;="&amp;DATE($B$3,9,29),'Leave log'!$F$7:$F$306,"Approved")&gt;0,"A",""))="A","A",IF(OR(DATE($B$3,9,29)&gt;EOMONTH(DATE($B$3,9,1),0),NETWORKDAYS.INTL(DATE($B$3,9,29),DATE($B$3,9,29),1,'Non-working days'!$A$6:$A$45)=0),"",IF(COUNTIFS('Leave log'!$A$7:$A$306,Employees!$A$28,'Leave log'!$B$7:$B$306,"&lt;="&amp;DATE($B$3,9,29),'Leave log'!$C$7:$C$306,"&gt;="&amp;DATE($B$3,9,29),'Leave log'!$F$7:$F$306,"Pending")&gt;0,"P",""))))</f>
        <v/>
      </c>
      <c r="AE301" s="23" t="str">
        <f>IF(A301="","",IF(IF(OR(DATE($B$3,9,30)&gt;EOMONTH(DATE($B$3,9,1),0),NETWORKDAYS.INTL(DATE($B$3,9,30),DATE($B$3,9,30),1,'Non-working days'!$A$6:$A$45)=0),"",IF(COUNTIFS('Leave log'!$A$7:$A$306,Employees!$A$28,'Leave log'!$B$7:$B$306,"&lt;="&amp;DATE($B$3,9,30),'Leave log'!$C$7:$C$306,"&gt;="&amp;DATE($B$3,9,30),'Leave log'!$F$7:$F$306,"Approved")&gt;0,"A",""))="A","A",IF(OR(DATE($B$3,9,30)&gt;EOMONTH(DATE($B$3,9,1),0),NETWORKDAYS.INTL(DATE($B$3,9,30),DATE($B$3,9,30),1,'Non-working days'!$A$6:$A$45)=0),"",IF(COUNTIFS('Leave log'!$A$7:$A$306,Employees!$A$28,'Leave log'!$B$7:$B$306,"&lt;="&amp;DATE($B$3,9,30),'Leave log'!$C$7:$C$306,"&gt;="&amp;DATE($B$3,9,30),'Leave log'!$F$7:$F$306,"Pending")&gt;0,"P",""))))</f>
        <v/>
      </c>
      <c r="AF301" s="23" t="str">
        <f>IF(A301="","",IF(IF(OR(DATE($B$3,9,31)&gt;EOMONTH(DATE($B$3,9,1),0),NETWORKDAYS.INTL(DATE($B$3,9,31),DATE($B$3,9,31),1,'Non-working days'!$A$6:$A$45)=0),"",IF(COUNTIFS('Leave log'!$A$7:$A$306,Employees!$A$28,'Leave log'!$B$7:$B$306,"&lt;="&amp;DATE($B$3,9,31),'Leave log'!$C$7:$C$306,"&gt;="&amp;DATE($B$3,9,31),'Leave log'!$F$7:$F$306,"Approved")&gt;0,"A",""))="A","A",IF(OR(DATE($B$3,9,31)&gt;EOMONTH(DATE($B$3,9,1),0),NETWORKDAYS.INTL(DATE($B$3,9,31),DATE($B$3,9,31),1,'Non-working days'!$A$6:$A$45)=0),"",IF(COUNTIFS('Leave log'!$A$7:$A$306,Employees!$A$28,'Leave log'!$B$7:$B$306,"&lt;="&amp;DATE($B$3,9,31),'Leave log'!$C$7:$C$306,"&gt;="&amp;DATE($B$3,9,31),'Leave log'!$F$7:$F$306,"Pending")&gt;0,"P",""))))</f>
        <v/>
      </c>
    </row>
    <row r="302" spans="1:32" ht="18" customHeight="1" x14ac:dyDescent="0.3">
      <c r="A302" s="22" t="str">
        <f>IF(Employees!F29="Yes",Employees!B29,"")</f>
        <v/>
      </c>
      <c r="B302" s="23" t="str">
        <f>IF(A302="","",IF(IF(OR(DATE($B$3,9,1)&gt;EOMONTH(DATE($B$3,9,1),0),NETWORKDAYS.INTL(DATE($B$3,9,1),DATE($B$3,9,1),1,'Non-working days'!$A$6:$A$45)=0),"",IF(COUNTIFS('Leave log'!$A$7:$A$306,Employees!$A$29,'Leave log'!$B$7:$B$306,"&lt;="&amp;DATE($B$3,9,1),'Leave log'!$C$7:$C$306,"&gt;="&amp;DATE($B$3,9,1),'Leave log'!$F$7:$F$306,"Approved")&gt;0,"A",""))="A","A",IF(OR(DATE($B$3,9,1)&gt;EOMONTH(DATE($B$3,9,1),0),NETWORKDAYS.INTL(DATE($B$3,9,1),DATE($B$3,9,1),1,'Non-working days'!$A$6:$A$45)=0),"",IF(COUNTIFS('Leave log'!$A$7:$A$306,Employees!$A$29,'Leave log'!$B$7:$B$306,"&lt;="&amp;DATE($B$3,9,1),'Leave log'!$C$7:$C$306,"&gt;="&amp;DATE($B$3,9,1),'Leave log'!$F$7:$F$306,"Pending")&gt;0,"P",""))))</f>
        <v/>
      </c>
      <c r="C302" s="23" t="str">
        <f>IF(A302="","",IF(IF(OR(DATE($B$3,9,2)&gt;EOMONTH(DATE($B$3,9,1),0),NETWORKDAYS.INTL(DATE($B$3,9,2),DATE($B$3,9,2),1,'Non-working days'!$A$6:$A$45)=0),"",IF(COUNTIFS('Leave log'!$A$7:$A$306,Employees!$A$29,'Leave log'!$B$7:$B$306,"&lt;="&amp;DATE($B$3,9,2),'Leave log'!$C$7:$C$306,"&gt;="&amp;DATE($B$3,9,2),'Leave log'!$F$7:$F$306,"Approved")&gt;0,"A",""))="A","A",IF(OR(DATE($B$3,9,2)&gt;EOMONTH(DATE($B$3,9,1),0),NETWORKDAYS.INTL(DATE($B$3,9,2),DATE($B$3,9,2),1,'Non-working days'!$A$6:$A$45)=0),"",IF(COUNTIFS('Leave log'!$A$7:$A$306,Employees!$A$29,'Leave log'!$B$7:$B$306,"&lt;="&amp;DATE($B$3,9,2),'Leave log'!$C$7:$C$306,"&gt;="&amp;DATE($B$3,9,2),'Leave log'!$F$7:$F$306,"Pending")&gt;0,"P",""))))</f>
        <v/>
      </c>
      <c r="D302" s="23" t="str">
        <f>IF(A302="","",IF(IF(OR(DATE($B$3,9,3)&gt;EOMONTH(DATE($B$3,9,1),0),NETWORKDAYS.INTL(DATE($B$3,9,3),DATE($B$3,9,3),1,'Non-working days'!$A$6:$A$45)=0),"",IF(COUNTIFS('Leave log'!$A$7:$A$306,Employees!$A$29,'Leave log'!$B$7:$B$306,"&lt;="&amp;DATE($B$3,9,3),'Leave log'!$C$7:$C$306,"&gt;="&amp;DATE($B$3,9,3),'Leave log'!$F$7:$F$306,"Approved")&gt;0,"A",""))="A","A",IF(OR(DATE($B$3,9,3)&gt;EOMONTH(DATE($B$3,9,1),0),NETWORKDAYS.INTL(DATE($B$3,9,3),DATE($B$3,9,3),1,'Non-working days'!$A$6:$A$45)=0),"",IF(COUNTIFS('Leave log'!$A$7:$A$306,Employees!$A$29,'Leave log'!$B$7:$B$306,"&lt;="&amp;DATE($B$3,9,3),'Leave log'!$C$7:$C$306,"&gt;="&amp;DATE($B$3,9,3),'Leave log'!$F$7:$F$306,"Pending")&gt;0,"P",""))))</f>
        <v/>
      </c>
      <c r="E302" s="23" t="str">
        <f>IF(A302="","",IF(IF(OR(DATE($B$3,9,4)&gt;EOMONTH(DATE($B$3,9,1),0),NETWORKDAYS.INTL(DATE($B$3,9,4),DATE($B$3,9,4),1,'Non-working days'!$A$6:$A$45)=0),"",IF(COUNTIFS('Leave log'!$A$7:$A$306,Employees!$A$29,'Leave log'!$B$7:$B$306,"&lt;="&amp;DATE($B$3,9,4),'Leave log'!$C$7:$C$306,"&gt;="&amp;DATE($B$3,9,4),'Leave log'!$F$7:$F$306,"Approved")&gt;0,"A",""))="A","A",IF(OR(DATE($B$3,9,4)&gt;EOMONTH(DATE($B$3,9,1),0),NETWORKDAYS.INTL(DATE($B$3,9,4),DATE($B$3,9,4),1,'Non-working days'!$A$6:$A$45)=0),"",IF(COUNTIFS('Leave log'!$A$7:$A$306,Employees!$A$29,'Leave log'!$B$7:$B$306,"&lt;="&amp;DATE($B$3,9,4),'Leave log'!$C$7:$C$306,"&gt;="&amp;DATE($B$3,9,4),'Leave log'!$F$7:$F$306,"Pending")&gt;0,"P",""))))</f>
        <v/>
      </c>
      <c r="F302" s="23" t="str">
        <f>IF(A302="","",IF(IF(OR(DATE($B$3,9,5)&gt;EOMONTH(DATE($B$3,9,1),0),NETWORKDAYS.INTL(DATE($B$3,9,5),DATE($B$3,9,5),1,'Non-working days'!$A$6:$A$45)=0),"",IF(COUNTIFS('Leave log'!$A$7:$A$306,Employees!$A$29,'Leave log'!$B$7:$B$306,"&lt;="&amp;DATE($B$3,9,5),'Leave log'!$C$7:$C$306,"&gt;="&amp;DATE($B$3,9,5),'Leave log'!$F$7:$F$306,"Approved")&gt;0,"A",""))="A","A",IF(OR(DATE($B$3,9,5)&gt;EOMONTH(DATE($B$3,9,1),0),NETWORKDAYS.INTL(DATE($B$3,9,5),DATE($B$3,9,5),1,'Non-working days'!$A$6:$A$45)=0),"",IF(COUNTIFS('Leave log'!$A$7:$A$306,Employees!$A$29,'Leave log'!$B$7:$B$306,"&lt;="&amp;DATE($B$3,9,5),'Leave log'!$C$7:$C$306,"&gt;="&amp;DATE($B$3,9,5),'Leave log'!$F$7:$F$306,"Pending")&gt;0,"P",""))))</f>
        <v/>
      </c>
      <c r="G302" s="23" t="str">
        <f>IF(A302="","",IF(IF(OR(DATE($B$3,9,6)&gt;EOMONTH(DATE($B$3,9,1),0),NETWORKDAYS.INTL(DATE($B$3,9,6),DATE($B$3,9,6),1,'Non-working days'!$A$6:$A$45)=0),"",IF(COUNTIFS('Leave log'!$A$7:$A$306,Employees!$A$29,'Leave log'!$B$7:$B$306,"&lt;="&amp;DATE($B$3,9,6),'Leave log'!$C$7:$C$306,"&gt;="&amp;DATE($B$3,9,6),'Leave log'!$F$7:$F$306,"Approved")&gt;0,"A",""))="A","A",IF(OR(DATE($B$3,9,6)&gt;EOMONTH(DATE($B$3,9,1),0),NETWORKDAYS.INTL(DATE($B$3,9,6),DATE($B$3,9,6),1,'Non-working days'!$A$6:$A$45)=0),"",IF(COUNTIFS('Leave log'!$A$7:$A$306,Employees!$A$29,'Leave log'!$B$7:$B$306,"&lt;="&amp;DATE($B$3,9,6),'Leave log'!$C$7:$C$306,"&gt;="&amp;DATE($B$3,9,6),'Leave log'!$F$7:$F$306,"Pending")&gt;0,"P",""))))</f>
        <v/>
      </c>
      <c r="H302" s="23" t="str">
        <f>IF(A302="","",IF(IF(OR(DATE($B$3,9,7)&gt;EOMONTH(DATE($B$3,9,1),0),NETWORKDAYS.INTL(DATE($B$3,9,7),DATE($B$3,9,7),1,'Non-working days'!$A$6:$A$45)=0),"",IF(COUNTIFS('Leave log'!$A$7:$A$306,Employees!$A$29,'Leave log'!$B$7:$B$306,"&lt;="&amp;DATE($B$3,9,7),'Leave log'!$C$7:$C$306,"&gt;="&amp;DATE($B$3,9,7),'Leave log'!$F$7:$F$306,"Approved")&gt;0,"A",""))="A","A",IF(OR(DATE($B$3,9,7)&gt;EOMONTH(DATE($B$3,9,1),0),NETWORKDAYS.INTL(DATE($B$3,9,7),DATE($B$3,9,7),1,'Non-working days'!$A$6:$A$45)=0),"",IF(COUNTIFS('Leave log'!$A$7:$A$306,Employees!$A$29,'Leave log'!$B$7:$B$306,"&lt;="&amp;DATE($B$3,9,7),'Leave log'!$C$7:$C$306,"&gt;="&amp;DATE($B$3,9,7),'Leave log'!$F$7:$F$306,"Pending")&gt;0,"P",""))))</f>
        <v/>
      </c>
      <c r="I302" s="23" t="str">
        <f>IF(A302="","",IF(IF(OR(DATE($B$3,9,8)&gt;EOMONTH(DATE($B$3,9,1),0),NETWORKDAYS.INTL(DATE($B$3,9,8),DATE($B$3,9,8),1,'Non-working days'!$A$6:$A$45)=0),"",IF(COUNTIFS('Leave log'!$A$7:$A$306,Employees!$A$29,'Leave log'!$B$7:$B$306,"&lt;="&amp;DATE($B$3,9,8),'Leave log'!$C$7:$C$306,"&gt;="&amp;DATE($B$3,9,8),'Leave log'!$F$7:$F$306,"Approved")&gt;0,"A",""))="A","A",IF(OR(DATE($B$3,9,8)&gt;EOMONTH(DATE($B$3,9,1),0),NETWORKDAYS.INTL(DATE($B$3,9,8),DATE($B$3,9,8),1,'Non-working days'!$A$6:$A$45)=0),"",IF(COUNTIFS('Leave log'!$A$7:$A$306,Employees!$A$29,'Leave log'!$B$7:$B$306,"&lt;="&amp;DATE($B$3,9,8),'Leave log'!$C$7:$C$306,"&gt;="&amp;DATE($B$3,9,8),'Leave log'!$F$7:$F$306,"Pending")&gt;0,"P",""))))</f>
        <v/>
      </c>
      <c r="J302" s="23" t="str">
        <f>IF(A302="","",IF(IF(OR(DATE($B$3,9,9)&gt;EOMONTH(DATE($B$3,9,1),0),NETWORKDAYS.INTL(DATE($B$3,9,9),DATE($B$3,9,9),1,'Non-working days'!$A$6:$A$45)=0),"",IF(COUNTIFS('Leave log'!$A$7:$A$306,Employees!$A$29,'Leave log'!$B$7:$B$306,"&lt;="&amp;DATE($B$3,9,9),'Leave log'!$C$7:$C$306,"&gt;="&amp;DATE($B$3,9,9),'Leave log'!$F$7:$F$306,"Approved")&gt;0,"A",""))="A","A",IF(OR(DATE($B$3,9,9)&gt;EOMONTH(DATE($B$3,9,1),0),NETWORKDAYS.INTL(DATE($B$3,9,9),DATE($B$3,9,9),1,'Non-working days'!$A$6:$A$45)=0),"",IF(COUNTIFS('Leave log'!$A$7:$A$306,Employees!$A$29,'Leave log'!$B$7:$B$306,"&lt;="&amp;DATE($B$3,9,9),'Leave log'!$C$7:$C$306,"&gt;="&amp;DATE($B$3,9,9),'Leave log'!$F$7:$F$306,"Pending")&gt;0,"P",""))))</f>
        <v/>
      </c>
      <c r="K302" s="23" t="str">
        <f>IF(A302="","",IF(IF(OR(DATE($B$3,9,10)&gt;EOMONTH(DATE($B$3,9,1),0),NETWORKDAYS.INTL(DATE($B$3,9,10),DATE($B$3,9,10),1,'Non-working days'!$A$6:$A$45)=0),"",IF(COUNTIFS('Leave log'!$A$7:$A$306,Employees!$A$29,'Leave log'!$B$7:$B$306,"&lt;="&amp;DATE($B$3,9,10),'Leave log'!$C$7:$C$306,"&gt;="&amp;DATE($B$3,9,10),'Leave log'!$F$7:$F$306,"Approved")&gt;0,"A",""))="A","A",IF(OR(DATE($B$3,9,10)&gt;EOMONTH(DATE($B$3,9,1),0),NETWORKDAYS.INTL(DATE($B$3,9,10),DATE($B$3,9,10),1,'Non-working days'!$A$6:$A$45)=0),"",IF(COUNTIFS('Leave log'!$A$7:$A$306,Employees!$A$29,'Leave log'!$B$7:$B$306,"&lt;="&amp;DATE($B$3,9,10),'Leave log'!$C$7:$C$306,"&gt;="&amp;DATE($B$3,9,10),'Leave log'!$F$7:$F$306,"Pending")&gt;0,"P",""))))</f>
        <v/>
      </c>
      <c r="L302" s="23" t="str">
        <f>IF(A302="","",IF(IF(OR(DATE($B$3,9,11)&gt;EOMONTH(DATE($B$3,9,1),0),NETWORKDAYS.INTL(DATE($B$3,9,11),DATE($B$3,9,11),1,'Non-working days'!$A$6:$A$45)=0),"",IF(COUNTIFS('Leave log'!$A$7:$A$306,Employees!$A$29,'Leave log'!$B$7:$B$306,"&lt;="&amp;DATE($B$3,9,11),'Leave log'!$C$7:$C$306,"&gt;="&amp;DATE($B$3,9,11),'Leave log'!$F$7:$F$306,"Approved")&gt;0,"A",""))="A","A",IF(OR(DATE($B$3,9,11)&gt;EOMONTH(DATE($B$3,9,1),0),NETWORKDAYS.INTL(DATE($B$3,9,11),DATE($B$3,9,11),1,'Non-working days'!$A$6:$A$45)=0),"",IF(COUNTIFS('Leave log'!$A$7:$A$306,Employees!$A$29,'Leave log'!$B$7:$B$306,"&lt;="&amp;DATE($B$3,9,11),'Leave log'!$C$7:$C$306,"&gt;="&amp;DATE($B$3,9,11),'Leave log'!$F$7:$F$306,"Pending")&gt;0,"P",""))))</f>
        <v/>
      </c>
      <c r="M302" s="23" t="str">
        <f>IF(A302="","",IF(IF(OR(DATE($B$3,9,12)&gt;EOMONTH(DATE($B$3,9,1),0),NETWORKDAYS.INTL(DATE($B$3,9,12),DATE($B$3,9,12),1,'Non-working days'!$A$6:$A$45)=0),"",IF(COUNTIFS('Leave log'!$A$7:$A$306,Employees!$A$29,'Leave log'!$B$7:$B$306,"&lt;="&amp;DATE($B$3,9,12),'Leave log'!$C$7:$C$306,"&gt;="&amp;DATE($B$3,9,12),'Leave log'!$F$7:$F$306,"Approved")&gt;0,"A",""))="A","A",IF(OR(DATE($B$3,9,12)&gt;EOMONTH(DATE($B$3,9,1),0),NETWORKDAYS.INTL(DATE($B$3,9,12),DATE($B$3,9,12),1,'Non-working days'!$A$6:$A$45)=0),"",IF(COUNTIFS('Leave log'!$A$7:$A$306,Employees!$A$29,'Leave log'!$B$7:$B$306,"&lt;="&amp;DATE($B$3,9,12),'Leave log'!$C$7:$C$306,"&gt;="&amp;DATE($B$3,9,12),'Leave log'!$F$7:$F$306,"Pending")&gt;0,"P",""))))</f>
        <v/>
      </c>
      <c r="N302" s="23" t="str">
        <f>IF(A302="","",IF(IF(OR(DATE($B$3,9,13)&gt;EOMONTH(DATE($B$3,9,1),0),NETWORKDAYS.INTL(DATE($B$3,9,13),DATE($B$3,9,13),1,'Non-working days'!$A$6:$A$45)=0),"",IF(COUNTIFS('Leave log'!$A$7:$A$306,Employees!$A$29,'Leave log'!$B$7:$B$306,"&lt;="&amp;DATE($B$3,9,13),'Leave log'!$C$7:$C$306,"&gt;="&amp;DATE($B$3,9,13),'Leave log'!$F$7:$F$306,"Approved")&gt;0,"A",""))="A","A",IF(OR(DATE($B$3,9,13)&gt;EOMONTH(DATE($B$3,9,1),0),NETWORKDAYS.INTL(DATE($B$3,9,13),DATE($B$3,9,13),1,'Non-working days'!$A$6:$A$45)=0),"",IF(COUNTIFS('Leave log'!$A$7:$A$306,Employees!$A$29,'Leave log'!$B$7:$B$306,"&lt;="&amp;DATE($B$3,9,13),'Leave log'!$C$7:$C$306,"&gt;="&amp;DATE($B$3,9,13),'Leave log'!$F$7:$F$306,"Pending")&gt;0,"P",""))))</f>
        <v/>
      </c>
      <c r="O302" s="23" t="str">
        <f>IF(A302="","",IF(IF(OR(DATE($B$3,9,14)&gt;EOMONTH(DATE($B$3,9,1),0),NETWORKDAYS.INTL(DATE($B$3,9,14),DATE($B$3,9,14),1,'Non-working days'!$A$6:$A$45)=0),"",IF(COUNTIFS('Leave log'!$A$7:$A$306,Employees!$A$29,'Leave log'!$B$7:$B$306,"&lt;="&amp;DATE($B$3,9,14),'Leave log'!$C$7:$C$306,"&gt;="&amp;DATE($B$3,9,14),'Leave log'!$F$7:$F$306,"Approved")&gt;0,"A",""))="A","A",IF(OR(DATE($B$3,9,14)&gt;EOMONTH(DATE($B$3,9,1),0),NETWORKDAYS.INTL(DATE($B$3,9,14),DATE($B$3,9,14),1,'Non-working days'!$A$6:$A$45)=0),"",IF(COUNTIFS('Leave log'!$A$7:$A$306,Employees!$A$29,'Leave log'!$B$7:$B$306,"&lt;="&amp;DATE($B$3,9,14),'Leave log'!$C$7:$C$306,"&gt;="&amp;DATE($B$3,9,14),'Leave log'!$F$7:$F$306,"Pending")&gt;0,"P",""))))</f>
        <v/>
      </c>
      <c r="P302" s="23" t="str">
        <f>IF(A302="","",IF(IF(OR(DATE($B$3,9,15)&gt;EOMONTH(DATE($B$3,9,1),0),NETWORKDAYS.INTL(DATE($B$3,9,15),DATE($B$3,9,15),1,'Non-working days'!$A$6:$A$45)=0),"",IF(COUNTIFS('Leave log'!$A$7:$A$306,Employees!$A$29,'Leave log'!$B$7:$B$306,"&lt;="&amp;DATE($B$3,9,15),'Leave log'!$C$7:$C$306,"&gt;="&amp;DATE($B$3,9,15),'Leave log'!$F$7:$F$306,"Approved")&gt;0,"A",""))="A","A",IF(OR(DATE($B$3,9,15)&gt;EOMONTH(DATE($B$3,9,1),0),NETWORKDAYS.INTL(DATE($B$3,9,15),DATE($B$3,9,15),1,'Non-working days'!$A$6:$A$45)=0),"",IF(COUNTIFS('Leave log'!$A$7:$A$306,Employees!$A$29,'Leave log'!$B$7:$B$306,"&lt;="&amp;DATE($B$3,9,15),'Leave log'!$C$7:$C$306,"&gt;="&amp;DATE($B$3,9,15),'Leave log'!$F$7:$F$306,"Pending")&gt;0,"P",""))))</f>
        <v/>
      </c>
      <c r="Q302" s="23" t="str">
        <f>IF(A302="","",IF(IF(OR(DATE($B$3,9,16)&gt;EOMONTH(DATE($B$3,9,1),0),NETWORKDAYS.INTL(DATE($B$3,9,16),DATE($B$3,9,16),1,'Non-working days'!$A$6:$A$45)=0),"",IF(COUNTIFS('Leave log'!$A$7:$A$306,Employees!$A$29,'Leave log'!$B$7:$B$306,"&lt;="&amp;DATE($B$3,9,16),'Leave log'!$C$7:$C$306,"&gt;="&amp;DATE($B$3,9,16),'Leave log'!$F$7:$F$306,"Approved")&gt;0,"A",""))="A","A",IF(OR(DATE($B$3,9,16)&gt;EOMONTH(DATE($B$3,9,1),0),NETWORKDAYS.INTL(DATE($B$3,9,16),DATE($B$3,9,16),1,'Non-working days'!$A$6:$A$45)=0),"",IF(COUNTIFS('Leave log'!$A$7:$A$306,Employees!$A$29,'Leave log'!$B$7:$B$306,"&lt;="&amp;DATE($B$3,9,16),'Leave log'!$C$7:$C$306,"&gt;="&amp;DATE($B$3,9,16),'Leave log'!$F$7:$F$306,"Pending")&gt;0,"P",""))))</f>
        <v/>
      </c>
      <c r="R302" s="23" t="str">
        <f>IF(A302="","",IF(IF(OR(DATE($B$3,9,17)&gt;EOMONTH(DATE($B$3,9,1),0),NETWORKDAYS.INTL(DATE($B$3,9,17),DATE($B$3,9,17),1,'Non-working days'!$A$6:$A$45)=0),"",IF(COUNTIFS('Leave log'!$A$7:$A$306,Employees!$A$29,'Leave log'!$B$7:$B$306,"&lt;="&amp;DATE($B$3,9,17),'Leave log'!$C$7:$C$306,"&gt;="&amp;DATE($B$3,9,17),'Leave log'!$F$7:$F$306,"Approved")&gt;0,"A",""))="A","A",IF(OR(DATE($B$3,9,17)&gt;EOMONTH(DATE($B$3,9,1),0),NETWORKDAYS.INTL(DATE($B$3,9,17),DATE($B$3,9,17),1,'Non-working days'!$A$6:$A$45)=0),"",IF(COUNTIFS('Leave log'!$A$7:$A$306,Employees!$A$29,'Leave log'!$B$7:$B$306,"&lt;="&amp;DATE($B$3,9,17),'Leave log'!$C$7:$C$306,"&gt;="&amp;DATE($B$3,9,17),'Leave log'!$F$7:$F$306,"Pending")&gt;0,"P",""))))</f>
        <v/>
      </c>
      <c r="S302" s="23" t="str">
        <f>IF(A302="","",IF(IF(OR(DATE($B$3,9,18)&gt;EOMONTH(DATE($B$3,9,1),0),NETWORKDAYS.INTL(DATE($B$3,9,18),DATE($B$3,9,18),1,'Non-working days'!$A$6:$A$45)=0),"",IF(COUNTIFS('Leave log'!$A$7:$A$306,Employees!$A$29,'Leave log'!$B$7:$B$306,"&lt;="&amp;DATE($B$3,9,18),'Leave log'!$C$7:$C$306,"&gt;="&amp;DATE($B$3,9,18),'Leave log'!$F$7:$F$306,"Approved")&gt;0,"A",""))="A","A",IF(OR(DATE($B$3,9,18)&gt;EOMONTH(DATE($B$3,9,1),0),NETWORKDAYS.INTL(DATE($B$3,9,18),DATE($B$3,9,18),1,'Non-working days'!$A$6:$A$45)=0),"",IF(COUNTIFS('Leave log'!$A$7:$A$306,Employees!$A$29,'Leave log'!$B$7:$B$306,"&lt;="&amp;DATE($B$3,9,18),'Leave log'!$C$7:$C$306,"&gt;="&amp;DATE($B$3,9,18),'Leave log'!$F$7:$F$306,"Pending")&gt;0,"P",""))))</f>
        <v/>
      </c>
      <c r="T302" s="23" t="str">
        <f>IF(A302="","",IF(IF(OR(DATE($B$3,9,19)&gt;EOMONTH(DATE($B$3,9,1),0),NETWORKDAYS.INTL(DATE($B$3,9,19),DATE($B$3,9,19),1,'Non-working days'!$A$6:$A$45)=0),"",IF(COUNTIFS('Leave log'!$A$7:$A$306,Employees!$A$29,'Leave log'!$B$7:$B$306,"&lt;="&amp;DATE($B$3,9,19),'Leave log'!$C$7:$C$306,"&gt;="&amp;DATE($B$3,9,19),'Leave log'!$F$7:$F$306,"Approved")&gt;0,"A",""))="A","A",IF(OR(DATE($B$3,9,19)&gt;EOMONTH(DATE($B$3,9,1),0),NETWORKDAYS.INTL(DATE($B$3,9,19),DATE($B$3,9,19),1,'Non-working days'!$A$6:$A$45)=0),"",IF(COUNTIFS('Leave log'!$A$7:$A$306,Employees!$A$29,'Leave log'!$B$7:$B$306,"&lt;="&amp;DATE($B$3,9,19),'Leave log'!$C$7:$C$306,"&gt;="&amp;DATE($B$3,9,19),'Leave log'!$F$7:$F$306,"Pending")&gt;0,"P",""))))</f>
        <v/>
      </c>
      <c r="U302" s="23" t="str">
        <f>IF(A302="","",IF(IF(OR(DATE($B$3,9,20)&gt;EOMONTH(DATE($B$3,9,1),0),NETWORKDAYS.INTL(DATE($B$3,9,20),DATE($B$3,9,20),1,'Non-working days'!$A$6:$A$45)=0),"",IF(COUNTIFS('Leave log'!$A$7:$A$306,Employees!$A$29,'Leave log'!$B$7:$B$306,"&lt;="&amp;DATE($B$3,9,20),'Leave log'!$C$7:$C$306,"&gt;="&amp;DATE($B$3,9,20),'Leave log'!$F$7:$F$306,"Approved")&gt;0,"A",""))="A","A",IF(OR(DATE($B$3,9,20)&gt;EOMONTH(DATE($B$3,9,1),0),NETWORKDAYS.INTL(DATE($B$3,9,20),DATE($B$3,9,20),1,'Non-working days'!$A$6:$A$45)=0),"",IF(COUNTIFS('Leave log'!$A$7:$A$306,Employees!$A$29,'Leave log'!$B$7:$B$306,"&lt;="&amp;DATE($B$3,9,20),'Leave log'!$C$7:$C$306,"&gt;="&amp;DATE($B$3,9,20),'Leave log'!$F$7:$F$306,"Pending")&gt;0,"P",""))))</f>
        <v/>
      </c>
      <c r="V302" s="23" t="str">
        <f>IF(A302="","",IF(IF(OR(DATE($B$3,9,21)&gt;EOMONTH(DATE($B$3,9,1),0),NETWORKDAYS.INTL(DATE($B$3,9,21),DATE($B$3,9,21),1,'Non-working days'!$A$6:$A$45)=0),"",IF(COUNTIFS('Leave log'!$A$7:$A$306,Employees!$A$29,'Leave log'!$B$7:$B$306,"&lt;="&amp;DATE($B$3,9,21),'Leave log'!$C$7:$C$306,"&gt;="&amp;DATE($B$3,9,21),'Leave log'!$F$7:$F$306,"Approved")&gt;0,"A",""))="A","A",IF(OR(DATE($B$3,9,21)&gt;EOMONTH(DATE($B$3,9,1),0),NETWORKDAYS.INTL(DATE($B$3,9,21),DATE($B$3,9,21),1,'Non-working days'!$A$6:$A$45)=0),"",IF(COUNTIFS('Leave log'!$A$7:$A$306,Employees!$A$29,'Leave log'!$B$7:$B$306,"&lt;="&amp;DATE($B$3,9,21),'Leave log'!$C$7:$C$306,"&gt;="&amp;DATE($B$3,9,21),'Leave log'!$F$7:$F$306,"Pending")&gt;0,"P",""))))</f>
        <v/>
      </c>
      <c r="W302" s="23" t="str">
        <f>IF(A302="","",IF(IF(OR(DATE($B$3,9,22)&gt;EOMONTH(DATE($B$3,9,1),0),NETWORKDAYS.INTL(DATE($B$3,9,22),DATE($B$3,9,22),1,'Non-working days'!$A$6:$A$45)=0),"",IF(COUNTIFS('Leave log'!$A$7:$A$306,Employees!$A$29,'Leave log'!$B$7:$B$306,"&lt;="&amp;DATE($B$3,9,22),'Leave log'!$C$7:$C$306,"&gt;="&amp;DATE($B$3,9,22),'Leave log'!$F$7:$F$306,"Approved")&gt;0,"A",""))="A","A",IF(OR(DATE($B$3,9,22)&gt;EOMONTH(DATE($B$3,9,1),0),NETWORKDAYS.INTL(DATE($B$3,9,22),DATE($B$3,9,22),1,'Non-working days'!$A$6:$A$45)=0),"",IF(COUNTIFS('Leave log'!$A$7:$A$306,Employees!$A$29,'Leave log'!$B$7:$B$306,"&lt;="&amp;DATE($B$3,9,22),'Leave log'!$C$7:$C$306,"&gt;="&amp;DATE($B$3,9,22),'Leave log'!$F$7:$F$306,"Pending")&gt;0,"P",""))))</f>
        <v/>
      </c>
      <c r="X302" s="23" t="str">
        <f>IF(A302="","",IF(IF(OR(DATE($B$3,9,23)&gt;EOMONTH(DATE($B$3,9,1),0),NETWORKDAYS.INTL(DATE($B$3,9,23),DATE($B$3,9,23),1,'Non-working days'!$A$6:$A$45)=0),"",IF(COUNTIFS('Leave log'!$A$7:$A$306,Employees!$A$29,'Leave log'!$B$7:$B$306,"&lt;="&amp;DATE($B$3,9,23),'Leave log'!$C$7:$C$306,"&gt;="&amp;DATE($B$3,9,23),'Leave log'!$F$7:$F$306,"Approved")&gt;0,"A",""))="A","A",IF(OR(DATE($B$3,9,23)&gt;EOMONTH(DATE($B$3,9,1),0),NETWORKDAYS.INTL(DATE($B$3,9,23),DATE($B$3,9,23),1,'Non-working days'!$A$6:$A$45)=0),"",IF(COUNTIFS('Leave log'!$A$7:$A$306,Employees!$A$29,'Leave log'!$B$7:$B$306,"&lt;="&amp;DATE($B$3,9,23),'Leave log'!$C$7:$C$306,"&gt;="&amp;DATE($B$3,9,23),'Leave log'!$F$7:$F$306,"Pending")&gt;0,"P",""))))</f>
        <v/>
      </c>
      <c r="Y302" s="23" t="str">
        <f>IF(A302="","",IF(IF(OR(DATE($B$3,9,24)&gt;EOMONTH(DATE($B$3,9,1),0),NETWORKDAYS.INTL(DATE($B$3,9,24),DATE($B$3,9,24),1,'Non-working days'!$A$6:$A$45)=0),"",IF(COUNTIFS('Leave log'!$A$7:$A$306,Employees!$A$29,'Leave log'!$B$7:$B$306,"&lt;="&amp;DATE($B$3,9,24),'Leave log'!$C$7:$C$306,"&gt;="&amp;DATE($B$3,9,24),'Leave log'!$F$7:$F$306,"Approved")&gt;0,"A",""))="A","A",IF(OR(DATE($B$3,9,24)&gt;EOMONTH(DATE($B$3,9,1),0),NETWORKDAYS.INTL(DATE($B$3,9,24),DATE($B$3,9,24),1,'Non-working days'!$A$6:$A$45)=0),"",IF(COUNTIFS('Leave log'!$A$7:$A$306,Employees!$A$29,'Leave log'!$B$7:$B$306,"&lt;="&amp;DATE($B$3,9,24),'Leave log'!$C$7:$C$306,"&gt;="&amp;DATE($B$3,9,24),'Leave log'!$F$7:$F$306,"Pending")&gt;0,"P",""))))</f>
        <v/>
      </c>
      <c r="Z302" s="23" t="str">
        <f>IF(A302="","",IF(IF(OR(DATE($B$3,9,25)&gt;EOMONTH(DATE($B$3,9,1),0),NETWORKDAYS.INTL(DATE($B$3,9,25),DATE($B$3,9,25),1,'Non-working days'!$A$6:$A$45)=0),"",IF(COUNTIFS('Leave log'!$A$7:$A$306,Employees!$A$29,'Leave log'!$B$7:$B$306,"&lt;="&amp;DATE($B$3,9,25),'Leave log'!$C$7:$C$306,"&gt;="&amp;DATE($B$3,9,25),'Leave log'!$F$7:$F$306,"Approved")&gt;0,"A",""))="A","A",IF(OR(DATE($B$3,9,25)&gt;EOMONTH(DATE($B$3,9,1),0),NETWORKDAYS.INTL(DATE($B$3,9,25),DATE($B$3,9,25),1,'Non-working days'!$A$6:$A$45)=0),"",IF(COUNTIFS('Leave log'!$A$7:$A$306,Employees!$A$29,'Leave log'!$B$7:$B$306,"&lt;="&amp;DATE($B$3,9,25),'Leave log'!$C$7:$C$306,"&gt;="&amp;DATE($B$3,9,25),'Leave log'!$F$7:$F$306,"Pending")&gt;0,"P",""))))</f>
        <v/>
      </c>
      <c r="AA302" s="23" t="str">
        <f>IF(A302="","",IF(IF(OR(DATE($B$3,9,26)&gt;EOMONTH(DATE($B$3,9,1),0),NETWORKDAYS.INTL(DATE($B$3,9,26),DATE($B$3,9,26),1,'Non-working days'!$A$6:$A$45)=0),"",IF(COUNTIFS('Leave log'!$A$7:$A$306,Employees!$A$29,'Leave log'!$B$7:$B$306,"&lt;="&amp;DATE($B$3,9,26),'Leave log'!$C$7:$C$306,"&gt;="&amp;DATE($B$3,9,26),'Leave log'!$F$7:$F$306,"Approved")&gt;0,"A",""))="A","A",IF(OR(DATE($B$3,9,26)&gt;EOMONTH(DATE($B$3,9,1),0),NETWORKDAYS.INTL(DATE($B$3,9,26),DATE($B$3,9,26),1,'Non-working days'!$A$6:$A$45)=0),"",IF(COUNTIFS('Leave log'!$A$7:$A$306,Employees!$A$29,'Leave log'!$B$7:$B$306,"&lt;="&amp;DATE($B$3,9,26),'Leave log'!$C$7:$C$306,"&gt;="&amp;DATE($B$3,9,26),'Leave log'!$F$7:$F$306,"Pending")&gt;0,"P",""))))</f>
        <v/>
      </c>
      <c r="AB302" s="23" t="str">
        <f>IF(A302="","",IF(IF(OR(DATE($B$3,9,27)&gt;EOMONTH(DATE($B$3,9,1),0),NETWORKDAYS.INTL(DATE($B$3,9,27),DATE($B$3,9,27),1,'Non-working days'!$A$6:$A$45)=0),"",IF(COUNTIFS('Leave log'!$A$7:$A$306,Employees!$A$29,'Leave log'!$B$7:$B$306,"&lt;="&amp;DATE($B$3,9,27),'Leave log'!$C$7:$C$306,"&gt;="&amp;DATE($B$3,9,27),'Leave log'!$F$7:$F$306,"Approved")&gt;0,"A",""))="A","A",IF(OR(DATE($B$3,9,27)&gt;EOMONTH(DATE($B$3,9,1),0),NETWORKDAYS.INTL(DATE($B$3,9,27),DATE($B$3,9,27),1,'Non-working days'!$A$6:$A$45)=0),"",IF(COUNTIFS('Leave log'!$A$7:$A$306,Employees!$A$29,'Leave log'!$B$7:$B$306,"&lt;="&amp;DATE($B$3,9,27),'Leave log'!$C$7:$C$306,"&gt;="&amp;DATE($B$3,9,27),'Leave log'!$F$7:$F$306,"Pending")&gt;0,"P",""))))</f>
        <v/>
      </c>
      <c r="AC302" s="23" t="str">
        <f>IF(A302="","",IF(IF(OR(DATE($B$3,9,28)&gt;EOMONTH(DATE($B$3,9,1),0),NETWORKDAYS.INTL(DATE($B$3,9,28),DATE($B$3,9,28),1,'Non-working days'!$A$6:$A$45)=0),"",IF(COUNTIFS('Leave log'!$A$7:$A$306,Employees!$A$29,'Leave log'!$B$7:$B$306,"&lt;="&amp;DATE($B$3,9,28),'Leave log'!$C$7:$C$306,"&gt;="&amp;DATE($B$3,9,28),'Leave log'!$F$7:$F$306,"Approved")&gt;0,"A",""))="A","A",IF(OR(DATE($B$3,9,28)&gt;EOMONTH(DATE($B$3,9,1),0),NETWORKDAYS.INTL(DATE($B$3,9,28),DATE($B$3,9,28),1,'Non-working days'!$A$6:$A$45)=0),"",IF(COUNTIFS('Leave log'!$A$7:$A$306,Employees!$A$29,'Leave log'!$B$7:$B$306,"&lt;="&amp;DATE($B$3,9,28),'Leave log'!$C$7:$C$306,"&gt;="&amp;DATE($B$3,9,28),'Leave log'!$F$7:$F$306,"Pending")&gt;0,"P",""))))</f>
        <v/>
      </c>
      <c r="AD302" s="23" t="str">
        <f>IF(A302="","",IF(IF(OR(DATE($B$3,9,29)&gt;EOMONTH(DATE($B$3,9,1),0),NETWORKDAYS.INTL(DATE($B$3,9,29),DATE($B$3,9,29),1,'Non-working days'!$A$6:$A$45)=0),"",IF(COUNTIFS('Leave log'!$A$7:$A$306,Employees!$A$29,'Leave log'!$B$7:$B$306,"&lt;="&amp;DATE($B$3,9,29),'Leave log'!$C$7:$C$306,"&gt;="&amp;DATE($B$3,9,29),'Leave log'!$F$7:$F$306,"Approved")&gt;0,"A",""))="A","A",IF(OR(DATE($B$3,9,29)&gt;EOMONTH(DATE($B$3,9,1),0),NETWORKDAYS.INTL(DATE($B$3,9,29),DATE($B$3,9,29),1,'Non-working days'!$A$6:$A$45)=0),"",IF(COUNTIFS('Leave log'!$A$7:$A$306,Employees!$A$29,'Leave log'!$B$7:$B$306,"&lt;="&amp;DATE($B$3,9,29),'Leave log'!$C$7:$C$306,"&gt;="&amp;DATE($B$3,9,29),'Leave log'!$F$7:$F$306,"Pending")&gt;0,"P",""))))</f>
        <v/>
      </c>
      <c r="AE302" s="23" t="str">
        <f>IF(A302="","",IF(IF(OR(DATE($B$3,9,30)&gt;EOMONTH(DATE($B$3,9,1),0),NETWORKDAYS.INTL(DATE($B$3,9,30),DATE($B$3,9,30),1,'Non-working days'!$A$6:$A$45)=0),"",IF(COUNTIFS('Leave log'!$A$7:$A$306,Employees!$A$29,'Leave log'!$B$7:$B$306,"&lt;="&amp;DATE($B$3,9,30),'Leave log'!$C$7:$C$306,"&gt;="&amp;DATE($B$3,9,30),'Leave log'!$F$7:$F$306,"Approved")&gt;0,"A",""))="A","A",IF(OR(DATE($B$3,9,30)&gt;EOMONTH(DATE($B$3,9,1),0),NETWORKDAYS.INTL(DATE($B$3,9,30),DATE($B$3,9,30),1,'Non-working days'!$A$6:$A$45)=0),"",IF(COUNTIFS('Leave log'!$A$7:$A$306,Employees!$A$29,'Leave log'!$B$7:$B$306,"&lt;="&amp;DATE($B$3,9,30),'Leave log'!$C$7:$C$306,"&gt;="&amp;DATE($B$3,9,30),'Leave log'!$F$7:$F$306,"Pending")&gt;0,"P",""))))</f>
        <v/>
      </c>
      <c r="AF302" s="23" t="str">
        <f>IF(A302="","",IF(IF(OR(DATE($B$3,9,31)&gt;EOMONTH(DATE($B$3,9,1),0),NETWORKDAYS.INTL(DATE($B$3,9,31),DATE($B$3,9,31),1,'Non-working days'!$A$6:$A$45)=0),"",IF(COUNTIFS('Leave log'!$A$7:$A$306,Employees!$A$29,'Leave log'!$B$7:$B$306,"&lt;="&amp;DATE($B$3,9,31),'Leave log'!$C$7:$C$306,"&gt;="&amp;DATE($B$3,9,31),'Leave log'!$F$7:$F$306,"Approved")&gt;0,"A",""))="A","A",IF(OR(DATE($B$3,9,31)&gt;EOMONTH(DATE($B$3,9,1),0),NETWORKDAYS.INTL(DATE($B$3,9,31),DATE($B$3,9,31),1,'Non-working days'!$A$6:$A$45)=0),"",IF(COUNTIFS('Leave log'!$A$7:$A$306,Employees!$A$29,'Leave log'!$B$7:$B$306,"&lt;="&amp;DATE($B$3,9,31),'Leave log'!$C$7:$C$306,"&gt;="&amp;DATE($B$3,9,31),'Leave log'!$F$7:$F$306,"Pending")&gt;0,"P",""))))</f>
        <v/>
      </c>
    </row>
    <row r="303" spans="1:32" ht="18" customHeight="1" x14ac:dyDescent="0.3">
      <c r="A303" s="22" t="str">
        <f>IF(Employees!F30="Yes",Employees!B30,"")</f>
        <v/>
      </c>
      <c r="B303" s="23" t="str">
        <f>IF(A303="","",IF(IF(OR(DATE($B$3,9,1)&gt;EOMONTH(DATE($B$3,9,1),0),NETWORKDAYS.INTL(DATE($B$3,9,1),DATE($B$3,9,1),1,'Non-working days'!$A$6:$A$45)=0),"",IF(COUNTIFS('Leave log'!$A$7:$A$306,Employees!$A$30,'Leave log'!$B$7:$B$306,"&lt;="&amp;DATE($B$3,9,1),'Leave log'!$C$7:$C$306,"&gt;="&amp;DATE($B$3,9,1),'Leave log'!$F$7:$F$306,"Approved")&gt;0,"A",""))="A","A",IF(OR(DATE($B$3,9,1)&gt;EOMONTH(DATE($B$3,9,1),0),NETWORKDAYS.INTL(DATE($B$3,9,1),DATE($B$3,9,1),1,'Non-working days'!$A$6:$A$45)=0),"",IF(COUNTIFS('Leave log'!$A$7:$A$306,Employees!$A$30,'Leave log'!$B$7:$B$306,"&lt;="&amp;DATE($B$3,9,1),'Leave log'!$C$7:$C$306,"&gt;="&amp;DATE($B$3,9,1),'Leave log'!$F$7:$F$306,"Pending")&gt;0,"P",""))))</f>
        <v/>
      </c>
      <c r="C303" s="23" t="str">
        <f>IF(A303="","",IF(IF(OR(DATE($B$3,9,2)&gt;EOMONTH(DATE($B$3,9,1),0),NETWORKDAYS.INTL(DATE($B$3,9,2),DATE($B$3,9,2),1,'Non-working days'!$A$6:$A$45)=0),"",IF(COUNTIFS('Leave log'!$A$7:$A$306,Employees!$A$30,'Leave log'!$B$7:$B$306,"&lt;="&amp;DATE($B$3,9,2),'Leave log'!$C$7:$C$306,"&gt;="&amp;DATE($B$3,9,2),'Leave log'!$F$7:$F$306,"Approved")&gt;0,"A",""))="A","A",IF(OR(DATE($B$3,9,2)&gt;EOMONTH(DATE($B$3,9,1),0),NETWORKDAYS.INTL(DATE($B$3,9,2),DATE($B$3,9,2),1,'Non-working days'!$A$6:$A$45)=0),"",IF(COUNTIFS('Leave log'!$A$7:$A$306,Employees!$A$30,'Leave log'!$B$7:$B$306,"&lt;="&amp;DATE($B$3,9,2),'Leave log'!$C$7:$C$306,"&gt;="&amp;DATE($B$3,9,2),'Leave log'!$F$7:$F$306,"Pending")&gt;0,"P",""))))</f>
        <v/>
      </c>
      <c r="D303" s="23" t="str">
        <f>IF(A303="","",IF(IF(OR(DATE($B$3,9,3)&gt;EOMONTH(DATE($B$3,9,1),0),NETWORKDAYS.INTL(DATE($B$3,9,3),DATE($B$3,9,3),1,'Non-working days'!$A$6:$A$45)=0),"",IF(COUNTIFS('Leave log'!$A$7:$A$306,Employees!$A$30,'Leave log'!$B$7:$B$306,"&lt;="&amp;DATE($B$3,9,3),'Leave log'!$C$7:$C$306,"&gt;="&amp;DATE($B$3,9,3),'Leave log'!$F$7:$F$306,"Approved")&gt;0,"A",""))="A","A",IF(OR(DATE($B$3,9,3)&gt;EOMONTH(DATE($B$3,9,1),0),NETWORKDAYS.INTL(DATE($B$3,9,3),DATE($B$3,9,3),1,'Non-working days'!$A$6:$A$45)=0),"",IF(COUNTIFS('Leave log'!$A$7:$A$306,Employees!$A$30,'Leave log'!$B$7:$B$306,"&lt;="&amp;DATE($B$3,9,3),'Leave log'!$C$7:$C$306,"&gt;="&amp;DATE($B$3,9,3),'Leave log'!$F$7:$F$306,"Pending")&gt;0,"P",""))))</f>
        <v/>
      </c>
      <c r="E303" s="23" t="str">
        <f>IF(A303="","",IF(IF(OR(DATE($B$3,9,4)&gt;EOMONTH(DATE($B$3,9,1),0),NETWORKDAYS.INTL(DATE($B$3,9,4),DATE($B$3,9,4),1,'Non-working days'!$A$6:$A$45)=0),"",IF(COUNTIFS('Leave log'!$A$7:$A$306,Employees!$A$30,'Leave log'!$B$7:$B$306,"&lt;="&amp;DATE($B$3,9,4),'Leave log'!$C$7:$C$306,"&gt;="&amp;DATE($B$3,9,4),'Leave log'!$F$7:$F$306,"Approved")&gt;0,"A",""))="A","A",IF(OR(DATE($B$3,9,4)&gt;EOMONTH(DATE($B$3,9,1),0),NETWORKDAYS.INTL(DATE($B$3,9,4),DATE($B$3,9,4),1,'Non-working days'!$A$6:$A$45)=0),"",IF(COUNTIFS('Leave log'!$A$7:$A$306,Employees!$A$30,'Leave log'!$B$7:$B$306,"&lt;="&amp;DATE($B$3,9,4),'Leave log'!$C$7:$C$306,"&gt;="&amp;DATE($B$3,9,4),'Leave log'!$F$7:$F$306,"Pending")&gt;0,"P",""))))</f>
        <v/>
      </c>
      <c r="F303" s="23" t="str">
        <f>IF(A303="","",IF(IF(OR(DATE($B$3,9,5)&gt;EOMONTH(DATE($B$3,9,1),0),NETWORKDAYS.INTL(DATE($B$3,9,5),DATE($B$3,9,5),1,'Non-working days'!$A$6:$A$45)=0),"",IF(COUNTIFS('Leave log'!$A$7:$A$306,Employees!$A$30,'Leave log'!$B$7:$B$306,"&lt;="&amp;DATE($B$3,9,5),'Leave log'!$C$7:$C$306,"&gt;="&amp;DATE($B$3,9,5),'Leave log'!$F$7:$F$306,"Approved")&gt;0,"A",""))="A","A",IF(OR(DATE($B$3,9,5)&gt;EOMONTH(DATE($B$3,9,1),0),NETWORKDAYS.INTL(DATE($B$3,9,5),DATE($B$3,9,5),1,'Non-working days'!$A$6:$A$45)=0),"",IF(COUNTIFS('Leave log'!$A$7:$A$306,Employees!$A$30,'Leave log'!$B$7:$B$306,"&lt;="&amp;DATE($B$3,9,5),'Leave log'!$C$7:$C$306,"&gt;="&amp;DATE($B$3,9,5),'Leave log'!$F$7:$F$306,"Pending")&gt;0,"P",""))))</f>
        <v/>
      </c>
      <c r="G303" s="23" t="str">
        <f>IF(A303="","",IF(IF(OR(DATE($B$3,9,6)&gt;EOMONTH(DATE($B$3,9,1),0),NETWORKDAYS.INTL(DATE($B$3,9,6),DATE($B$3,9,6),1,'Non-working days'!$A$6:$A$45)=0),"",IF(COUNTIFS('Leave log'!$A$7:$A$306,Employees!$A$30,'Leave log'!$B$7:$B$306,"&lt;="&amp;DATE($B$3,9,6),'Leave log'!$C$7:$C$306,"&gt;="&amp;DATE($B$3,9,6),'Leave log'!$F$7:$F$306,"Approved")&gt;0,"A",""))="A","A",IF(OR(DATE($B$3,9,6)&gt;EOMONTH(DATE($B$3,9,1),0),NETWORKDAYS.INTL(DATE($B$3,9,6),DATE($B$3,9,6),1,'Non-working days'!$A$6:$A$45)=0),"",IF(COUNTIFS('Leave log'!$A$7:$A$306,Employees!$A$30,'Leave log'!$B$7:$B$306,"&lt;="&amp;DATE($B$3,9,6),'Leave log'!$C$7:$C$306,"&gt;="&amp;DATE($B$3,9,6),'Leave log'!$F$7:$F$306,"Pending")&gt;0,"P",""))))</f>
        <v/>
      </c>
      <c r="H303" s="23" t="str">
        <f>IF(A303="","",IF(IF(OR(DATE($B$3,9,7)&gt;EOMONTH(DATE($B$3,9,1),0),NETWORKDAYS.INTL(DATE($B$3,9,7),DATE($B$3,9,7),1,'Non-working days'!$A$6:$A$45)=0),"",IF(COUNTIFS('Leave log'!$A$7:$A$306,Employees!$A$30,'Leave log'!$B$7:$B$306,"&lt;="&amp;DATE($B$3,9,7),'Leave log'!$C$7:$C$306,"&gt;="&amp;DATE($B$3,9,7),'Leave log'!$F$7:$F$306,"Approved")&gt;0,"A",""))="A","A",IF(OR(DATE($B$3,9,7)&gt;EOMONTH(DATE($B$3,9,1),0),NETWORKDAYS.INTL(DATE($B$3,9,7),DATE($B$3,9,7),1,'Non-working days'!$A$6:$A$45)=0),"",IF(COUNTIFS('Leave log'!$A$7:$A$306,Employees!$A$30,'Leave log'!$B$7:$B$306,"&lt;="&amp;DATE($B$3,9,7),'Leave log'!$C$7:$C$306,"&gt;="&amp;DATE($B$3,9,7),'Leave log'!$F$7:$F$306,"Pending")&gt;0,"P",""))))</f>
        <v/>
      </c>
      <c r="I303" s="23" t="str">
        <f>IF(A303="","",IF(IF(OR(DATE($B$3,9,8)&gt;EOMONTH(DATE($B$3,9,1),0),NETWORKDAYS.INTL(DATE($B$3,9,8),DATE($B$3,9,8),1,'Non-working days'!$A$6:$A$45)=0),"",IF(COUNTIFS('Leave log'!$A$7:$A$306,Employees!$A$30,'Leave log'!$B$7:$B$306,"&lt;="&amp;DATE($B$3,9,8),'Leave log'!$C$7:$C$306,"&gt;="&amp;DATE($B$3,9,8),'Leave log'!$F$7:$F$306,"Approved")&gt;0,"A",""))="A","A",IF(OR(DATE($B$3,9,8)&gt;EOMONTH(DATE($B$3,9,1),0),NETWORKDAYS.INTL(DATE($B$3,9,8),DATE($B$3,9,8),1,'Non-working days'!$A$6:$A$45)=0),"",IF(COUNTIFS('Leave log'!$A$7:$A$306,Employees!$A$30,'Leave log'!$B$7:$B$306,"&lt;="&amp;DATE($B$3,9,8),'Leave log'!$C$7:$C$306,"&gt;="&amp;DATE($B$3,9,8),'Leave log'!$F$7:$F$306,"Pending")&gt;0,"P",""))))</f>
        <v/>
      </c>
      <c r="J303" s="23" t="str">
        <f>IF(A303="","",IF(IF(OR(DATE($B$3,9,9)&gt;EOMONTH(DATE($B$3,9,1),0),NETWORKDAYS.INTL(DATE($B$3,9,9),DATE($B$3,9,9),1,'Non-working days'!$A$6:$A$45)=0),"",IF(COUNTIFS('Leave log'!$A$7:$A$306,Employees!$A$30,'Leave log'!$B$7:$B$306,"&lt;="&amp;DATE($B$3,9,9),'Leave log'!$C$7:$C$306,"&gt;="&amp;DATE($B$3,9,9),'Leave log'!$F$7:$F$306,"Approved")&gt;0,"A",""))="A","A",IF(OR(DATE($B$3,9,9)&gt;EOMONTH(DATE($B$3,9,1),0),NETWORKDAYS.INTL(DATE($B$3,9,9),DATE($B$3,9,9),1,'Non-working days'!$A$6:$A$45)=0),"",IF(COUNTIFS('Leave log'!$A$7:$A$306,Employees!$A$30,'Leave log'!$B$7:$B$306,"&lt;="&amp;DATE($B$3,9,9),'Leave log'!$C$7:$C$306,"&gt;="&amp;DATE($B$3,9,9),'Leave log'!$F$7:$F$306,"Pending")&gt;0,"P",""))))</f>
        <v/>
      </c>
      <c r="K303" s="23" t="str">
        <f>IF(A303="","",IF(IF(OR(DATE($B$3,9,10)&gt;EOMONTH(DATE($B$3,9,1),0),NETWORKDAYS.INTL(DATE($B$3,9,10),DATE($B$3,9,10),1,'Non-working days'!$A$6:$A$45)=0),"",IF(COUNTIFS('Leave log'!$A$7:$A$306,Employees!$A$30,'Leave log'!$B$7:$B$306,"&lt;="&amp;DATE($B$3,9,10),'Leave log'!$C$7:$C$306,"&gt;="&amp;DATE($B$3,9,10),'Leave log'!$F$7:$F$306,"Approved")&gt;0,"A",""))="A","A",IF(OR(DATE($B$3,9,10)&gt;EOMONTH(DATE($B$3,9,1),0),NETWORKDAYS.INTL(DATE($B$3,9,10),DATE($B$3,9,10),1,'Non-working days'!$A$6:$A$45)=0),"",IF(COUNTIFS('Leave log'!$A$7:$A$306,Employees!$A$30,'Leave log'!$B$7:$B$306,"&lt;="&amp;DATE($B$3,9,10),'Leave log'!$C$7:$C$306,"&gt;="&amp;DATE($B$3,9,10),'Leave log'!$F$7:$F$306,"Pending")&gt;0,"P",""))))</f>
        <v/>
      </c>
      <c r="L303" s="23" t="str">
        <f>IF(A303="","",IF(IF(OR(DATE($B$3,9,11)&gt;EOMONTH(DATE($B$3,9,1),0),NETWORKDAYS.INTL(DATE($B$3,9,11),DATE($B$3,9,11),1,'Non-working days'!$A$6:$A$45)=0),"",IF(COUNTIFS('Leave log'!$A$7:$A$306,Employees!$A$30,'Leave log'!$B$7:$B$306,"&lt;="&amp;DATE($B$3,9,11),'Leave log'!$C$7:$C$306,"&gt;="&amp;DATE($B$3,9,11),'Leave log'!$F$7:$F$306,"Approved")&gt;0,"A",""))="A","A",IF(OR(DATE($B$3,9,11)&gt;EOMONTH(DATE($B$3,9,1),0),NETWORKDAYS.INTL(DATE($B$3,9,11),DATE($B$3,9,11),1,'Non-working days'!$A$6:$A$45)=0),"",IF(COUNTIFS('Leave log'!$A$7:$A$306,Employees!$A$30,'Leave log'!$B$7:$B$306,"&lt;="&amp;DATE($B$3,9,11),'Leave log'!$C$7:$C$306,"&gt;="&amp;DATE($B$3,9,11),'Leave log'!$F$7:$F$306,"Pending")&gt;0,"P",""))))</f>
        <v/>
      </c>
      <c r="M303" s="23" t="str">
        <f>IF(A303="","",IF(IF(OR(DATE($B$3,9,12)&gt;EOMONTH(DATE($B$3,9,1),0),NETWORKDAYS.INTL(DATE($B$3,9,12),DATE($B$3,9,12),1,'Non-working days'!$A$6:$A$45)=0),"",IF(COUNTIFS('Leave log'!$A$7:$A$306,Employees!$A$30,'Leave log'!$B$7:$B$306,"&lt;="&amp;DATE($B$3,9,12),'Leave log'!$C$7:$C$306,"&gt;="&amp;DATE($B$3,9,12),'Leave log'!$F$7:$F$306,"Approved")&gt;0,"A",""))="A","A",IF(OR(DATE($B$3,9,12)&gt;EOMONTH(DATE($B$3,9,1),0),NETWORKDAYS.INTL(DATE($B$3,9,12),DATE($B$3,9,12),1,'Non-working days'!$A$6:$A$45)=0),"",IF(COUNTIFS('Leave log'!$A$7:$A$306,Employees!$A$30,'Leave log'!$B$7:$B$306,"&lt;="&amp;DATE($B$3,9,12),'Leave log'!$C$7:$C$306,"&gt;="&amp;DATE($B$3,9,12),'Leave log'!$F$7:$F$306,"Pending")&gt;0,"P",""))))</f>
        <v/>
      </c>
      <c r="N303" s="23" t="str">
        <f>IF(A303="","",IF(IF(OR(DATE($B$3,9,13)&gt;EOMONTH(DATE($B$3,9,1),0),NETWORKDAYS.INTL(DATE($B$3,9,13),DATE($B$3,9,13),1,'Non-working days'!$A$6:$A$45)=0),"",IF(COUNTIFS('Leave log'!$A$7:$A$306,Employees!$A$30,'Leave log'!$B$7:$B$306,"&lt;="&amp;DATE($B$3,9,13),'Leave log'!$C$7:$C$306,"&gt;="&amp;DATE($B$3,9,13),'Leave log'!$F$7:$F$306,"Approved")&gt;0,"A",""))="A","A",IF(OR(DATE($B$3,9,13)&gt;EOMONTH(DATE($B$3,9,1),0),NETWORKDAYS.INTL(DATE($B$3,9,13),DATE($B$3,9,13),1,'Non-working days'!$A$6:$A$45)=0),"",IF(COUNTIFS('Leave log'!$A$7:$A$306,Employees!$A$30,'Leave log'!$B$7:$B$306,"&lt;="&amp;DATE($B$3,9,13),'Leave log'!$C$7:$C$306,"&gt;="&amp;DATE($B$3,9,13),'Leave log'!$F$7:$F$306,"Pending")&gt;0,"P",""))))</f>
        <v/>
      </c>
      <c r="O303" s="23" t="str">
        <f>IF(A303="","",IF(IF(OR(DATE($B$3,9,14)&gt;EOMONTH(DATE($B$3,9,1),0),NETWORKDAYS.INTL(DATE($B$3,9,14),DATE($B$3,9,14),1,'Non-working days'!$A$6:$A$45)=0),"",IF(COUNTIFS('Leave log'!$A$7:$A$306,Employees!$A$30,'Leave log'!$B$7:$B$306,"&lt;="&amp;DATE($B$3,9,14),'Leave log'!$C$7:$C$306,"&gt;="&amp;DATE($B$3,9,14),'Leave log'!$F$7:$F$306,"Approved")&gt;0,"A",""))="A","A",IF(OR(DATE($B$3,9,14)&gt;EOMONTH(DATE($B$3,9,1),0),NETWORKDAYS.INTL(DATE($B$3,9,14),DATE($B$3,9,14),1,'Non-working days'!$A$6:$A$45)=0),"",IF(COUNTIFS('Leave log'!$A$7:$A$306,Employees!$A$30,'Leave log'!$B$7:$B$306,"&lt;="&amp;DATE($B$3,9,14),'Leave log'!$C$7:$C$306,"&gt;="&amp;DATE($B$3,9,14),'Leave log'!$F$7:$F$306,"Pending")&gt;0,"P",""))))</f>
        <v/>
      </c>
      <c r="P303" s="23" t="str">
        <f>IF(A303="","",IF(IF(OR(DATE($B$3,9,15)&gt;EOMONTH(DATE($B$3,9,1),0),NETWORKDAYS.INTL(DATE($B$3,9,15),DATE($B$3,9,15),1,'Non-working days'!$A$6:$A$45)=0),"",IF(COUNTIFS('Leave log'!$A$7:$A$306,Employees!$A$30,'Leave log'!$B$7:$B$306,"&lt;="&amp;DATE($B$3,9,15),'Leave log'!$C$7:$C$306,"&gt;="&amp;DATE($B$3,9,15),'Leave log'!$F$7:$F$306,"Approved")&gt;0,"A",""))="A","A",IF(OR(DATE($B$3,9,15)&gt;EOMONTH(DATE($B$3,9,1),0),NETWORKDAYS.INTL(DATE($B$3,9,15),DATE($B$3,9,15),1,'Non-working days'!$A$6:$A$45)=0),"",IF(COUNTIFS('Leave log'!$A$7:$A$306,Employees!$A$30,'Leave log'!$B$7:$B$306,"&lt;="&amp;DATE($B$3,9,15),'Leave log'!$C$7:$C$306,"&gt;="&amp;DATE($B$3,9,15),'Leave log'!$F$7:$F$306,"Pending")&gt;0,"P",""))))</f>
        <v/>
      </c>
      <c r="Q303" s="23" t="str">
        <f>IF(A303="","",IF(IF(OR(DATE($B$3,9,16)&gt;EOMONTH(DATE($B$3,9,1),0),NETWORKDAYS.INTL(DATE($B$3,9,16),DATE($B$3,9,16),1,'Non-working days'!$A$6:$A$45)=0),"",IF(COUNTIFS('Leave log'!$A$7:$A$306,Employees!$A$30,'Leave log'!$B$7:$B$306,"&lt;="&amp;DATE($B$3,9,16),'Leave log'!$C$7:$C$306,"&gt;="&amp;DATE($B$3,9,16),'Leave log'!$F$7:$F$306,"Approved")&gt;0,"A",""))="A","A",IF(OR(DATE($B$3,9,16)&gt;EOMONTH(DATE($B$3,9,1),0),NETWORKDAYS.INTL(DATE($B$3,9,16),DATE($B$3,9,16),1,'Non-working days'!$A$6:$A$45)=0),"",IF(COUNTIFS('Leave log'!$A$7:$A$306,Employees!$A$30,'Leave log'!$B$7:$B$306,"&lt;="&amp;DATE($B$3,9,16),'Leave log'!$C$7:$C$306,"&gt;="&amp;DATE($B$3,9,16),'Leave log'!$F$7:$F$306,"Pending")&gt;0,"P",""))))</f>
        <v/>
      </c>
      <c r="R303" s="23" t="str">
        <f>IF(A303="","",IF(IF(OR(DATE($B$3,9,17)&gt;EOMONTH(DATE($B$3,9,1),0),NETWORKDAYS.INTL(DATE($B$3,9,17),DATE($B$3,9,17),1,'Non-working days'!$A$6:$A$45)=0),"",IF(COUNTIFS('Leave log'!$A$7:$A$306,Employees!$A$30,'Leave log'!$B$7:$B$306,"&lt;="&amp;DATE($B$3,9,17),'Leave log'!$C$7:$C$306,"&gt;="&amp;DATE($B$3,9,17),'Leave log'!$F$7:$F$306,"Approved")&gt;0,"A",""))="A","A",IF(OR(DATE($B$3,9,17)&gt;EOMONTH(DATE($B$3,9,1),0),NETWORKDAYS.INTL(DATE($B$3,9,17),DATE($B$3,9,17),1,'Non-working days'!$A$6:$A$45)=0),"",IF(COUNTIFS('Leave log'!$A$7:$A$306,Employees!$A$30,'Leave log'!$B$7:$B$306,"&lt;="&amp;DATE($B$3,9,17),'Leave log'!$C$7:$C$306,"&gt;="&amp;DATE($B$3,9,17),'Leave log'!$F$7:$F$306,"Pending")&gt;0,"P",""))))</f>
        <v/>
      </c>
      <c r="S303" s="23" t="str">
        <f>IF(A303="","",IF(IF(OR(DATE($B$3,9,18)&gt;EOMONTH(DATE($B$3,9,1),0),NETWORKDAYS.INTL(DATE($B$3,9,18),DATE($B$3,9,18),1,'Non-working days'!$A$6:$A$45)=0),"",IF(COUNTIFS('Leave log'!$A$7:$A$306,Employees!$A$30,'Leave log'!$B$7:$B$306,"&lt;="&amp;DATE($B$3,9,18),'Leave log'!$C$7:$C$306,"&gt;="&amp;DATE($B$3,9,18),'Leave log'!$F$7:$F$306,"Approved")&gt;0,"A",""))="A","A",IF(OR(DATE($B$3,9,18)&gt;EOMONTH(DATE($B$3,9,1),0),NETWORKDAYS.INTL(DATE($B$3,9,18),DATE($B$3,9,18),1,'Non-working days'!$A$6:$A$45)=0),"",IF(COUNTIFS('Leave log'!$A$7:$A$306,Employees!$A$30,'Leave log'!$B$7:$B$306,"&lt;="&amp;DATE($B$3,9,18),'Leave log'!$C$7:$C$306,"&gt;="&amp;DATE($B$3,9,18),'Leave log'!$F$7:$F$306,"Pending")&gt;0,"P",""))))</f>
        <v/>
      </c>
      <c r="T303" s="23" t="str">
        <f>IF(A303="","",IF(IF(OR(DATE($B$3,9,19)&gt;EOMONTH(DATE($B$3,9,1),0),NETWORKDAYS.INTL(DATE($B$3,9,19),DATE($B$3,9,19),1,'Non-working days'!$A$6:$A$45)=0),"",IF(COUNTIFS('Leave log'!$A$7:$A$306,Employees!$A$30,'Leave log'!$B$7:$B$306,"&lt;="&amp;DATE($B$3,9,19),'Leave log'!$C$7:$C$306,"&gt;="&amp;DATE($B$3,9,19),'Leave log'!$F$7:$F$306,"Approved")&gt;0,"A",""))="A","A",IF(OR(DATE($B$3,9,19)&gt;EOMONTH(DATE($B$3,9,1),0),NETWORKDAYS.INTL(DATE($B$3,9,19),DATE($B$3,9,19),1,'Non-working days'!$A$6:$A$45)=0),"",IF(COUNTIFS('Leave log'!$A$7:$A$306,Employees!$A$30,'Leave log'!$B$7:$B$306,"&lt;="&amp;DATE($B$3,9,19),'Leave log'!$C$7:$C$306,"&gt;="&amp;DATE($B$3,9,19),'Leave log'!$F$7:$F$306,"Pending")&gt;0,"P",""))))</f>
        <v/>
      </c>
      <c r="U303" s="23" t="str">
        <f>IF(A303="","",IF(IF(OR(DATE($B$3,9,20)&gt;EOMONTH(DATE($B$3,9,1),0),NETWORKDAYS.INTL(DATE($B$3,9,20),DATE($B$3,9,20),1,'Non-working days'!$A$6:$A$45)=0),"",IF(COUNTIFS('Leave log'!$A$7:$A$306,Employees!$A$30,'Leave log'!$B$7:$B$306,"&lt;="&amp;DATE($B$3,9,20),'Leave log'!$C$7:$C$306,"&gt;="&amp;DATE($B$3,9,20),'Leave log'!$F$7:$F$306,"Approved")&gt;0,"A",""))="A","A",IF(OR(DATE($B$3,9,20)&gt;EOMONTH(DATE($B$3,9,1),0),NETWORKDAYS.INTL(DATE($B$3,9,20),DATE($B$3,9,20),1,'Non-working days'!$A$6:$A$45)=0),"",IF(COUNTIFS('Leave log'!$A$7:$A$306,Employees!$A$30,'Leave log'!$B$7:$B$306,"&lt;="&amp;DATE($B$3,9,20),'Leave log'!$C$7:$C$306,"&gt;="&amp;DATE($B$3,9,20),'Leave log'!$F$7:$F$306,"Pending")&gt;0,"P",""))))</f>
        <v/>
      </c>
      <c r="V303" s="23" t="str">
        <f>IF(A303="","",IF(IF(OR(DATE($B$3,9,21)&gt;EOMONTH(DATE($B$3,9,1),0),NETWORKDAYS.INTL(DATE($B$3,9,21),DATE($B$3,9,21),1,'Non-working days'!$A$6:$A$45)=0),"",IF(COUNTIFS('Leave log'!$A$7:$A$306,Employees!$A$30,'Leave log'!$B$7:$B$306,"&lt;="&amp;DATE($B$3,9,21),'Leave log'!$C$7:$C$306,"&gt;="&amp;DATE($B$3,9,21),'Leave log'!$F$7:$F$306,"Approved")&gt;0,"A",""))="A","A",IF(OR(DATE($B$3,9,21)&gt;EOMONTH(DATE($B$3,9,1),0),NETWORKDAYS.INTL(DATE($B$3,9,21),DATE($B$3,9,21),1,'Non-working days'!$A$6:$A$45)=0),"",IF(COUNTIFS('Leave log'!$A$7:$A$306,Employees!$A$30,'Leave log'!$B$7:$B$306,"&lt;="&amp;DATE($B$3,9,21),'Leave log'!$C$7:$C$306,"&gt;="&amp;DATE($B$3,9,21),'Leave log'!$F$7:$F$306,"Pending")&gt;0,"P",""))))</f>
        <v/>
      </c>
      <c r="W303" s="23" t="str">
        <f>IF(A303="","",IF(IF(OR(DATE($B$3,9,22)&gt;EOMONTH(DATE($B$3,9,1),0),NETWORKDAYS.INTL(DATE($B$3,9,22),DATE($B$3,9,22),1,'Non-working days'!$A$6:$A$45)=0),"",IF(COUNTIFS('Leave log'!$A$7:$A$306,Employees!$A$30,'Leave log'!$B$7:$B$306,"&lt;="&amp;DATE($B$3,9,22),'Leave log'!$C$7:$C$306,"&gt;="&amp;DATE($B$3,9,22),'Leave log'!$F$7:$F$306,"Approved")&gt;0,"A",""))="A","A",IF(OR(DATE($B$3,9,22)&gt;EOMONTH(DATE($B$3,9,1),0),NETWORKDAYS.INTL(DATE($B$3,9,22),DATE($B$3,9,22),1,'Non-working days'!$A$6:$A$45)=0),"",IF(COUNTIFS('Leave log'!$A$7:$A$306,Employees!$A$30,'Leave log'!$B$7:$B$306,"&lt;="&amp;DATE($B$3,9,22),'Leave log'!$C$7:$C$306,"&gt;="&amp;DATE($B$3,9,22),'Leave log'!$F$7:$F$306,"Pending")&gt;0,"P",""))))</f>
        <v/>
      </c>
      <c r="X303" s="23" t="str">
        <f>IF(A303="","",IF(IF(OR(DATE($B$3,9,23)&gt;EOMONTH(DATE($B$3,9,1),0),NETWORKDAYS.INTL(DATE($B$3,9,23),DATE($B$3,9,23),1,'Non-working days'!$A$6:$A$45)=0),"",IF(COUNTIFS('Leave log'!$A$7:$A$306,Employees!$A$30,'Leave log'!$B$7:$B$306,"&lt;="&amp;DATE($B$3,9,23),'Leave log'!$C$7:$C$306,"&gt;="&amp;DATE($B$3,9,23),'Leave log'!$F$7:$F$306,"Approved")&gt;0,"A",""))="A","A",IF(OR(DATE($B$3,9,23)&gt;EOMONTH(DATE($B$3,9,1),0),NETWORKDAYS.INTL(DATE($B$3,9,23),DATE($B$3,9,23),1,'Non-working days'!$A$6:$A$45)=0),"",IF(COUNTIFS('Leave log'!$A$7:$A$306,Employees!$A$30,'Leave log'!$B$7:$B$306,"&lt;="&amp;DATE($B$3,9,23),'Leave log'!$C$7:$C$306,"&gt;="&amp;DATE($B$3,9,23),'Leave log'!$F$7:$F$306,"Pending")&gt;0,"P",""))))</f>
        <v/>
      </c>
      <c r="Y303" s="23" t="str">
        <f>IF(A303="","",IF(IF(OR(DATE($B$3,9,24)&gt;EOMONTH(DATE($B$3,9,1),0),NETWORKDAYS.INTL(DATE($B$3,9,24),DATE($B$3,9,24),1,'Non-working days'!$A$6:$A$45)=0),"",IF(COUNTIFS('Leave log'!$A$7:$A$306,Employees!$A$30,'Leave log'!$B$7:$B$306,"&lt;="&amp;DATE($B$3,9,24),'Leave log'!$C$7:$C$306,"&gt;="&amp;DATE($B$3,9,24),'Leave log'!$F$7:$F$306,"Approved")&gt;0,"A",""))="A","A",IF(OR(DATE($B$3,9,24)&gt;EOMONTH(DATE($B$3,9,1),0),NETWORKDAYS.INTL(DATE($B$3,9,24),DATE($B$3,9,24),1,'Non-working days'!$A$6:$A$45)=0),"",IF(COUNTIFS('Leave log'!$A$7:$A$306,Employees!$A$30,'Leave log'!$B$7:$B$306,"&lt;="&amp;DATE($B$3,9,24),'Leave log'!$C$7:$C$306,"&gt;="&amp;DATE($B$3,9,24),'Leave log'!$F$7:$F$306,"Pending")&gt;0,"P",""))))</f>
        <v/>
      </c>
      <c r="Z303" s="23" t="str">
        <f>IF(A303="","",IF(IF(OR(DATE($B$3,9,25)&gt;EOMONTH(DATE($B$3,9,1),0),NETWORKDAYS.INTL(DATE($B$3,9,25),DATE($B$3,9,25),1,'Non-working days'!$A$6:$A$45)=0),"",IF(COUNTIFS('Leave log'!$A$7:$A$306,Employees!$A$30,'Leave log'!$B$7:$B$306,"&lt;="&amp;DATE($B$3,9,25),'Leave log'!$C$7:$C$306,"&gt;="&amp;DATE($B$3,9,25),'Leave log'!$F$7:$F$306,"Approved")&gt;0,"A",""))="A","A",IF(OR(DATE($B$3,9,25)&gt;EOMONTH(DATE($B$3,9,1),0),NETWORKDAYS.INTL(DATE($B$3,9,25),DATE($B$3,9,25),1,'Non-working days'!$A$6:$A$45)=0),"",IF(COUNTIFS('Leave log'!$A$7:$A$306,Employees!$A$30,'Leave log'!$B$7:$B$306,"&lt;="&amp;DATE($B$3,9,25),'Leave log'!$C$7:$C$306,"&gt;="&amp;DATE($B$3,9,25),'Leave log'!$F$7:$F$306,"Pending")&gt;0,"P",""))))</f>
        <v/>
      </c>
      <c r="AA303" s="23" t="str">
        <f>IF(A303="","",IF(IF(OR(DATE($B$3,9,26)&gt;EOMONTH(DATE($B$3,9,1),0),NETWORKDAYS.INTL(DATE($B$3,9,26),DATE($B$3,9,26),1,'Non-working days'!$A$6:$A$45)=0),"",IF(COUNTIFS('Leave log'!$A$7:$A$306,Employees!$A$30,'Leave log'!$B$7:$B$306,"&lt;="&amp;DATE($B$3,9,26),'Leave log'!$C$7:$C$306,"&gt;="&amp;DATE($B$3,9,26),'Leave log'!$F$7:$F$306,"Approved")&gt;0,"A",""))="A","A",IF(OR(DATE($B$3,9,26)&gt;EOMONTH(DATE($B$3,9,1),0),NETWORKDAYS.INTL(DATE($B$3,9,26),DATE($B$3,9,26),1,'Non-working days'!$A$6:$A$45)=0),"",IF(COUNTIFS('Leave log'!$A$7:$A$306,Employees!$A$30,'Leave log'!$B$7:$B$306,"&lt;="&amp;DATE($B$3,9,26),'Leave log'!$C$7:$C$306,"&gt;="&amp;DATE($B$3,9,26),'Leave log'!$F$7:$F$306,"Pending")&gt;0,"P",""))))</f>
        <v/>
      </c>
      <c r="AB303" s="23" t="str">
        <f>IF(A303="","",IF(IF(OR(DATE($B$3,9,27)&gt;EOMONTH(DATE($B$3,9,1),0),NETWORKDAYS.INTL(DATE($B$3,9,27),DATE($B$3,9,27),1,'Non-working days'!$A$6:$A$45)=0),"",IF(COUNTIFS('Leave log'!$A$7:$A$306,Employees!$A$30,'Leave log'!$B$7:$B$306,"&lt;="&amp;DATE($B$3,9,27),'Leave log'!$C$7:$C$306,"&gt;="&amp;DATE($B$3,9,27),'Leave log'!$F$7:$F$306,"Approved")&gt;0,"A",""))="A","A",IF(OR(DATE($B$3,9,27)&gt;EOMONTH(DATE($B$3,9,1),0),NETWORKDAYS.INTL(DATE($B$3,9,27),DATE($B$3,9,27),1,'Non-working days'!$A$6:$A$45)=0),"",IF(COUNTIFS('Leave log'!$A$7:$A$306,Employees!$A$30,'Leave log'!$B$7:$B$306,"&lt;="&amp;DATE($B$3,9,27),'Leave log'!$C$7:$C$306,"&gt;="&amp;DATE($B$3,9,27),'Leave log'!$F$7:$F$306,"Pending")&gt;0,"P",""))))</f>
        <v/>
      </c>
      <c r="AC303" s="23" t="str">
        <f>IF(A303="","",IF(IF(OR(DATE($B$3,9,28)&gt;EOMONTH(DATE($B$3,9,1),0),NETWORKDAYS.INTL(DATE($B$3,9,28),DATE($B$3,9,28),1,'Non-working days'!$A$6:$A$45)=0),"",IF(COUNTIFS('Leave log'!$A$7:$A$306,Employees!$A$30,'Leave log'!$B$7:$B$306,"&lt;="&amp;DATE($B$3,9,28),'Leave log'!$C$7:$C$306,"&gt;="&amp;DATE($B$3,9,28),'Leave log'!$F$7:$F$306,"Approved")&gt;0,"A",""))="A","A",IF(OR(DATE($B$3,9,28)&gt;EOMONTH(DATE($B$3,9,1),0),NETWORKDAYS.INTL(DATE($B$3,9,28),DATE($B$3,9,28),1,'Non-working days'!$A$6:$A$45)=0),"",IF(COUNTIFS('Leave log'!$A$7:$A$306,Employees!$A$30,'Leave log'!$B$7:$B$306,"&lt;="&amp;DATE($B$3,9,28),'Leave log'!$C$7:$C$306,"&gt;="&amp;DATE($B$3,9,28),'Leave log'!$F$7:$F$306,"Pending")&gt;0,"P",""))))</f>
        <v/>
      </c>
      <c r="AD303" s="23" t="str">
        <f>IF(A303="","",IF(IF(OR(DATE($B$3,9,29)&gt;EOMONTH(DATE($B$3,9,1),0),NETWORKDAYS.INTL(DATE($B$3,9,29),DATE($B$3,9,29),1,'Non-working days'!$A$6:$A$45)=0),"",IF(COUNTIFS('Leave log'!$A$7:$A$306,Employees!$A$30,'Leave log'!$B$7:$B$306,"&lt;="&amp;DATE($B$3,9,29),'Leave log'!$C$7:$C$306,"&gt;="&amp;DATE($B$3,9,29),'Leave log'!$F$7:$F$306,"Approved")&gt;0,"A",""))="A","A",IF(OR(DATE($B$3,9,29)&gt;EOMONTH(DATE($B$3,9,1),0),NETWORKDAYS.INTL(DATE($B$3,9,29),DATE($B$3,9,29),1,'Non-working days'!$A$6:$A$45)=0),"",IF(COUNTIFS('Leave log'!$A$7:$A$306,Employees!$A$30,'Leave log'!$B$7:$B$306,"&lt;="&amp;DATE($B$3,9,29),'Leave log'!$C$7:$C$306,"&gt;="&amp;DATE($B$3,9,29),'Leave log'!$F$7:$F$306,"Pending")&gt;0,"P",""))))</f>
        <v/>
      </c>
      <c r="AE303" s="23" t="str">
        <f>IF(A303="","",IF(IF(OR(DATE($B$3,9,30)&gt;EOMONTH(DATE($B$3,9,1),0),NETWORKDAYS.INTL(DATE($B$3,9,30),DATE($B$3,9,30),1,'Non-working days'!$A$6:$A$45)=0),"",IF(COUNTIFS('Leave log'!$A$7:$A$306,Employees!$A$30,'Leave log'!$B$7:$B$306,"&lt;="&amp;DATE($B$3,9,30),'Leave log'!$C$7:$C$306,"&gt;="&amp;DATE($B$3,9,30),'Leave log'!$F$7:$F$306,"Approved")&gt;0,"A",""))="A","A",IF(OR(DATE($B$3,9,30)&gt;EOMONTH(DATE($B$3,9,1),0),NETWORKDAYS.INTL(DATE($B$3,9,30),DATE($B$3,9,30),1,'Non-working days'!$A$6:$A$45)=0),"",IF(COUNTIFS('Leave log'!$A$7:$A$306,Employees!$A$30,'Leave log'!$B$7:$B$306,"&lt;="&amp;DATE($B$3,9,30),'Leave log'!$C$7:$C$306,"&gt;="&amp;DATE($B$3,9,30),'Leave log'!$F$7:$F$306,"Pending")&gt;0,"P",""))))</f>
        <v/>
      </c>
      <c r="AF303" s="23" t="str">
        <f>IF(A303="","",IF(IF(OR(DATE($B$3,9,31)&gt;EOMONTH(DATE($B$3,9,1),0),NETWORKDAYS.INTL(DATE($B$3,9,31),DATE($B$3,9,31),1,'Non-working days'!$A$6:$A$45)=0),"",IF(COUNTIFS('Leave log'!$A$7:$A$306,Employees!$A$30,'Leave log'!$B$7:$B$306,"&lt;="&amp;DATE($B$3,9,31),'Leave log'!$C$7:$C$306,"&gt;="&amp;DATE($B$3,9,31),'Leave log'!$F$7:$F$306,"Approved")&gt;0,"A",""))="A","A",IF(OR(DATE($B$3,9,31)&gt;EOMONTH(DATE($B$3,9,1),0),NETWORKDAYS.INTL(DATE($B$3,9,31),DATE($B$3,9,31),1,'Non-working days'!$A$6:$A$45)=0),"",IF(COUNTIFS('Leave log'!$A$7:$A$306,Employees!$A$30,'Leave log'!$B$7:$B$306,"&lt;="&amp;DATE($B$3,9,31),'Leave log'!$C$7:$C$306,"&gt;="&amp;DATE($B$3,9,31),'Leave log'!$F$7:$F$306,"Pending")&gt;0,"P",""))))</f>
        <v/>
      </c>
    </row>
    <row r="304" spans="1:32" ht="18" customHeight="1" x14ac:dyDescent="0.3">
      <c r="A304" s="22" t="str">
        <f>IF(Employees!F31="Yes",Employees!B31,"")</f>
        <v/>
      </c>
      <c r="B304" s="23" t="str">
        <f>IF(A304="","",IF(IF(OR(DATE($B$3,9,1)&gt;EOMONTH(DATE($B$3,9,1),0),NETWORKDAYS.INTL(DATE($B$3,9,1),DATE($B$3,9,1),1,'Non-working days'!$A$6:$A$45)=0),"",IF(COUNTIFS('Leave log'!$A$7:$A$306,Employees!$A$31,'Leave log'!$B$7:$B$306,"&lt;="&amp;DATE($B$3,9,1),'Leave log'!$C$7:$C$306,"&gt;="&amp;DATE($B$3,9,1),'Leave log'!$F$7:$F$306,"Approved")&gt;0,"A",""))="A","A",IF(OR(DATE($B$3,9,1)&gt;EOMONTH(DATE($B$3,9,1),0),NETWORKDAYS.INTL(DATE($B$3,9,1),DATE($B$3,9,1),1,'Non-working days'!$A$6:$A$45)=0),"",IF(COUNTIFS('Leave log'!$A$7:$A$306,Employees!$A$31,'Leave log'!$B$7:$B$306,"&lt;="&amp;DATE($B$3,9,1),'Leave log'!$C$7:$C$306,"&gt;="&amp;DATE($B$3,9,1),'Leave log'!$F$7:$F$306,"Pending")&gt;0,"P",""))))</f>
        <v/>
      </c>
      <c r="C304" s="23" t="str">
        <f>IF(A304="","",IF(IF(OR(DATE($B$3,9,2)&gt;EOMONTH(DATE($B$3,9,1),0),NETWORKDAYS.INTL(DATE($B$3,9,2),DATE($B$3,9,2),1,'Non-working days'!$A$6:$A$45)=0),"",IF(COUNTIFS('Leave log'!$A$7:$A$306,Employees!$A$31,'Leave log'!$B$7:$B$306,"&lt;="&amp;DATE($B$3,9,2),'Leave log'!$C$7:$C$306,"&gt;="&amp;DATE($B$3,9,2),'Leave log'!$F$7:$F$306,"Approved")&gt;0,"A",""))="A","A",IF(OR(DATE($B$3,9,2)&gt;EOMONTH(DATE($B$3,9,1),0),NETWORKDAYS.INTL(DATE($B$3,9,2),DATE($B$3,9,2),1,'Non-working days'!$A$6:$A$45)=0),"",IF(COUNTIFS('Leave log'!$A$7:$A$306,Employees!$A$31,'Leave log'!$B$7:$B$306,"&lt;="&amp;DATE($B$3,9,2),'Leave log'!$C$7:$C$306,"&gt;="&amp;DATE($B$3,9,2),'Leave log'!$F$7:$F$306,"Pending")&gt;0,"P",""))))</f>
        <v/>
      </c>
      <c r="D304" s="23" t="str">
        <f>IF(A304="","",IF(IF(OR(DATE($B$3,9,3)&gt;EOMONTH(DATE($B$3,9,1),0),NETWORKDAYS.INTL(DATE($B$3,9,3),DATE($B$3,9,3),1,'Non-working days'!$A$6:$A$45)=0),"",IF(COUNTIFS('Leave log'!$A$7:$A$306,Employees!$A$31,'Leave log'!$B$7:$B$306,"&lt;="&amp;DATE($B$3,9,3),'Leave log'!$C$7:$C$306,"&gt;="&amp;DATE($B$3,9,3),'Leave log'!$F$7:$F$306,"Approved")&gt;0,"A",""))="A","A",IF(OR(DATE($B$3,9,3)&gt;EOMONTH(DATE($B$3,9,1),0),NETWORKDAYS.INTL(DATE($B$3,9,3),DATE($B$3,9,3),1,'Non-working days'!$A$6:$A$45)=0),"",IF(COUNTIFS('Leave log'!$A$7:$A$306,Employees!$A$31,'Leave log'!$B$7:$B$306,"&lt;="&amp;DATE($B$3,9,3),'Leave log'!$C$7:$C$306,"&gt;="&amp;DATE($B$3,9,3),'Leave log'!$F$7:$F$306,"Pending")&gt;0,"P",""))))</f>
        <v/>
      </c>
      <c r="E304" s="23" t="str">
        <f>IF(A304="","",IF(IF(OR(DATE($B$3,9,4)&gt;EOMONTH(DATE($B$3,9,1),0),NETWORKDAYS.INTL(DATE($B$3,9,4),DATE($B$3,9,4),1,'Non-working days'!$A$6:$A$45)=0),"",IF(COUNTIFS('Leave log'!$A$7:$A$306,Employees!$A$31,'Leave log'!$B$7:$B$306,"&lt;="&amp;DATE($B$3,9,4),'Leave log'!$C$7:$C$306,"&gt;="&amp;DATE($B$3,9,4),'Leave log'!$F$7:$F$306,"Approved")&gt;0,"A",""))="A","A",IF(OR(DATE($B$3,9,4)&gt;EOMONTH(DATE($B$3,9,1),0),NETWORKDAYS.INTL(DATE($B$3,9,4),DATE($B$3,9,4),1,'Non-working days'!$A$6:$A$45)=0),"",IF(COUNTIFS('Leave log'!$A$7:$A$306,Employees!$A$31,'Leave log'!$B$7:$B$306,"&lt;="&amp;DATE($B$3,9,4),'Leave log'!$C$7:$C$306,"&gt;="&amp;DATE($B$3,9,4),'Leave log'!$F$7:$F$306,"Pending")&gt;0,"P",""))))</f>
        <v/>
      </c>
      <c r="F304" s="23" t="str">
        <f>IF(A304="","",IF(IF(OR(DATE($B$3,9,5)&gt;EOMONTH(DATE($B$3,9,1),0),NETWORKDAYS.INTL(DATE($B$3,9,5),DATE($B$3,9,5),1,'Non-working days'!$A$6:$A$45)=0),"",IF(COUNTIFS('Leave log'!$A$7:$A$306,Employees!$A$31,'Leave log'!$B$7:$B$306,"&lt;="&amp;DATE($B$3,9,5),'Leave log'!$C$7:$C$306,"&gt;="&amp;DATE($B$3,9,5),'Leave log'!$F$7:$F$306,"Approved")&gt;0,"A",""))="A","A",IF(OR(DATE($B$3,9,5)&gt;EOMONTH(DATE($B$3,9,1),0),NETWORKDAYS.INTL(DATE($B$3,9,5),DATE($B$3,9,5),1,'Non-working days'!$A$6:$A$45)=0),"",IF(COUNTIFS('Leave log'!$A$7:$A$306,Employees!$A$31,'Leave log'!$B$7:$B$306,"&lt;="&amp;DATE($B$3,9,5),'Leave log'!$C$7:$C$306,"&gt;="&amp;DATE($B$3,9,5),'Leave log'!$F$7:$F$306,"Pending")&gt;0,"P",""))))</f>
        <v/>
      </c>
      <c r="G304" s="23" t="str">
        <f>IF(A304="","",IF(IF(OR(DATE($B$3,9,6)&gt;EOMONTH(DATE($B$3,9,1),0),NETWORKDAYS.INTL(DATE($B$3,9,6),DATE($B$3,9,6),1,'Non-working days'!$A$6:$A$45)=0),"",IF(COUNTIFS('Leave log'!$A$7:$A$306,Employees!$A$31,'Leave log'!$B$7:$B$306,"&lt;="&amp;DATE($B$3,9,6),'Leave log'!$C$7:$C$306,"&gt;="&amp;DATE($B$3,9,6),'Leave log'!$F$7:$F$306,"Approved")&gt;0,"A",""))="A","A",IF(OR(DATE($B$3,9,6)&gt;EOMONTH(DATE($B$3,9,1),0),NETWORKDAYS.INTL(DATE($B$3,9,6),DATE($B$3,9,6),1,'Non-working days'!$A$6:$A$45)=0),"",IF(COUNTIFS('Leave log'!$A$7:$A$306,Employees!$A$31,'Leave log'!$B$7:$B$306,"&lt;="&amp;DATE($B$3,9,6),'Leave log'!$C$7:$C$306,"&gt;="&amp;DATE($B$3,9,6),'Leave log'!$F$7:$F$306,"Pending")&gt;0,"P",""))))</f>
        <v/>
      </c>
      <c r="H304" s="23" t="str">
        <f>IF(A304="","",IF(IF(OR(DATE($B$3,9,7)&gt;EOMONTH(DATE($B$3,9,1),0),NETWORKDAYS.INTL(DATE($B$3,9,7),DATE($B$3,9,7),1,'Non-working days'!$A$6:$A$45)=0),"",IF(COUNTIFS('Leave log'!$A$7:$A$306,Employees!$A$31,'Leave log'!$B$7:$B$306,"&lt;="&amp;DATE($B$3,9,7),'Leave log'!$C$7:$C$306,"&gt;="&amp;DATE($B$3,9,7),'Leave log'!$F$7:$F$306,"Approved")&gt;0,"A",""))="A","A",IF(OR(DATE($B$3,9,7)&gt;EOMONTH(DATE($B$3,9,1),0),NETWORKDAYS.INTL(DATE($B$3,9,7),DATE($B$3,9,7),1,'Non-working days'!$A$6:$A$45)=0),"",IF(COUNTIFS('Leave log'!$A$7:$A$306,Employees!$A$31,'Leave log'!$B$7:$B$306,"&lt;="&amp;DATE($B$3,9,7),'Leave log'!$C$7:$C$306,"&gt;="&amp;DATE($B$3,9,7),'Leave log'!$F$7:$F$306,"Pending")&gt;0,"P",""))))</f>
        <v/>
      </c>
      <c r="I304" s="23" t="str">
        <f>IF(A304="","",IF(IF(OR(DATE($B$3,9,8)&gt;EOMONTH(DATE($B$3,9,1),0),NETWORKDAYS.INTL(DATE($B$3,9,8),DATE($B$3,9,8),1,'Non-working days'!$A$6:$A$45)=0),"",IF(COUNTIFS('Leave log'!$A$7:$A$306,Employees!$A$31,'Leave log'!$B$7:$B$306,"&lt;="&amp;DATE($B$3,9,8),'Leave log'!$C$7:$C$306,"&gt;="&amp;DATE($B$3,9,8),'Leave log'!$F$7:$F$306,"Approved")&gt;0,"A",""))="A","A",IF(OR(DATE($B$3,9,8)&gt;EOMONTH(DATE($B$3,9,1),0),NETWORKDAYS.INTL(DATE($B$3,9,8),DATE($B$3,9,8),1,'Non-working days'!$A$6:$A$45)=0),"",IF(COUNTIFS('Leave log'!$A$7:$A$306,Employees!$A$31,'Leave log'!$B$7:$B$306,"&lt;="&amp;DATE($B$3,9,8),'Leave log'!$C$7:$C$306,"&gt;="&amp;DATE($B$3,9,8),'Leave log'!$F$7:$F$306,"Pending")&gt;0,"P",""))))</f>
        <v/>
      </c>
      <c r="J304" s="23" t="str">
        <f>IF(A304="","",IF(IF(OR(DATE($B$3,9,9)&gt;EOMONTH(DATE($B$3,9,1),0),NETWORKDAYS.INTL(DATE($B$3,9,9),DATE($B$3,9,9),1,'Non-working days'!$A$6:$A$45)=0),"",IF(COUNTIFS('Leave log'!$A$7:$A$306,Employees!$A$31,'Leave log'!$B$7:$B$306,"&lt;="&amp;DATE($B$3,9,9),'Leave log'!$C$7:$C$306,"&gt;="&amp;DATE($B$3,9,9),'Leave log'!$F$7:$F$306,"Approved")&gt;0,"A",""))="A","A",IF(OR(DATE($B$3,9,9)&gt;EOMONTH(DATE($B$3,9,1),0),NETWORKDAYS.INTL(DATE($B$3,9,9),DATE($B$3,9,9),1,'Non-working days'!$A$6:$A$45)=0),"",IF(COUNTIFS('Leave log'!$A$7:$A$306,Employees!$A$31,'Leave log'!$B$7:$B$306,"&lt;="&amp;DATE($B$3,9,9),'Leave log'!$C$7:$C$306,"&gt;="&amp;DATE($B$3,9,9),'Leave log'!$F$7:$F$306,"Pending")&gt;0,"P",""))))</f>
        <v/>
      </c>
      <c r="K304" s="23" t="str">
        <f>IF(A304="","",IF(IF(OR(DATE($B$3,9,10)&gt;EOMONTH(DATE($B$3,9,1),0),NETWORKDAYS.INTL(DATE($B$3,9,10),DATE($B$3,9,10),1,'Non-working days'!$A$6:$A$45)=0),"",IF(COUNTIFS('Leave log'!$A$7:$A$306,Employees!$A$31,'Leave log'!$B$7:$B$306,"&lt;="&amp;DATE($B$3,9,10),'Leave log'!$C$7:$C$306,"&gt;="&amp;DATE($B$3,9,10),'Leave log'!$F$7:$F$306,"Approved")&gt;0,"A",""))="A","A",IF(OR(DATE($B$3,9,10)&gt;EOMONTH(DATE($B$3,9,1),0),NETWORKDAYS.INTL(DATE($B$3,9,10),DATE($B$3,9,10),1,'Non-working days'!$A$6:$A$45)=0),"",IF(COUNTIFS('Leave log'!$A$7:$A$306,Employees!$A$31,'Leave log'!$B$7:$B$306,"&lt;="&amp;DATE($B$3,9,10),'Leave log'!$C$7:$C$306,"&gt;="&amp;DATE($B$3,9,10),'Leave log'!$F$7:$F$306,"Pending")&gt;0,"P",""))))</f>
        <v/>
      </c>
      <c r="L304" s="23" t="str">
        <f>IF(A304="","",IF(IF(OR(DATE($B$3,9,11)&gt;EOMONTH(DATE($B$3,9,1),0),NETWORKDAYS.INTL(DATE($B$3,9,11),DATE($B$3,9,11),1,'Non-working days'!$A$6:$A$45)=0),"",IF(COUNTIFS('Leave log'!$A$7:$A$306,Employees!$A$31,'Leave log'!$B$7:$B$306,"&lt;="&amp;DATE($B$3,9,11),'Leave log'!$C$7:$C$306,"&gt;="&amp;DATE($B$3,9,11),'Leave log'!$F$7:$F$306,"Approved")&gt;0,"A",""))="A","A",IF(OR(DATE($B$3,9,11)&gt;EOMONTH(DATE($B$3,9,1),0),NETWORKDAYS.INTL(DATE($B$3,9,11),DATE($B$3,9,11),1,'Non-working days'!$A$6:$A$45)=0),"",IF(COUNTIFS('Leave log'!$A$7:$A$306,Employees!$A$31,'Leave log'!$B$7:$B$306,"&lt;="&amp;DATE($B$3,9,11),'Leave log'!$C$7:$C$306,"&gt;="&amp;DATE($B$3,9,11),'Leave log'!$F$7:$F$306,"Pending")&gt;0,"P",""))))</f>
        <v/>
      </c>
      <c r="M304" s="23" t="str">
        <f>IF(A304="","",IF(IF(OR(DATE($B$3,9,12)&gt;EOMONTH(DATE($B$3,9,1),0),NETWORKDAYS.INTL(DATE($B$3,9,12),DATE($B$3,9,12),1,'Non-working days'!$A$6:$A$45)=0),"",IF(COUNTIFS('Leave log'!$A$7:$A$306,Employees!$A$31,'Leave log'!$B$7:$B$306,"&lt;="&amp;DATE($B$3,9,12),'Leave log'!$C$7:$C$306,"&gt;="&amp;DATE($B$3,9,12),'Leave log'!$F$7:$F$306,"Approved")&gt;0,"A",""))="A","A",IF(OR(DATE($B$3,9,12)&gt;EOMONTH(DATE($B$3,9,1),0),NETWORKDAYS.INTL(DATE($B$3,9,12),DATE($B$3,9,12),1,'Non-working days'!$A$6:$A$45)=0),"",IF(COUNTIFS('Leave log'!$A$7:$A$306,Employees!$A$31,'Leave log'!$B$7:$B$306,"&lt;="&amp;DATE($B$3,9,12),'Leave log'!$C$7:$C$306,"&gt;="&amp;DATE($B$3,9,12),'Leave log'!$F$7:$F$306,"Pending")&gt;0,"P",""))))</f>
        <v/>
      </c>
      <c r="N304" s="23" t="str">
        <f>IF(A304="","",IF(IF(OR(DATE($B$3,9,13)&gt;EOMONTH(DATE($B$3,9,1),0),NETWORKDAYS.INTL(DATE($B$3,9,13),DATE($B$3,9,13),1,'Non-working days'!$A$6:$A$45)=0),"",IF(COUNTIFS('Leave log'!$A$7:$A$306,Employees!$A$31,'Leave log'!$B$7:$B$306,"&lt;="&amp;DATE($B$3,9,13),'Leave log'!$C$7:$C$306,"&gt;="&amp;DATE($B$3,9,13),'Leave log'!$F$7:$F$306,"Approved")&gt;0,"A",""))="A","A",IF(OR(DATE($B$3,9,13)&gt;EOMONTH(DATE($B$3,9,1),0),NETWORKDAYS.INTL(DATE($B$3,9,13),DATE($B$3,9,13),1,'Non-working days'!$A$6:$A$45)=0),"",IF(COUNTIFS('Leave log'!$A$7:$A$306,Employees!$A$31,'Leave log'!$B$7:$B$306,"&lt;="&amp;DATE($B$3,9,13),'Leave log'!$C$7:$C$306,"&gt;="&amp;DATE($B$3,9,13),'Leave log'!$F$7:$F$306,"Pending")&gt;0,"P",""))))</f>
        <v/>
      </c>
      <c r="O304" s="23" t="str">
        <f>IF(A304="","",IF(IF(OR(DATE($B$3,9,14)&gt;EOMONTH(DATE($B$3,9,1),0),NETWORKDAYS.INTL(DATE($B$3,9,14),DATE($B$3,9,14),1,'Non-working days'!$A$6:$A$45)=0),"",IF(COUNTIFS('Leave log'!$A$7:$A$306,Employees!$A$31,'Leave log'!$B$7:$B$306,"&lt;="&amp;DATE($B$3,9,14),'Leave log'!$C$7:$C$306,"&gt;="&amp;DATE($B$3,9,14),'Leave log'!$F$7:$F$306,"Approved")&gt;0,"A",""))="A","A",IF(OR(DATE($B$3,9,14)&gt;EOMONTH(DATE($B$3,9,1),0),NETWORKDAYS.INTL(DATE($B$3,9,14),DATE($B$3,9,14),1,'Non-working days'!$A$6:$A$45)=0),"",IF(COUNTIFS('Leave log'!$A$7:$A$306,Employees!$A$31,'Leave log'!$B$7:$B$306,"&lt;="&amp;DATE($B$3,9,14),'Leave log'!$C$7:$C$306,"&gt;="&amp;DATE($B$3,9,14),'Leave log'!$F$7:$F$306,"Pending")&gt;0,"P",""))))</f>
        <v/>
      </c>
      <c r="P304" s="23" t="str">
        <f>IF(A304="","",IF(IF(OR(DATE($B$3,9,15)&gt;EOMONTH(DATE($B$3,9,1),0),NETWORKDAYS.INTL(DATE($B$3,9,15),DATE($B$3,9,15),1,'Non-working days'!$A$6:$A$45)=0),"",IF(COUNTIFS('Leave log'!$A$7:$A$306,Employees!$A$31,'Leave log'!$B$7:$B$306,"&lt;="&amp;DATE($B$3,9,15),'Leave log'!$C$7:$C$306,"&gt;="&amp;DATE($B$3,9,15),'Leave log'!$F$7:$F$306,"Approved")&gt;0,"A",""))="A","A",IF(OR(DATE($B$3,9,15)&gt;EOMONTH(DATE($B$3,9,1),0),NETWORKDAYS.INTL(DATE($B$3,9,15),DATE($B$3,9,15),1,'Non-working days'!$A$6:$A$45)=0),"",IF(COUNTIFS('Leave log'!$A$7:$A$306,Employees!$A$31,'Leave log'!$B$7:$B$306,"&lt;="&amp;DATE($B$3,9,15),'Leave log'!$C$7:$C$306,"&gt;="&amp;DATE($B$3,9,15),'Leave log'!$F$7:$F$306,"Pending")&gt;0,"P",""))))</f>
        <v/>
      </c>
      <c r="Q304" s="23" t="str">
        <f>IF(A304="","",IF(IF(OR(DATE($B$3,9,16)&gt;EOMONTH(DATE($B$3,9,1),0),NETWORKDAYS.INTL(DATE($B$3,9,16),DATE($B$3,9,16),1,'Non-working days'!$A$6:$A$45)=0),"",IF(COUNTIFS('Leave log'!$A$7:$A$306,Employees!$A$31,'Leave log'!$B$7:$B$306,"&lt;="&amp;DATE($B$3,9,16),'Leave log'!$C$7:$C$306,"&gt;="&amp;DATE($B$3,9,16),'Leave log'!$F$7:$F$306,"Approved")&gt;0,"A",""))="A","A",IF(OR(DATE($B$3,9,16)&gt;EOMONTH(DATE($B$3,9,1),0),NETWORKDAYS.INTL(DATE($B$3,9,16),DATE($B$3,9,16),1,'Non-working days'!$A$6:$A$45)=0),"",IF(COUNTIFS('Leave log'!$A$7:$A$306,Employees!$A$31,'Leave log'!$B$7:$B$306,"&lt;="&amp;DATE($B$3,9,16),'Leave log'!$C$7:$C$306,"&gt;="&amp;DATE($B$3,9,16),'Leave log'!$F$7:$F$306,"Pending")&gt;0,"P",""))))</f>
        <v/>
      </c>
      <c r="R304" s="23" t="str">
        <f>IF(A304="","",IF(IF(OR(DATE($B$3,9,17)&gt;EOMONTH(DATE($B$3,9,1),0),NETWORKDAYS.INTL(DATE($B$3,9,17),DATE($B$3,9,17),1,'Non-working days'!$A$6:$A$45)=0),"",IF(COUNTIFS('Leave log'!$A$7:$A$306,Employees!$A$31,'Leave log'!$B$7:$B$306,"&lt;="&amp;DATE($B$3,9,17),'Leave log'!$C$7:$C$306,"&gt;="&amp;DATE($B$3,9,17),'Leave log'!$F$7:$F$306,"Approved")&gt;0,"A",""))="A","A",IF(OR(DATE($B$3,9,17)&gt;EOMONTH(DATE($B$3,9,1),0),NETWORKDAYS.INTL(DATE($B$3,9,17),DATE($B$3,9,17),1,'Non-working days'!$A$6:$A$45)=0),"",IF(COUNTIFS('Leave log'!$A$7:$A$306,Employees!$A$31,'Leave log'!$B$7:$B$306,"&lt;="&amp;DATE($B$3,9,17),'Leave log'!$C$7:$C$306,"&gt;="&amp;DATE($B$3,9,17),'Leave log'!$F$7:$F$306,"Pending")&gt;0,"P",""))))</f>
        <v/>
      </c>
      <c r="S304" s="23" t="str">
        <f>IF(A304="","",IF(IF(OR(DATE($B$3,9,18)&gt;EOMONTH(DATE($B$3,9,1),0),NETWORKDAYS.INTL(DATE($B$3,9,18),DATE($B$3,9,18),1,'Non-working days'!$A$6:$A$45)=0),"",IF(COUNTIFS('Leave log'!$A$7:$A$306,Employees!$A$31,'Leave log'!$B$7:$B$306,"&lt;="&amp;DATE($B$3,9,18),'Leave log'!$C$7:$C$306,"&gt;="&amp;DATE($B$3,9,18),'Leave log'!$F$7:$F$306,"Approved")&gt;0,"A",""))="A","A",IF(OR(DATE($B$3,9,18)&gt;EOMONTH(DATE($B$3,9,1),0),NETWORKDAYS.INTL(DATE($B$3,9,18),DATE($B$3,9,18),1,'Non-working days'!$A$6:$A$45)=0),"",IF(COUNTIFS('Leave log'!$A$7:$A$306,Employees!$A$31,'Leave log'!$B$7:$B$306,"&lt;="&amp;DATE($B$3,9,18),'Leave log'!$C$7:$C$306,"&gt;="&amp;DATE($B$3,9,18),'Leave log'!$F$7:$F$306,"Pending")&gt;0,"P",""))))</f>
        <v/>
      </c>
      <c r="T304" s="23" t="str">
        <f>IF(A304="","",IF(IF(OR(DATE($B$3,9,19)&gt;EOMONTH(DATE($B$3,9,1),0),NETWORKDAYS.INTL(DATE($B$3,9,19),DATE($B$3,9,19),1,'Non-working days'!$A$6:$A$45)=0),"",IF(COUNTIFS('Leave log'!$A$7:$A$306,Employees!$A$31,'Leave log'!$B$7:$B$306,"&lt;="&amp;DATE($B$3,9,19),'Leave log'!$C$7:$C$306,"&gt;="&amp;DATE($B$3,9,19),'Leave log'!$F$7:$F$306,"Approved")&gt;0,"A",""))="A","A",IF(OR(DATE($B$3,9,19)&gt;EOMONTH(DATE($B$3,9,1),0),NETWORKDAYS.INTL(DATE($B$3,9,19),DATE($B$3,9,19),1,'Non-working days'!$A$6:$A$45)=0),"",IF(COUNTIFS('Leave log'!$A$7:$A$306,Employees!$A$31,'Leave log'!$B$7:$B$306,"&lt;="&amp;DATE($B$3,9,19),'Leave log'!$C$7:$C$306,"&gt;="&amp;DATE($B$3,9,19),'Leave log'!$F$7:$F$306,"Pending")&gt;0,"P",""))))</f>
        <v/>
      </c>
      <c r="U304" s="23" t="str">
        <f>IF(A304="","",IF(IF(OR(DATE($B$3,9,20)&gt;EOMONTH(DATE($B$3,9,1),0),NETWORKDAYS.INTL(DATE($B$3,9,20),DATE($B$3,9,20),1,'Non-working days'!$A$6:$A$45)=0),"",IF(COUNTIFS('Leave log'!$A$7:$A$306,Employees!$A$31,'Leave log'!$B$7:$B$306,"&lt;="&amp;DATE($B$3,9,20),'Leave log'!$C$7:$C$306,"&gt;="&amp;DATE($B$3,9,20),'Leave log'!$F$7:$F$306,"Approved")&gt;0,"A",""))="A","A",IF(OR(DATE($B$3,9,20)&gt;EOMONTH(DATE($B$3,9,1),0),NETWORKDAYS.INTL(DATE($B$3,9,20),DATE($B$3,9,20),1,'Non-working days'!$A$6:$A$45)=0),"",IF(COUNTIFS('Leave log'!$A$7:$A$306,Employees!$A$31,'Leave log'!$B$7:$B$306,"&lt;="&amp;DATE($B$3,9,20),'Leave log'!$C$7:$C$306,"&gt;="&amp;DATE($B$3,9,20),'Leave log'!$F$7:$F$306,"Pending")&gt;0,"P",""))))</f>
        <v/>
      </c>
      <c r="V304" s="23" t="str">
        <f>IF(A304="","",IF(IF(OR(DATE($B$3,9,21)&gt;EOMONTH(DATE($B$3,9,1),0),NETWORKDAYS.INTL(DATE($B$3,9,21),DATE($B$3,9,21),1,'Non-working days'!$A$6:$A$45)=0),"",IF(COUNTIFS('Leave log'!$A$7:$A$306,Employees!$A$31,'Leave log'!$B$7:$B$306,"&lt;="&amp;DATE($B$3,9,21),'Leave log'!$C$7:$C$306,"&gt;="&amp;DATE($B$3,9,21),'Leave log'!$F$7:$F$306,"Approved")&gt;0,"A",""))="A","A",IF(OR(DATE($B$3,9,21)&gt;EOMONTH(DATE($B$3,9,1),0),NETWORKDAYS.INTL(DATE($B$3,9,21),DATE($B$3,9,21),1,'Non-working days'!$A$6:$A$45)=0),"",IF(COUNTIFS('Leave log'!$A$7:$A$306,Employees!$A$31,'Leave log'!$B$7:$B$306,"&lt;="&amp;DATE($B$3,9,21),'Leave log'!$C$7:$C$306,"&gt;="&amp;DATE($B$3,9,21),'Leave log'!$F$7:$F$306,"Pending")&gt;0,"P",""))))</f>
        <v/>
      </c>
      <c r="W304" s="23" t="str">
        <f>IF(A304="","",IF(IF(OR(DATE($B$3,9,22)&gt;EOMONTH(DATE($B$3,9,1),0),NETWORKDAYS.INTL(DATE($B$3,9,22),DATE($B$3,9,22),1,'Non-working days'!$A$6:$A$45)=0),"",IF(COUNTIFS('Leave log'!$A$7:$A$306,Employees!$A$31,'Leave log'!$B$7:$B$306,"&lt;="&amp;DATE($B$3,9,22),'Leave log'!$C$7:$C$306,"&gt;="&amp;DATE($B$3,9,22),'Leave log'!$F$7:$F$306,"Approved")&gt;0,"A",""))="A","A",IF(OR(DATE($B$3,9,22)&gt;EOMONTH(DATE($B$3,9,1),0),NETWORKDAYS.INTL(DATE($B$3,9,22),DATE($B$3,9,22),1,'Non-working days'!$A$6:$A$45)=0),"",IF(COUNTIFS('Leave log'!$A$7:$A$306,Employees!$A$31,'Leave log'!$B$7:$B$306,"&lt;="&amp;DATE($B$3,9,22),'Leave log'!$C$7:$C$306,"&gt;="&amp;DATE($B$3,9,22),'Leave log'!$F$7:$F$306,"Pending")&gt;0,"P",""))))</f>
        <v/>
      </c>
      <c r="X304" s="23" t="str">
        <f>IF(A304="","",IF(IF(OR(DATE($B$3,9,23)&gt;EOMONTH(DATE($B$3,9,1),0),NETWORKDAYS.INTL(DATE($B$3,9,23),DATE($B$3,9,23),1,'Non-working days'!$A$6:$A$45)=0),"",IF(COUNTIFS('Leave log'!$A$7:$A$306,Employees!$A$31,'Leave log'!$B$7:$B$306,"&lt;="&amp;DATE($B$3,9,23),'Leave log'!$C$7:$C$306,"&gt;="&amp;DATE($B$3,9,23),'Leave log'!$F$7:$F$306,"Approved")&gt;0,"A",""))="A","A",IF(OR(DATE($B$3,9,23)&gt;EOMONTH(DATE($B$3,9,1),0),NETWORKDAYS.INTL(DATE($B$3,9,23),DATE($B$3,9,23),1,'Non-working days'!$A$6:$A$45)=0),"",IF(COUNTIFS('Leave log'!$A$7:$A$306,Employees!$A$31,'Leave log'!$B$7:$B$306,"&lt;="&amp;DATE($B$3,9,23),'Leave log'!$C$7:$C$306,"&gt;="&amp;DATE($B$3,9,23),'Leave log'!$F$7:$F$306,"Pending")&gt;0,"P",""))))</f>
        <v/>
      </c>
      <c r="Y304" s="23" t="str">
        <f>IF(A304="","",IF(IF(OR(DATE($B$3,9,24)&gt;EOMONTH(DATE($B$3,9,1),0),NETWORKDAYS.INTL(DATE($B$3,9,24),DATE($B$3,9,24),1,'Non-working days'!$A$6:$A$45)=0),"",IF(COUNTIFS('Leave log'!$A$7:$A$306,Employees!$A$31,'Leave log'!$B$7:$B$306,"&lt;="&amp;DATE($B$3,9,24),'Leave log'!$C$7:$C$306,"&gt;="&amp;DATE($B$3,9,24),'Leave log'!$F$7:$F$306,"Approved")&gt;0,"A",""))="A","A",IF(OR(DATE($B$3,9,24)&gt;EOMONTH(DATE($B$3,9,1),0),NETWORKDAYS.INTL(DATE($B$3,9,24),DATE($B$3,9,24),1,'Non-working days'!$A$6:$A$45)=0),"",IF(COUNTIFS('Leave log'!$A$7:$A$306,Employees!$A$31,'Leave log'!$B$7:$B$306,"&lt;="&amp;DATE($B$3,9,24),'Leave log'!$C$7:$C$306,"&gt;="&amp;DATE($B$3,9,24),'Leave log'!$F$7:$F$306,"Pending")&gt;0,"P",""))))</f>
        <v/>
      </c>
      <c r="Z304" s="23" t="str">
        <f>IF(A304="","",IF(IF(OR(DATE($B$3,9,25)&gt;EOMONTH(DATE($B$3,9,1),0),NETWORKDAYS.INTL(DATE($B$3,9,25),DATE($B$3,9,25),1,'Non-working days'!$A$6:$A$45)=0),"",IF(COUNTIFS('Leave log'!$A$7:$A$306,Employees!$A$31,'Leave log'!$B$7:$B$306,"&lt;="&amp;DATE($B$3,9,25),'Leave log'!$C$7:$C$306,"&gt;="&amp;DATE($B$3,9,25),'Leave log'!$F$7:$F$306,"Approved")&gt;0,"A",""))="A","A",IF(OR(DATE($B$3,9,25)&gt;EOMONTH(DATE($B$3,9,1),0),NETWORKDAYS.INTL(DATE($B$3,9,25),DATE($B$3,9,25),1,'Non-working days'!$A$6:$A$45)=0),"",IF(COUNTIFS('Leave log'!$A$7:$A$306,Employees!$A$31,'Leave log'!$B$7:$B$306,"&lt;="&amp;DATE($B$3,9,25),'Leave log'!$C$7:$C$306,"&gt;="&amp;DATE($B$3,9,25),'Leave log'!$F$7:$F$306,"Pending")&gt;0,"P",""))))</f>
        <v/>
      </c>
      <c r="AA304" s="23" t="str">
        <f>IF(A304="","",IF(IF(OR(DATE($B$3,9,26)&gt;EOMONTH(DATE($B$3,9,1),0),NETWORKDAYS.INTL(DATE($B$3,9,26),DATE($B$3,9,26),1,'Non-working days'!$A$6:$A$45)=0),"",IF(COUNTIFS('Leave log'!$A$7:$A$306,Employees!$A$31,'Leave log'!$B$7:$B$306,"&lt;="&amp;DATE($B$3,9,26),'Leave log'!$C$7:$C$306,"&gt;="&amp;DATE($B$3,9,26),'Leave log'!$F$7:$F$306,"Approved")&gt;0,"A",""))="A","A",IF(OR(DATE($B$3,9,26)&gt;EOMONTH(DATE($B$3,9,1),0),NETWORKDAYS.INTL(DATE($B$3,9,26),DATE($B$3,9,26),1,'Non-working days'!$A$6:$A$45)=0),"",IF(COUNTIFS('Leave log'!$A$7:$A$306,Employees!$A$31,'Leave log'!$B$7:$B$306,"&lt;="&amp;DATE($B$3,9,26),'Leave log'!$C$7:$C$306,"&gt;="&amp;DATE($B$3,9,26),'Leave log'!$F$7:$F$306,"Pending")&gt;0,"P",""))))</f>
        <v/>
      </c>
      <c r="AB304" s="23" t="str">
        <f>IF(A304="","",IF(IF(OR(DATE($B$3,9,27)&gt;EOMONTH(DATE($B$3,9,1),0),NETWORKDAYS.INTL(DATE($B$3,9,27),DATE($B$3,9,27),1,'Non-working days'!$A$6:$A$45)=0),"",IF(COUNTIFS('Leave log'!$A$7:$A$306,Employees!$A$31,'Leave log'!$B$7:$B$306,"&lt;="&amp;DATE($B$3,9,27),'Leave log'!$C$7:$C$306,"&gt;="&amp;DATE($B$3,9,27),'Leave log'!$F$7:$F$306,"Approved")&gt;0,"A",""))="A","A",IF(OR(DATE($B$3,9,27)&gt;EOMONTH(DATE($B$3,9,1),0),NETWORKDAYS.INTL(DATE($B$3,9,27),DATE($B$3,9,27),1,'Non-working days'!$A$6:$A$45)=0),"",IF(COUNTIFS('Leave log'!$A$7:$A$306,Employees!$A$31,'Leave log'!$B$7:$B$306,"&lt;="&amp;DATE($B$3,9,27),'Leave log'!$C$7:$C$306,"&gt;="&amp;DATE($B$3,9,27),'Leave log'!$F$7:$F$306,"Pending")&gt;0,"P",""))))</f>
        <v/>
      </c>
      <c r="AC304" s="23" t="str">
        <f>IF(A304="","",IF(IF(OR(DATE($B$3,9,28)&gt;EOMONTH(DATE($B$3,9,1),0),NETWORKDAYS.INTL(DATE($B$3,9,28),DATE($B$3,9,28),1,'Non-working days'!$A$6:$A$45)=0),"",IF(COUNTIFS('Leave log'!$A$7:$A$306,Employees!$A$31,'Leave log'!$B$7:$B$306,"&lt;="&amp;DATE($B$3,9,28),'Leave log'!$C$7:$C$306,"&gt;="&amp;DATE($B$3,9,28),'Leave log'!$F$7:$F$306,"Approved")&gt;0,"A",""))="A","A",IF(OR(DATE($B$3,9,28)&gt;EOMONTH(DATE($B$3,9,1),0),NETWORKDAYS.INTL(DATE($B$3,9,28),DATE($B$3,9,28),1,'Non-working days'!$A$6:$A$45)=0),"",IF(COUNTIFS('Leave log'!$A$7:$A$306,Employees!$A$31,'Leave log'!$B$7:$B$306,"&lt;="&amp;DATE($B$3,9,28),'Leave log'!$C$7:$C$306,"&gt;="&amp;DATE($B$3,9,28),'Leave log'!$F$7:$F$306,"Pending")&gt;0,"P",""))))</f>
        <v/>
      </c>
      <c r="AD304" s="23" t="str">
        <f>IF(A304="","",IF(IF(OR(DATE($B$3,9,29)&gt;EOMONTH(DATE($B$3,9,1),0),NETWORKDAYS.INTL(DATE($B$3,9,29),DATE($B$3,9,29),1,'Non-working days'!$A$6:$A$45)=0),"",IF(COUNTIFS('Leave log'!$A$7:$A$306,Employees!$A$31,'Leave log'!$B$7:$B$306,"&lt;="&amp;DATE($B$3,9,29),'Leave log'!$C$7:$C$306,"&gt;="&amp;DATE($B$3,9,29),'Leave log'!$F$7:$F$306,"Approved")&gt;0,"A",""))="A","A",IF(OR(DATE($B$3,9,29)&gt;EOMONTH(DATE($B$3,9,1),0),NETWORKDAYS.INTL(DATE($B$3,9,29),DATE($B$3,9,29),1,'Non-working days'!$A$6:$A$45)=0),"",IF(COUNTIFS('Leave log'!$A$7:$A$306,Employees!$A$31,'Leave log'!$B$7:$B$306,"&lt;="&amp;DATE($B$3,9,29),'Leave log'!$C$7:$C$306,"&gt;="&amp;DATE($B$3,9,29),'Leave log'!$F$7:$F$306,"Pending")&gt;0,"P",""))))</f>
        <v/>
      </c>
      <c r="AE304" s="23" t="str">
        <f>IF(A304="","",IF(IF(OR(DATE($B$3,9,30)&gt;EOMONTH(DATE($B$3,9,1),0),NETWORKDAYS.INTL(DATE($B$3,9,30),DATE($B$3,9,30),1,'Non-working days'!$A$6:$A$45)=0),"",IF(COUNTIFS('Leave log'!$A$7:$A$306,Employees!$A$31,'Leave log'!$B$7:$B$306,"&lt;="&amp;DATE($B$3,9,30),'Leave log'!$C$7:$C$306,"&gt;="&amp;DATE($B$3,9,30),'Leave log'!$F$7:$F$306,"Approved")&gt;0,"A",""))="A","A",IF(OR(DATE($B$3,9,30)&gt;EOMONTH(DATE($B$3,9,1),0),NETWORKDAYS.INTL(DATE($B$3,9,30),DATE($B$3,9,30),1,'Non-working days'!$A$6:$A$45)=0),"",IF(COUNTIFS('Leave log'!$A$7:$A$306,Employees!$A$31,'Leave log'!$B$7:$B$306,"&lt;="&amp;DATE($B$3,9,30),'Leave log'!$C$7:$C$306,"&gt;="&amp;DATE($B$3,9,30),'Leave log'!$F$7:$F$306,"Pending")&gt;0,"P",""))))</f>
        <v/>
      </c>
      <c r="AF304" s="23" t="str">
        <f>IF(A304="","",IF(IF(OR(DATE($B$3,9,31)&gt;EOMONTH(DATE($B$3,9,1),0),NETWORKDAYS.INTL(DATE($B$3,9,31),DATE($B$3,9,31),1,'Non-working days'!$A$6:$A$45)=0),"",IF(COUNTIFS('Leave log'!$A$7:$A$306,Employees!$A$31,'Leave log'!$B$7:$B$306,"&lt;="&amp;DATE($B$3,9,31),'Leave log'!$C$7:$C$306,"&gt;="&amp;DATE($B$3,9,31),'Leave log'!$F$7:$F$306,"Approved")&gt;0,"A",""))="A","A",IF(OR(DATE($B$3,9,31)&gt;EOMONTH(DATE($B$3,9,1),0),NETWORKDAYS.INTL(DATE($B$3,9,31),DATE($B$3,9,31),1,'Non-working days'!$A$6:$A$45)=0),"",IF(COUNTIFS('Leave log'!$A$7:$A$306,Employees!$A$31,'Leave log'!$B$7:$B$306,"&lt;="&amp;DATE($B$3,9,31),'Leave log'!$C$7:$C$306,"&gt;="&amp;DATE($B$3,9,31),'Leave log'!$F$7:$F$306,"Pending")&gt;0,"P",""))))</f>
        <v/>
      </c>
    </row>
    <row r="305" spans="1:32" ht="18" customHeight="1" x14ac:dyDescent="0.3">
      <c r="A305" s="22" t="str">
        <f>IF(Employees!F32="Yes",Employees!B32,"")</f>
        <v/>
      </c>
      <c r="B305" s="23" t="str">
        <f>IF(A305="","",IF(IF(OR(DATE($B$3,9,1)&gt;EOMONTH(DATE($B$3,9,1),0),NETWORKDAYS.INTL(DATE($B$3,9,1),DATE($B$3,9,1),1,'Non-working days'!$A$6:$A$45)=0),"",IF(COUNTIFS('Leave log'!$A$7:$A$306,Employees!$A$32,'Leave log'!$B$7:$B$306,"&lt;="&amp;DATE($B$3,9,1),'Leave log'!$C$7:$C$306,"&gt;="&amp;DATE($B$3,9,1),'Leave log'!$F$7:$F$306,"Approved")&gt;0,"A",""))="A","A",IF(OR(DATE($B$3,9,1)&gt;EOMONTH(DATE($B$3,9,1),0),NETWORKDAYS.INTL(DATE($B$3,9,1),DATE($B$3,9,1),1,'Non-working days'!$A$6:$A$45)=0),"",IF(COUNTIFS('Leave log'!$A$7:$A$306,Employees!$A$32,'Leave log'!$B$7:$B$306,"&lt;="&amp;DATE($B$3,9,1),'Leave log'!$C$7:$C$306,"&gt;="&amp;DATE($B$3,9,1),'Leave log'!$F$7:$F$306,"Pending")&gt;0,"P",""))))</f>
        <v/>
      </c>
      <c r="C305" s="23" t="str">
        <f>IF(A305="","",IF(IF(OR(DATE($B$3,9,2)&gt;EOMONTH(DATE($B$3,9,1),0),NETWORKDAYS.INTL(DATE($B$3,9,2),DATE($B$3,9,2),1,'Non-working days'!$A$6:$A$45)=0),"",IF(COUNTIFS('Leave log'!$A$7:$A$306,Employees!$A$32,'Leave log'!$B$7:$B$306,"&lt;="&amp;DATE($B$3,9,2),'Leave log'!$C$7:$C$306,"&gt;="&amp;DATE($B$3,9,2),'Leave log'!$F$7:$F$306,"Approved")&gt;0,"A",""))="A","A",IF(OR(DATE($B$3,9,2)&gt;EOMONTH(DATE($B$3,9,1),0),NETWORKDAYS.INTL(DATE($B$3,9,2),DATE($B$3,9,2),1,'Non-working days'!$A$6:$A$45)=0),"",IF(COUNTIFS('Leave log'!$A$7:$A$306,Employees!$A$32,'Leave log'!$B$7:$B$306,"&lt;="&amp;DATE($B$3,9,2),'Leave log'!$C$7:$C$306,"&gt;="&amp;DATE($B$3,9,2),'Leave log'!$F$7:$F$306,"Pending")&gt;0,"P",""))))</f>
        <v/>
      </c>
      <c r="D305" s="23" t="str">
        <f>IF(A305="","",IF(IF(OR(DATE($B$3,9,3)&gt;EOMONTH(DATE($B$3,9,1),0),NETWORKDAYS.INTL(DATE($B$3,9,3),DATE($B$3,9,3),1,'Non-working days'!$A$6:$A$45)=0),"",IF(COUNTIFS('Leave log'!$A$7:$A$306,Employees!$A$32,'Leave log'!$B$7:$B$306,"&lt;="&amp;DATE($B$3,9,3),'Leave log'!$C$7:$C$306,"&gt;="&amp;DATE($B$3,9,3),'Leave log'!$F$7:$F$306,"Approved")&gt;0,"A",""))="A","A",IF(OR(DATE($B$3,9,3)&gt;EOMONTH(DATE($B$3,9,1),0),NETWORKDAYS.INTL(DATE($B$3,9,3),DATE($B$3,9,3),1,'Non-working days'!$A$6:$A$45)=0),"",IF(COUNTIFS('Leave log'!$A$7:$A$306,Employees!$A$32,'Leave log'!$B$7:$B$306,"&lt;="&amp;DATE($B$3,9,3),'Leave log'!$C$7:$C$306,"&gt;="&amp;DATE($B$3,9,3),'Leave log'!$F$7:$F$306,"Pending")&gt;0,"P",""))))</f>
        <v/>
      </c>
      <c r="E305" s="23" t="str">
        <f>IF(A305="","",IF(IF(OR(DATE($B$3,9,4)&gt;EOMONTH(DATE($B$3,9,1),0),NETWORKDAYS.INTL(DATE($B$3,9,4),DATE($B$3,9,4),1,'Non-working days'!$A$6:$A$45)=0),"",IF(COUNTIFS('Leave log'!$A$7:$A$306,Employees!$A$32,'Leave log'!$B$7:$B$306,"&lt;="&amp;DATE($B$3,9,4),'Leave log'!$C$7:$C$306,"&gt;="&amp;DATE($B$3,9,4),'Leave log'!$F$7:$F$306,"Approved")&gt;0,"A",""))="A","A",IF(OR(DATE($B$3,9,4)&gt;EOMONTH(DATE($B$3,9,1),0),NETWORKDAYS.INTL(DATE($B$3,9,4),DATE($B$3,9,4),1,'Non-working days'!$A$6:$A$45)=0),"",IF(COUNTIFS('Leave log'!$A$7:$A$306,Employees!$A$32,'Leave log'!$B$7:$B$306,"&lt;="&amp;DATE($B$3,9,4),'Leave log'!$C$7:$C$306,"&gt;="&amp;DATE($B$3,9,4),'Leave log'!$F$7:$F$306,"Pending")&gt;0,"P",""))))</f>
        <v/>
      </c>
      <c r="F305" s="23" t="str">
        <f>IF(A305="","",IF(IF(OR(DATE($B$3,9,5)&gt;EOMONTH(DATE($B$3,9,1),0),NETWORKDAYS.INTL(DATE($B$3,9,5),DATE($B$3,9,5),1,'Non-working days'!$A$6:$A$45)=0),"",IF(COUNTIFS('Leave log'!$A$7:$A$306,Employees!$A$32,'Leave log'!$B$7:$B$306,"&lt;="&amp;DATE($B$3,9,5),'Leave log'!$C$7:$C$306,"&gt;="&amp;DATE($B$3,9,5),'Leave log'!$F$7:$F$306,"Approved")&gt;0,"A",""))="A","A",IF(OR(DATE($B$3,9,5)&gt;EOMONTH(DATE($B$3,9,1),0),NETWORKDAYS.INTL(DATE($B$3,9,5),DATE($B$3,9,5),1,'Non-working days'!$A$6:$A$45)=0),"",IF(COUNTIFS('Leave log'!$A$7:$A$306,Employees!$A$32,'Leave log'!$B$7:$B$306,"&lt;="&amp;DATE($B$3,9,5),'Leave log'!$C$7:$C$306,"&gt;="&amp;DATE($B$3,9,5),'Leave log'!$F$7:$F$306,"Pending")&gt;0,"P",""))))</f>
        <v/>
      </c>
      <c r="G305" s="23" t="str">
        <f>IF(A305="","",IF(IF(OR(DATE($B$3,9,6)&gt;EOMONTH(DATE($B$3,9,1),0),NETWORKDAYS.INTL(DATE($B$3,9,6),DATE($B$3,9,6),1,'Non-working days'!$A$6:$A$45)=0),"",IF(COUNTIFS('Leave log'!$A$7:$A$306,Employees!$A$32,'Leave log'!$B$7:$B$306,"&lt;="&amp;DATE($B$3,9,6),'Leave log'!$C$7:$C$306,"&gt;="&amp;DATE($B$3,9,6),'Leave log'!$F$7:$F$306,"Approved")&gt;0,"A",""))="A","A",IF(OR(DATE($B$3,9,6)&gt;EOMONTH(DATE($B$3,9,1),0),NETWORKDAYS.INTL(DATE($B$3,9,6),DATE($B$3,9,6),1,'Non-working days'!$A$6:$A$45)=0),"",IF(COUNTIFS('Leave log'!$A$7:$A$306,Employees!$A$32,'Leave log'!$B$7:$B$306,"&lt;="&amp;DATE($B$3,9,6),'Leave log'!$C$7:$C$306,"&gt;="&amp;DATE($B$3,9,6),'Leave log'!$F$7:$F$306,"Pending")&gt;0,"P",""))))</f>
        <v/>
      </c>
      <c r="H305" s="23" t="str">
        <f>IF(A305="","",IF(IF(OR(DATE($B$3,9,7)&gt;EOMONTH(DATE($B$3,9,1),0),NETWORKDAYS.INTL(DATE($B$3,9,7),DATE($B$3,9,7),1,'Non-working days'!$A$6:$A$45)=0),"",IF(COUNTIFS('Leave log'!$A$7:$A$306,Employees!$A$32,'Leave log'!$B$7:$B$306,"&lt;="&amp;DATE($B$3,9,7),'Leave log'!$C$7:$C$306,"&gt;="&amp;DATE($B$3,9,7),'Leave log'!$F$7:$F$306,"Approved")&gt;0,"A",""))="A","A",IF(OR(DATE($B$3,9,7)&gt;EOMONTH(DATE($B$3,9,1),0),NETWORKDAYS.INTL(DATE($B$3,9,7),DATE($B$3,9,7),1,'Non-working days'!$A$6:$A$45)=0),"",IF(COUNTIFS('Leave log'!$A$7:$A$306,Employees!$A$32,'Leave log'!$B$7:$B$306,"&lt;="&amp;DATE($B$3,9,7),'Leave log'!$C$7:$C$306,"&gt;="&amp;DATE($B$3,9,7),'Leave log'!$F$7:$F$306,"Pending")&gt;0,"P",""))))</f>
        <v/>
      </c>
      <c r="I305" s="23" t="str">
        <f>IF(A305="","",IF(IF(OR(DATE($B$3,9,8)&gt;EOMONTH(DATE($B$3,9,1),0),NETWORKDAYS.INTL(DATE($B$3,9,8),DATE($B$3,9,8),1,'Non-working days'!$A$6:$A$45)=0),"",IF(COUNTIFS('Leave log'!$A$7:$A$306,Employees!$A$32,'Leave log'!$B$7:$B$306,"&lt;="&amp;DATE($B$3,9,8),'Leave log'!$C$7:$C$306,"&gt;="&amp;DATE($B$3,9,8),'Leave log'!$F$7:$F$306,"Approved")&gt;0,"A",""))="A","A",IF(OR(DATE($B$3,9,8)&gt;EOMONTH(DATE($B$3,9,1),0),NETWORKDAYS.INTL(DATE($B$3,9,8),DATE($B$3,9,8),1,'Non-working days'!$A$6:$A$45)=0),"",IF(COUNTIFS('Leave log'!$A$7:$A$306,Employees!$A$32,'Leave log'!$B$7:$B$306,"&lt;="&amp;DATE($B$3,9,8),'Leave log'!$C$7:$C$306,"&gt;="&amp;DATE($B$3,9,8),'Leave log'!$F$7:$F$306,"Pending")&gt;0,"P",""))))</f>
        <v/>
      </c>
      <c r="J305" s="23" t="str">
        <f>IF(A305="","",IF(IF(OR(DATE($B$3,9,9)&gt;EOMONTH(DATE($B$3,9,1),0),NETWORKDAYS.INTL(DATE($B$3,9,9),DATE($B$3,9,9),1,'Non-working days'!$A$6:$A$45)=0),"",IF(COUNTIFS('Leave log'!$A$7:$A$306,Employees!$A$32,'Leave log'!$B$7:$B$306,"&lt;="&amp;DATE($B$3,9,9),'Leave log'!$C$7:$C$306,"&gt;="&amp;DATE($B$3,9,9),'Leave log'!$F$7:$F$306,"Approved")&gt;0,"A",""))="A","A",IF(OR(DATE($B$3,9,9)&gt;EOMONTH(DATE($B$3,9,1),0),NETWORKDAYS.INTL(DATE($B$3,9,9),DATE($B$3,9,9),1,'Non-working days'!$A$6:$A$45)=0),"",IF(COUNTIFS('Leave log'!$A$7:$A$306,Employees!$A$32,'Leave log'!$B$7:$B$306,"&lt;="&amp;DATE($B$3,9,9),'Leave log'!$C$7:$C$306,"&gt;="&amp;DATE($B$3,9,9),'Leave log'!$F$7:$F$306,"Pending")&gt;0,"P",""))))</f>
        <v/>
      </c>
      <c r="K305" s="23" t="str">
        <f>IF(A305="","",IF(IF(OR(DATE($B$3,9,10)&gt;EOMONTH(DATE($B$3,9,1),0),NETWORKDAYS.INTL(DATE($B$3,9,10),DATE($B$3,9,10),1,'Non-working days'!$A$6:$A$45)=0),"",IF(COUNTIFS('Leave log'!$A$7:$A$306,Employees!$A$32,'Leave log'!$B$7:$B$306,"&lt;="&amp;DATE($B$3,9,10),'Leave log'!$C$7:$C$306,"&gt;="&amp;DATE($B$3,9,10),'Leave log'!$F$7:$F$306,"Approved")&gt;0,"A",""))="A","A",IF(OR(DATE($B$3,9,10)&gt;EOMONTH(DATE($B$3,9,1),0),NETWORKDAYS.INTL(DATE($B$3,9,10),DATE($B$3,9,10),1,'Non-working days'!$A$6:$A$45)=0),"",IF(COUNTIFS('Leave log'!$A$7:$A$306,Employees!$A$32,'Leave log'!$B$7:$B$306,"&lt;="&amp;DATE($B$3,9,10),'Leave log'!$C$7:$C$306,"&gt;="&amp;DATE($B$3,9,10),'Leave log'!$F$7:$F$306,"Pending")&gt;0,"P",""))))</f>
        <v/>
      </c>
      <c r="L305" s="23" t="str">
        <f>IF(A305="","",IF(IF(OR(DATE($B$3,9,11)&gt;EOMONTH(DATE($B$3,9,1),0),NETWORKDAYS.INTL(DATE($B$3,9,11),DATE($B$3,9,11),1,'Non-working days'!$A$6:$A$45)=0),"",IF(COUNTIFS('Leave log'!$A$7:$A$306,Employees!$A$32,'Leave log'!$B$7:$B$306,"&lt;="&amp;DATE($B$3,9,11),'Leave log'!$C$7:$C$306,"&gt;="&amp;DATE($B$3,9,11),'Leave log'!$F$7:$F$306,"Approved")&gt;0,"A",""))="A","A",IF(OR(DATE($B$3,9,11)&gt;EOMONTH(DATE($B$3,9,1),0),NETWORKDAYS.INTL(DATE($B$3,9,11),DATE($B$3,9,11),1,'Non-working days'!$A$6:$A$45)=0),"",IF(COUNTIFS('Leave log'!$A$7:$A$306,Employees!$A$32,'Leave log'!$B$7:$B$306,"&lt;="&amp;DATE($B$3,9,11),'Leave log'!$C$7:$C$306,"&gt;="&amp;DATE($B$3,9,11),'Leave log'!$F$7:$F$306,"Pending")&gt;0,"P",""))))</f>
        <v/>
      </c>
      <c r="M305" s="23" t="str">
        <f>IF(A305="","",IF(IF(OR(DATE($B$3,9,12)&gt;EOMONTH(DATE($B$3,9,1),0),NETWORKDAYS.INTL(DATE($B$3,9,12),DATE($B$3,9,12),1,'Non-working days'!$A$6:$A$45)=0),"",IF(COUNTIFS('Leave log'!$A$7:$A$306,Employees!$A$32,'Leave log'!$B$7:$B$306,"&lt;="&amp;DATE($B$3,9,12),'Leave log'!$C$7:$C$306,"&gt;="&amp;DATE($B$3,9,12),'Leave log'!$F$7:$F$306,"Approved")&gt;0,"A",""))="A","A",IF(OR(DATE($B$3,9,12)&gt;EOMONTH(DATE($B$3,9,1),0),NETWORKDAYS.INTL(DATE($B$3,9,12),DATE($B$3,9,12),1,'Non-working days'!$A$6:$A$45)=0),"",IF(COUNTIFS('Leave log'!$A$7:$A$306,Employees!$A$32,'Leave log'!$B$7:$B$306,"&lt;="&amp;DATE($B$3,9,12),'Leave log'!$C$7:$C$306,"&gt;="&amp;DATE($B$3,9,12),'Leave log'!$F$7:$F$306,"Pending")&gt;0,"P",""))))</f>
        <v/>
      </c>
      <c r="N305" s="23" t="str">
        <f>IF(A305="","",IF(IF(OR(DATE($B$3,9,13)&gt;EOMONTH(DATE($B$3,9,1),0),NETWORKDAYS.INTL(DATE($B$3,9,13),DATE($B$3,9,13),1,'Non-working days'!$A$6:$A$45)=0),"",IF(COUNTIFS('Leave log'!$A$7:$A$306,Employees!$A$32,'Leave log'!$B$7:$B$306,"&lt;="&amp;DATE($B$3,9,13),'Leave log'!$C$7:$C$306,"&gt;="&amp;DATE($B$3,9,13),'Leave log'!$F$7:$F$306,"Approved")&gt;0,"A",""))="A","A",IF(OR(DATE($B$3,9,13)&gt;EOMONTH(DATE($B$3,9,1),0),NETWORKDAYS.INTL(DATE($B$3,9,13),DATE($B$3,9,13),1,'Non-working days'!$A$6:$A$45)=0),"",IF(COUNTIFS('Leave log'!$A$7:$A$306,Employees!$A$32,'Leave log'!$B$7:$B$306,"&lt;="&amp;DATE($B$3,9,13),'Leave log'!$C$7:$C$306,"&gt;="&amp;DATE($B$3,9,13),'Leave log'!$F$7:$F$306,"Pending")&gt;0,"P",""))))</f>
        <v/>
      </c>
      <c r="O305" s="23" t="str">
        <f>IF(A305="","",IF(IF(OR(DATE($B$3,9,14)&gt;EOMONTH(DATE($B$3,9,1),0),NETWORKDAYS.INTL(DATE($B$3,9,14),DATE($B$3,9,14),1,'Non-working days'!$A$6:$A$45)=0),"",IF(COUNTIFS('Leave log'!$A$7:$A$306,Employees!$A$32,'Leave log'!$B$7:$B$306,"&lt;="&amp;DATE($B$3,9,14),'Leave log'!$C$7:$C$306,"&gt;="&amp;DATE($B$3,9,14),'Leave log'!$F$7:$F$306,"Approved")&gt;0,"A",""))="A","A",IF(OR(DATE($B$3,9,14)&gt;EOMONTH(DATE($B$3,9,1),0),NETWORKDAYS.INTL(DATE($B$3,9,14),DATE($B$3,9,14),1,'Non-working days'!$A$6:$A$45)=0),"",IF(COUNTIFS('Leave log'!$A$7:$A$306,Employees!$A$32,'Leave log'!$B$7:$B$306,"&lt;="&amp;DATE($B$3,9,14),'Leave log'!$C$7:$C$306,"&gt;="&amp;DATE($B$3,9,14),'Leave log'!$F$7:$F$306,"Pending")&gt;0,"P",""))))</f>
        <v/>
      </c>
      <c r="P305" s="23" t="str">
        <f>IF(A305="","",IF(IF(OR(DATE($B$3,9,15)&gt;EOMONTH(DATE($B$3,9,1),0),NETWORKDAYS.INTL(DATE($B$3,9,15),DATE($B$3,9,15),1,'Non-working days'!$A$6:$A$45)=0),"",IF(COUNTIFS('Leave log'!$A$7:$A$306,Employees!$A$32,'Leave log'!$B$7:$B$306,"&lt;="&amp;DATE($B$3,9,15),'Leave log'!$C$7:$C$306,"&gt;="&amp;DATE($B$3,9,15),'Leave log'!$F$7:$F$306,"Approved")&gt;0,"A",""))="A","A",IF(OR(DATE($B$3,9,15)&gt;EOMONTH(DATE($B$3,9,1),0),NETWORKDAYS.INTL(DATE($B$3,9,15),DATE($B$3,9,15),1,'Non-working days'!$A$6:$A$45)=0),"",IF(COUNTIFS('Leave log'!$A$7:$A$306,Employees!$A$32,'Leave log'!$B$7:$B$306,"&lt;="&amp;DATE($B$3,9,15),'Leave log'!$C$7:$C$306,"&gt;="&amp;DATE($B$3,9,15),'Leave log'!$F$7:$F$306,"Pending")&gt;0,"P",""))))</f>
        <v/>
      </c>
      <c r="Q305" s="23" t="str">
        <f>IF(A305="","",IF(IF(OR(DATE($B$3,9,16)&gt;EOMONTH(DATE($B$3,9,1),0),NETWORKDAYS.INTL(DATE($B$3,9,16),DATE($B$3,9,16),1,'Non-working days'!$A$6:$A$45)=0),"",IF(COUNTIFS('Leave log'!$A$7:$A$306,Employees!$A$32,'Leave log'!$B$7:$B$306,"&lt;="&amp;DATE($B$3,9,16),'Leave log'!$C$7:$C$306,"&gt;="&amp;DATE($B$3,9,16),'Leave log'!$F$7:$F$306,"Approved")&gt;0,"A",""))="A","A",IF(OR(DATE($B$3,9,16)&gt;EOMONTH(DATE($B$3,9,1),0),NETWORKDAYS.INTL(DATE($B$3,9,16),DATE($B$3,9,16),1,'Non-working days'!$A$6:$A$45)=0),"",IF(COUNTIFS('Leave log'!$A$7:$A$306,Employees!$A$32,'Leave log'!$B$7:$B$306,"&lt;="&amp;DATE($B$3,9,16),'Leave log'!$C$7:$C$306,"&gt;="&amp;DATE($B$3,9,16),'Leave log'!$F$7:$F$306,"Pending")&gt;0,"P",""))))</f>
        <v/>
      </c>
      <c r="R305" s="23" t="str">
        <f>IF(A305="","",IF(IF(OR(DATE($B$3,9,17)&gt;EOMONTH(DATE($B$3,9,1),0),NETWORKDAYS.INTL(DATE($B$3,9,17),DATE($B$3,9,17),1,'Non-working days'!$A$6:$A$45)=0),"",IF(COUNTIFS('Leave log'!$A$7:$A$306,Employees!$A$32,'Leave log'!$B$7:$B$306,"&lt;="&amp;DATE($B$3,9,17),'Leave log'!$C$7:$C$306,"&gt;="&amp;DATE($B$3,9,17),'Leave log'!$F$7:$F$306,"Approved")&gt;0,"A",""))="A","A",IF(OR(DATE($B$3,9,17)&gt;EOMONTH(DATE($B$3,9,1),0),NETWORKDAYS.INTL(DATE($B$3,9,17),DATE($B$3,9,17),1,'Non-working days'!$A$6:$A$45)=0),"",IF(COUNTIFS('Leave log'!$A$7:$A$306,Employees!$A$32,'Leave log'!$B$7:$B$306,"&lt;="&amp;DATE($B$3,9,17),'Leave log'!$C$7:$C$306,"&gt;="&amp;DATE($B$3,9,17),'Leave log'!$F$7:$F$306,"Pending")&gt;0,"P",""))))</f>
        <v/>
      </c>
      <c r="S305" s="23" t="str">
        <f>IF(A305="","",IF(IF(OR(DATE($B$3,9,18)&gt;EOMONTH(DATE($B$3,9,1),0),NETWORKDAYS.INTL(DATE($B$3,9,18),DATE($B$3,9,18),1,'Non-working days'!$A$6:$A$45)=0),"",IF(COUNTIFS('Leave log'!$A$7:$A$306,Employees!$A$32,'Leave log'!$B$7:$B$306,"&lt;="&amp;DATE($B$3,9,18),'Leave log'!$C$7:$C$306,"&gt;="&amp;DATE($B$3,9,18),'Leave log'!$F$7:$F$306,"Approved")&gt;0,"A",""))="A","A",IF(OR(DATE($B$3,9,18)&gt;EOMONTH(DATE($B$3,9,1),0),NETWORKDAYS.INTL(DATE($B$3,9,18),DATE($B$3,9,18),1,'Non-working days'!$A$6:$A$45)=0),"",IF(COUNTIFS('Leave log'!$A$7:$A$306,Employees!$A$32,'Leave log'!$B$7:$B$306,"&lt;="&amp;DATE($B$3,9,18),'Leave log'!$C$7:$C$306,"&gt;="&amp;DATE($B$3,9,18),'Leave log'!$F$7:$F$306,"Pending")&gt;0,"P",""))))</f>
        <v/>
      </c>
      <c r="T305" s="23" t="str">
        <f>IF(A305="","",IF(IF(OR(DATE($B$3,9,19)&gt;EOMONTH(DATE($B$3,9,1),0),NETWORKDAYS.INTL(DATE($B$3,9,19),DATE($B$3,9,19),1,'Non-working days'!$A$6:$A$45)=0),"",IF(COUNTIFS('Leave log'!$A$7:$A$306,Employees!$A$32,'Leave log'!$B$7:$B$306,"&lt;="&amp;DATE($B$3,9,19),'Leave log'!$C$7:$C$306,"&gt;="&amp;DATE($B$3,9,19),'Leave log'!$F$7:$F$306,"Approved")&gt;0,"A",""))="A","A",IF(OR(DATE($B$3,9,19)&gt;EOMONTH(DATE($B$3,9,1),0),NETWORKDAYS.INTL(DATE($B$3,9,19),DATE($B$3,9,19),1,'Non-working days'!$A$6:$A$45)=0),"",IF(COUNTIFS('Leave log'!$A$7:$A$306,Employees!$A$32,'Leave log'!$B$7:$B$306,"&lt;="&amp;DATE($B$3,9,19),'Leave log'!$C$7:$C$306,"&gt;="&amp;DATE($B$3,9,19),'Leave log'!$F$7:$F$306,"Pending")&gt;0,"P",""))))</f>
        <v/>
      </c>
      <c r="U305" s="23" t="str">
        <f>IF(A305="","",IF(IF(OR(DATE($B$3,9,20)&gt;EOMONTH(DATE($B$3,9,1),0),NETWORKDAYS.INTL(DATE($B$3,9,20),DATE($B$3,9,20),1,'Non-working days'!$A$6:$A$45)=0),"",IF(COUNTIFS('Leave log'!$A$7:$A$306,Employees!$A$32,'Leave log'!$B$7:$B$306,"&lt;="&amp;DATE($B$3,9,20),'Leave log'!$C$7:$C$306,"&gt;="&amp;DATE($B$3,9,20),'Leave log'!$F$7:$F$306,"Approved")&gt;0,"A",""))="A","A",IF(OR(DATE($B$3,9,20)&gt;EOMONTH(DATE($B$3,9,1),0),NETWORKDAYS.INTL(DATE($B$3,9,20),DATE($B$3,9,20),1,'Non-working days'!$A$6:$A$45)=0),"",IF(COUNTIFS('Leave log'!$A$7:$A$306,Employees!$A$32,'Leave log'!$B$7:$B$306,"&lt;="&amp;DATE($B$3,9,20),'Leave log'!$C$7:$C$306,"&gt;="&amp;DATE($B$3,9,20),'Leave log'!$F$7:$F$306,"Pending")&gt;0,"P",""))))</f>
        <v/>
      </c>
      <c r="V305" s="23" t="str">
        <f>IF(A305="","",IF(IF(OR(DATE($B$3,9,21)&gt;EOMONTH(DATE($B$3,9,1),0),NETWORKDAYS.INTL(DATE($B$3,9,21),DATE($B$3,9,21),1,'Non-working days'!$A$6:$A$45)=0),"",IF(COUNTIFS('Leave log'!$A$7:$A$306,Employees!$A$32,'Leave log'!$B$7:$B$306,"&lt;="&amp;DATE($B$3,9,21),'Leave log'!$C$7:$C$306,"&gt;="&amp;DATE($B$3,9,21),'Leave log'!$F$7:$F$306,"Approved")&gt;0,"A",""))="A","A",IF(OR(DATE($B$3,9,21)&gt;EOMONTH(DATE($B$3,9,1),0),NETWORKDAYS.INTL(DATE($B$3,9,21),DATE($B$3,9,21),1,'Non-working days'!$A$6:$A$45)=0),"",IF(COUNTIFS('Leave log'!$A$7:$A$306,Employees!$A$32,'Leave log'!$B$7:$B$306,"&lt;="&amp;DATE($B$3,9,21),'Leave log'!$C$7:$C$306,"&gt;="&amp;DATE($B$3,9,21),'Leave log'!$F$7:$F$306,"Pending")&gt;0,"P",""))))</f>
        <v/>
      </c>
      <c r="W305" s="23" t="str">
        <f>IF(A305="","",IF(IF(OR(DATE($B$3,9,22)&gt;EOMONTH(DATE($B$3,9,1),0),NETWORKDAYS.INTL(DATE($B$3,9,22),DATE($B$3,9,22),1,'Non-working days'!$A$6:$A$45)=0),"",IF(COUNTIFS('Leave log'!$A$7:$A$306,Employees!$A$32,'Leave log'!$B$7:$B$306,"&lt;="&amp;DATE($B$3,9,22),'Leave log'!$C$7:$C$306,"&gt;="&amp;DATE($B$3,9,22),'Leave log'!$F$7:$F$306,"Approved")&gt;0,"A",""))="A","A",IF(OR(DATE($B$3,9,22)&gt;EOMONTH(DATE($B$3,9,1),0),NETWORKDAYS.INTL(DATE($B$3,9,22),DATE($B$3,9,22),1,'Non-working days'!$A$6:$A$45)=0),"",IF(COUNTIFS('Leave log'!$A$7:$A$306,Employees!$A$32,'Leave log'!$B$7:$B$306,"&lt;="&amp;DATE($B$3,9,22),'Leave log'!$C$7:$C$306,"&gt;="&amp;DATE($B$3,9,22),'Leave log'!$F$7:$F$306,"Pending")&gt;0,"P",""))))</f>
        <v/>
      </c>
      <c r="X305" s="23" t="str">
        <f>IF(A305="","",IF(IF(OR(DATE($B$3,9,23)&gt;EOMONTH(DATE($B$3,9,1),0),NETWORKDAYS.INTL(DATE($B$3,9,23),DATE($B$3,9,23),1,'Non-working days'!$A$6:$A$45)=0),"",IF(COUNTIFS('Leave log'!$A$7:$A$306,Employees!$A$32,'Leave log'!$B$7:$B$306,"&lt;="&amp;DATE($B$3,9,23),'Leave log'!$C$7:$C$306,"&gt;="&amp;DATE($B$3,9,23),'Leave log'!$F$7:$F$306,"Approved")&gt;0,"A",""))="A","A",IF(OR(DATE($B$3,9,23)&gt;EOMONTH(DATE($B$3,9,1),0),NETWORKDAYS.INTL(DATE($B$3,9,23),DATE($B$3,9,23),1,'Non-working days'!$A$6:$A$45)=0),"",IF(COUNTIFS('Leave log'!$A$7:$A$306,Employees!$A$32,'Leave log'!$B$7:$B$306,"&lt;="&amp;DATE($B$3,9,23),'Leave log'!$C$7:$C$306,"&gt;="&amp;DATE($B$3,9,23),'Leave log'!$F$7:$F$306,"Pending")&gt;0,"P",""))))</f>
        <v/>
      </c>
      <c r="Y305" s="23" t="str">
        <f>IF(A305="","",IF(IF(OR(DATE($B$3,9,24)&gt;EOMONTH(DATE($B$3,9,1),0),NETWORKDAYS.INTL(DATE($B$3,9,24),DATE($B$3,9,24),1,'Non-working days'!$A$6:$A$45)=0),"",IF(COUNTIFS('Leave log'!$A$7:$A$306,Employees!$A$32,'Leave log'!$B$7:$B$306,"&lt;="&amp;DATE($B$3,9,24),'Leave log'!$C$7:$C$306,"&gt;="&amp;DATE($B$3,9,24),'Leave log'!$F$7:$F$306,"Approved")&gt;0,"A",""))="A","A",IF(OR(DATE($B$3,9,24)&gt;EOMONTH(DATE($B$3,9,1),0),NETWORKDAYS.INTL(DATE($B$3,9,24),DATE($B$3,9,24),1,'Non-working days'!$A$6:$A$45)=0),"",IF(COUNTIFS('Leave log'!$A$7:$A$306,Employees!$A$32,'Leave log'!$B$7:$B$306,"&lt;="&amp;DATE($B$3,9,24),'Leave log'!$C$7:$C$306,"&gt;="&amp;DATE($B$3,9,24),'Leave log'!$F$7:$F$306,"Pending")&gt;0,"P",""))))</f>
        <v/>
      </c>
      <c r="Z305" s="23" t="str">
        <f>IF(A305="","",IF(IF(OR(DATE($B$3,9,25)&gt;EOMONTH(DATE($B$3,9,1),0),NETWORKDAYS.INTL(DATE($B$3,9,25),DATE($B$3,9,25),1,'Non-working days'!$A$6:$A$45)=0),"",IF(COUNTIFS('Leave log'!$A$7:$A$306,Employees!$A$32,'Leave log'!$B$7:$B$306,"&lt;="&amp;DATE($B$3,9,25),'Leave log'!$C$7:$C$306,"&gt;="&amp;DATE($B$3,9,25),'Leave log'!$F$7:$F$306,"Approved")&gt;0,"A",""))="A","A",IF(OR(DATE($B$3,9,25)&gt;EOMONTH(DATE($B$3,9,1),0),NETWORKDAYS.INTL(DATE($B$3,9,25),DATE($B$3,9,25),1,'Non-working days'!$A$6:$A$45)=0),"",IF(COUNTIFS('Leave log'!$A$7:$A$306,Employees!$A$32,'Leave log'!$B$7:$B$306,"&lt;="&amp;DATE($B$3,9,25),'Leave log'!$C$7:$C$306,"&gt;="&amp;DATE($B$3,9,25),'Leave log'!$F$7:$F$306,"Pending")&gt;0,"P",""))))</f>
        <v/>
      </c>
      <c r="AA305" s="23" t="str">
        <f>IF(A305="","",IF(IF(OR(DATE($B$3,9,26)&gt;EOMONTH(DATE($B$3,9,1),0),NETWORKDAYS.INTL(DATE($B$3,9,26),DATE($B$3,9,26),1,'Non-working days'!$A$6:$A$45)=0),"",IF(COUNTIFS('Leave log'!$A$7:$A$306,Employees!$A$32,'Leave log'!$B$7:$B$306,"&lt;="&amp;DATE($B$3,9,26),'Leave log'!$C$7:$C$306,"&gt;="&amp;DATE($B$3,9,26),'Leave log'!$F$7:$F$306,"Approved")&gt;0,"A",""))="A","A",IF(OR(DATE($B$3,9,26)&gt;EOMONTH(DATE($B$3,9,1),0),NETWORKDAYS.INTL(DATE($B$3,9,26),DATE($B$3,9,26),1,'Non-working days'!$A$6:$A$45)=0),"",IF(COUNTIFS('Leave log'!$A$7:$A$306,Employees!$A$32,'Leave log'!$B$7:$B$306,"&lt;="&amp;DATE($B$3,9,26),'Leave log'!$C$7:$C$306,"&gt;="&amp;DATE($B$3,9,26),'Leave log'!$F$7:$F$306,"Pending")&gt;0,"P",""))))</f>
        <v/>
      </c>
      <c r="AB305" s="23" t="str">
        <f>IF(A305="","",IF(IF(OR(DATE($B$3,9,27)&gt;EOMONTH(DATE($B$3,9,1),0),NETWORKDAYS.INTL(DATE($B$3,9,27),DATE($B$3,9,27),1,'Non-working days'!$A$6:$A$45)=0),"",IF(COUNTIFS('Leave log'!$A$7:$A$306,Employees!$A$32,'Leave log'!$B$7:$B$306,"&lt;="&amp;DATE($B$3,9,27),'Leave log'!$C$7:$C$306,"&gt;="&amp;DATE($B$3,9,27),'Leave log'!$F$7:$F$306,"Approved")&gt;0,"A",""))="A","A",IF(OR(DATE($B$3,9,27)&gt;EOMONTH(DATE($B$3,9,1),0),NETWORKDAYS.INTL(DATE($B$3,9,27),DATE($B$3,9,27),1,'Non-working days'!$A$6:$A$45)=0),"",IF(COUNTIFS('Leave log'!$A$7:$A$306,Employees!$A$32,'Leave log'!$B$7:$B$306,"&lt;="&amp;DATE($B$3,9,27),'Leave log'!$C$7:$C$306,"&gt;="&amp;DATE($B$3,9,27),'Leave log'!$F$7:$F$306,"Pending")&gt;0,"P",""))))</f>
        <v/>
      </c>
      <c r="AC305" s="23" t="str">
        <f>IF(A305="","",IF(IF(OR(DATE($B$3,9,28)&gt;EOMONTH(DATE($B$3,9,1),0),NETWORKDAYS.INTL(DATE($B$3,9,28),DATE($B$3,9,28),1,'Non-working days'!$A$6:$A$45)=0),"",IF(COUNTIFS('Leave log'!$A$7:$A$306,Employees!$A$32,'Leave log'!$B$7:$B$306,"&lt;="&amp;DATE($B$3,9,28),'Leave log'!$C$7:$C$306,"&gt;="&amp;DATE($B$3,9,28),'Leave log'!$F$7:$F$306,"Approved")&gt;0,"A",""))="A","A",IF(OR(DATE($B$3,9,28)&gt;EOMONTH(DATE($B$3,9,1),0),NETWORKDAYS.INTL(DATE($B$3,9,28),DATE($B$3,9,28),1,'Non-working days'!$A$6:$A$45)=0),"",IF(COUNTIFS('Leave log'!$A$7:$A$306,Employees!$A$32,'Leave log'!$B$7:$B$306,"&lt;="&amp;DATE($B$3,9,28),'Leave log'!$C$7:$C$306,"&gt;="&amp;DATE($B$3,9,28),'Leave log'!$F$7:$F$306,"Pending")&gt;0,"P",""))))</f>
        <v/>
      </c>
      <c r="AD305" s="23" t="str">
        <f>IF(A305="","",IF(IF(OR(DATE($B$3,9,29)&gt;EOMONTH(DATE($B$3,9,1),0),NETWORKDAYS.INTL(DATE($B$3,9,29),DATE($B$3,9,29),1,'Non-working days'!$A$6:$A$45)=0),"",IF(COUNTIFS('Leave log'!$A$7:$A$306,Employees!$A$32,'Leave log'!$B$7:$B$306,"&lt;="&amp;DATE($B$3,9,29),'Leave log'!$C$7:$C$306,"&gt;="&amp;DATE($B$3,9,29),'Leave log'!$F$7:$F$306,"Approved")&gt;0,"A",""))="A","A",IF(OR(DATE($B$3,9,29)&gt;EOMONTH(DATE($B$3,9,1),0),NETWORKDAYS.INTL(DATE($B$3,9,29),DATE($B$3,9,29),1,'Non-working days'!$A$6:$A$45)=0),"",IF(COUNTIFS('Leave log'!$A$7:$A$306,Employees!$A$32,'Leave log'!$B$7:$B$306,"&lt;="&amp;DATE($B$3,9,29),'Leave log'!$C$7:$C$306,"&gt;="&amp;DATE($B$3,9,29),'Leave log'!$F$7:$F$306,"Pending")&gt;0,"P",""))))</f>
        <v/>
      </c>
      <c r="AE305" s="23" t="str">
        <f>IF(A305="","",IF(IF(OR(DATE($B$3,9,30)&gt;EOMONTH(DATE($B$3,9,1),0),NETWORKDAYS.INTL(DATE($B$3,9,30),DATE($B$3,9,30),1,'Non-working days'!$A$6:$A$45)=0),"",IF(COUNTIFS('Leave log'!$A$7:$A$306,Employees!$A$32,'Leave log'!$B$7:$B$306,"&lt;="&amp;DATE($B$3,9,30),'Leave log'!$C$7:$C$306,"&gt;="&amp;DATE($B$3,9,30),'Leave log'!$F$7:$F$306,"Approved")&gt;0,"A",""))="A","A",IF(OR(DATE($B$3,9,30)&gt;EOMONTH(DATE($B$3,9,1),0),NETWORKDAYS.INTL(DATE($B$3,9,30),DATE($B$3,9,30),1,'Non-working days'!$A$6:$A$45)=0),"",IF(COUNTIFS('Leave log'!$A$7:$A$306,Employees!$A$32,'Leave log'!$B$7:$B$306,"&lt;="&amp;DATE($B$3,9,30),'Leave log'!$C$7:$C$306,"&gt;="&amp;DATE($B$3,9,30),'Leave log'!$F$7:$F$306,"Pending")&gt;0,"P",""))))</f>
        <v/>
      </c>
      <c r="AF305" s="23" t="str">
        <f>IF(A305="","",IF(IF(OR(DATE($B$3,9,31)&gt;EOMONTH(DATE($B$3,9,1),0),NETWORKDAYS.INTL(DATE($B$3,9,31),DATE($B$3,9,31),1,'Non-working days'!$A$6:$A$45)=0),"",IF(COUNTIFS('Leave log'!$A$7:$A$306,Employees!$A$32,'Leave log'!$B$7:$B$306,"&lt;="&amp;DATE($B$3,9,31),'Leave log'!$C$7:$C$306,"&gt;="&amp;DATE($B$3,9,31),'Leave log'!$F$7:$F$306,"Approved")&gt;0,"A",""))="A","A",IF(OR(DATE($B$3,9,31)&gt;EOMONTH(DATE($B$3,9,1),0),NETWORKDAYS.INTL(DATE($B$3,9,31),DATE($B$3,9,31),1,'Non-working days'!$A$6:$A$45)=0),"",IF(COUNTIFS('Leave log'!$A$7:$A$306,Employees!$A$32,'Leave log'!$B$7:$B$306,"&lt;="&amp;DATE($B$3,9,31),'Leave log'!$C$7:$C$306,"&gt;="&amp;DATE($B$3,9,31),'Leave log'!$F$7:$F$306,"Pending")&gt;0,"P",""))))</f>
        <v/>
      </c>
    </row>
    <row r="306" spans="1:32" ht="18" customHeight="1" x14ac:dyDescent="0.3">
      <c r="A306" s="22" t="str">
        <f>IF(Employees!F33="Yes",Employees!B33,"")</f>
        <v/>
      </c>
      <c r="B306" s="23" t="str">
        <f>IF(A306="","",IF(IF(OR(DATE($B$3,9,1)&gt;EOMONTH(DATE($B$3,9,1),0),NETWORKDAYS.INTL(DATE($B$3,9,1),DATE($B$3,9,1),1,'Non-working days'!$A$6:$A$45)=0),"",IF(COUNTIFS('Leave log'!$A$7:$A$306,Employees!$A$33,'Leave log'!$B$7:$B$306,"&lt;="&amp;DATE($B$3,9,1),'Leave log'!$C$7:$C$306,"&gt;="&amp;DATE($B$3,9,1),'Leave log'!$F$7:$F$306,"Approved")&gt;0,"A",""))="A","A",IF(OR(DATE($B$3,9,1)&gt;EOMONTH(DATE($B$3,9,1),0),NETWORKDAYS.INTL(DATE($B$3,9,1),DATE($B$3,9,1),1,'Non-working days'!$A$6:$A$45)=0),"",IF(COUNTIFS('Leave log'!$A$7:$A$306,Employees!$A$33,'Leave log'!$B$7:$B$306,"&lt;="&amp;DATE($B$3,9,1),'Leave log'!$C$7:$C$306,"&gt;="&amp;DATE($B$3,9,1),'Leave log'!$F$7:$F$306,"Pending")&gt;0,"P",""))))</f>
        <v/>
      </c>
      <c r="C306" s="23" t="str">
        <f>IF(A306="","",IF(IF(OR(DATE($B$3,9,2)&gt;EOMONTH(DATE($B$3,9,1),0),NETWORKDAYS.INTL(DATE($B$3,9,2),DATE($B$3,9,2),1,'Non-working days'!$A$6:$A$45)=0),"",IF(COUNTIFS('Leave log'!$A$7:$A$306,Employees!$A$33,'Leave log'!$B$7:$B$306,"&lt;="&amp;DATE($B$3,9,2),'Leave log'!$C$7:$C$306,"&gt;="&amp;DATE($B$3,9,2),'Leave log'!$F$7:$F$306,"Approved")&gt;0,"A",""))="A","A",IF(OR(DATE($B$3,9,2)&gt;EOMONTH(DATE($B$3,9,1),0),NETWORKDAYS.INTL(DATE($B$3,9,2),DATE($B$3,9,2),1,'Non-working days'!$A$6:$A$45)=0),"",IF(COUNTIFS('Leave log'!$A$7:$A$306,Employees!$A$33,'Leave log'!$B$7:$B$306,"&lt;="&amp;DATE($B$3,9,2),'Leave log'!$C$7:$C$306,"&gt;="&amp;DATE($B$3,9,2),'Leave log'!$F$7:$F$306,"Pending")&gt;0,"P",""))))</f>
        <v/>
      </c>
      <c r="D306" s="23" t="str">
        <f>IF(A306="","",IF(IF(OR(DATE($B$3,9,3)&gt;EOMONTH(DATE($B$3,9,1),0),NETWORKDAYS.INTL(DATE($B$3,9,3),DATE($B$3,9,3),1,'Non-working days'!$A$6:$A$45)=0),"",IF(COUNTIFS('Leave log'!$A$7:$A$306,Employees!$A$33,'Leave log'!$B$7:$B$306,"&lt;="&amp;DATE($B$3,9,3),'Leave log'!$C$7:$C$306,"&gt;="&amp;DATE($B$3,9,3),'Leave log'!$F$7:$F$306,"Approved")&gt;0,"A",""))="A","A",IF(OR(DATE($B$3,9,3)&gt;EOMONTH(DATE($B$3,9,1),0),NETWORKDAYS.INTL(DATE($B$3,9,3),DATE($B$3,9,3),1,'Non-working days'!$A$6:$A$45)=0),"",IF(COUNTIFS('Leave log'!$A$7:$A$306,Employees!$A$33,'Leave log'!$B$7:$B$306,"&lt;="&amp;DATE($B$3,9,3),'Leave log'!$C$7:$C$306,"&gt;="&amp;DATE($B$3,9,3),'Leave log'!$F$7:$F$306,"Pending")&gt;0,"P",""))))</f>
        <v/>
      </c>
      <c r="E306" s="23" t="str">
        <f>IF(A306="","",IF(IF(OR(DATE($B$3,9,4)&gt;EOMONTH(DATE($B$3,9,1),0),NETWORKDAYS.INTL(DATE($B$3,9,4),DATE($B$3,9,4),1,'Non-working days'!$A$6:$A$45)=0),"",IF(COUNTIFS('Leave log'!$A$7:$A$306,Employees!$A$33,'Leave log'!$B$7:$B$306,"&lt;="&amp;DATE($B$3,9,4),'Leave log'!$C$7:$C$306,"&gt;="&amp;DATE($B$3,9,4),'Leave log'!$F$7:$F$306,"Approved")&gt;0,"A",""))="A","A",IF(OR(DATE($B$3,9,4)&gt;EOMONTH(DATE($B$3,9,1),0),NETWORKDAYS.INTL(DATE($B$3,9,4),DATE($B$3,9,4),1,'Non-working days'!$A$6:$A$45)=0),"",IF(COUNTIFS('Leave log'!$A$7:$A$306,Employees!$A$33,'Leave log'!$B$7:$B$306,"&lt;="&amp;DATE($B$3,9,4),'Leave log'!$C$7:$C$306,"&gt;="&amp;DATE($B$3,9,4),'Leave log'!$F$7:$F$306,"Pending")&gt;0,"P",""))))</f>
        <v/>
      </c>
      <c r="F306" s="23" t="str">
        <f>IF(A306="","",IF(IF(OR(DATE($B$3,9,5)&gt;EOMONTH(DATE($B$3,9,1),0),NETWORKDAYS.INTL(DATE($B$3,9,5),DATE($B$3,9,5),1,'Non-working days'!$A$6:$A$45)=0),"",IF(COUNTIFS('Leave log'!$A$7:$A$306,Employees!$A$33,'Leave log'!$B$7:$B$306,"&lt;="&amp;DATE($B$3,9,5),'Leave log'!$C$7:$C$306,"&gt;="&amp;DATE($B$3,9,5),'Leave log'!$F$7:$F$306,"Approved")&gt;0,"A",""))="A","A",IF(OR(DATE($B$3,9,5)&gt;EOMONTH(DATE($B$3,9,1),0),NETWORKDAYS.INTL(DATE($B$3,9,5),DATE($B$3,9,5),1,'Non-working days'!$A$6:$A$45)=0),"",IF(COUNTIFS('Leave log'!$A$7:$A$306,Employees!$A$33,'Leave log'!$B$7:$B$306,"&lt;="&amp;DATE($B$3,9,5),'Leave log'!$C$7:$C$306,"&gt;="&amp;DATE($B$3,9,5),'Leave log'!$F$7:$F$306,"Pending")&gt;0,"P",""))))</f>
        <v/>
      </c>
      <c r="G306" s="23" t="str">
        <f>IF(A306="","",IF(IF(OR(DATE($B$3,9,6)&gt;EOMONTH(DATE($B$3,9,1),0),NETWORKDAYS.INTL(DATE($B$3,9,6),DATE($B$3,9,6),1,'Non-working days'!$A$6:$A$45)=0),"",IF(COUNTIFS('Leave log'!$A$7:$A$306,Employees!$A$33,'Leave log'!$B$7:$B$306,"&lt;="&amp;DATE($B$3,9,6),'Leave log'!$C$7:$C$306,"&gt;="&amp;DATE($B$3,9,6),'Leave log'!$F$7:$F$306,"Approved")&gt;0,"A",""))="A","A",IF(OR(DATE($B$3,9,6)&gt;EOMONTH(DATE($B$3,9,1),0),NETWORKDAYS.INTL(DATE($B$3,9,6),DATE($B$3,9,6),1,'Non-working days'!$A$6:$A$45)=0),"",IF(COUNTIFS('Leave log'!$A$7:$A$306,Employees!$A$33,'Leave log'!$B$7:$B$306,"&lt;="&amp;DATE($B$3,9,6),'Leave log'!$C$7:$C$306,"&gt;="&amp;DATE($B$3,9,6),'Leave log'!$F$7:$F$306,"Pending")&gt;0,"P",""))))</f>
        <v/>
      </c>
      <c r="H306" s="23" t="str">
        <f>IF(A306="","",IF(IF(OR(DATE($B$3,9,7)&gt;EOMONTH(DATE($B$3,9,1),0),NETWORKDAYS.INTL(DATE($B$3,9,7),DATE($B$3,9,7),1,'Non-working days'!$A$6:$A$45)=0),"",IF(COUNTIFS('Leave log'!$A$7:$A$306,Employees!$A$33,'Leave log'!$B$7:$B$306,"&lt;="&amp;DATE($B$3,9,7),'Leave log'!$C$7:$C$306,"&gt;="&amp;DATE($B$3,9,7),'Leave log'!$F$7:$F$306,"Approved")&gt;0,"A",""))="A","A",IF(OR(DATE($B$3,9,7)&gt;EOMONTH(DATE($B$3,9,1),0),NETWORKDAYS.INTL(DATE($B$3,9,7),DATE($B$3,9,7),1,'Non-working days'!$A$6:$A$45)=0),"",IF(COUNTIFS('Leave log'!$A$7:$A$306,Employees!$A$33,'Leave log'!$B$7:$B$306,"&lt;="&amp;DATE($B$3,9,7),'Leave log'!$C$7:$C$306,"&gt;="&amp;DATE($B$3,9,7),'Leave log'!$F$7:$F$306,"Pending")&gt;0,"P",""))))</f>
        <v/>
      </c>
      <c r="I306" s="23" t="str">
        <f>IF(A306="","",IF(IF(OR(DATE($B$3,9,8)&gt;EOMONTH(DATE($B$3,9,1),0),NETWORKDAYS.INTL(DATE($B$3,9,8),DATE($B$3,9,8),1,'Non-working days'!$A$6:$A$45)=0),"",IF(COUNTIFS('Leave log'!$A$7:$A$306,Employees!$A$33,'Leave log'!$B$7:$B$306,"&lt;="&amp;DATE($B$3,9,8),'Leave log'!$C$7:$C$306,"&gt;="&amp;DATE($B$3,9,8),'Leave log'!$F$7:$F$306,"Approved")&gt;0,"A",""))="A","A",IF(OR(DATE($B$3,9,8)&gt;EOMONTH(DATE($B$3,9,1),0),NETWORKDAYS.INTL(DATE($B$3,9,8),DATE($B$3,9,8),1,'Non-working days'!$A$6:$A$45)=0),"",IF(COUNTIFS('Leave log'!$A$7:$A$306,Employees!$A$33,'Leave log'!$B$7:$B$306,"&lt;="&amp;DATE($B$3,9,8),'Leave log'!$C$7:$C$306,"&gt;="&amp;DATE($B$3,9,8),'Leave log'!$F$7:$F$306,"Pending")&gt;0,"P",""))))</f>
        <v/>
      </c>
      <c r="J306" s="23" t="str">
        <f>IF(A306="","",IF(IF(OR(DATE($B$3,9,9)&gt;EOMONTH(DATE($B$3,9,1),0),NETWORKDAYS.INTL(DATE($B$3,9,9),DATE($B$3,9,9),1,'Non-working days'!$A$6:$A$45)=0),"",IF(COUNTIFS('Leave log'!$A$7:$A$306,Employees!$A$33,'Leave log'!$B$7:$B$306,"&lt;="&amp;DATE($B$3,9,9),'Leave log'!$C$7:$C$306,"&gt;="&amp;DATE($B$3,9,9),'Leave log'!$F$7:$F$306,"Approved")&gt;0,"A",""))="A","A",IF(OR(DATE($B$3,9,9)&gt;EOMONTH(DATE($B$3,9,1),0),NETWORKDAYS.INTL(DATE($B$3,9,9),DATE($B$3,9,9),1,'Non-working days'!$A$6:$A$45)=0),"",IF(COUNTIFS('Leave log'!$A$7:$A$306,Employees!$A$33,'Leave log'!$B$7:$B$306,"&lt;="&amp;DATE($B$3,9,9),'Leave log'!$C$7:$C$306,"&gt;="&amp;DATE($B$3,9,9),'Leave log'!$F$7:$F$306,"Pending")&gt;0,"P",""))))</f>
        <v/>
      </c>
      <c r="K306" s="23" t="str">
        <f>IF(A306="","",IF(IF(OR(DATE($B$3,9,10)&gt;EOMONTH(DATE($B$3,9,1),0),NETWORKDAYS.INTL(DATE($B$3,9,10),DATE($B$3,9,10),1,'Non-working days'!$A$6:$A$45)=0),"",IF(COUNTIFS('Leave log'!$A$7:$A$306,Employees!$A$33,'Leave log'!$B$7:$B$306,"&lt;="&amp;DATE($B$3,9,10),'Leave log'!$C$7:$C$306,"&gt;="&amp;DATE($B$3,9,10),'Leave log'!$F$7:$F$306,"Approved")&gt;0,"A",""))="A","A",IF(OR(DATE($B$3,9,10)&gt;EOMONTH(DATE($B$3,9,1),0),NETWORKDAYS.INTL(DATE($B$3,9,10),DATE($B$3,9,10),1,'Non-working days'!$A$6:$A$45)=0),"",IF(COUNTIFS('Leave log'!$A$7:$A$306,Employees!$A$33,'Leave log'!$B$7:$B$306,"&lt;="&amp;DATE($B$3,9,10),'Leave log'!$C$7:$C$306,"&gt;="&amp;DATE($B$3,9,10),'Leave log'!$F$7:$F$306,"Pending")&gt;0,"P",""))))</f>
        <v/>
      </c>
      <c r="L306" s="23" t="str">
        <f>IF(A306="","",IF(IF(OR(DATE($B$3,9,11)&gt;EOMONTH(DATE($B$3,9,1),0),NETWORKDAYS.INTL(DATE($B$3,9,11),DATE($B$3,9,11),1,'Non-working days'!$A$6:$A$45)=0),"",IF(COUNTIFS('Leave log'!$A$7:$A$306,Employees!$A$33,'Leave log'!$B$7:$B$306,"&lt;="&amp;DATE($B$3,9,11),'Leave log'!$C$7:$C$306,"&gt;="&amp;DATE($B$3,9,11),'Leave log'!$F$7:$F$306,"Approved")&gt;0,"A",""))="A","A",IF(OR(DATE($B$3,9,11)&gt;EOMONTH(DATE($B$3,9,1),0),NETWORKDAYS.INTL(DATE($B$3,9,11),DATE($B$3,9,11),1,'Non-working days'!$A$6:$A$45)=0),"",IF(COUNTIFS('Leave log'!$A$7:$A$306,Employees!$A$33,'Leave log'!$B$7:$B$306,"&lt;="&amp;DATE($B$3,9,11),'Leave log'!$C$7:$C$306,"&gt;="&amp;DATE($B$3,9,11),'Leave log'!$F$7:$F$306,"Pending")&gt;0,"P",""))))</f>
        <v/>
      </c>
      <c r="M306" s="23" t="str">
        <f>IF(A306="","",IF(IF(OR(DATE($B$3,9,12)&gt;EOMONTH(DATE($B$3,9,1),0),NETWORKDAYS.INTL(DATE($B$3,9,12),DATE($B$3,9,12),1,'Non-working days'!$A$6:$A$45)=0),"",IF(COUNTIFS('Leave log'!$A$7:$A$306,Employees!$A$33,'Leave log'!$B$7:$B$306,"&lt;="&amp;DATE($B$3,9,12),'Leave log'!$C$7:$C$306,"&gt;="&amp;DATE($B$3,9,12),'Leave log'!$F$7:$F$306,"Approved")&gt;0,"A",""))="A","A",IF(OR(DATE($B$3,9,12)&gt;EOMONTH(DATE($B$3,9,1),0),NETWORKDAYS.INTL(DATE($B$3,9,12),DATE($B$3,9,12),1,'Non-working days'!$A$6:$A$45)=0),"",IF(COUNTIFS('Leave log'!$A$7:$A$306,Employees!$A$33,'Leave log'!$B$7:$B$306,"&lt;="&amp;DATE($B$3,9,12),'Leave log'!$C$7:$C$306,"&gt;="&amp;DATE($B$3,9,12),'Leave log'!$F$7:$F$306,"Pending")&gt;0,"P",""))))</f>
        <v/>
      </c>
      <c r="N306" s="23" t="str">
        <f>IF(A306="","",IF(IF(OR(DATE($B$3,9,13)&gt;EOMONTH(DATE($B$3,9,1),0),NETWORKDAYS.INTL(DATE($B$3,9,13),DATE($B$3,9,13),1,'Non-working days'!$A$6:$A$45)=0),"",IF(COUNTIFS('Leave log'!$A$7:$A$306,Employees!$A$33,'Leave log'!$B$7:$B$306,"&lt;="&amp;DATE($B$3,9,13),'Leave log'!$C$7:$C$306,"&gt;="&amp;DATE($B$3,9,13),'Leave log'!$F$7:$F$306,"Approved")&gt;0,"A",""))="A","A",IF(OR(DATE($B$3,9,13)&gt;EOMONTH(DATE($B$3,9,1),0),NETWORKDAYS.INTL(DATE($B$3,9,13),DATE($B$3,9,13),1,'Non-working days'!$A$6:$A$45)=0),"",IF(COUNTIFS('Leave log'!$A$7:$A$306,Employees!$A$33,'Leave log'!$B$7:$B$306,"&lt;="&amp;DATE($B$3,9,13),'Leave log'!$C$7:$C$306,"&gt;="&amp;DATE($B$3,9,13),'Leave log'!$F$7:$F$306,"Pending")&gt;0,"P",""))))</f>
        <v/>
      </c>
      <c r="O306" s="23" t="str">
        <f>IF(A306="","",IF(IF(OR(DATE($B$3,9,14)&gt;EOMONTH(DATE($B$3,9,1),0),NETWORKDAYS.INTL(DATE($B$3,9,14),DATE($B$3,9,14),1,'Non-working days'!$A$6:$A$45)=0),"",IF(COUNTIFS('Leave log'!$A$7:$A$306,Employees!$A$33,'Leave log'!$B$7:$B$306,"&lt;="&amp;DATE($B$3,9,14),'Leave log'!$C$7:$C$306,"&gt;="&amp;DATE($B$3,9,14),'Leave log'!$F$7:$F$306,"Approved")&gt;0,"A",""))="A","A",IF(OR(DATE($B$3,9,14)&gt;EOMONTH(DATE($B$3,9,1),0),NETWORKDAYS.INTL(DATE($B$3,9,14),DATE($B$3,9,14),1,'Non-working days'!$A$6:$A$45)=0),"",IF(COUNTIFS('Leave log'!$A$7:$A$306,Employees!$A$33,'Leave log'!$B$7:$B$306,"&lt;="&amp;DATE($B$3,9,14),'Leave log'!$C$7:$C$306,"&gt;="&amp;DATE($B$3,9,14),'Leave log'!$F$7:$F$306,"Pending")&gt;0,"P",""))))</f>
        <v/>
      </c>
      <c r="P306" s="23" t="str">
        <f>IF(A306="","",IF(IF(OR(DATE($B$3,9,15)&gt;EOMONTH(DATE($B$3,9,1),0),NETWORKDAYS.INTL(DATE($B$3,9,15),DATE($B$3,9,15),1,'Non-working days'!$A$6:$A$45)=0),"",IF(COUNTIFS('Leave log'!$A$7:$A$306,Employees!$A$33,'Leave log'!$B$7:$B$306,"&lt;="&amp;DATE($B$3,9,15),'Leave log'!$C$7:$C$306,"&gt;="&amp;DATE($B$3,9,15),'Leave log'!$F$7:$F$306,"Approved")&gt;0,"A",""))="A","A",IF(OR(DATE($B$3,9,15)&gt;EOMONTH(DATE($B$3,9,1),0),NETWORKDAYS.INTL(DATE($B$3,9,15),DATE($B$3,9,15),1,'Non-working days'!$A$6:$A$45)=0),"",IF(COUNTIFS('Leave log'!$A$7:$A$306,Employees!$A$33,'Leave log'!$B$7:$B$306,"&lt;="&amp;DATE($B$3,9,15),'Leave log'!$C$7:$C$306,"&gt;="&amp;DATE($B$3,9,15),'Leave log'!$F$7:$F$306,"Pending")&gt;0,"P",""))))</f>
        <v/>
      </c>
      <c r="Q306" s="23" t="str">
        <f>IF(A306="","",IF(IF(OR(DATE($B$3,9,16)&gt;EOMONTH(DATE($B$3,9,1),0),NETWORKDAYS.INTL(DATE($B$3,9,16),DATE($B$3,9,16),1,'Non-working days'!$A$6:$A$45)=0),"",IF(COUNTIFS('Leave log'!$A$7:$A$306,Employees!$A$33,'Leave log'!$B$7:$B$306,"&lt;="&amp;DATE($B$3,9,16),'Leave log'!$C$7:$C$306,"&gt;="&amp;DATE($B$3,9,16),'Leave log'!$F$7:$F$306,"Approved")&gt;0,"A",""))="A","A",IF(OR(DATE($B$3,9,16)&gt;EOMONTH(DATE($B$3,9,1),0),NETWORKDAYS.INTL(DATE($B$3,9,16),DATE($B$3,9,16),1,'Non-working days'!$A$6:$A$45)=0),"",IF(COUNTIFS('Leave log'!$A$7:$A$306,Employees!$A$33,'Leave log'!$B$7:$B$306,"&lt;="&amp;DATE($B$3,9,16),'Leave log'!$C$7:$C$306,"&gt;="&amp;DATE($B$3,9,16),'Leave log'!$F$7:$F$306,"Pending")&gt;0,"P",""))))</f>
        <v/>
      </c>
      <c r="R306" s="23" t="str">
        <f>IF(A306="","",IF(IF(OR(DATE($B$3,9,17)&gt;EOMONTH(DATE($B$3,9,1),0),NETWORKDAYS.INTL(DATE($B$3,9,17),DATE($B$3,9,17),1,'Non-working days'!$A$6:$A$45)=0),"",IF(COUNTIFS('Leave log'!$A$7:$A$306,Employees!$A$33,'Leave log'!$B$7:$B$306,"&lt;="&amp;DATE($B$3,9,17),'Leave log'!$C$7:$C$306,"&gt;="&amp;DATE($B$3,9,17),'Leave log'!$F$7:$F$306,"Approved")&gt;0,"A",""))="A","A",IF(OR(DATE($B$3,9,17)&gt;EOMONTH(DATE($B$3,9,1),0),NETWORKDAYS.INTL(DATE($B$3,9,17),DATE($B$3,9,17),1,'Non-working days'!$A$6:$A$45)=0),"",IF(COUNTIFS('Leave log'!$A$7:$A$306,Employees!$A$33,'Leave log'!$B$7:$B$306,"&lt;="&amp;DATE($B$3,9,17),'Leave log'!$C$7:$C$306,"&gt;="&amp;DATE($B$3,9,17),'Leave log'!$F$7:$F$306,"Pending")&gt;0,"P",""))))</f>
        <v/>
      </c>
      <c r="S306" s="23" t="str">
        <f>IF(A306="","",IF(IF(OR(DATE($B$3,9,18)&gt;EOMONTH(DATE($B$3,9,1),0),NETWORKDAYS.INTL(DATE($B$3,9,18),DATE($B$3,9,18),1,'Non-working days'!$A$6:$A$45)=0),"",IF(COUNTIFS('Leave log'!$A$7:$A$306,Employees!$A$33,'Leave log'!$B$7:$B$306,"&lt;="&amp;DATE($B$3,9,18),'Leave log'!$C$7:$C$306,"&gt;="&amp;DATE($B$3,9,18),'Leave log'!$F$7:$F$306,"Approved")&gt;0,"A",""))="A","A",IF(OR(DATE($B$3,9,18)&gt;EOMONTH(DATE($B$3,9,1),0),NETWORKDAYS.INTL(DATE($B$3,9,18),DATE($B$3,9,18),1,'Non-working days'!$A$6:$A$45)=0),"",IF(COUNTIFS('Leave log'!$A$7:$A$306,Employees!$A$33,'Leave log'!$B$7:$B$306,"&lt;="&amp;DATE($B$3,9,18),'Leave log'!$C$7:$C$306,"&gt;="&amp;DATE($B$3,9,18),'Leave log'!$F$7:$F$306,"Pending")&gt;0,"P",""))))</f>
        <v/>
      </c>
      <c r="T306" s="23" t="str">
        <f>IF(A306="","",IF(IF(OR(DATE($B$3,9,19)&gt;EOMONTH(DATE($B$3,9,1),0),NETWORKDAYS.INTL(DATE($B$3,9,19),DATE($B$3,9,19),1,'Non-working days'!$A$6:$A$45)=0),"",IF(COUNTIFS('Leave log'!$A$7:$A$306,Employees!$A$33,'Leave log'!$B$7:$B$306,"&lt;="&amp;DATE($B$3,9,19),'Leave log'!$C$7:$C$306,"&gt;="&amp;DATE($B$3,9,19),'Leave log'!$F$7:$F$306,"Approved")&gt;0,"A",""))="A","A",IF(OR(DATE($B$3,9,19)&gt;EOMONTH(DATE($B$3,9,1),0),NETWORKDAYS.INTL(DATE($B$3,9,19),DATE($B$3,9,19),1,'Non-working days'!$A$6:$A$45)=0),"",IF(COUNTIFS('Leave log'!$A$7:$A$306,Employees!$A$33,'Leave log'!$B$7:$B$306,"&lt;="&amp;DATE($B$3,9,19),'Leave log'!$C$7:$C$306,"&gt;="&amp;DATE($B$3,9,19),'Leave log'!$F$7:$F$306,"Pending")&gt;0,"P",""))))</f>
        <v/>
      </c>
      <c r="U306" s="23" t="str">
        <f>IF(A306="","",IF(IF(OR(DATE($B$3,9,20)&gt;EOMONTH(DATE($B$3,9,1),0),NETWORKDAYS.INTL(DATE($B$3,9,20),DATE($B$3,9,20),1,'Non-working days'!$A$6:$A$45)=0),"",IF(COUNTIFS('Leave log'!$A$7:$A$306,Employees!$A$33,'Leave log'!$B$7:$B$306,"&lt;="&amp;DATE($B$3,9,20),'Leave log'!$C$7:$C$306,"&gt;="&amp;DATE($B$3,9,20),'Leave log'!$F$7:$F$306,"Approved")&gt;0,"A",""))="A","A",IF(OR(DATE($B$3,9,20)&gt;EOMONTH(DATE($B$3,9,1),0),NETWORKDAYS.INTL(DATE($B$3,9,20),DATE($B$3,9,20),1,'Non-working days'!$A$6:$A$45)=0),"",IF(COUNTIFS('Leave log'!$A$7:$A$306,Employees!$A$33,'Leave log'!$B$7:$B$306,"&lt;="&amp;DATE($B$3,9,20),'Leave log'!$C$7:$C$306,"&gt;="&amp;DATE($B$3,9,20),'Leave log'!$F$7:$F$306,"Pending")&gt;0,"P",""))))</f>
        <v/>
      </c>
      <c r="V306" s="23" t="str">
        <f>IF(A306="","",IF(IF(OR(DATE($B$3,9,21)&gt;EOMONTH(DATE($B$3,9,1),0),NETWORKDAYS.INTL(DATE($B$3,9,21),DATE($B$3,9,21),1,'Non-working days'!$A$6:$A$45)=0),"",IF(COUNTIFS('Leave log'!$A$7:$A$306,Employees!$A$33,'Leave log'!$B$7:$B$306,"&lt;="&amp;DATE($B$3,9,21),'Leave log'!$C$7:$C$306,"&gt;="&amp;DATE($B$3,9,21),'Leave log'!$F$7:$F$306,"Approved")&gt;0,"A",""))="A","A",IF(OR(DATE($B$3,9,21)&gt;EOMONTH(DATE($B$3,9,1),0),NETWORKDAYS.INTL(DATE($B$3,9,21),DATE($B$3,9,21),1,'Non-working days'!$A$6:$A$45)=0),"",IF(COUNTIFS('Leave log'!$A$7:$A$306,Employees!$A$33,'Leave log'!$B$7:$B$306,"&lt;="&amp;DATE($B$3,9,21),'Leave log'!$C$7:$C$306,"&gt;="&amp;DATE($B$3,9,21),'Leave log'!$F$7:$F$306,"Pending")&gt;0,"P",""))))</f>
        <v/>
      </c>
      <c r="W306" s="23" t="str">
        <f>IF(A306="","",IF(IF(OR(DATE($B$3,9,22)&gt;EOMONTH(DATE($B$3,9,1),0),NETWORKDAYS.INTL(DATE($B$3,9,22),DATE($B$3,9,22),1,'Non-working days'!$A$6:$A$45)=0),"",IF(COUNTIFS('Leave log'!$A$7:$A$306,Employees!$A$33,'Leave log'!$B$7:$B$306,"&lt;="&amp;DATE($B$3,9,22),'Leave log'!$C$7:$C$306,"&gt;="&amp;DATE($B$3,9,22),'Leave log'!$F$7:$F$306,"Approved")&gt;0,"A",""))="A","A",IF(OR(DATE($B$3,9,22)&gt;EOMONTH(DATE($B$3,9,1),0),NETWORKDAYS.INTL(DATE($B$3,9,22),DATE($B$3,9,22),1,'Non-working days'!$A$6:$A$45)=0),"",IF(COUNTIFS('Leave log'!$A$7:$A$306,Employees!$A$33,'Leave log'!$B$7:$B$306,"&lt;="&amp;DATE($B$3,9,22),'Leave log'!$C$7:$C$306,"&gt;="&amp;DATE($B$3,9,22),'Leave log'!$F$7:$F$306,"Pending")&gt;0,"P",""))))</f>
        <v/>
      </c>
      <c r="X306" s="23" t="str">
        <f>IF(A306="","",IF(IF(OR(DATE($B$3,9,23)&gt;EOMONTH(DATE($B$3,9,1),0),NETWORKDAYS.INTL(DATE($B$3,9,23),DATE($B$3,9,23),1,'Non-working days'!$A$6:$A$45)=0),"",IF(COUNTIFS('Leave log'!$A$7:$A$306,Employees!$A$33,'Leave log'!$B$7:$B$306,"&lt;="&amp;DATE($B$3,9,23),'Leave log'!$C$7:$C$306,"&gt;="&amp;DATE($B$3,9,23),'Leave log'!$F$7:$F$306,"Approved")&gt;0,"A",""))="A","A",IF(OR(DATE($B$3,9,23)&gt;EOMONTH(DATE($B$3,9,1),0),NETWORKDAYS.INTL(DATE($B$3,9,23),DATE($B$3,9,23),1,'Non-working days'!$A$6:$A$45)=0),"",IF(COUNTIFS('Leave log'!$A$7:$A$306,Employees!$A$33,'Leave log'!$B$7:$B$306,"&lt;="&amp;DATE($B$3,9,23),'Leave log'!$C$7:$C$306,"&gt;="&amp;DATE($B$3,9,23),'Leave log'!$F$7:$F$306,"Pending")&gt;0,"P",""))))</f>
        <v/>
      </c>
      <c r="Y306" s="23" t="str">
        <f>IF(A306="","",IF(IF(OR(DATE($B$3,9,24)&gt;EOMONTH(DATE($B$3,9,1),0),NETWORKDAYS.INTL(DATE($B$3,9,24),DATE($B$3,9,24),1,'Non-working days'!$A$6:$A$45)=0),"",IF(COUNTIFS('Leave log'!$A$7:$A$306,Employees!$A$33,'Leave log'!$B$7:$B$306,"&lt;="&amp;DATE($B$3,9,24),'Leave log'!$C$7:$C$306,"&gt;="&amp;DATE($B$3,9,24),'Leave log'!$F$7:$F$306,"Approved")&gt;0,"A",""))="A","A",IF(OR(DATE($B$3,9,24)&gt;EOMONTH(DATE($B$3,9,1),0),NETWORKDAYS.INTL(DATE($B$3,9,24),DATE($B$3,9,24),1,'Non-working days'!$A$6:$A$45)=0),"",IF(COUNTIFS('Leave log'!$A$7:$A$306,Employees!$A$33,'Leave log'!$B$7:$B$306,"&lt;="&amp;DATE($B$3,9,24),'Leave log'!$C$7:$C$306,"&gt;="&amp;DATE($B$3,9,24),'Leave log'!$F$7:$F$306,"Pending")&gt;0,"P",""))))</f>
        <v/>
      </c>
      <c r="Z306" s="23" t="str">
        <f>IF(A306="","",IF(IF(OR(DATE($B$3,9,25)&gt;EOMONTH(DATE($B$3,9,1),0),NETWORKDAYS.INTL(DATE($B$3,9,25),DATE($B$3,9,25),1,'Non-working days'!$A$6:$A$45)=0),"",IF(COUNTIFS('Leave log'!$A$7:$A$306,Employees!$A$33,'Leave log'!$B$7:$B$306,"&lt;="&amp;DATE($B$3,9,25),'Leave log'!$C$7:$C$306,"&gt;="&amp;DATE($B$3,9,25),'Leave log'!$F$7:$F$306,"Approved")&gt;0,"A",""))="A","A",IF(OR(DATE($B$3,9,25)&gt;EOMONTH(DATE($B$3,9,1),0),NETWORKDAYS.INTL(DATE($B$3,9,25),DATE($B$3,9,25),1,'Non-working days'!$A$6:$A$45)=0),"",IF(COUNTIFS('Leave log'!$A$7:$A$306,Employees!$A$33,'Leave log'!$B$7:$B$306,"&lt;="&amp;DATE($B$3,9,25),'Leave log'!$C$7:$C$306,"&gt;="&amp;DATE($B$3,9,25),'Leave log'!$F$7:$F$306,"Pending")&gt;0,"P",""))))</f>
        <v/>
      </c>
      <c r="AA306" s="23" t="str">
        <f>IF(A306="","",IF(IF(OR(DATE($B$3,9,26)&gt;EOMONTH(DATE($B$3,9,1),0),NETWORKDAYS.INTL(DATE($B$3,9,26),DATE($B$3,9,26),1,'Non-working days'!$A$6:$A$45)=0),"",IF(COUNTIFS('Leave log'!$A$7:$A$306,Employees!$A$33,'Leave log'!$B$7:$B$306,"&lt;="&amp;DATE($B$3,9,26),'Leave log'!$C$7:$C$306,"&gt;="&amp;DATE($B$3,9,26),'Leave log'!$F$7:$F$306,"Approved")&gt;0,"A",""))="A","A",IF(OR(DATE($B$3,9,26)&gt;EOMONTH(DATE($B$3,9,1),0),NETWORKDAYS.INTL(DATE($B$3,9,26),DATE($B$3,9,26),1,'Non-working days'!$A$6:$A$45)=0),"",IF(COUNTIFS('Leave log'!$A$7:$A$306,Employees!$A$33,'Leave log'!$B$7:$B$306,"&lt;="&amp;DATE($B$3,9,26),'Leave log'!$C$7:$C$306,"&gt;="&amp;DATE($B$3,9,26),'Leave log'!$F$7:$F$306,"Pending")&gt;0,"P",""))))</f>
        <v/>
      </c>
      <c r="AB306" s="23" t="str">
        <f>IF(A306="","",IF(IF(OR(DATE($B$3,9,27)&gt;EOMONTH(DATE($B$3,9,1),0),NETWORKDAYS.INTL(DATE($B$3,9,27),DATE($B$3,9,27),1,'Non-working days'!$A$6:$A$45)=0),"",IF(COUNTIFS('Leave log'!$A$7:$A$306,Employees!$A$33,'Leave log'!$B$7:$B$306,"&lt;="&amp;DATE($B$3,9,27),'Leave log'!$C$7:$C$306,"&gt;="&amp;DATE($B$3,9,27),'Leave log'!$F$7:$F$306,"Approved")&gt;0,"A",""))="A","A",IF(OR(DATE($B$3,9,27)&gt;EOMONTH(DATE($B$3,9,1),0),NETWORKDAYS.INTL(DATE($B$3,9,27),DATE($B$3,9,27),1,'Non-working days'!$A$6:$A$45)=0),"",IF(COUNTIFS('Leave log'!$A$7:$A$306,Employees!$A$33,'Leave log'!$B$7:$B$306,"&lt;="&amp;DATE($B$3,9,27),'Leave log'!$C$7:$C$306,"&gt;="&amp;DATE($B$3,9,27),'Leave log'!$F$7:$F$306,"Pending")&gt;0,"P",""))))</f>
        <v/>
      </c>
      <c r="AC306" s="23" t="str">
        <f>IF(A306="","",IF(IF(OR(DATE($B$3,9,28)&gt;EOMONTH(DATE($B$3,9,1),0),NETWORKDAYS.INTL(DATE($B$3,9,28),DATE($B$3,9,28),1,'Non-working days'!$A$6:$A$45)=0),"",IF(COUNTIFS('Leave log'!$A$7:$A$306,Employees!$A$33,'Leave log'!$B$7:$B$306,"&lt;="&amp;DATE($B$3,9,28),'Leave log'!$C$7:$C$306,"&gt;="&amp;DATE($B$3,9,28),'Leave log'!$F$7:$F$306,"Approved")&gt;0,"A",""))="A","A",IF(OR(DATE($B$3,9,28)&gt;EOMONTH(DATE($B$3,9,1),0),NETWORKDAYS.INTL(DATE($B$3,9,28),DATE($B$3,9,28),1,'Non-working days'!$A$6:$A$45)=0),"",IF(COUNTIFS('Leave log'!$A$7:$A$306,Employees!$A$33,'Leave log'!$B$7:$B$306,"&lt;="&amp;DATE($B$3,9,28),'Leave log'!$C$7:$C$306,"&gt;="&amp;DATE($B$3,9,28),'Leave log'!$F$7:$F$306,"Pending")&gt;0,"P",""))))</f>
        <v/>
      </c>
      <c r="AD306" s="23" t="str">
        <f>IF(A306="","",IF(IF(OR(DATE($B$3,9,29)&gt;EOMONTH(DATE($B$3,9,1),0),NETWORKDAYS.INTL(DATE($B$3,9,29),DATE($B$3,9,29),1,'Non-working days'!$A$6:$A$45)=0),"",IF(COUNTIFS('Leave log'!$A$7:$A$306,Employees!$A$33,'Leave log'!$B$7:$B$306,"&lt;="&amp;DATE($B$3,9,29),'Leave log'!$C$7:$C$306,"&gt;="&amp;DATE($B$3,9,29),'Leave log'!$F$7:$F$306,"Approved")&gt;0,"A",""))="A","A",IF(OR(DATE($B$3,9,29)&gt;EOMONTH(DATE($B$3,9,1),0),NETWORKDAYS.INTL(DATE($B$3,9,29),DATE($B$3,9,29),1,'Non-working days'!$A$6:$A$45)=0),"",IF(COUNTIFS('Leave log'!$A$7:$A$306,Employees!$A$33,'Leave log'!$B$7:$B$306,"&lt;="&amp;DATE($B$3,9,29),'Leave log'!$C$7:$C$306,"&gt;="&amp;DATE($B$3,9,29),'Leave log'!$F$7:$F$306,"Pending")&gt;0,"P",""))))</f>
        <v/>
      </c>
      <c r="AE306" s="23" t="str">
        <f>IF(A306="","",IF(IF(OR(DATE($B$3,9,30)&gt;EOMONTH(DATE($B$3,9,1),0),NETWORKDAYS.INTL(DATE($B$3,9,30),DATE($B$3,9,30),1,'Non-working days'!$A$6:$A$45)=0),"",IF(COUNTIFS('Leave log'!$A$7:$A$306,Employees!$A$33,'Leave log'!$B$7:$B$306,"&lt;="&amp;DATE($B$3,9,30),'Leave log'!$C$7:$C$306,"&gt;="&amp;DATE($B$3,9,30),'Leave log'!$F$7:$F$306,"Approved")&gt;0,"A",""))="A","A",IF(OR(DATE($B$3,9,30)&gt;EOMONTH(DATE($B$3,9,1),0),NETWORKDAYS.INTL(DATE($B$3,9,30),DATE($B$3,9,30),1,'Non-working days'!$A$6:$A$45)=0),"",IF(COUNTIFS('Leave log'!$A$7:$A$306,Employees!$A$33,'Leave log'!$B$7:$B$306,"&lt;="&amp;DATE($B$3,9,30),'Leave log'!$C$7:$C$306,"&gt;="&amp;DATE($B$3,9,30),'Leave log'!$F$7:$F$306,"Pending")&gt;0,"P",""))))</f>
        <v/>
      </c>
      <c r="AF306" s="23" t="str">
        <f>IF(A306="","",IF(IF(OR(DATE($B$3,9,31)&gt;EOMONTH(DATE($B$3,9,1),0),NETWORKDAYS.INTL(DATE($B$3,9,31),DATE($B$3,9,31),1,'Non-working days'!$A$6:$A$45)=0),"",IF(COUNTIFS('Leave log'!$A$7:$A$306,Employees!$A$33,'Leave log'!$B$7:$B$306,"&lt;="&amp;DATE($B$3,9,31),'Leave log'!$C$7:$C$306,"&gt;="&amp;DATE($B$3,9,31),'Leave log'!$F$7:$F$306,"Approved")&gt;0,"A",""))="A","A",IF(OR(DATE($B$3,9,31)&gt;EOMONTH(DATE($B$3,9,1),0),NETWORKDAYS.INTL(DATE($B$3,9,31),DATE($B$3,9,31),1,'Non-working days'!$A$6:$A$45)=0),"",IF(COUNTIFS('Leave log'!$A$7:$A$306,Employees!$A$33,'Leave log'!$B$7:$B$306,"&lt;="&amp;DATE($B$3,9,31),'Leave log'!$C$7:$C$306,"&gt;="&amp;DATE($B$3,9,31),'Leave log'!$F$7:$F$306,"Pending")&gt;0,"P",""))))</f>
        <v/>
      </c>
    </row>
    <row r="307" spans="1:32" ht="18" customHeight="1" x14ac:dyDescent="0.3">
      <c r="A307" s="22" t="str">
        <f>IF(Employees!F34="Yes",Employees!B34,"")</f>
        <v/>
      </c>
      <c r="B307" s="23" t="str">
        <f>IF(A307="","",IF(IF(OR(DATE($B$3,9,1)&gt;EOMONTH(DATE($B$3,9,1),0),NETWORKDAYS.INTL(DATE($B$3,9,1),DATE($B$3,9,1),1,'Non-working days'!$A$6:$A$45)=0),"",IF(COUNTIFS('Leave log'!$A$7:$A$306,Employees!$A$34,'Leave log'!$B$7:$B$306,"&lt;="&amp;DATE($B$3,9,1),'Leave log'!$C$7:$C$306,"&gt;="&amp;DATE($B$3,9,1),'Leave log'!$F$7:$F$306,"Approved")&gt;0,"A",""))="A","A",IF(OR(DATE($B$3,9,1)&gt;EOMONTH(DATE($B$3,9,1),0),NETWORKDAYS.INTL(DATE($B$3,9,1),DATE($B$3,9,1),1,'Non-working days'!$A$6:$A$45)=0),"",IF(COUNTIFS('Leave log'!$A$7:$A$306,Employees!$A$34,'Leave log'!$B$7:$B$306,"&lt;="&amp;DATE($B$3,9,1),'Leave log'!$C$7:$C$306,"&gt;="&amp;DATE($B$3,9,1),'Leave log'!$F$7:$F$306,"Pending")&gt;0,"P",""))))</f>
        <v/>
      </c>
      <c r="C307" s="23" t="str">
        <f>IF(A307="","",IF(IF(OR(DATE($B$3,9,2)&gt;EOMONTH(DATE($B$3,9,1),0),NETWORKDAYS.INTL(DATE($B$3,9,2),DATE($B$3,9,2),1,'Non-working days'!$A$6:$A$45)=0),"",IF(COUNTIFS('Leave log'!$A$7:$A$306,Employees!$A$34,'Leave log'!$B$7:$B$306,"&lt;="&amp;DATE($B$3,9,2),'Leave log'!$C$7:$C$306,"&gt;="&amp;DATE($B$3,9,2),'Leave log'!$F$7:$F$306,"Approved")&gt;0,"A",""))="A","A",IF(OR(DATE($B$3,9,2)&gt;EOMONTH(DATE($B$3,9,1),0),NETWORKDAYS.INTL(DATE($B$3,9,2),DATE($B$3,9,2),1,'Non-working days'!$A$6:$A$45)=0),"",IF(COUNTIFS('Leave log'!$A$7:$A$306,Employees!$A$34,'Leave log'!$B$7:$B$306,"&lt;="&amp;DATE($B$3,9,2),'Leave log'!$C$7:$C$306,"&gt;="&amp;DATE($B$3,9,2),'Leave log'!$F$7:$F$306,"Pending")&gt;0,"P",""))))</f>
        <v/>
      </c>
      <c r="D307" s="23" t="str">
        <f>IF(A307="","",IF(IF(OR(DATE($B$3,9,3)&gt;EOMONTH(DATE($B$3,9,1),0),NETWORKDAYS.INTL(DATE($B$3,9,3),DATE($B$3,9,3),1,'Non-working days'!$A$6:$A$45)=0),"",IF(COUNTIFS('Leave log'!$A$7:$A$306,Employees!$A$34,'Leave log'!$B$7:$B$306,"&lt;="&amp;DATE($B$3,9,3),'Leave log'!$C$7:$C$306,"&gt;="&amp;DATE($B$3,9,3),'Leave log'!$F$7:$F$306,"Approved")&gt;0,"A",""))="A","A",IF(OR(DATE($B$3,9,3)&gt;EOMONTH(DATE($B$3,9,1),0),NETWORKDAYS.INTL(DATE($B$3,9,3),DATE($B$3,9,3),1,'Non-working days'!$A$6:$A$45)=0),"",IF(COUNTIFS('Leave log'!$A$7:$A$306,Employees!$A$34,'Leave log'!$B$7:$B$306,"&lt;="&amp;DATE($B$3,9,3),'Leave log'!$C$7:$C$306,"&gt;="&amp;DATE($B$3,9,3),'Leave log'!$F$7:$F$306,"Pending")&gt;0,"P",""))))</f>
        <v/>
      </c>
      <c r="E307" s="23" t="str">
        <f>IF(A307="","",IF(IF(OR(DATE($B$3,9,4)&gt;EOMONTH(DATE($B$3,9,1),0),NETWORKDAYS.INTL(DATE($B$3,9,4),DATE($B$3,9,4),1,'Non-working days'!$A$6:$A$45)=0),"",IF(COUNTIFS('Leave log'!$A$7:$A$306,Employees!$A$34,'Leave log'!$B$7:$B$306,"&lt;="&amp;DATE($B$3,9,4),'Leave log'!$C$7:$C$306,"&gt;="&amp;DATE($B$3,9,4),'Leave log'!$F$7:$F$306,"Approved")&gt;0,"A",""))="A","A",IF(OR(DATE($B$3,9,4)&gt;EOMONTH(DATE($B$3,9,1),0),NETWORKDAYS.INTL(DATE($B$3,9,4),DATE($B$3,9,4),1,'Non-working days'!$A$6:$A$45)=0),"",IF(COUNTIFS('Leave log'!$A$7:$A$306,Employees!$A$34,'Leave log'!$B$7:$B$306,"&lt;="&amp;DATE($B$3,9,4),'Leave log'!$C$7:$C$306,"&gt;="&amp;DATE($B$3,9,4),'Leave log'!$F$7:$F$306,"Pending")&gt;0,"P",""))))</f>
        <v/>
      </c>
      <c r="F307" s="23" t="str">
        <f>IF(A307="","",IF(IF(OR(DATE($B$3,9,5)&gt;EOMONTH(DATE($B$3,9,1),0),NETWORKDAYS.INTL(DATE($B$3,9,5),DATE($B$3,9,5),1,'Non-working days'!$A$6:$A$45)=0),"",IF(COUNTIFS('Leave log'!$A$7:$A$306,Employees!$A$34,'Leave log'!$B$7:$B$306,"&lt;="&amp;DATE($B$3,9,5),'Leave log'!$C$7:$C$306,"&gt;="&amp;DATE($B$3,9,5),'Leave log'!$F$7:$F$306,"Approved")&gt;0,"A",""))="A","A",IF(OR(DATE($B$3,9,5)&gt;EOMONTH(DATE($B$3,9,1),0),NETWORKDAYS.INTL(DATE($B$3,9,5),DATE($B$3,9,5),1,'Non-working days'!$A$6:$A$45)=0),"",IF(COUNTIFS('Leave log'!$A$7:$A$306,Employees!$A$34,'Leave log'!$B$7:$B$306,"&lt;="&amp;DATE($B$3,9,5),'Leave log'!$C$7:$C$306,"&gt;="&amp;DATE($B$3,9,5),'Leave log'!$F$7:$F$306,"Pending")&gt;0,"P",""))))</f>
        <v/>
      </c>
      <c r="G307" s="23" t="str">
        <f>IF(A307="","",IF(IF(OR(DATE($B$3,9,6)&gt;EOMONTH(DATE($B$3,9,1),0),NETWORKDAYS.INTL(DATE($B$3,9,6),DATE($B$3,9,6),1,'Non-working days'!$A$6:$A$45)=0),"",IF(COUNTIFS('Leave log'!$A$7:$A$306,Employees!$A$34,'Leave log'!$B$7:$B$306,"&lt;="&amp;DATE($B$3,9,6),'Leave log'!$C$7:$C$306,"&gt;="&amp;DATE($B$3,9,6),'Leave log'!$F$7:$F$306,"Approved")&gt;0,"A",""))="A","A",IF(OR(DATE($B$3,9,6)&gt;EOMONTH(DATE($B$3,9,1),0),NETWORKDAYS.INTL(DATE($B$3,9,6),DATE($B$3,9,6),1,'Non-working days'!$A$6:$A$45)=0),"",IF(COUNTIFS('Leave log'!$A$7:$A$306,Employees!$A$34,'Leave log'!$B$7:$B$306,"&lt;="&amp;DATE($B$3,9,6),'Leave log'!$C$7:$C$306,"&gt;="&amp;DATE($B$3,9,6),'Leave log'!$F$7:$F$306,"Pending")&gt;0,"P",""))))</f>
        <v/>
      </c>
      <c r="H307" s="23" t="str">
        <f>IF(A307="","",IF(IF(OR(DATE($B$3,9,7)&gt;EOMONTH(DATE($B$3,9,1),0),NETWORKDAYS.INTL(DATE($B$3,9,7),DATE($B$3,9,7),1,'Non-working days'!$A$6:$A$45)=0),"",IF(COUNTIFS('Leave log'!$A$7:$A$306,Employees!$A$34,'Leave log'!$B$7:$B$306,"&lt;="&amp;DATE($B$3,9,7),'Leave log'!$C$7:$C$306,"&gt;="&amp;DATE($B$3,9,7),'Leave log'!$F$7:$F$306,"Approved")&gt;0,"A",""))="A","A",IF(OR(DATE($B$3,9,7)&gt;EOMONTH(DATE($B$3,9,1),0),NETWORKDAYS.INTL(DATE($B$3,9,7),DATE($B$3,9,7),1,'Non-working days'!$A$6:$A$45)=0),"",IF(COUNTIFS('Leave log'!$A$7:$A$306,Employees!$A$34,'Leave log'!$B$7:$B$306,"&lt;="&amp;DATE($B$3,9,7),'Leave log'!$C$7:$C$306,"&gt;="&amp;DATE($B$3,9,7),'Leave log'!$F$7:$F$306,"Pending")&gt;0,"P",""))))</f>
        <v/>
      </c>
      <c r="I307" s="23" t="str">
        <f>IF(A307="","",IF(IF(OR(DATE($B$3,9,8)&gt;EOMONTH(DATE($B$3,9,1),0),NETWORKDAYS.INTL(DATE($B$3,9,8),DATE($B$3,9,8),1,'Non-working days'!$A$6:$A$45)=0),"",IF(COUNTIFS('Leave log'!$A$7:$A$306,Employees!$A$34,'Leave log'!$B$7:$B$306,"&lt;="&amp;DATE($B$3,9,8),'Leave log'!$C$7:$C$306,"&gt;="&amp;DATE($B$3,9,8),'Leave log'!$F$7:$F$306,"Approved")&gt;0,"A",""))="A","A",IF(OR(DATE($B$3,9,8)&gt;EOMONTH(DATE($B$3,9,1),0),NETWORKDAYS.INTL(DATE($B$3,9,8),DATE($B$3,9,8),1,'Non-working days'!$A$6:$A$45)=0),"",IF(COUNTIFS('Leave log'!$A$7:$A$306,Employees!$A$34,'Leave log'!$B$7:$B$306,"&lt;="&amp;DATE($B$3,9,8),'Leave log'!$C$7:$C$306,"&gt;="&amp;DATE($B$3,9,8),'Leave log'!$F$7:$F$306,"Pending")&gt;0,"P",""))))</f>
        <v/>
      </c>
      <c r="J307" s="23" t="str">
        <f>IF(A307="","",IF(IF(OR(DATE($B$3,9,9)&gt;EOMONTH(DATE($B$3,9,1),0),NETWORKDAYS.INTL(DATE($B$3,9,9),DATE($B$3,9,9),1,'Non-working days'!$A$6:$A$45)=0),"",IF(COUNTIFS('Leave log'!$A$7:$A$306,Employees!$A$34,'Leave log'!$B$7:$B$306,"&lt;="&amp;DATE($B$3,9,9),'Leave log'!$C$7:$C$306,"&gt;="&amp;DATE($B$3,9,9),'Leave log'!$F$7:$F$306,"Approved")&gt;0,"A",""))="A","A",IF(OR(DATE($B$3,9,9)&gt;EOMONTH(DATE($B$3,9,1),0),NETWORKDAYS.INTL(DATE($B$3,9,9),DATE($B$3,9,9),1,'Non-working days'!$A$6:$A$45)=0),"",IF(COUNTIFS('Leave log'!$A$7:$A$306,Employees!$A$34,'Leave log'!$B$7:$B$306,"&lt;="&amp;DATE($B$3,9,9),'Leave log'!$C$7:$C$306,"&gt;="&amp;DATE($B$3,9,9),'Leave log'!$F$7:$F$306,"Pending")&gt;0,"P",""))))</f>
        <v/>
      </c>
      <c r="K307" s="23" t="str">
        <f>IF(A307="","",IF(IF(OR(DATE($B$3,9,10)&gt;EOMONTH(DATE($B$3,9,1),0),NETWORKDAYS.INTL(DATE($B$3,9,10),DATE($B$3,9,10),1,'Non-working days'!$A$6:$A$45)=0),"",IF(COUNTIFS('Leave log'!$A$7:$A$306,Employees!$A$34,'Leave log'!$B$7:$B$306,"&lt;="&amp;DATE($B$3,9,10),'Leave log'!$C$7:$C$306,"&gt;="&amp;DATE($B$3,9,10),'Leave log'!$F$7:$F$306,"Approved")&gt;0,"A",""))="A","A",IF(OR(DATE($B$3,9,10)&gt;EOMONTH(DATE($B$3,9,1),0),NETWORKDAYS.INTL(DATE($B$3,9,10),DATE($B$3,9,10),1,'Non-working days'!$A$6:$A$45)=0),"",IF(COUNTIFS('Leave log'!$A$7:$A$306,Employees!$A$34,'Leave log'!$B$7:$B$306,"&lt;="&amp;DATE($B$3,9,10),'Leave log'!$C$7:$C$306,"&gt;="&amp;DATE($B$3,9,10),'Leave log'!$F$7:$F$306,"Pending")&gt;0,"P",""))))</f>
        <v/>
      </c>
      <c r="L307" s="23" t="str">
        <f>IF(A307="","",IF(IF(OR(DATE($B$3,9,11)&gt;EOMONTH(DATE($B$3,9,1),0),NETWORKDAYS.INTL(DATE($B$3,9,11),DATE($B$3,9,11),1,'Non-working days'!$A$6:$A$45)=0),"",IF(COUNTIFS('Leave log'!$A$7:$A$306,Employees!$A$34,'Leave log'!$B$7:$B$306,"&lt;="&amp;DATE($B$3,9,11),'Leave log'!$C$7:$C$306,"&gt;="&amp;DATE($B$3,9,11),'Leave log'!$F$7:$F$306,"Approved")&gt;0,"A",""))="A","A",IF(OR(DATE($B$3,9,11)&gt;EOMONTH(DATE($B$3,9,1),0),NETWORKDAYS.INTL(DATE($B$3,9,11),DATE($B$3,9,11),1,'Non-working days'!$A$6:$A$45)=0),"",IF(COUNTIFS('Leave log'!$A$7:$A$306,Employees!$A$34,'Leave log'!$B$7:$B$306,"&lt;="&amp;DATE($B$3,9,11),'Leave log'!$C$7:$C$306,"&gt;="&amp;DATE($B$3,9,11),'Leave log'!$F$7:$F$306,"Pending")&gt;0,"P",""))))</f>
        <v/>
      </c>
      <c r="M307" s="23" t="str">
        <f>IF(A307="","",IF(IF(OR(DATE($B$3,9,12)&gt;EOMONTH(DATE($B$3,9,1),0),NETWORKDAYS.INTL(DATE($B$3,9,12),DATE($B$3,9,12),1,'Non-working days'!$A$6:$A$45)=0),"",IF(COUNTIFS('Leave log'!$A$7:$A$306,Employees!$A$34,'Leave log'!$B$7:$B$306,"&lt;="&amp;DATE($B$3,9,12),'Leave log'!$C$7:$C$306,"&gt;="&amp;DATE($B$3,9,12),'Leave log'!$F$7:$F$306,"Approved")&gt;0,"A",""))="A","A",IF(OR(DATE($B$3,9,12)&gt;EOMONTH(DATE($B$3,9,1),0),NETWORKDAYS.INTL(DATE($B$3,9,12),DATE($B$3,9,12),1,'Non-working days'!$A$6:$A$45)=0),"",IF(COUNTIFS('Leave log'!$A$7:$A$306,Employees!$A$34,'Leave log'!$B$7:$B$306,"&lt;="&amp;DATE($B$3,9,12),'Leave log'!$C$7:$C$306,"&gt;="&amp;DATE($B$3,9,12),'Leave log'!$F$7:$F$306,"Pending")&gt;0,"P",""))))</f>
        <v/>
      </c>
      <c r="N307" s="23" t="str">
        <f>IF(A307="","",IF(IF(OR(DATE($B$3,9,13)&gt;EOMONTH(DATE($B$3,9,1),0),NETWORKDAYS.INTL(DATE($B$3,9,13),DATE($B$3,9,13),1,'Non-working days'!$A$6:$A$45)=0),"",IF(COUNTIFS('Leave log'!$A$7:$A$306,Employees!$A$34,'Leave log'!$B$7:$B$306,"&lt;="&amp;DATE($B$3,9,13),'Leave log'!$C$7:$C$306,"&gt;="&amp;DATE($B$3,9,13),'Leave log'!$F$7:$F$306,"Approved")&gt;0,"A",""))="A","A",IF(OR(DATE($B$3,9,13)&gt;EOMONTH(DATE($B$3,9,1),0),NETWORKDAYS.INTL(DATE($B$3,9,13),DATE($B$3,9,13),1,'Non-working days'!$A$6:$A$45)=0),"",IF(COUNTIFS('Leave log'!$A$7:$A$306,Employees!$A$34,'Leave log'!$B$7:$B$306,"&lt;="&amp;DATE($B$3,9,13),'Leave log'!$C$7:$C$306,"&gt;="&amp;DATE($B$3,9,13),'Leave log'!$F$7:$F$306,"Pending")&gt;0,"P",""))))</f>
        <v/>
      </c>
      <c r="O307" s="23" t="str">
        <f>IF(A307="","",IF(IF(OR(DATE($B$3,9,14)&gt;EOMONTH(DATE($B$3,9,1),0),NETWORKDAYS.INTL(DATE($B$3,9,14),DATE($B$3,9,14),1,'Non-working days'!$A$6:$A$45)=0),"",IF(COUNTIFS('Leave log'!$A$7:$A$306,Employees!$A$34,'Leave log'!$B$7:$B$306,"&lt;="&amp;DATE($B$3,9,14),'Leave log'!$C$7:$C$306,"&gt;="&amp;DATE($B$3,9,14),'Leave log'!$F$7:$F$306,"Approved")&gt;0,"A",""))="A","A",IF(OR(DATE($B$3,9,14)&gt;EOMONTH(DATE($B$3,9,1),0),NETWORKDAYS.INTL(DATE($B$3,9,14),DATE($B$3,9,14),1,'Non-working days'!$A$6:$A$45)=0),"",IF(COUNTIFS('Leave log'!$A$7:$A$306,Employees!$A$34,'Leave log'!$B$7:$B$306,"&lt;="&amp;DATE($B$3,9,14),'Leave log'!$C$7:$C$306,"&gt;="&amp;DATE($B$3,9,14),'Leave log'!$F$7:$F$306,"Pending")&gt;0,"P",""))))</f>
        <v/>
      </c>
      <c r="P307" s="23" t="str">
        <f>IF(A307="","",IF(IF(OR(DATE($B$3,9,15)&gt;EOMONTH(DATE($B$3,9,1),0),NETWORKDAYS.INTL(DATE($B$3,9,15),DATE($B$3,9,15),1,'Non-working days'!$A$6:$A$45)=0),"",IF(COUNTIFS('Leave log'!$A$7:$A$306,Employees!$A$34,'Leave log'!$B$7:$B$306,"&lt;="&amp;DATE($B$3,9,15),'Leave log'!$C$7:$C$306,"&gt;="&amp;DATE($B$3,9,15),'Leave log'!$F$7:$F$306,"Approved")&gt;0,"A",""))="A","A",IF(OR(DATE($B$3,9,15)&gt;EOMONTH(DATE($B$3,9,1),0),NETWORKDAYS.INTL(DATE($B$3,9,15),DATE($B$3,9,15),1,'Non-working days'!$A$6:$A$45)=0),"",IF(COUNTIFS('Leave log'!$A$7:$A$306,Employees!$A$34,'Leave log'!$B$7:$B$306,"&lt;="&amp;DATE($B$3,9,15),'Leave log'!$C$7:$C$306,"&gt;="&amp;DATE($B$3,9,15),'Leave log'!$F$7:$F$306,"Pending")&gt;0,"P",""))))</f>
        <v/>
      </c>
      <c r="Q307" s="23" t="str">
        <f>IF(A307="","",IF(IF(OR(DATE($B$3,9,16)&gt;EOMONTH(DATE($B$3,9,1),0),NETWORKDAYS.INTL(DATE($B$3,9,16),DATE($B$3,9,16),1,'Non-working days'!$A$6:$A$45)=0),"",IF(COUNTIFS('Leave log'!$A$7:$A$306,Employees!$A$34,'Leave log'!$B$7:$B$306,"&lt;="&amp;DATE($B$3,9,16),'Leave log'!$C$7:$C$306,"&gt;="&amp;DATE($B$3,9,16),'Leave log'!$F$7:$F$306,"Approved")&gt;0,"A",""))="A","A",IF(OR(DATE($B$3,9,16)&gt;EOMONTH(DATE($B$3,9,1),0),NETWORKDAYS.INTL(DATE($B$3,9,16),DATE($B$3,9,16),1,'Non-working days'!$A$6:$A$45)=0),"",IF(COUNTIFS('Leave log'!$A$7:$A$306,Employees!$A$34,'Leave log'!$B$7:$B$306,"&lt;="&amp;DATE($B$3,9,16),'Leave log'!$C$7:$C$306,"&gt;="&amp;DATE($B$3,9,16),'Leave log'!$F$7:$F$306,"Pending")&gt;0,"P",""))))</f>
        <v/>
      </c>
      <c r="R307" s="23" t="str">
        <f>IF(A307="","",IF(IF(OR(DATE($B$3,9,17)&gt;EOMONTH(DATE($B$3,9,1),0),NETWORKDAYS.INTL(DATE($B$3,9,17),DATE($B$3,9,17),1,'Non-working days'!$A$6:$A$45)=0),"",IF(COUNTIFS('Leave log'!$A$7:$A$306,Employees!$A$34,'Leave log'!$B$7:$B$306,"&lt;="&amp;DATE($B$3,9,17),'Leave log'!$C$7:$C$306,"&gt;="&amp;DATE($B$3,9,17),'Leave log'!$F$7:$F$306,"Approved")&gt;0,"A",""))="A","A",IF(OR(DATE($B$3,9,17)&gt;EOMONTH(DATE($B$3,9,1),0),NETWORKDAYS.INTL(DATE($B$3,9,17),DATE($B$3,9,17),1,'Non-working days'!$A$6:$A$45)=0),"",IF(COUNTIFS('Leave log'!$A$7:$A$306,Employees!$A$34,'Leave log'!$B$7:$B$306,"&lt;="&amp;DATE($B$3,9,17),'Leave log'!$C$7:$C$306,"&gt;="&amp;DATE($B$3,9,17),'Leave log'!$F$7:$F$306,"Pending")&gt;0,"P",""))))</f>
        <v/>
      </c>
      <c r="S307" s="23" t="str">
        <f>IF(A307="","",IF(IF(OR(DATE($B$3,9,18)&gt;EOMONTH(DATE($B$3,9,1),0),NETWORKDAYS.INTL(DATE($B$3,9,18),DATE($B$3,9,18),1,'Non-working days'!$A$6:$A$45)=0),"",IF(COUNTIFS('Leave log'!$A$7:$A$306,Employees!$A$34,'Leave log'!$B$7:$B$306,"&lt;="&amp;DATE($B$3,9,18),'Leave log'!$C$7:$C$306,"&gt;="&amp;DATE($B$3,9,18),'Leave log'!$F$7:$F$306,"Approved")&gt;0,"A",""))="A","A",IF(OR(DATE($B$3,9,18)&gt;EOMONTH(DATE($B$3,9,1),0),NETWORKDAYS.INTL(DATE($B$3,9,18),DATE($B$3,9,18),1,'Non-working days'!$A$6:$A$45)=0),"",IF(COUNTIFS('Leave log'!$A$7:$A$306,Employees!$A$34,'Leave log'!$B$7:$B$306,"&lt;="&amp;DATE($B$3,9,18),'Leave log'!$C$7:$C$306,"&gt;="&amp;DATE($B$3,9,18),'Leave log'!$F$7:$F$306,"Pending")&gt;0,"P",""))))</f>
        <v/>
      </c>
      <c r="T307" s="23" t="str">
        <f>IF(A307="","",IF(IF(OR(DATE($B$3,9,19)&gt;EOMONTH(DATE($B$3,9,1),0),NETWORKDAYS.INTL(DATE($B$3,9,19),DATE($B$3,9,19),1,'Non-working days'!$A$6:$A$45)=0),"",IF(COUNTIFS('Leave log'!$A$7:$A$306,Employees!$A$34,'Leave log'!$B$7:$B$306,"&lt;="&amp;DATE($B$3,9,19),'Leave log'!$C$7:$C$306,"&gt;="&amp;DATE($B$3,9,19),'Leave log'!$F$7:$F$306,"Approved")&gt;0,"A",""))="A","A",IF(OR(DATE($B$3,9,19)&gt;EOMONTH(DATE($B$3,9,1),0),NETWORKDAYS.INTL(DATE($B$3,9,19),DATE($B$3,9,19),1,'Non-working days'!$A$6:$A$45)=0),"",IF(COUNTIFS('Leave log'!$A$7:$A$306,Employees!$A$34,'Leave log'!$B$7:$B$306,"&lt;="&amp;DATE($B$3,9,19),'Leave log'!$C$7:$C$306,"&gt;="&amp;DATE($B$3,9,19),'Leave log'!$F$7:$F$306,"Pending")&gt;0,"P",""))))</f>
        <v/>
      </c>
      <c r="U307" s="23" t="str">
        <f>IF(A307="","",IF(IF(OR(DATE($B$3,9,20)&gt;EOMONTH(DATE($B$3,9,1),0),NETWORKDAYS.INTL(DATE($B$3,9,20),DATE($B$3,9,20),1,'Non-working days'!$A$6:$A$45)=0),"",IF(COUNTIFS('Leave log'!$A$7:$A$306,Employees!$A$34,'Leave log'!$B$7:$B$306,"&lt;="&amp;DATE($B$3,9,20),'Leave log'!$C$7:$C$306,"&gt;="&amp;DATE($B$3,9,20),'Leave log'!$F$7:$F$306,"Approved")&gt;0,"A",""))="A","A",IF(OR(DATE($B$3,9,20)&gt;EOMONTH(DATE($B$3,9,1),0),NETWORKDAYS.INTL(DATE($B$3,9,20),DATE($B$3,9,20),1,'Non-working days'!$A$6:$A$45)=0),"",IF(COUNTIFS('Leave log'!$A$7:$A$306,Employees!$A$34,'Leave log'!$B$7:$B$306,"&lt;="&amp;DATE($B$3,9,20),'Leave log'!$C$7:$C$306,"&gt;="&amp;DATE($B$3,9,20),'Leave log'!$F$7:$F$306,"Pending")&gt;0,"P",""))))</f>
        <v/>
      </c>
      <c r="V307" s="23" t="str">
        <f>IF(A307="","",IF(IF(OR(DATE($B$3,9,21)&gt;EOMONTH(DATE($B$3,9,1),0),NETWORKDAYS.INTL(DATE($B$3,9,21),DATE($B$3,9,21),1,'Non-working days'!$A$6:$A$45)=0),"",IF(COUNTIFS('Leave log'!$A$7:$A$306,Employees!$A$34,'Leave log'!$B$7:$B$306,"&lt;="&amp;DATE($B$3,9,21),'Leave log'!$C$7:$C$306,"&gt;="&amp;DATE($B$3,9,21),'Leave log'!$F$7:$F$306,"Approved")&gt;0,"A",""))="A","A",IF(OR(DATE($B$3,9,21)&gt;EOMONTH(DATE($B$3,9,1),0),NETWORKDAYS.INTL(DATE($B$3,9,21),DATE($B$3,9,21),1,'Non-working days'!$A$6:$A$45)=0),"",IF(COUNTIFS('Leave log'!$A$7:$A$306,Employees!$A$34,'Leave log'!$B$7:$B$306,"&lt;="&amp;DATE($B$3,9,21),'Leave log'!$C$7:$C$306,"&gt;="&amp;DATE($B$3,9,21),'Leave log'!$F$7:$F$306,"Pending")&gt;0,"P",""))))</f>
        <v/>
      </c>
      <c r="W307" s="23" t="str">
        <f>IF(A307="","",IF(IF(OR(DATE($B$3,9,22)&gt;EOMONTH(DATE($B$3,9,1),0),NETWORKDAYS.INTL(DATE($B$3,9,22),DATE($B$3,9,22),1,'Non-working days'!$A$6:$A$45)=0),"",IF(COUNTIFS('Leave log'!$A$7:$A$306,Employees!$A$34,'Leave log'!$B$7:$B$306,"&lt;="&amp;DATE($B$3,9,22),'Leave log'!$C$7:$C$306,"&gt;="&amp;DATE($B$3,9,22),'Leave log'!$F$7:$F$306,"Approved")&gt;0,"A",""))="A","A",IF(OR(DATE($B$3,9,22)&gt;EOMONTH(DATE($B$3,9,1),0),NETWORKDAYS.INTL(DATE($B$3,9,22),DATE($B$3,9,22),1,'Non-working days'!$A$6:$A$45)=0),"",IF(COUNTIFS('Leave log'!$A$7:$A$306,Employees!$A$34,'Leave log'!$B$7:$B$306,"&lt;="&amp;DATE($B$3,9,22),'Leave log'!$C$7:$C$306,"&gt;="&amp;DATE($B$3,9,22),'Leave log'!$F$7:$F$306,"Pending")&gt;0,"P",""))))</f>
        <v/>
      </c>
      <c r="X307" s="23" t="str">
        <f>IF(A307="","",IF(IF(OR(DATE($B$3,9,23)&gt;EOMONTH(DATE($B$3,9,1),0),NETWORKDAYS.INTL(DATE($B$3,9,23),DATE($B$3,9,23),1,'Non-working days'!$A$6:$A$45)=0),"",IF(COUNTIFS('Leave log'!$A$7:$A$306,Employees!$A$34,'Leave log'!$B$7:$B$306,"&lt;="&amp;DATE($B$3,9,23),'Leave log'!$C$7:$C$306,"&gt;="&amp;DATE($B$3,9,23),'Leave log'!$F$7:$F$306,"Approved")&gt;0,"A",""))="A","A",IF(OR(DATE($B$3,9,23)&gt;EOMONTH(DATE($B$3,9,1),0),NETWORKDAYS.INTL(DATE($B$3,9,23),DATE($B$3,9,23),1,'Non-working days'!$A$6:$A$45)=0),"",IF(COUNTIFS('Leave log'!$A$7:$A$306,Employees!$A$34,'Leave log'!$B$7:$B$306,"&lt;="&amp;DATE($B$3,9,23),'Leave log'!$C$7:$C$306,"&gt;="&amp;DATE($B$3,9,23),'Leave log'!$F$7:$F$306,"Pending")&gt;0,"P",""))))</f>
        <v/>
      </c>
      <c r="Y307" s="23" t="str">
        <f>IF(A307="","",IF(IF(OR(DATE($B$3,9,24)&gt;EOMONTH(DATE($B$3,9,1),0),NETWORKDAYS.INTL(DATE($B$3,9,24),DATE($B$3,9,24),1,'Non-working days'!$A$6:$A$45)=0),"",IF(COUNTIFS('Leave log'!$A$7:$A$306,Employees!$A$34,'Leave log'!$B$7:$B$306,"&lt;="&amp;DATE($B$3,9,24),'Leave log'!$C$7:$C$306,"&gt;="&amp;DATE($B$3,9,24),'Leave log'!$F$7:$F$306,"Approved")&gt;0,"A",""))="A","A",IF(OR(DATE($B$3,9,24)&gt;EOMONTH(DATE($B$3,9,1),0),NETWORKDAYS.INTL(DATE($B$3,9,24),DATE($B$3,9,24),1,'Non-working days'!$A$6:$A$45)=0),"",IF(COUNTIFS('Leave log'!$A$7:$A$306,Employees!$A$34,'Leave log'!$B$7:$B$306,"&lt;="&amp;DATE($B$3,9,24),'Leave log'!$C$7:$C$306,"&gt;="&amp;DATE($B$3,9,24),'Leave log'!$F$7:$F$306,"Pending")&gt;0,"P",""))))</f>
        <v/>
      </c>
      <c r="Z307" s="23" t="str">
        <f>IF(A307="","",IF(IF(OR(DATE($B$3,9,25)&gt;EOMONTH(DATE($B$3,9,1),0),NETWORKDAYS.INTL(DATE($B$3,9,25),DATE($B$3,9,25),1,'Non-working days'!$A$6:$A$45)=0),"",IF(COUNTIFS('Leave log'!$A$7:$A$306,Employees!$A$34,'Leave log'!$B$7:$B$306,"&lt;="&amp;DATE($B$3,9,25),'Leave log'!$C$7:$C$306,"&gt;="&amp;DATE($B$3,9,25),'Leave log'!$F$7:$F$306,"Approved")&gt;0,"A",""))="A","A",IF(OR(DATE($B$3,9,25)&gt;EOMONTH(DATE($B$3,9,1),0),NETWORKDAYS.INTL(DATE($B$3,9,25),DATE($B$3,9,25),1,'Non-working days'!$A$6:$A$45)=0),"",IF(COUNTIFS('Leave log'!$A$7:$A$306,Employees!$A$34,'Leave log'!$B$7:$B$306,"&lt;="&amp;DATE($B$3,9,25),'Leave log'!$C$7:$C$306,"&gt;="&amp;DATE($B$3,9,25),'Leave log'!$F$7:$F$306,"Pending")&gt;0,"P",""))))</f>
        <v/>
      </c>
      <c r="AA307" s="23" t="str">
        <f>IF(A307="","",IF(IF(OR(DATE($B$3,9,26)&gt;EOMONTH(DATE($B$3,9,1),0),NETWORKDAYS.INTL(DATE($B$3,9,26),DATE($B$3,9,26),1,'Non-working days'!$A$6:$A$45)=0),"",IF(COUNTIFS('Leave log'!$A$7:$A$306,Employees!$A$34,'Leave log'!$B$7:$B$306,"&lt;="&amp;DATE($B$3,9,26),'Leave log'!$C$7:$C$306,"&gt;="&amp;DATE($B$3,9,26),'Leave log'!$F$7:$F$306,"Approved")&gt;0,"A",""))="A","A",IF(OR(DATE($B$3,9,26)&gt;EOMONTH(DATE($B$3,9,1),0),NETWORKDAYS.INTL(DATE($B$3,9,26),DATE($B$3,9,26),1,'Non-working days'!$A$6:$A$45)=0),"",IF(COUNTIFS('Leave log'!$A$7:$A$306,Employees!$A$34,'Leave log'!$B$7:$B$306,"&lt;="&amp;DATE($B$3,9,26),'Leave log'!$C$7:$C$306,"&gt;="&amp;DATE($B$3,9,26),'Leave log'!$F$7:$F$306,"Pending")&gt;0,"P",""))))</f>
        <v/>
      </c>
      <c r="AB307" s="23" t="str">
        <f>IF(A307="","",IF(IF(OR(DATE($B$3,9,27)&gt;EOMONTH(DATE($B$3,9,1),0),NETWORKDAYS.INTL(DATE($B$3,9,27),DATE($B$3,9,27),1,'Non-working days'!$A$6:$A$45)=0),"",IF(COUNTIFS('Leave log'!$A$7:$A$306,Employees!$A$34,'Leave log'!$B$7:$B$306,"&lt;="&amp;DATE($B$3,9,27),'Leave log'!$C$7:$C$306,"&gt;="&amp;DATE($B$3,9,27),'Leave log'!$F$7:$F$306,"Approved")&gt;0,"A",""))="A","A",IF(OR(DATE($B$3,9,27)&gt;EOMONTH(DATE($B$3,9,1),0),NETWORKDAYS.INTL(DATE($B$3,9,27),DATE($B$3,9,27),1,'Non-working days'!$A$6:$A$45)=0),"",IF(COUNTIFS('Leave log'!$A$7:$A$306,Employees!$A$34,'Leave log'!$B$7:$B$306,"&lt;="&amp;DATE($B$3,9,27),'Leave log'!$C$7:$C$306,"&gt;="&amp;DATE($B$3,9,27),'Leave log'!$F$7:$F$306,"Pending")&gt;0,"P",""))))</f>
        <v/>
      </c>
      <c r="AC307" s="23" t="str">
        <f>IF(A307="","",IF(IF(OR(DATE($B$3,9,28)&gt;EOMONTH(DATE($B$3,9,1),0),NETWORKDAYS.INTL(DATE($B$3,9,28),DATE($B$3,9,28),1,'Non-working days'!$A$6:$A$45)=0),"",IF(COUNTIFS('Leave log'!$A$7:$A$306,Employees!$A$34,'Leave log'!$B$7:$B$306,"&lt;="&amp;DATE($B$3,9,28),'Leave log'!$C$7:$C$306,"&gt;="&amp;DATE($B$3,9,28),'Leave log'!$F$7:$F$306,"Approved")&gt;0,"A",""))="A","A",IF(OR(DATE($B$3,9,28)&gt;EOMONTH(DATE($B$3,9,1),0),NETWORKDAYS.INTL(DATE($B$3,9,28),DATE($B$3,9,28),1,'Non-working days'!$A$6:$A$45)=0),"",IF(COUNTIFS('Leave log'!$A$7:$A$306,Employees!$A$34,'Leave log'!$B$7:$B$306,"&lt;="&amp;DATE($B$3,9,28),'Leave log'!$C$7:$C$306,"&gt;="&amp;DATE($B$3,9,28),'Leave log'!$F$7:$F$306,"Pending")&gt;0,"P",""))))</f>
        <v/>
      </c>
      <c r="AD307" s="23" t="str">
        <f>IF(A307="","",IF(IF(OR(DATE($B$3,9,29)&gt;EOMONTH(DATE($B$3,9,1),0),NETWORKDAYS.INTL(DATE($B$3,9,29),DATE($B$3,9,29),1,'Non-working days'!$A$6:$A$45)=0),"",IF(COUNTIFS('Leave log'!$A$7:$A$306,Employees!$A$34,'Leave log'!$B$7:$B$306,"&lt;="&amp;DATE($B$3,9,29),'Leave log'!$C$7:$C$306,"&gt;="&amp;DATE($B$3,9,29),'Leave log'!$F$7:$F$306,"Approved")&gt;0,"A",""))="A","A",IF(OR(DATE($B$3,9,29)&gt;EOMONTH(DATE($B$3,9,1),0),NETWORKDAYS.INTL(DATE($B$3,9,29),DATE($B$3,9,29),1,'Non-working days'!$A$6:$A$45)=0),"",IF(COUNTIFS('Leave log'!$A$7:$A$306,Employees!$A$34,'Leave log'!$B$7:$B$306,"&lt;="&amp;DATE($B$3,9,29),'Leave log'!$C$7:$C$306,"&gt;="&amp;DATE($B$3,9,29),'Leave log'!$F$7:$F$306,"Pending")&gt;0,"P",""))))</f>
        <v/>
      </c>
      <c r="AE307" s="23" t="str">
        <f>IF(A307="","",IF(IF(OR(DATE($B$3,9,30)&gt;EOMONTH(DATE($B$3,9,1),0),NETWORKDAYS.INTL(DATE($B$3,9,30),DATE($B$3,9,30),1,'Non-working days'!$A$6:$A$45)=0),"",IF(COUNTIFS('Leave log'!$A$7:$A$306,Employees!$A$34,'Leave log'!$B$7:$B$306,"&lt;="&amp;DATE($B$3,9,30),'Leave log'!$C$7:$C$306,"&gt;="&amp;DATE($B$3,9,30),'Leave log'!$F$7:$F$306,"Approved")&gt;0,"A",""))="A","A",IF(OR(DATE($B$3,9,30)&gt;EOMONTH(DATE($B$3,9,1),0),NETWORKDAYS.INTL(DATE($B$3,9,30),DATE($B$3,9,30),1,'Non-working days'!$A$6:$A$45)=0),"",IF(COUNTIFS('Leave log'!$A$7:$A$306,Employees!$A$34,'Leave log'!$B$7:$B$306,"&lt;="&amp;DATE($B$3,9,30),'Leave log'!$C$7:$C$306,"&gt;="&amp;DATE($B$3,9,30),'Leave log'!$F$7:$F$306,"Pending")&gt;0,"P",""))))</f>
        <v/>
      </c>
      <c r="AF307" s="23" t="str">
        <f>IF(A307="","",IF(IF(OR(DATE($B$3,9,31)&gt;EOMONTH(DATE($B$3,9,1),0),NETWORKDAYS.INTL(DATE($B$3,9,31),DATE($B$3,9,31),1,'Non-working days'!$A$6:$A$45)=0),"",IF(COUNTIFS('Leave log'!$A$7:$A$306,Employees!$A$34,'Leave log'!$B$7:$B$306,"&lt;="&amp;DATE($B$3,9,31),'Leave log'!$C$7:$C$306,"&gt;="&amp;DATE($B$3,9,31),'Leave log'!$F$7:$F$306,"Approved")&gt;0,"A",""))="A","A",IF(OR(DATE($B$3,9,31)&gt;EOMONTH(DATE($B$3,9,1),0),NETWORKDAYS.INTL(DATE($B$3,9,31),DATE($B$3,9,31),1,'Non-working days'!$A$6:$A$45)=0),"",IF(COUNTIFS('Leave log'!$A$7:$A$306,Employees!$A$34,'Leave log'!$B$7:$B$306,"&lt;="&amp;DATE($B$3,9,31),'Leave log'!$C$7:$C$306,"&gt;="&amp;DATE($B$3,9,31),'Leave log'!$F$7:$F$306,"Pending")&gt;0,"P",""))))</f>
        <v/>
      </c>
    </row>
    <row r="308" spans="1:32" ht="18" customHeight="1" x14ac:dyDescent="0.3">
      <c r="A308" s="22" t="str">
        <f>IF(Employees!F35="Yes",Employees!B35,"")</f>
        <v/>
      </c>
      <c r="B308" s="23" t="str">
        <f>IF(A308="","",IF(IF(OR(DATE($B$3,9,1)&gt;EOMONTH(DATE($B$3,9,1),0),NETWORKDAYS.INTL(DATE($B$3,9,1),DATE($B$3,9,1),1,'Non-working days'!$A$6:$A$45)=0),"",IF(COUNTIFS('Leave log'!$A$7:$A$306,Employees!$A$35,'Leave log'!$B$7:$B$306,"&lt;="&amp;DATE($B$3,9,1),'Leave log'!$C$7:$C$306,"&gt;="&amp;DATE($B$3,9,1),'Leave log'!$F$7:$F$306,"Approved")&gt;0,"A",""))="A","A",IF(OR(DATE($B$3,9,1)&gt;EOMONTH(DATE($B$3,9,1),0),NETWORKDAYS.INTL(DATE($B$3,9,1),DATE($B$3,9,1),1,'Non-working days'!$A$6:$A$45)=0),"",IF(COUNTIFS('Leave log'!$A$7:$A$306,Employees!$A$35,'Leave log'!$B$7:$B$306,"&lt;="&amp;DATE($B$3,9,1),'Leave log'!$C$7:$C$306,"&gt;="&amp;DATE($B$3,9,1),'Leave log'!$F$7:$F$306,"Pending")&gt;0,"P",""))))</f>
        <v/>
      </c>
      <c r="C308" s="23" t="str">
        <f>IF(A308="","",IF(IF(OR(DATE($B$3,9,2)&gt;EOMONTH(DATE($B$3,9,1),0),NETWORKDAYS.INTL(DATE($B$3,9,2),DATE($B$3,9,2),1,'Non-working days'!$A$6:$A$45)=0),"",IF(COUNTIFS('Leave log'!$A$7:$A$306,Employees!$A$35,'Leave log'!$B$7:$B$306,"&lt;="&amp;DATE($B$3,9,2),'Leave log'!$C$7:$C$306,"&gt;="&amp;DATE($B$3,9,2),'Leave log'!$F$7:$F$306,"Approved")&gt;0,"A",""))="A","A",IF(OR(DATE($B$3,9,2)&gt;EOMONTH(DATE($B$3,9,1),0),NETWORKDAYS.INTL(DATE($B$3,9,2),DATE($B$3,9,2),1,'Non-working days'!$A$6:$A$45)=0),"",IF(COUNTIFS('Leave log'!$A$7:$A$306,Employees!$A$35,'Leave log'!$B$7:$B$306,"&lt;="&amp;DATE($B$3,9,2),'Leave log'!$C$7:$C$306,"&gt;="&amp;DATE($B$3,9,2),'Leave log'!$F$7:$F$306,"Pending")&gt;0,"P",""))))</f>
        <v/>
      </c>
      <c r="D308" s="23" t="str">
        <f>IF(A308="","",IF(IF(OR(DATE($B$3,9,3)&gt;EOMONTH(DATE($B$3,9,1),0),NETWORKDAYS.INTL(DATE($B$3,9,3),DATE($B$3,9,3),1,'Non-working days'!$A$6:$A$45)=0),"",IF(COUNTIFS('Leave log'!$A$7:$A$306,Employees!$A$35,'Leave log'!$B$7:$B$306,"&lt;="&amp;DATE($B$3,9,3),'Leave log'!$C$7:$C$306,"&gt;="&amp;DATE($B$3,9,3),'Leave log'!$F$7:$F$306,"Approved")&gt;0,"A",""))="A","A",IF(OR(DATE($B$3,9,3)&gt;EOMONTH(DATE($B$3,9,1),0),NETWORKDAYS.INTL(DATE($B$3,9,3),DATE($B$3,9,3),1,'Non-working days'!$A$6:$A$45)=0),"",IF(COUNTIFS('Leave log'!$A$7:$A$306,Employees!$A$35,'Leave log'!$B$7:$B$306,"&lt;="&amp;DATE($B$3,9,3),'Leave log'!$C$7:$C$306,"&gt;="&amp;DATE($B$3,9,3),'Leave log'!$F$7:$F$306,"Pending")&gt;0,"P",""))))</f>
        <v/>
      </c>
      <c r="E308" s="23" t="str">
        <f>IF(A308="","",IF(IF(OR(DATE($B$3,9,4)&gt;EOMONTH(DATE($B$3,9,1),0),NETWORKDAYS.INTL(DATE($B$3,9,4),DATE($B$3,9,4),1,'Non-working days'!$A$6:$A$45)=0),"",IF(COUNTIFS('Leave log'!$A$7:$A$306,Employees!$A$35,'Leave log'!$B$7:$B$306,"&lt;="&amp;DATE($B$3,9,4),'Leave log'!$C$7:$C$306,"&gt;="&amp;DATE($B$3,9,4),'Leave log'!$F$7:$F$306,"Approved")&gt;0,"A",""))="A","A",IF(OR(DATE($B$3,9,4)&gt;EOMONTH(DATE($B$3,9,1),0),NETWORKDAYS.INTL(DATE($B$3,9,4),DATE($B$3,9,4),1,'Non-working days'!$A$6:$A$45)=0),"",IF(COUNTIFS('Leave log'!$A$7:$A$306,Employees!$A$35,'Leave log'!$B$7:$B$306,"&lt;="&amp;DATE($B$3,9,4),'Leave log'!$C$7:$C$306,"&gt;="&amp;DATE($B$3,9,4),'Leave log'!$F$7:$F$306,"Pending")&gt;0,"P",""))))</f>
        <v/>
      </c>
      <c r="F308" s="23" t="str">
        <f>IF(A308="","",IF(IF(OR(DATE($B$3,9,5)&gt;EOMONTH(DATE($B$3,9,1),0),NETWORKDAYS.INTL(DATE($B$3,9,5),DATE($B$3,9,5),1,'Non-working days'!$A$6:$A$45)=0),"",IF(COUNTIFS('Leave log'!$A$7:$A$306,Employees!$A$35,'Leave log'!$B$7:$B$306,"&lt;="&amp;DATE($B$3,9,5),'Leave log'!$C$7:$C$306,"&gt;="&amp;DATE($B$3,9,5),'Leave log'!$F$7:$F$306,"Approved")&gt;0,"A",""))="A","A",IF(OR(DATE($B$3,9,5)&gt;EOMONTH(DATE($B$3,9,1),0),NETWORKDAYS.INTL(DATE($B$3,9,5),DATE($B$3,9,5),1,'Non-working days'!$A$6:$A$45)=0),"",IF(COUNTIFS('Leave log'!$A$7:$A$306,Employees!$A$35,'Leave log'!$B$7:$B$306,"&lt;="&amp;DATE($B$3,9,5),'Leave log'!$C$7:$C$306,"&gt;="&amp;DATE($B$3,9,5),'Leave log'!$F$7:$F$306,"Pending")&gt;0,"P",""))))</f>
        <v/>
      </c>
      <c r="G308" s="23" t="str">
        <f>IF(A308="","",IF(IF(OR(DATE($B$3,9,6)&gt;EOMONTH(DATE($B$3,9,1),0),NETWORKDAYS.INTL(DATE($B$3,9,6),DATE($B$3,9,6),1,'Non-working days'!$A$6:$A$45)=0),"",IF(COUNTIFS('Leave log'!$A$7:$A$306,Employees!$A$35,'Leave log'!$B$7:$B$306,"&lt;="&amp;DATE($B$3,9,6),'Leave log'!$C$7:$C$306,"&gt;="&amp;DATE($B$3,9,6),'Leave log'!$F$7:$F$306,"Approved")&gt;0,"A",""))="A","A",IF(OR(DATE($B$3,9,6)&gt;EOMONTH(DATE($B$3,9,1),0),NETWORKDAYS.INTL(DATE($B$3,9,6),DATE($B$3,9,6),1,'Non-working days'!$A$6:$A$45)=0),"",IF(COUNTIFS('Leave log'!$A$7:$A$306,Employees!$A$35,'Leave log'!$B$7:$B$306,"&lt;="&amp;DATE($B$3,9,6),'Leave log'!$C$7:$C$306,"&gt;="&amp;DATE($B$3,9,6),'Leave log'!$F$7:$F$306,"Pending")&gt;0,"P",""))))</f>
        <v/>
      </c>
      <c r="H308" s="23" t="str">
        <f>IF(A308="","",IF(IF(OR(DATE($B$3,9,7)&gt;EOMONTH(DATE($B$3,9,1),0),NETWORKDAYS.INTL(DATE($B$3,9,7),DATE($B$3,9,7),1,'Non-working days'!$A$6:$A$45)=0),"",IF(COUNTIFS('Leave log'!$A$7:$A$306,Employees!$A$35,'Leave log'!$B$7:$B$306,"&lt;="&amp;DATE($B$3,9,7),'Leave log'!$C$7:$C$306,"&gt;="&amp;DATE($B$3,9,7),'Leave log'!$F$7:$F$306,"Approved")&gt;0,"A",""))="A","A",IF(OR(DATE($B$3,9,7)&gt;EOMONTH(DATE($B$3,9,1),0),NETWORKDAYS.INTL(DATE($B$3,9,7),DATE($B$3,9,7),1,'Non-working days'!$A$6:$A$45)=0),"",IF(COUNTIFS('Leave log'!$A$7:$A$306,Employees!$A$35,'Leave log'!$B$7:$B$306,"&lt;="&amp;DATE($B$3,9,7),'Leave log'!$C$7:$C$306,"&gt;="&amp;DATE($B$3,9,7),'Leave log'!$F$7:$F$306,"Pending")&gt;0,"P",""))))</f>
        <v/>
      </c>
      <c r="I308" s="23" t="str">
        <f>IF(A308="","",IF(IF(OR(DATE($B$3,9,8)&gt;EOMONTH(DATE($B$3,9,1),0),NETWORKDAYS.INTL(DATE($B$3,9,8),DATE($B$3,9,8),1,'Non-working days'!$A$6:$A$45)=0),"",IF(COUNTIFS('Leave log'!$A$7:$A$306,Employees!$A$35,'Leave log'!$B$7:$B$306,"&lt;="&amp;DATE($B$3,9,8),'Leave log'!$C$7:$C$306,"&gt;="&amp;DATE($B$3,9,8),'Leave log'!$F$7:$F$306,"Approved")&gt;0,"A",""))="A","A",IF(OR(DATE($B$3,9,8)&gt;EOMONTH(DATE($B$3,9,1),0),NETWORKDAYS.INTL(DATE($B$3,9,8),DATE($B$3,9,8),1,'Non-working days'!$A$6:$A$45)=0),"",IF(COUNTIFS('Leave log'!$A$7:$A$306,Employees!$A$35,'Leave log'!$B$7:$B$306,"&lt;="&amp;DATE($B$3,9,8),'Leave log'!$C$7:$C$306,"&gt;="&amp;DATE($B$3,9,8),'Leave log'!$F$7:$F$306,"Pending")&gt;0,"P",""))))</f>
        <v/>
      </c>
      <c r="J308" s="23" t="str">
        <f>IF(A308="","",IF(IF(OR(DATE($B$3,9,9)&gt;EOMONTH(DATE($B$3,9,1),0),NETWORKDAYS.INTL(DATE($B$3,9,9),DATE($B$3,9,9),1,'Non-working days'!$A$6:$A$45)=0),"",IF(COUNTIFS('Leave log'!$A$7:$A$306,Employees!$A$35,'Leave log'!$B$7:$B$306,"&lt;="&amp;DATE($B$3,9,9),'Leave log'!$C$7:$C$306,"&gt;="&amp;DATE($B$3,9,9),'Leave log'!$F$7:$F$306,"Approved")&gt;0,"A",""))="A","A",IF(OR(DATE($B$3,9,9)&gt;EOMONTH(DATE($B$3,9,1),0),NETWORKDAYS.INTL(DATE($B$3,9,9),DATE($B$3,9,9),1,'Non-working days'!$A$6:$A$45)=0),"",IF(COUNTIFS('Leave log'!$A$7:$A$306,Employees!$A$35,'Leave log'!$B$7:$B$306,"&lt;="&amp;DATE($B$3,9,9),'Leave log'!$C$7:$C$306,"&gt;="&amp;DATE($B$3,9,9),'Leave log'!$F$7:$F$306,"Pending")&gt;0,"P",""))))</f>
        <v/>
      </c>
      <c r="K308" s="23" t="str">
        <f>IF(A308="","",IF(IF(OR(DATE($B$3,9,10)&gt;EOMONTH(DATE($B$3,9,1),0),NETWORKDAYS.INTL(DATE($B$3,9,10),DATE($B$3,9,10),1,'Non-working days'!$A$6:$A$45)=0),"",IF(COUNTIFS('Leave log'!$A$7:$A$306,Employees!$A$35,'Leave log'!$B$7:$B$306,"&lt;="&amp;DATE($B$3,9,10),'Leave log'!$C$7:$C$306,"&gt;="&amp;DATE($B$3,9,10),'Leave log'!$F$7:$F$306,"Approved")&gt;0,"A",""))="A","A",IF(OR(DATE($B$3,9,10)&gt;EOMONTH(DATE($B$3,9,1),0),NETWORKDAYS.INTL(DATE($B$3,9,10),DATE($B$3,9,10),1,'Non-working days'!$A$6:$A$45)=0),"",IF(COUNTIFS('Leave log'!$A$7:$A$306,Employees!$A$35,'Leave log'!$B$7:$B$306,"&lt;="&amp;DATE($B$3,9,10),'Leave log'!$C$7:$C$306,"&gt;="&amp;DATE($B$3,9,10),'Leave log'!$F$7:$F$306,"Pending")&gt;0,"P",""))))</f>
        <v/>
      </c>
      <c r="L308" s="23" t="str">
        <f>IF(A308="","",IF(IF(OR(DATE($B$3,9,11)&gt;EOMONTH(DATE($B$3,9,1),0),NETWORKDAYS.INTL(DATE($B$3,9,11),DATE($B$3,9,11),1,'Non-working days'!$A$6:$A$45)=0),"",IF(COUNTIFS('Leave log'!$A$7:$A$306,Employees!$A$35,'Leave log'!$B$7:$B$306,"&lt;="&amp;DATE($B$3,9,11),'Leave log'!$C$7:$C$306,"&gt;="&amp;DATE($B$3,9,11),'Leave log'!$F$7:$F$306,"Approved")&gt;0,"A",""))="A","A",IF(OR(DATE($B$3,9,11)&gt;EOMONTH(DATE($B$3,9,1),0),NETWORKDAYS.INTL(DATE($B$3,9,11),DATE($B$3,9,11),1,'Non-working days'!$A$6:$A$45)=0),"",IF(COUNTIFS('Leave log'!$A$7:$A$306,Employees!$A$35,'Leave log'!$B$7:$B$306,"&lt;="&amp;DATE($B$3,9,11),'Leave log'!$C$7:$C$306,"&gt;="&amp;DATE($B$3,9,11),'Leave log'!$F$7:$F$306,"Pending")&gt;0,"P",""))))</f>
        <v/>
      </c>
      <c r="M308" s="23" t="str">
        <f>IF(A308="","",IF(IF(OR(DATE($B$3,9,12)&gt;EOMONTH(DATE($B$3,9,1),0),NETWORKDAYS.INTL(DATE($B$3,9,12),DATE($B$3,9,12),1,'Non-working days'!$A$6:$A$45)=0),"",IF(COUNTIFS('Leave log'!$A$7:$A$306,Employees!$A$35,'Leave log'!$B$7:$B$306,"&lt;="&amp;DATE($B$3,9,12),'Leave log'!$C$7:$C$306,"&gt;="&amp;DATE($B$3,9,12),'Leave log'!$F$7:$F$306,"Approved")&gt;0,"A",""))="A","A",IF(OR(DATE($B$3,9,12)&gt;EOMONTH(DATE($B$3,9,1),0),NETWORKDAYS.INTL(DATE($B$3,9,12),DATE($B$3,9,12),1,'Non-working days'!$A$6:$A$45)=0),"",IF(COUNTIFS('Leave log'!$A$7:$A$306,Employees!$A$35,'Leave log'!$B$7:$B$306,"&lt;="&amp;DATE($B$3,9,12),'Leave log'!$C$7:$C$306,"&gt;="&amp;DATE($B$3,9,12),'Leave log'!$F$7:$F$306,"Pending")&gt;0,"P",""))))</f>
        <v/>
      </c>
      <c r="N308" s="23" t="str">
        <f>IF(A308="","",IF(IF(OR(DATE($B$3,9,13)&gt;EOMONTH(DATE($B$3,9,1),0),NETWORKDAYS.INTL(DATE($B$3,9,13),DATE($B$3,9,13),1,'Non-working days'!$A$6:$A$45)=0),"",IF(COUNTIFS('Leave log'!$A$7:$A$306,Employees!$A$35,'Leave log'!$B$7:$B$306,"&lt;="&amp;DATE($B$3,9,13),'Leave log'!$C$7:$C$306,"&gt;="&amp;DATE($B$3,9,13),'Leave log'!$F$7:$F$306,"Approved")&gt;0,"A",""))="A","A",IF(OR(DATE($B$3,9,13)&gt;EOMONTH(DATE($B$3,9,1),0),NETWORKDAYS.INTL(DATE($B$3,9,13),DATE($B$3,9,13),1,'Non-working days'!$A$6:$A$45)=0),"",IF(COUNTIFS('Leave log'!$A$7:$A$306,Employees!$A$35,'Leave log'!$B$7:$B$306,"&lt;="&amp;DATE($B$3,9,13),'Leave log'!$C$7:$C$306,"&gt;="&amp;DATE($B$3,9,13),'Leave log'!$F$7:$F$306,"Pending")&gt;0,"P",""))))</f>
        <v/>
      </c>
      <c r="O308" s="23" t="str">
        <f>IF(A308="","",IF(IF(OR(DATE($B$3,9,14)&gt;EOMONTH(DATE($B$3,9,1),0),NETWORKDAYS.INTL(DATE($B$3,9,14),DATE($B$3,9,14),1,'Non-working days'!$A$6:$A$45)=0),"",IF(COUNTIFS('Leave log'!$A$7:$A$306,Employees!$A$35,'Leave log'!$B$7:$B$306,"&lt;="&amp;DATE($B$3,9,14),'Leave log'!$C$7:$C$306,"&gt;="&amp;DATE($B$3,9,14),'Leave log'!$F$7:$F$306,"Approved")&gt;0,"A",""))="A","A",IF(OR(DATE($B$3,9,14)&gt;EOMONTH(DATE($B$3,9,1),0),NETWORKDAYS.INTL(DATE($B$3,9,14),DATE($B$3,9,14),1,'Non-working days'!$A$6:$A$45)=0),"",IF(COUNTIFS('Leave log'!$A$7:$A$306,Employees!$A$35,'Leave log'!$B$7:$B$306,"&lt;="&amp;DATE($B$3,9,14),'Leave log'!$C$7:$C$306,"&gt;="&amp;DATE($B$3,9,14),'Leave log'!$F$7:$F$306,"Pending")&gt;0,"P",""))))</f>
        <v/>
      </c>
      <c r="P308" s="23" t="str">
        <f>IF(A308="","",IF(IF(OR(DATE($B$3,9,15)&gt;EOMONTH(DATE($B$3,9,1),0),NETWORKDAYS.INTL(DATE($B$3,9,15),DATE($B$3,9,15),1,'Non-working days'!$A$6:$A$45)=0),"",IF(COUNTIFS('Leave log'!$A$7:$A$306,Employees!$A$35,'Leave log'!$B$7:$B$306,"&lt;="&amp;DATE($B$3,9,15),'Leave log'!$C$7:$C$306,"&gt;="&amp;DATE($B$3,9,15),'Leave log'!$F$7:$F$306,"Approved")&gt;0,"A",""))="A","A",IF(OR(DATE($B$3,9,15)&gt;EOMONTH(DATE($B$3,9,1),0),NETWORKDAYS.INTL(DATE($B$3,9,15),DATE($B$3,9,15),1,'Non-working days'!$A$6:$A$45)=0),"",IF(COUNTIFS('Leave log'!$A$7:$A$306,Employees!$A$35,'Leave log'!$B$7:$B$306,"&lt;="&amp;DATE($B$3,9,15),'Leave log'!$C$7:$C$306,"&gt;="&amp;DATE($B$3,9,15),'Leave log'!$F$7:$F$306,"Pending")&gt;0,"P",""))))</f>
        <v/>
      </c>
      <c r="Q308" s="23" t="str">
        <f>IF(A308="","",IF(IF(OR(DATE($B$3,9,16)&gt;EOMONTH(DATE($B$3,9,1),0),NETWORKDAYS.INTL(DATE($B$3,9,16),DATE($B$3,9,16),1,'Non-working days'!$A$6:$A$45)=0),"",IF(COUNTIFS('Leave log'!$A$7:$A$306,Employees!$A$35,'Leave log'!$B$7:$B$306,"&lt;="&amp;DATE($B$3,9,16),'Leave log'!$C$7:$C$306,"&gt;="&amp;DATE($B$3,9,16),'Leave log'!$F$7:$F$306,"Approved")&gt;0,"A",""))="A","A",IF(OR(DATE($B$3,9,16)&gt;EOMONTH(DATE($B$3,9,1),0),NETWORKDAYS.INTL(DATE($B$3,9,16),DATE($B$3,9,16),1,'Non-working days'!$A$6:$A$45)=0),"",IF(COUNTIFS('Leave log'!$A$7:$A$306,Employees!$A$35,'Leave log'!$B$7:$B$306,"&lt;="&amp;DATE($B$3,9,16),'Leave log'!$C$7:$C$306,"&gt;="&amp;DATE($B$3,9,16),'Leave log'!$F$7:$F$306,"Pending")&gt;0,"P",""))))</f>
        <v/>
      </c>
      <c r="R308" s="23" t="str">
        <f>IF(A308="","",IF(IF(OR(DATE($B$3,9,17)&gt;EOMONTH(DATE($B$3,9,1),0),NETWORKDAYS.INTL(DATE($B$3,9,17),DATE($B$3,9,17),1,'Non-working days'!$A$6:$A$45)=0),"",IF(COUNTIFS('Leave log'!$A$7:$A$306,Employees!$A$35,'Leave log'!$B$7:$B$306,"&lt;="&amp;DATE($B$3,9,17),'Leave log'!$C$7:$C$306,"&gt;="&amp;DATE($B$3,9,17),'Leave log'!$F$7:$F$306,"Approved")&gt;0,"A",""))="A","A",IF(OR(DATE($B$3,9,17)&gt;EOMONTH(DATE($B$3,9,1),0),NETWORKDAYS.INTL(DATE($B$3,9,17),DATE($B$3,9,17),1,'Non-working days'!$A$6:$A$45)=0),"",IF(COUNTIFS('Leave log'!$A$7:$A$306,Employees!$A$35,'Leave log'!$B$7:$B$306,"&lt;="&amp;DATE($B$3,9,17),'Leave log'!$C$7:$C$306,"&gt;="&amp;DATE($B$3,9,17),'Leave log'!$F$7:$F$306,"Pending")&gt;0,"P",""))))</f>
        <v/>
      </c>
      <c r="S308" s="23" t="str">
        <f>IF(A308="","",IF(IF(OR(DATE($B$3,9,18)&gt;EOMONTH(DATE($B$3,9,1),0),NETWORKDAYS.INTL(DATE($B$3,9,18),DATE($B$3,9,18),1,'Non-working days'!$A$6:$A$45)=0),"",IF(COUNTIFS('Leave log'!$A$7:$A$306,Employees!$A$35,'Leave log'!$B$7:$B$306,"&lt;="&amp;DATE($B$3,9,18),'Leave log'!$C$7:$C$306,"&gt;="&amp;DATE($B$3,9,18),'Leave log'!$F$7:$F$306,"Approved")&gt;0,"A",""))="A","A",IF(OR(DATE($B$3,9,18)&gt;EOMONTH(DATE($B$3,9,1),0),NETWORKDAYS.INTL(DATE($B$3,9,18),DATE($B$3,9,18),1,'Non-working days'!$A$6:$A$45)=0),"",IF(COUNTIFS('Leave log'!$A$7:$A$306,Employees!$A$35,'Leave log'!$B$7:$B$306,"&lt;="&amp;DATE($B$3,9,18),'Leave log'!$C$7:$C$306,"&gt;="&amp;DATE($B$3,9,18),'Leave log'!$F$7:$F$306,"Pending")&gt;0,"P",""))))</f>
        <v/>
      </c>
      <c r="T308" s="23" t="str">
        <f>IF(A308="","",IF(IF(OR(DATE($B$3,9,19)&gt;EOMONTH(DATE($B$3,9,1),0),NETWORKDAYS.INTL(DATE($B$3,9,19),DATE($B$3,9,19),1,'Non-working days'!$A$6:$A$45)=0),"",IF(COUNTIFS('Leave log'!$A$7:$A$306,Employees!$A$35,'Leave log'!$B$7:$B$306,"&lt;="&amp;DATE($B$3,9,19),'Leave log'!$C$7:$C$306,"&gt;="&amp;DATE($B$3,9,19),'Leave log'!$F$7:$F$306,"Approved")&gt;0,"A",""))="A","A",IF(OR(DATE($B$3,9,19)&gt;EOMONTH(DATE($B$3,9,1),0),NETWORKDAYS.INTL(DATE($B$3,9,19),DATE($B$3,9,19),1,'Non-working days'!$A$6:$A$45)=0),"",IF(COUNTIFS('Leave log'!$A$7:$A$306,Employees!$A$35,'Leave log'!$B$7:$B$306,"&lt;="&amp;DATE($B$3,9,19),'Leave log'!$C$7:$C$306,"&gt;="&amp;DATE($B$3,9,19),'Leave log'!$F$7:$F$306,"Pending")&gt;0,"P",""))))</f>
        <v/>
      </c>
      <c r="U308" s="23" t="str">
        <f>IF(A308="","",IF(IF(OR(DATE($B$3,9,20)&gt;EOMONTH(DATE($B$3,9,1),0),NETWORKDAYS.INTL(DATE($B$3,9,20),DATE($B$3,9,20),1,'Non-working days'!$A$6:$A$45)=0),"",IF(COUNTIFS('Leave log'!$A$7:$A$306,Employees!$A$35,'Leave log'!$B$7:$B$306,"&lt;="&amp;DATE($B$3,9,20),'Leave log'!$C$7:$C$306,"&gt;="&amp;DATE($B$3,9,20),'Leave log'!$F$7:$F$306,"Approved")&gt;0,"A",""))="A","A",IF(OR(DATE($B$3,9,20)&gt;EOMONTH(DATE($B$3,9,1),0),NETWORKDAYS.INTL(DATE($B$3,9,20),DATE($B$3,9,20),1,'Non-working days'!$A$6:$A$45)=0),"",IF(COUNTIFS('Leave log'!$A$7:$A$306,Employees!$A$35,'Leave log'!$B$7:$B$306,"&lt;="&amp;DATE($B$3,9,20),'Leave log'!$C$7:$C$306,"&gt;="&amp;DATE($B$3,9,20),'Leave log'!$F$7:$F$306,"Pending")&gt;0,"P",""))))</f>
        <v/>
      </c>
      <c r="V308" s="23" t="str">
        <f>IF(A308="","",IF(IF(OR(DATE($B$3,9,21)&gt;EOMONTH(DATE($B$3,9,1),0),NETWORKDAYS.INTL(DATE($B$3,9,21),DATE($B$3,9,21),1,'Non-working days'!$A$6:$A$45)=0),"",IF(COUNTIFS('Leave log'!$A$7:$A$306,Employees!$A$35,'Leave log'!$B$7:$B$306,"&lt;="&amp;DATE($B$3,9,21),'Leave log'!$C$7:$C$306,"&gt;="&amp;DATE($B$3,9,21),'Leave log'!$F$7:$F$306,"Approved")&gt;0,"A",""))="A","A",IF(OR(DATE($B$3,9,21)&gt;EOMONTH(DATE($B$3,9,1),0),NETWORKDAYS.INTL(DATE($B$3,9,21),DATE($B$3,9,21),1,'Non-working days'!$A$6:$A$45)=0),"",IF(COUNTIFS('Leave log'!$A$7:$A$306,Employees!$A$35,'Leave log'!$B$7:$B$306,"&lt;="&amp;DATE($B$3,9,21),'Leave log'!$C$7:$C$306,"&gt;="&amp;DATE($B$3,9,21),'Leave log'!$F$7:$F$306,"Pending")&gt;0,"P",""))))</f>
        <v/>
      </c>
      <c r="W308" s="23" t="str">
        <f>IF(A308="","",IF(IF(OR(DATE($B$3,9,22)&gt;EOMONTH(DATE($B$3,9,1),0),NETWORKDAYS.INTL(DATE($B$3,9,22),DATE($B$3,9,22),1,'Non-working days'!$A$6:$A$45)=0),"",IF(COUNTIFS('Leave log'!$A$7:$A$306,Employees!$A$35,'Leave log'!$B$7:$B$306,"&lt;="&amp;DATE($B$3,9,22),'Leave log'!$C$7:$C$306,"&gt;="&amp;DATE($B$3,9,22),'Leave log'!$F$7:$F$306,"Approved")&gt;0,"A",""))="A","A",IF(OR(DATE($B$3,9,22)&gt;EOMONTH(DATE($B$3,9,1),0),NETWORKDAYS.INTL(DATE($B$3,9,22),DATE($B$3,9,22),1,'Non-working days'!$A$6:$A$45)=0),"",IF(COUNTIFS('Leave log'!$A$7:$A$306,Employees!$A$35,'Leave log'!$B$7:$B$306,"&lt;="&amp;DATE($B$3,9,22),'Leave log'!$C$7:$C$306,"&gt;="&amp;DATE($B$3,9,22),'Leave log'!$F$7:$F$306,"Pending")&gt;0,"P",""))))</f>
        <v/>
      </c>
      <c r="X308" s="23" t="str">
        <f>IF(A308="","",IF(IF(OR(DATE($B$3,9,23)&gt;EOMONTH(DATE($B$3,9,1),0),NETWORKDAYS.INTL(DATE($B$3,9,23),DATE($B$3,9,23),1,'Non-working days'!$A$6:$A$45)=0),"",IF(COUNTIFS('Leave log'!$A$7:$A$306,Employees!$A$35,'Leave log'!$B$7:$B$306,"&lt;="&amp;DATE($B$3,9,23),'Leave log'!$C$7:$C$306,"&gt;="&amp;DATE($B$3,9,23),'Leave log'!$F$7:$F$306,"Approved")&gt;0,"A",""))="A","A",IF(OR(DATE($B$3,9,23)&gt;EOMONTH(DATE($B$3,9,1),0),NETWORKDAYS.INTL(DATE($B$3,9,23),DATE($B$3,9,23),1,'Non-working days'!$A$6:$A$45)=0),"",IF(COUNTIFS('Leave log'!$A$7:$A$306,Employees!$A$35,'Leave log'!$B$7:$B$306,"&lt;="&amp;DATE($B$3,9,23),'Leave log'!$C$7:$C$306,"&gt;="&amp;DATE($B$3,9,23),'Leave log'!$F$7:$F$306,"Pending")&gt;0,"P",""))))</f>
        <v/>
      </c>
      <c r="Y308" s="23" t="str">
        <f>IF(A308="","",IF(IF(OR(DATE($B$3,9,24)&gt;EOMONTH(DATE($B$3,9,1),0),NETWORKDAYS.INTL(DATE($B$3,9,24),DATE($B$3,9,24),1,'Non-working days'!$A$6:$A$45)=0),"",IF(COUNTIFS('Leave log'!$A$7:$A$306,Employees!$A$35,'Leave log'!$B$7:$B$306,"&lt;="&amp;DATE($B$3,9,24),'Leave log'!$C$7:$C$306,"&gt;="&amp;DATE($B$3,9,24),'Leave log'!$F$7:$F$306,"Approved")&gt;0,"A",""))="A","A",IF(OR(DATE($B$3,9,24)&gt;EOMONTH(DATE($B$3,9,1),0),NETWORKDAYS.INTL(DATE($B$3,9,24),DATE($B$3,9,24),1,'Non-working days'!$A$6:$A$45)=0),"",IF(COUNTIFS('Leave log'!$A$7:$A$306,Employees!$A$35,'Leave log'!$B$7:$B$306,"&lt;="&amp;DATE($B$3,9,24),'Leave log'!$C$7:$C$306,"&gt;="&amp;DATE($B$3,9,24),'Leave log'!$F$7:$F$306,"Pending")&gt;0,"P",""))))</f>
        <v/>
      </c>
      <c r="Z308" s="23" t="str">
        <f>IF(A308="","",IF(IF(OR(DATE($B$3,9,25)&gt;EOMONTH(DATE($B$3,9,1),0),NETWORKDAYS.INTL(DATE($B$3,9,25),DATE($B$3,9,25),1,'Non-working days'!$A$6:$A$45)=0),"",IF(COUNTIFS('Leave log'!$A$7:$A$306,Employees!$A$35,'Leave log'!$B$7:$B$306,"&lt;="&amp;DATE($B$3,9,25),'Leave log'!$C$7:$C$306,"&gt;="&amp;DATE($B$3,9,25),'Leave log'!$F$7:$F$306,"Approved")&gt;0,"A",""))="A","A",IF(OR(DATE($B$3,9,25)&gt;EOMONTH(DATE($B$3,9,1),0),NETWORKDAYS.INTL(DATE($B$3,9,25),DATE($B$3,9,25),1,'Non-working days'!$A$6:$A$45)=0),"",IF(COUNTIFS('Leave log'!$A$7:$A$306,Employees!$A$35,'Leave log'!$B$7:$B$306,"&lt;="&amp;DATE($B$3,9,25),'Leave log'!$C$7:$C$306,"&gt;="&amp;DATE($B$3,9,25),'Leave log'!$F$7:$F$306,"Pending")&gt;0,"P",""))))</f>
        <v/>
      </c>
      <c r="AA308" s="23" t="str">
        <f>IF(A308="","",IF(IF(OR(DATE($B$3,9,26)&gt;EOMONTH(DATE($B$3,9,1),0),NETWORKDAYS.INTL(DATE($B$3,9,26),DATE($B$3,9,26),1,'Non-working days'!$A$6:$A$45)=0),"",IF(COUNTIFS('Leave log'!$A$7:$A$306,Employees!$A$35,'Leave log'!$B$7:$B$306,"&lt;="&amp;DATE($B$3,9,26),'Leave log'!$C$7:$C$306,"&gt;="&amp;DATE($B$3,9,26),'Leave log'!$F$7:$F$306,"Approved")&gt;0,"A",""))="A","A",IF(OR(DATE($B$3,9,26)&gt;EOMONTH(DATE($B$3,9,1),0),NETWORKDAYS.INTL(DATE($B$3,9,26),DATE($B$3,9,26),1,'Non-working days'!$A$6:$A$45)=0),"",IF(COUNTIFS('Leave log'!$A$7:$A$306,Employees!$A$35,'Leave log'!$B$7:$B$306,"&lt;="&amp;DATE($B$3,9,26),'Leave log'!$C$7:$C$306,"&gt;="&amp;DATE($B$3,9,26),'Leave log'!$F$7:$F$306,"Pending")&gt;0,"P",""))))</f>
        <v/>
      </c>
      <c r="AB308" s="23" t="str">
        <f>IF(A308="","",IF(IF(OR(DATE($B$3,9,27)&gt;EOMONTH(DATE($B$3,9,1),0),NETWORKDAYS.INTL(DATE($B$3,9,27),DATE($B$3,9,27),1,'Non-working days'!$A$6:$A$45)=0),"",IF(COUNTIFS('Leave log'!$A$7:$A$306,Employees!$A$35,'Leave log'!$B$7:$B$306,"&lt;="&amp;DATE($B$3,9,27),'Leave log'!$C$7:$C$306,"&gt;="&amp;DATE($B$3,9,27),'Leave log'!$F$7:$F$306,"Approved")&gt;0,"A",""))="A","A",IF(OR(DATE($B$3,9,27)&gt;EOMONTH(DATE($B$3,9,1),0),NETWORKDAYS.INTL(DATE($B$3,9,27),DATE($B$3,9,27),1,'Non-working days'!$A$6:$A$45)=0),"",IF(COUNTIFS('Leave log'!$A$7:$A$306,Employees!$A$35,'Leave log'!$B$7:$B$306,"&lt;="&amp;DATE($B$3,9,27),'Leave log'!$C$7:$C$306,"&gt;="&amp;DATE($B$3,9,27),'Leave log'!$F$7:$F$306,"Pending")&gt;0,"P",""))))</f>
        <v/>
      </c>
      <c r="AC308" s="23" t="str">
        <f>IF(A308="","",IF(IF(OR(DATE($B$3,9,28)&gt;EOMONTH(DATE($B$3,9,1),0),NETWORKDAYS.INTL(DATE($B$3,9,28),DATE($B$3,9,28),1,'Non-working days'!$A$6:$A$45)=0),"",IF(COUNTIFS('Leave log'!$A$7:$A$306,Employees!$A$35,'Leave log'!$B$7:$B$306,"&lt;="&amp;DATE($B$3,9,28),'Leave log'!$C$7:$C$306,"&gt;="&amp;DATE($B$3,9,28),'Leave log'!$F$7:$F$306,"Approved")&gt;0,"A",""))="A","A",IF(OR(DATE($B$3,9,28)&gt;EOMONTH(DATE($B$3,9,1),0),NETWORKDAYS.INTL(DATE($B$3,9,28),DATE($B$3,9,28),1,'Non-working days'!$A$6:$A$45)=0),"",IF(COUNTIFS('Leave log'!$A$7:$A$306,Employees!$A$35,'Leave log'!$B$7:$B$306,"&lt;="&amp;DATE($B$3,9,28),'Leave log'!$C$7:$C$306,"&gt;="&amp;DATE($B$3,9,28),'Leave log'!$F$7:$F$306,"Pending")&gt;0,"P",""))))</f>
        <v/>
      </c>
      <c r="AD308" s="23" t="str">
        <f>IF(A308="","",IF(IF(OR(DATE($B$3,9,29)&gt;EOMONTH(DATE($B$3,9,1),0),NETWORKDAYS.INTL(DATE($B$3,9,29),DATE($B$3,9,29),1,'Non-working days'!$A$6:$A$45)=0),"",IF(COUNTIFS('Leave log'!$A$7:$A$306,Employees!$A$35,'Leave log'!$B$7:$B$306,"&lt;="&amp;DATE($B$3,9,29),'Leave log'!$C$7:$C$306,"&gt;="&amp;DATE($B$3,9,29),'Leave log'!$F$7:$F$306,"Approved")&gt;0,"A",""))="A","A",IF(OR(DATE($B$3,9,29)&gt;EOMONTH(DATE($B$3,9,1),0),NETWORKDAYS.INTL(DATE($B$3,9,29),DATE($B$3,9,29),1,'Non-working days'!$A$6:$A$45)=0),"",IF(COUNTIFS('Leave log'!$A$7:$A$306,Employees!$A$35,'Leave log'!$B$7:$B$306,"&lt;="&amp;DATE($B$3,9,29),'Leave log'!$C$7:$C$306,"&gt;="&amp;DATE($B$3,9,29),'Leave log'!$F$7:$F$306,"Pending")&gt;0,"P",""))))</f>
        <v/>
      </c>
      <c r="AE308" s="23" t="str">
        <f>IF(A308="","",IF(IF(OR(DATE($B$3,9,30)&gt;EOMONTH(DATE($B$3,9,1),0),NETWORKDAYS.INTL(DATE($B$3,9,30),DATE($B$3,9,30),1,'Non-working days'!$A$6:$A$45)=0),"",IF(COUNTIFS('Leave log'!$A$7:$A$306,Employees!$A$35,'Leave log'!$B$7:$B$306,"&lt;="&amp;DATE($B$3,9,30),'Leave log'!$C$7:$C$306,"&gt;="&amp;DATE($B$3,9,30),'Leave log'!$F$7:$F$306,"Approved")&gt;0,"A",""))="A","A",IF(OR(DATE($B$3,9,30)&gt;EOMONTH(DATE($B$3,9,1),0),NETWORKDAYS.INTL(DATE($B$3,9,30),DATE($B$3,9,30),1,'Non-working days'!$A$6:$A$45)=0),"",IF(COUNTIFS('Leave log'!$A$7:$A$306,Employees!$A$35,'Leave log'!$B$7:$B$306,"&lt;="&amp;DATE($B$3,9,30),'Leave log'!$C$7:$C$306,"&gt;="&amp;DATE($B$3,9,30),'Leave log'!$F$7:$F$306,"Pending")&gt;0,"P",""))))</f>
        <v/>
      </c>
      <c r="AF308" s="23" t="str">
        <f>IF(A308="","",IF(IF(OR(DATE($B$3,9,31)&gt;EOMONTH(DATE($B$3,9,1),0),NETWORKDAYS.INTL(DATE($B$3,9,31),DATE($B$3,9,31),1,'Non-working days'!$A$6:$A$45)=0),"",IF(COUNTIFS('Leave log'!$A$7:$A$306,Employees!$A$35,'Leave log'!$B$7:$B$306,"&lt;="&amp;DATE($B$3,9,31),'Leave log'!$C$7:$C$306,"&gt;="&amp;DATE($B$3,9,31),'Leave log'!$F$7:$F$306,"Approved")&gt;0,"A",""))="A","A",IF(OR(DATE($B$3,9,31)&gt;EOMONTH(DATE($B$3,9,1),0),NETWORKDAYS.INTL(DATE($B$3,9,31),DATE($B$3,9,31),1,'Non-working days'!$A$6:$A$45)=0),"",IF(COUNTIFS('Leave log'!$A$7:$A$306,Employees!$A$35,'Leave log'!$B$7:$B$306,"&lt;="&amp;DATE($B$3,9,31),'Leave log'!$C$7:$C$306,"&gt;="&amp;DATE($B$3,9,31),'Leave log'!$F$7:$F$306,"Pending")&gt;0,"P",""))))</f>
        <v/>
      </c>
    </row>
    <row r="311" spans="1:32" ht="15.6" x14ac:dyDescent="0.3">
      <c r="A311" s="31" t="s">
        <v>84</v>
      </c>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row>
    <row r="312" spans="1:32" x14ac:dyDescent="0.3">
      <c r="A312" s="20" t="s">
        <v>75</v>
      </c>
      <c r="B312" s="21">
        <v>1</v>
      </c>
      <c r="C312" s="21">
        <v>2</v>
      </c>
      <c r="D312" s="21">
        <v>3</v>
      </c>
      <c r="E312" s="21">
        <v>4</v>
      </c>
      <c r="F312" s="21">
        <v>5</v>
      </c>
      <c r="G312" s="21">
        <v>6</v>
      </c>
      <c r="H312" s="21">
        <v>7</v>
      </c>
      <c r="I312" s="21">
        <v>8</v>
      </c>
      <c r="J312" s="21">
        <v>9</v>
      </c>
      <c r="K312" s="21">
        <v>10</v>
      </c>
      <c r="L312" s="21">
        <v>11</v>
      </c>
      <c r="M312" s="21">
        <v>12</v>
      </c>
      <c r="N312" s="21">
        <v>13</v>
      </c>
      <c r="O312" s="21">
        <v>14</v>
      </c>
      <c r="P312" s="21">
        <v>15</v>
      </c>
      <c r="Q312" s="21">
        <v>16</v>
      </c>
      <c r="R312" s="21">
        <v>17</v>
      </c>
      <c r="S312" s="21">
        <v>18</v>
      </c>
      <c r="T312" s="21">
        <v>19</v>
      </c>
      <c r="U312" s="21">
        <v>20</v>
      </c>
      <c r="V312" s="21">
        <v>21</v>
      </c>
      <c r="W312" s="21">
        <v>22</v>
      </c>
      <c r="X312" s="21">
        <v>23</v>
      </c>
      <c r="Y312" s="21">
        <v>24</v>
      </c>
      <c r="Z312" s="21">
        <v>25</v>
      </c>
      <c r="AA312" s="21">
        <v>26</v>
      </c>
      <c r="AB312" s="21">
        <v>27</v>
      </c>
      <c r="AC312" s="21">
        <v>28</v>
      </c>
      <c r="AD312" s="21">
        <v>29</v>
      </c>
      <c r="AE312" s="21">
        <v>30</v>
      </c>
      <c r="AF312" s="21">
        <v>31</v>
      </c>
    </row>
    <row r="313" spans="1:32" ht="18" customHeight="1" x14ac:dyDescent="0.3">
      <c r="A313" s="22" t="str">
        <f>IF(Employees!F6="Yes",Employees!B6,"")</f>
        <v>Alex Morgan</v>
      </c>
      <c r="B313" s="23" t="str">
        <f>IF(A313="","",IF(IF(OR(DATE($B$3,10,1)&gt;EOMONTH(DATE($B$3,10,1),0),NETWORKDAYS.INTL(DATE($B$3,10,1),DATE($B$3,10,1),1,'Non-working days'!$A$6:$A$45)=0),"",IF(COUNTIFS('Leave log'!$A$7:$A$306,Employees!$A$6,'Leave log'!$B$7:$B$306,"&lt;="&amp;DATE($B$3,10,1),'Leave log'!$C$7:$C$306,"&gt;="&amp;DATE($B$3,10,1),'Leave log'!$F$7:$F$306,"Approved")&gt;0,"A",""))="A","A",IF(OR(DATE($B$3,10,1)&gt;EOMONTH(DATE($B$3,10,1),0),NETWORKDAYS.INTL(DATE($B$3,10,1),DATE($B$3,10,1),1,'Non-working days'!$A$6:$A$45)=0),"",IF(COUNTIFS('Leave log'!$A$7:$A$306,Employees!$A$6,'Leave log'!$B$7:$B$306,"&lt;="&amp;DATE($B$3,10,1),'Leave log'!$C$7:$C$306,"&gt;="&amp;DATE($B$3,10,1),'Leave log'!$F$7:$F$306,"Pending")&gt;0,"P",""))))</f>
        <v/>
      </c>
      <c r="C313" s="23" t="str">
        <f>IF(A313="","",IF(IF(OR(DATE($B$3,10,2)&gt;EOMONTH(DATE($B$3,10,1),0),NETWORKDAYS.INTL(DATE($B$3,10,2),DATE($B$3,10,2),1,'Non-working days'!$A$6:$A$45)=0),"",IF(COUNTIFS('Leave log'!$A$7:$A$306,Employees!$A$6,'Leave log'!$B$7:$B$306,"&lt;="&amp;DATE($B$3,10,2),'Leave log'!$C$7:$C$306,"&gt;="&amp;DATE($B$3,10,2),'Leave log'!$F$7:$F$306,"Approved")&gt;0,"A",""))="A","A",IF(OR(DATE($B$3,10,2)&gt;EOMONTH(DATE($B$3,10,1),0),NETWORKDAYS.INTL(DATE($B$3,10,2),DATE($B$3,10,2),1,'Non-working days'!$A$6:$A$45)=0),"",IF(COUNTIFS('Leave log'!$A$7:$A$306,Employees!$A$6,'Leave log'!$B$7:$B$306,"&lt;="&amp;DATE($B$3,10,2),'Leave log'!$C$7:$C$306,"&gt;="&amp;DATE($B$3,10,2),'Leave log'!$F$7:$F$306,"Pending")&gt;0,"P",""))))</f>
        <v>P</v>
      </c>
      <c r="D313" s="23" t="str">
        <f>IF(A313="","",IF(IF(OR(DATE($B$3,10,3)&gt;EOMONTH(DATE($B$3,10,1),0),NETWORKDAYS.INTL(DATE($B$3,10,3),DATE($B$3,10,3),1,'Non-working days'!$A$6:$A$45)=0),"",IF(COUNTIFS('Leave log'!$A$7:$A$306,Employees!$A$6,'Leave log'!$B$7:$B$306,"&lt;="&amp;DATE($B$3,10,3),'Leave log'!$C$7:$C$306,"&gt;="&amp;DATE($B$3,10,3),'Leave log'!$F$7:$F$306,"Approved")&gt;0,"A",""))="A","A",IF(OR(DATE($B$3,10,3)&gt;EOMONTH(DATE($B$3,10,1),0),NETWORKDAYS.INTL(DATE($B$3,10,3),DATE($B$3,10,3),1,'Non-working days'!$A$6:$A$45)=0),"",IF(COUNTIFS('Leave log'!$A$7:$A$306,Employees!$A$6,'Leave log'!$B$7:$B$306,"&lt;="&amp;DATE($B$3,10,3),'Leave log'!$C$7:$C$306,"&gt;="&amp;DATE($B$3,10,3),'Leave log'!$F$7:$F$306,"Pending")&gt;0,"P",""))))</f>
        <v/>
      </c>
      <c r="E313" s="23" t="str">
        <f>IF(A313="","",IF(IF(OR(DATE($B$3,10,4)&gt;EOMONTH(DATE($B$3,10,1),0),NETWORKDAYS.INTL(DATE($B$3,10,4),DATE($B$3,10,4),1,'Non-working days'!$A$6:$A$45)=0),"",IF(COUNTIFS('Leave log'!$A$7:$A$306,Employees!$A$6,'Leave log'!$B$7:$B$306,"&lt;="&amp;DATE($B$3,10,4),'Leave log'!$C$7:$C$306,"&gt;="&amp;DATE($B$3,10,4),'Leave log'!$F$7:$F$306,"Approved")&gt;0,"A",""))="A","A",IF(OR(DATE($B$3,10,4)&gt;EOMONTH(DATE($B$3,10,1),0),NETWORKDAYS.INTL(DATE($B$3,10,4),DATE($B$3,10,4),1,'Non-working days'!$A$6:$A$45)=0),"",IF(COUNTIFS('Leave log'!$A$7:$A$306,Employees!$A$6,'Leave log'!$B$7:$B$306,"&lt;="&amp;DATE($B$3,10,4),'Leave log'!$C$7:$C$306,"&gt;="&amp;DATE($B$3,10,4),'Leave log'!$F$7:$F$306,"Pending")&gt;0,"P",""))))</f>
        <v/>
      </c>
      <c r="F313" s="23" t="str">
        <f>IF(A313="","",IF(IF(OR(DATE($B$3,10,5)&gt;EOMONTH(DATE($B$3,10,1),0),NETWORKDAYS.INTL(DATE($B$3,10,5),DATE($B$3,10,5),1,'Non-working days'!$A$6:$A$45)=0),"",IF(COUNTIFS('Leave log'!$A$7:$A$306,Employees!$A$6,'Leave log'!$B$7:$B$306,"&lt;="&amp;DATE($B$3,10,5),'Leave log'!$C$7:$C$306,"&gt;="&amp;DATE($B$3,10,5),'Leave log'!$F$7:$F$306,"Approved")&gt;0,"A",""))="A","A",IF(OR(DATE($B$3,10,5)&gt;EOMONTH(DATE($B$3,10,1),0),NETWORKDAYS.INTL(DATE($B$3,10,5),DATE($B$3,10,5),1,'Non-working days'!$A$6:$A$45)=0),"",IF(COUNTIFS('Leave log'!$A$7:$A$306,Employees!$A$6,'Leave log'!$B$7:$B$306,"&lt;="&amp;DATE($B$3,10,5),'Leave log'!$C$7:$C$306,"&gt;="&amp;DATE($B$3,10,5),'Leave log'!$F$7:$F$306,"Pending")&gt;0,"P",""))))</f>
        <v/>
      </c>
      <c r="G313" s="23" t="str">
        <f>IF(A313="","",IF(IF(OR(DATE($B$3,10,6)&gt;EOMONTH(DATE($B$3,10,1),0),NETWORKDAYS.INTL(DATE($B$3,10,6),DATE($B$3,10,6),1,'Non-working days'!$A$6:$A$45)=0),"",IF(COUNTIFS('Leave log'!$A$7:$A$306,Employees!$A$6,'Leave log'!$B$7:$B$306,"&lt;="&amp;DATE($B$3,10,6),'Leave log'!$C$7:$C$306,"&gt;="&amp;DATE($B$3,10,6),'Leave log'!$F$7:$F$306,"Approved")&gt;0,"A",""))="A","A",IF(OR(DATE($B$3,10,6)&gt;EOMONTH(DATE($B$3,10,1),0),NETWORKDAYS.INTL(DATE($B$3,10,6),DATE($B$3,10,6),1,'Non-working days'!$A$6:$A$45)=0),"",IF(COUNTIFS('Leave log'!$A$7:$A$306,Employees!$A$6,'Leave log'!$B$7:$B$306,"&lt;="&amp;DATE($B$3,10,6),'Leave log'!$C$7:$C$306,"&gt;="&amp;DATE($B$3,10,6),'Leave log'!$F$7:$F$306,"Pending")&gt;0,"P",""))))</f>
        <v/>
      </c>
      <c r="H313" s="23" t="str">
        <f>IF(A313="","",IF(IF(OR(DATE($B$3,10,7)&gt;EOMONTH(DATE($B$3,10,1),0),NETWORKDAYS.INTL(DATE($B$3,10,7),DATE($B$3,10,7),1,'Non-working days'!$A$6:$A$45)=0),"",IF(COUNTIFS('Leave log'!$A$7:$A$306,Employees!$A$6,'Leave log'!$B$7:$B$306,"&lt;="&amp;DATE($B$3,10,7),'Leave log'!$C$7:$C$306,"&gt;="&amp;DATE($B$3,10,7),'Leave log'!$F$7:$F$306,"Approved")&gt;0,"A",""))="A","A",IF(OR(DATE($B$3,10,7)&gt;EOMONTH(DATE($B$3,10,1),0),NETWORKDAYS.INTL(DATE($B$3,10,7),DATE($B$3,10,7),1,'Non-working days'!$A$6:$A$45)=0),"",IF(COUNTIFS('Leave log'!$A$7:$A$306,Employees!$A$6,'Leave log'!$B$7:$B$306,"&lt;="&amp;DATE($B$3,10,7),'Leave log'!$C$7:$C$306,"&gt;="&amp;DATE($B$3,10,7),'Leave log'!$F$7:$F$306,"Pending")&gt;0,"P",""))))</f>
        <v/>
      </c>
      <c r="I313" s="23" t="str">
        <f>IF(A313="","",IF(IF(OR(DATE($B$3,10,8)&gt;EOMONTH(DATE($B$3,10,1),0),NETWORKDAYS.INTL(DATE($B$3,10,8),DATE($B$3,10,8),1,'Non-working days'!$A$6:$A$45)=0),"",IF(COUNTIFS('Leave log'!$A$7:$A$306,Employees!$A$6,'Leave log'!$B$7:$B$306,"&lt;="&amp;DATE($B$3,10,8),'Leave log'!$C$7:$C$306,"&gt;="&amp;DATE($B$3,10,8),'Leave log'!$F$7:$F$306,"Approved")&gt;0,"A",""))="A","A",IF(OR(DATE($B$3,10,8)&gt;EOMONTH(DATE($B$3,10,1),0),NETWORKDAYS.INTL(DATE($B$3,10,8),DATE($B$3,10,8),1,'Non-working days'!$A$6:$A$45)=0),"",IF(COUNTIFS('Leave log'!$A$7:$A$306,Employees!$A$6,'Leave log'!$B$7:$B$306,"&lt;="&amp;DATE($B$3,10,8),'Leave log'!$C$7:$C$306,"&gt;="&amp;DATE($B$3,10,8),'Leave log'!$F$7:$F$306,"Pending")&gt;0,"P",""))))</f>
        <v/>
      </c>
      <c r="J313" s="23" t="str">
        <f>IF(A313="","",IF(IF(OR(DATE($B$3,10,9)&gt;EOMONTH(DATE($B$3,10,1),0),NETWORKDAYS.INTL(DATE($B$3,10,9),DATE($B$3,10,9),1,'Non-working days'!$A$6:$A$45)=0),"",IF(COUNTIFS('Leave log'!$A$7:$A$306,Employees!$A$6,'Leave log'!$B$7:$B$306,"&lt;="&amp;DATE($B$3,10,9),'Leave log'!$C$7:$C$306,"&gt;="&amp;DATE($B$3,10,9),'Leave log'!$F$7:$F$306,"Approved")&gt;0,"A",""))="A","A",IF(OR(DATE($B$3,10,9)&gt;EOMONTH(DATE($B$3,10,1),0),NETWORKDAYS.INTL(DATE($B$3,10,9),DATE($B$3,10,9),1,'Non-working days'!$A$6:$A$45)=0),"",IF(COUNTIFS('Leave log'!$A$7:$A$306,Employees!$A$6,'Leave log'!$B$7:$B$306,"&lt;="&amp;DATE($B$3,10,9),'Leave log'!$C$7:$C$306,"&gt;="&amp;DATE($B$3,10,9),'Leave log'!$F$7:$F$306,"Pending")&gt;0,"P",""))))</f>
        <v/>
      </c>
      <c r="K313" s="23" t="str">
        <f>IF(A313="","",IF(IF(OR(DATE($B$3,10,10)&gt;EOMONTH(DATE($B$3,10,1),0),NETWORKDAYS.INTL(DATE($B$3,10,10),DATE($B$3,10,10),1,'Non-working days'!$A$6:$A$45)=0),"",IF(COUNTIFS('Leave log'!$A$7:$A$306,Employees!$A$6,'Leave log'!$B$7:$B$306,"&lt;="&amp;DATE($B$3,10,10),'Leave log'!$C$7:$C$306,"&gt;="&amp;DATE($B$3,10,10),'Leave log'!$F$7:$F$306,"Approved")&gt;0,"A",""))="A","A",IF(OR(DATE($B$3,10,10)&gt;EOMONTH(DATE($B$3,10,1),0),NETWORKDAYS.INTL(DATE($B$3,10,10),DATE($B$3,10,10),1,'Non-working days'!$A$6:$A$45)=0),"",IF(COUNTIFS('Leave log'!$A$7:$A$306,Employees!$A$6,'Leave log'!$B$7:$B$306,"&lt;="&amp;DATE($B$3,10,10),'Leave log'!$C$7:$C$306,"&gt;="&amp;DATE($B$3,10,10),'Leave log'!$F$7:$F$306,"Pending")&gt;0,"P",""))))</f>
        <v/>
      </c>
      <c r="L313" s="23" t="str">
        <f>IF(A313="","",IF(IF(OR(DATE($B$3,10,11)&gt;EOMONTH(DATE($B$3,10,1),0),NETWORKDAYS.INTL(DATE($B$3,10,11),DATE($B$3,10,11),1,'Non-working days'!$A$6:$A$45)=0),"",IF(COUNTIFS('Leave log'!$A$7:$A$306,Employees!$A$6,'Leave log'!$B$7:$B$306,"&lt;="&amp;DATE($B$3,10,11),'Leave log'!$C$7:$C$306,"&gt;="&amp;DATE($B$3,10,11),'Leave log'!$F$7:$F$306,"Approved")&gt;0,"A",""))="A","A",IF(OR(DATE($B$3,10,11)&gt;EOMONTH(DATE($B$3,10,1),0),NETWORKDAYS.INTL(DATE($B$3,10,11),DATE($B$3,10,11),1,'Non-working days'!$A$6:$A$45)=0),"",IF(COUNTIFS('Leave log'!$A$7:$A$306,Employees!$A$6,'Leave log'!$B$7:$B$306,"&lt;="&amp;DATE($B$3,10,11),'Leave log'!$C$7:$C$306,"&gt;="&amp;DATE($B$3,10,11),'Leave log'!$F$7:$F$306,"Pending")&gt;0,"P",""))))</f>
        <v/>
      </c>
      <c r="M313" s="23" t="str">
        <f>IF(A313="","",IF(IF(OR(DATE($B$3,10,12)&gt;EOMONTH(DATE($B$3,10,1),0),NETWORKDAYS.INTL(DATE($B$3,10,12),DATE($B$3,10,12),1,'Non-working days'!$A$6:$A$45)=0),"",IF(COUNTIFS('Leave log'!$A$7:$A$306,Employees!$A$6,'Leave log'!$B$7:$B$306,"&lt;="&amp;DATE($B$3,10,12),'Leave log'!$C$7:$C$306,"&gt;="&amp;DATE($B$3,10,12),'Leave log'!$F$7:$F$306,"Approved")&gt;0,"A",""))="A","A",IF(OR(DATE($B$3,10,12)&gt;EOMONTH(DATE($B$3,10,1),0),NETWORKDAYS.INTL(DATE($B$3,10,12),DATE($B$3,10,12),1,'Non-working days'!$A$6:$A$45)=0),"",IF(COUNTIFS('Leave log'!$A$7:$A$306,Employees!$A$6,'Leave log'!$B$7:$B$306,"&lt;="&amp;DATE($B$3,10,12),'Leave log'!$C$7:$C$306,"&gt;="&amp;DATE($B$3,10,12),'Leave log'!$F$7:$F$306,"Pending")&gt;0,"P",""))))</f>
        <v/>
      </c>
      <c r="N313" s="23" t="str">
        <f>IF(A313="","",IF(IF(OR(DATE($B$3,10,13)&gt;EOMONTH(DATE($B$3,10,1),0),NETWORKDAYS.INTL(DATE($B$3,10,13),DATE($B$3,10,13),1,'Non-working days'!$A$6:$A$45)=0),"",IF(COUNTIFS('Leave log'!$A$7:$A$306,Employees!$A$6,'Leave log'!$B$7:$B$306,"&lt;="&amp;DATE($B$3,10,13),'Leave log'!$C$7:$C$306,"&gt;="&amp;DATE($B$3,10,13),'Leave log'!$F$7:$F$306,"Approved")&gt;0,"A",""))="A","A",IF(OR(DATE($B$3,10,13)&gt;EOMONTH(DATE($B$3,10,1),0),NETWORKDAYS.INTL(DATE($B$3,10,13),DATE($B$3,10,13),1,'Non-working days'!$A$6:$A$45)=0),"",IF(COUNTIFS('Leave log'!$A$7:$A$306,Employees!$A$6,'Leave log'!$B$7:$B$306,"&lt;="&amp;DATE($B$3,10,13),'Leave log'!$C$7:$C$306,"&gt;="&amp;DATE($B$3,10,13),'Leave log'!$F$7:$F$306,"Pending")&gt;0,"P",""))))</f>
        <v/>
      </c>
      <c r="O313" s="23" t="str">
        <f>IF(A313="","",IF(IF(OR(DATE($B$3,10,14)&gt;EOMONTH(DATE($B$3,10,1),0),NETWORKDAYS.INTL(DATE($B$3,10,14),DATE($B$3,10,14),1,'Non-working days'!$A$6:$A$45)=0),"",IF(COUNTIFS('Leave log'!$A$7:$A$306,Employees!$A$6,'Leave log'!$B$7:$B$306,"&lt;="&amp;DATE($B$3,10,14),'Leave log'!$C$7:$C$306,"&gt;="&amp;DATE($B$3,10,14),'Leave log'!$F$7:$F$306,"Approved")&gt;0,"A",""))="A","A",IF(OR(DATE($B$3,10,14)&gt;EOMONTH(DATE($B$3,10,1),0),NETWORKDAYS.INTL(DATE($B$3,10,14),DATE($B$3,10,14),1,'Non-working days'!$A$6:$A$45)=0),"",IF(COUNTIFS('Leave log'!$A$7:$A$306,Employees!$A$6,'Leave log'!$B$7:$B$306,"&lt;="&amp;DATE($B$3,10,14),'Leave log'!$C$7:$C$306,"&gt;="&amp;DATE($B$3,10,14),'Leave log'!$F$7:$F$306,"Pending")&gt;0,"P",""))))</f>
        <v/>
      </c>
      <c r="P313" s="23" t="str">
        <f>IF(A313="","",IF(IF(OR(DATE($B$3,10,15)&gt;EOMONTH(DATE($B$3,10,1),0),NETWORKDAYS.INTL(DATE($B$3,10,15),DATE($B$3,10,15),1,'Non-working days'!$A$6:$A$45)=0),"",IF(COUNTIFS('Leave log'!$A$7:$A$306,Employees!$A$6,'Leave log'!$B$7:$B$306,"&lt;="&amp;DATE($B$3,10,15),'Leave log'!$C$7:$C$306,"&gt;="&amp;DATE($B$3,10,15),'Leave log'!$F$7:$F$306,"Approved")&gt;0,"A",""))="A","A",IF(OR(DATE($B$3,10,15)&gt;EOMONTH(DATE($B$3,10,1),0),NETWORKDAYS.INTL(DATE($B$3,10,15),DATE($B$3,10,15),1,'Non-working days'!$A$6:$A$45)=0),"",IF(COUNTIFS('Leave log'!$A$7:$A$306,Employees!$A$6,'Leave log'!$B$7:$B$306,"&lt;="&amp;DATE($B$3,10,15),'Leave log'!$C$7:$C$306,"&gt;="&amp;DATE($B$3,10,15),'Leave log'!$F$7:$F$306,"Pending")&gt;0,"P",""))))</f>
        <v/>
      </c>
      <c r="Q313" s="23" t="str">
        <f>IF(A313="","",IF(IF(OR(DATE($B$3,10,16)&gt;EOMONTH(DATE($B$3,10,1),0),NETWORKDAYS.INTL(DATE($B$3,10,16),DATE($B$3,10,16),1,'Non-working days'!$A$6:$A$45)=0),"",IF(COUNTIFS('Leave log'!$A$7:$A$306,Employees!$A$6,'Leave log'!$B$7:$B$306,"&lt;="&amp;DATE($B$3,10,16),'Leave log'!$C$7:$C$306,"&gt;="&amp;DATE($B$3,10,16),'Leave log'!$F$7:$F$306,"Approved")&gt;0,"A",""))="A","A",IF(OR(DATE($B$3,10,16)&gt;EOMONTH(DATE($B$3,10,1),0),NETWORKDAYS.INTL(DATE($B$3,10,16),DATE($B$3,10,16),1,'Non-working days'!$A$6:$A$45)=0),"",IF(COUNTIFS('Leave log'!$A$7:$A$306,Employees!$A$6,'Leave log'!$B$7:$B$306,"&lt;="&amp;DATE($B$3,10,16),'Leave log'!$C$7:$C$306,"&gt;="&amp;DATE($B$3,10,16),'Leave log'!$F$7:$F$306,"Pending")&gt;0,"P",""))))</f>
        <v/>
      </c>
      <c r="R313" s="23" t="str">
        <f>IF(A313="","",IF(IF(OR(DATE($B$3,10,17)&gt;EOMONTH(DATE($B$3,10,1),0),NETWORKDAYS.INTL(DATE($B$3,10,17),DATE($B$3,10,17),1,'Non-working days'!$A$6:$A$45)=0),"",IF(COUNTIFS('Leave log'!$A$7:$A$306,Employees!$A$6,'Leave log'!$B$7:$B$306,"&lt;="&amp;DATE($B$3,10,17),'Leave log'!$C$7:$C$306,"&gt;="&amp;DATE($B$3,10,17),'Leave log'!$F$7:$F$306,"Approved")&gt;0,"A",""))="A","A",IF(OR(DATE($B$3,10,17)&gt;EOMONTH(DATE($B$3,10,1),0),NETWORKDAYS.INTL(DATE($B$3,10,17),DATE($B$3,10,17),1,'Non-working days'!$A$6:$A$45)=0),"",IF(COUNTIFS('Leave log'!$A$7:$A$306,Employees!$A$6,'Leave log'!$B$7:$B$306,"&lt;="&amp;DATE($B$3,10,17),'Leave log'!$C$7:$C$306,"&gt;="&amp;DATE($B$3,10,17),'Leave log'!$F$7:$F$306,"Pending")&gt;0,"P",""))))</f>
        <v/>
      </c>
      <c r="S313" s="23" t="str">
        <f>IF(A313="","",IF(IF(OR(DATE($B$3,10,18)&gt;EOMONTH(DATE($B$3,10,1),0),NETWORKDAYS.INTL(DATE($B$3,10,18),DATE($B$3,10,18),1,'Non-working days'!$A$6:$A$45)=0),"",IF(COUNTIFS('Leave log'!$A$7:$A$306,Employees!$A$6,'Leave log'!$B$7:$B$306,"&lt;="&amp;DATE($B$3,10,18),'Leave log'!$C$7:$C$306,"&gt;="&amp;DATE($B$3,10,18),'Leave log'!$F$7:$F$306,"Approved")&gt;0,"A",""))="A","A",IF(OR(DATE($B$3,10,18)&gt;EOMONTH(DATE($B$3,10,1),0),NETWORKDAYS.INTL(DATE($B$3,10,18),DATE($B$3,10,18),1,'Non-working days'!$A$6:$A$45)=0),"",IF(COUNTIFS('Leave log'!$A$7:$A$306,Employees!$A$6,'Leave log'!$B$7:$B$306,"&lt;="&amp;DATE($B$3,10,18),'Leave log'!$C$7:$C$306,"&gt;="&amp;DATE($B$3,10,18),'Leave log'!$F$7:$F$306,"Pending")&gt;0,"P",""))))</f>
        <v/>
      </c>
      <c r="T313" s="23" t="str">
        <f>IF(A313="","",IF(IF(OR(DATE($B$3,10,19)&gt;EOMONTH(DATE($B$3,10,1),0),NETWORKDAYS.INTL(DATE($B$3,10,19),DATE($B$3,10,19),1,'Non-working days'!$A$6:$A$45)=0),"",IF(COUNTIFS('Leave log'!$A$7:$A$306,Employees!$A$6,'Leave log'!$B$7:$B$306,"&lt;="&amp;DATE($B$3,10,19),'Leave log'!$C$7:$C$306,"&gt;="&amp;DATE($B$3,10,19),'Leave log'!$F$7:$F$306,"Approved")&gt;0,"A",""))="A","A",IF(OR(DATE($B$3,10,19)&gt;EOMONTH(DATE($B$3,10,1),0),NETWORKDAYS.INTL(DATE($B$3,10,19),DATE($B$3,10,19),1,'Non-working days'!$A$6:$A$45)=0),"",IF(COUNTIFS('Leave log'!$A$7:$A$306,Employees!$A$6,'Leave log'!$B$7:$B$306,"&lt;="&amp;DATE($B$3,10,19),'Leave log'!$C$7:$C$306,"&gt;="&amp;DATE($B$3,10,19),'Leave log'!$F$7:$F$306,"Pending")&gt;0,"P",""))))</f>
        <v/>
      </c>
      <c r="U313" s="23" t="str">
        <f>IF(A313="","",IF(IF(OR(DATE($B$3,10,20)&gt;EOMONTH(DATE($B$3,10,1),0),NETWORKDAYS.INTL(DATE($B$3,10,20),DATE($B$3,10,20),1,'Non-working days'!$A$6:$A$45)=0),"",IF(COUNTIFS('Leave log'!$A$7:$A$306,Employees!$A$6,'Leave log'!$B$7:$B$306,"&lt;="&amp;DATE($B$3,10,20),'Leave log'!$C$7:$C$306,"&gt;="&amp;DATE($B$3,10,20),'Leave log'!$F$7:$F$306,"Approved")&gt;0,"A",""))="A","A",IF(OR(DATE($B$3,10,20)&gt;EOMONTH(DATE($B$3,10,1),0),NETWORKDAYS.INTL(DATE($B$3,10,20),DATE($B$3,10,20),1,'Non-working days'!$A$6:$A$45)=0),"",IF(COUNTIFS('Leave log'!$A$7:$A$306,Employees!$A$6,'Leave log'!$B$7:$B$306,"&lt;="&amp;DATE($B$3,10,20),'Leave log'!$C$7:$C$306,"&gt;="&amp;DATE($B$3,10,20),'Leave log'!$F$7:$F$306,"Pending")&gt;0,"P",""))))</f>
        <v/>
      </c>
      <c r="V313" s="23" t="str">
        <f>IF(A313="","",IF(IF(OR(DATE($B$3,10,21)&gt;EOMONTH(DATE($B$3,10,1),0),NETWORKDAYS.INTL(DATE($B$3,10,21),DATE($B$3,10,21),1,'Non-working days'!$A$6:$A$45)=0),"",IF(COUNTIFS('Leave log'!$A$7:$A$306,Employees!$A$6,'Leave log'!$B$7:$B$306,"&lt;="&amp;DATE($B$3,10,21),'Leave log'!$C$7:$C$306,"&gt;="&amp;DATE($B$3,10,21),'Leave log'!$F$7:$F$306,"Approved")&gt;0,"A",""))="A","A",IF(OR(DATE($B$3,10,21)&gt;EOMONTH(DATE($B$3,10,1),0),NETWORKDAYS.INTL(DATE($B$3,10,21),DATE($B$3,10,21),1,'Non-working days'!$A$6:$A$45)=0),"",IF(COUNTIFS('Leave log'!$A$7:$A$306,Employees!$A$6,'Leave log'!$B$7:$B$306,"&lt;="&amp;DATE($B$3,10,21),'Leave log'!$C$7:$C$306,"&gt;="&amp;DATE($B$3,10,21),'Leave log'!$F$7:$F$306,"Pending")&gt;0,"P",""))))</f>
        <v/>
      </c>
      <c r="W313" s="23" t="str">
        <f>IF(A313="","",IF(IF(OR(DATE($B$3,10,22)&gt;EOMONTH(DATE($B$3,10,1),0),NETWORKDAYS.INTL(DATE($B$3,10,22),DATE($B$3,10,22),1,'Non-working days'!$A$6:$A$45)=0),"",IF(COUNTIFS('Leave log'!$A$7:$A$306,Employees!$A$6,'Leave log'!$B$7:$B$306,"&lt;="&amp;DATE($B$3,10,22),'Leave log'!$C$7:$C$306,"&gt;="&amp;DATE($B$3,10,22),'Leave log'!$F$7:$F$306,"Approved")&gt;0,"A",""))="A","A",IF(OR(DATE($B$3,10,22)&gt;EOMONTH(DATE($B$3,10,1),0),NETWORKDAYS.INTL(DATE($B$3,10,22),DATE($B$3,10,22),1,'Non-working days'!$A$6:$A$45)=0),"",IF(COUNTIFS('Leave log'!$A$7:$A$306,Employees!$A$6,'Leave log'!$B$7:$B$306,"&lt;="&amp;DATE($B$3,10,22),'Leave log'!$C$7:$C$306,"&gt;="&amp;DATE($B$3,10,22),'Leave log'!$F$7:$F$306,"Pending")&gt;0,"P",""))))</f>
        <v/>
      </c>
      <c r="X313" s="23" t="str">
        <f>IF(A313="","",IF(IF(OR(DATE($B$3,10,23)&gt;EOMONTH(DATE($B$3,10,1),0),NETWORKDAYS.INTL(DATE($B$3,10,23),DATE($B$3,10,23),1,'Non-working days'!$A$6:$A$45)=0),"",IF(COUNTIFS('Leave log'!$A$7:$A$306,Employees!$A$6,'Leave log'!$B$7:$B$306,"&lt;="&amp;DATE($B$3,10,23),'Leave log'!$C$7:$C$306,"&gt;="&amp;DATE($B$3,10,23),'Leave log'!$F$7:$F$306,"Approved")&gt;0,"A",""))="A","A",IF(OR(DATE($B$3,10,23)&gt;EOMONTH(DATE($B$3,10,1),0),NETWORKDAYS.INTL(DATE($B$3,10,23),DATE($B$3,10,23),1,'Non-working days'!$A$6:$A$45)=0),"",IF(COUNTIFS('Leave log'!$A$7:$A$306,Employees!$A$6,'Leave log'!$B$7:$B$306,"&lt;="&amp;DATE($B$3,10,23),'Leave log'!$C$7:$C$306,"&gt;="&amp;DATE($B$3,10,23),'Leave log'!$F$7:$F$306,"Pending")&gt;0,"P",""))))</f>
        <v/>
      </c>
      <c r="Y313" s="23" t="str">
        <f>IF(A313="","",IF(IF(OR(DATE($B$3,10,24)&gt;EOMONTH(DATE($B$3,10,1),0),NETWORKDAYS.INTL(DATE($B$3,10,24),DATE($B$3,10,24),1,'Non-working days'!$A$6:$A$45)=0),"",IF(COUNTIFS('Leave log'!$A$7:$A$306,Employees!$A$6,'Leave log'!$B$7:$B$306,"&lt;="&amp;DATE($B$3,10,24),'Leave log'!$C$7:$C$306,"&gt;="&amp;DATE($B$3,10,24),'Leave log'!$F$7:$F$306,"Approved")&gt;0,"A",""))="A","A",IF(OR(DATE($B$3,10,24)&gt;EOMONTH(DATE($B$3,10,1),0),NETWORKDAYS.INTL(DATE($B$3,10,24),DATE($B$3,10,24),1,'Non-working days'!$A$6:$A$45)=0),"",IF(COUNTIFS('Leave log'!$A$7:$A$306,Employees!$A$6,'Leave log'!$B$7:$B$306,"&lt;="&amp;DATE($B$3,10,24),'Leave log'!$C$7:$C$306,"&gt;="&amp;DATE($B$3,10,24),'Leave log'!$F$7:$F$306,"Pending")&gt;0,"P",""))))</f>
        <v/>
      </c>
      <c r="Z313" s="23" t="str">
        <f>IF(A313="","",IF(IF(OR(DATE($B$3,10,25)&gt;EOMONTH(DATE($B$3,10,1),0),NETWORKDAYS.INTL(DATE($B$3,10,25),DATE($B$3,10,25),1,'Non-working days'!$A$6:$A$45)=0),"",IF(COUNTIFS('Leave log'!$A$7:$A$306,Employees!$A$6,'Leave log'!$B$7:$B$306,"&lt;="&amp;DATE($B$3,10,25),'Leave log'!$C$7:$C$306,"&gt;="&amp;DATE($B$3,10,25),'Leave log'!$F$7:$F$306,"Approved")&gt;0,"A",""))="A","A",IF(OR(DATE($B$3,10,25)&gt;EOMONTH(DATE($B$3,10,1),0),NETWORKDAYS.INTL(DATE($B$3,10,25),DATE($B$3,10,25),1,'Non-working days'!$A$6:$A$45)=0),"",IF(COUNTIFS('Leave log'!$A$7:$A$306,Employees!$A$6,'Leave log'!$B$7:$B$306,"&lt;="&amp;DATE($B$3,10,25),'Leave log'!$C$7:$C$306,"&gt;="&amp;DATE($B$3,10,25),'Leave log'!$F$7:$F$306,"Pending")&gt;0,"P",""))))</f>
        <v/>
      </c>
      <c r="AA313" s="23" t="str">
        <f>IF(A313="","",IF(IF(OR(DATE($B$3,10,26)&gt;EOMONTH(DATE($B$3,10,1),0),NETWORKDAYS.INTL(DATE($B$3,10,26),DATE($B$3,10,26),1,'Non-working days'!$A$6:$A$45)=0),"",IF(COUNTIFS('Leave log'!$A$7:$A$306,Employees!$A$6,'Leave log'!$B$7:$B$306,"&lt;="&amp;DATE($B$3,10,26),'Leave log'!$C$7:$C$306,"&gt;="&amp;DATE($B$3,10,26),'Leave log'!$F$7:$F$306,"Approved")&gt;0,"A",""))="A","A",IF(OR(DATE($B$3,10,26)&gt;EOMONTH(DATE($B$3,10,1),0),NETWORKDAYS.INTL(DATE($B$3,10,26),DATE($B$3,10,26),1,'Non-working days'!$A$6:$A$45)=0),"",IF(COUNTIFS('Leave log'!$A$7:$A$306,Employees!$A$6,'Leave log'!$B$7:$B$306,"&lt;="&amp;DATE($B$3,10,26),'Leave log'!$C$7:$C$306,"&gt;="&amp;DATE($B$3,10,26),'Leave log'!$F$7:$F$306,"Pending")&gt;0,"P",""))))</f>
        <v/>
      </c>
      <c r="AB313" s="23" t="str">
        <f>IF(A313="","",IF(IF(OR(DATE($B$3,10,27)&gt;EOMONTH(DATE($B$3,10,1),0),NETWORKDAYS.INTL(DATE($B$3,10,27),DATE($B$3,10,27),1,'Non-working days'!$A$6:$A$45)=0),"",IF(COUNTIFS('Leave log'!$A$7:$A$306,Employees!$A$6,'Leave log'!$B$7:$B$306,"&lt;="&amp;DATE($B$3,10,27),'Leave log'!$C$7:$C$306,"&gt;="&amp;DATE($B$3,10,27),'Leave log'!$F$7:$F$306,"Approved")&gt;0,"A",""))="A","A",IF(OR(DATE($B$3,10,27)&gt;EOMONTH(DATE($B$3,10,1),0),NETWORKDAYS.INTL(DATE($B$3,10,27),DATE($B$3,10,27),1,'Non-working days'!$A$6:$A$45)=0),"",IF(COUNTIFS('Leave log'!$A$7:$A$306,Employees!$A$6,'Leave log'!$B$7:$B$306,"&lt;="&amp;DATE($B$3,10,27),'Leave log'!$C$7:$C$306,"&gt;="&amp;DATE($B$3,10,27),'Leave log'!$F$7:$F$306,"Pending")&gt;0,"P",""))))</f>
        <v/>
      </c>
      <c r="AC313" s="23" t="str">
        <f>IF(A313="","",IF(IF(OR(DATE($B$3,10,28)&gt;EOMONTH(DATE($B$3,10,1),0),NETWORKDAYS.INTL(DATE($B$3,10,28),DATE($B$3,10,28),1,'Non-working days'!$A$6:$A$45)=0),"",IF(COUNTIFS('Leave log'!$A$7:$A$306,Employees!$A$6,'Leave log'!$B$7:$B$306,"&lt;="&amp;DATE($B$3,10,28),'Leave log'!$C$7:$C$306,"&gt;="&amp;DATE($B$3,10,28),'Leave log'!$F$7:$F$306,"Approved")&gt;0,"A",""))="A","A",IF(OR(DATE($B$3,10,28)&gt;EOMONTH(DATE($B$3,10,1),0),NETWORKDAYS.INTL(DATE($B$3,10,28),DATE($B$3,10,28),1,'Non-working days'!$A$6:$A$45)=0),"",IF(COUNTIFS('Leave log'!$A$7:$A$306,Employees!$A$6,'Leave log'!$B$7:$B$306,"&lt;="&amp;DATE($B$3,10,28),'Leave log'!$C$7:$C$306,"&gt;="&amp;DATE($B$3,10,28),'Leave log'!$F$7:$F$306,"Pending")&gt;0,"P",""))))</f>
        <v/>
      </c>
      <c r="AD313" s="23" t="str">
        <f>IF(A313="","",IF(IF(OR(DATE($B$3,10,29)&gt;EOMONTH(DATE($B$3,10,1),0),NETWORKDAYS.INTL(DATE($B$3,10,29),DATE($B$3,10,29),1,'Non-working days'!$A$6:$A$45)=0),"",IF(COUNTIFS('Leave log'!$A$7:$A$306,Employees!$A$6,'Leave log'!$B$7:$B$306,"&lt;="&amp;DATE($B$3,10,29),'Leave log'!$C$7:$C$306,"&gt;="&amp;DATE($B$3,10,29),'Leave log'!$F$7:$F$306,"Approved")&gt;0,"A",""))="A","A",IF(OR(DATE($B$3,10,29)&gt;EOMONTH(DATE($B$3,10,1),0),NETWORKDAYS.INTL(DATE($B$3,10,29),DATE($B$3,10,29),1,'Non-working days'!$A$6:$A$45)=0),"",IF(COUNTIFS('Leave log'!$A$7:$A$306,Employees!$A$6,'Leave log'!$B$7:$B$306,"&lt;="&amp;DATE($B$3,10,29),'Leave log'!$C$7:$C$306,"&gt;="&amp;DATE($B$3,10,29),'Leave log'!$F$7:$F$306,"Pending")&gt;0,"P",""))))</f>
        <v/>
      </c>
      <c r="AE313" s="23" t="str">
        <f>IF(A313="","",IF(IF(OR(DATE($B$3,10,30)&gt;EOMONTH(DATE($B$3,10,1),0),NETWORKDAYS.INTL(DATE($B$3,10,30),DATE($B$3,10,30),1,'Non-working days'!$A$6:$A$45)=0),"",IF(COUNTIFS('Leave log'!$A$7:$A$306,Employees!$A$6,'Leave log'!$B$7:$B$306,"&lt;="&amp;DATE($B$3,10,30),'Leave log'!$C$7:$C$306,"&gt;="&amp;DATE($B$3,10,30),'Leave log'!$F$7:$F$306,"Approved")&gt;0,"A",""))="A","A",IF(OR(DATE($B$3,10,30)&gt;EOMONTH(DATE($B$3,10,1),0),NETWORKDAYS.INTL(DATE($B$3,10,30),DATE($B$3,10,30),1,'Non-working days'!$A$6:$A$45)=0),"",IF(COUNTIFS('Leave log'!$A$7:$A$306,Employees!$A$6,'Leave log'!$B$7:$B$306,"&lt;="&amp;DATE($B$3,10,30),'Leave log'!$C$7:$C$306,"&gt;="&amp;DATE($B$3,10,30),'Leave log'!$F$7:$F$306,"Pending")&gt;0,"P",""))))</f>
        <v/>
      </c>
      <c r="AF313" s="23" t="str">
        <f>IF(A313="","",IF(IF(OR(DATE($B$3,10,31)&gt;EOMONTH(DATE($B$3,10,1),0),NETWORKDAYS.INTL(DATE($B$3,10,31),DATE($B$3,10,31),1,'Non-working days'!$A$6:$A$45)=0),"",IF(COUNTIFS('Leave log'!$A$7:$A$306,Employees!$A$6,'Leave log'!$B$7:$B$306,"&lt;="&amp;DATE($B$3,10,31),'Leave log'!$C$7:$C$306,"&gt;="&amp;DATE($B$3,10,31),'Leave log'!$F$7:$F$306,"Approved")&gt;0,"A",""))="A","A",IF(OR(DATE($B$3,10,31)&gt;EOMONTH(DATE($B$3,10,1),0),NETWORKDAYS.INTL(DATE($B$3,10,31),DATE($B$3,10,31),1,'Non-working days'!$A$6:$A$45)=0),"",IF(COUNTIFS('Leave log'!$A$7:$A$306,Employees!$A$6,'Leave log'!$B$7:$B$306,"&lt;="&amp;DATE($B$3,10,31),'Leave log'!$C$7:$C$306,"&gt;="&amp;DATE($B$3,10,31),'Leave log'!$F$7:$F$306,"Pending")&gt;0,"P",""))))</f>
        <v/>
      </c>
    </row>
    <row r="314" spans="1:32" ht="18" customHeight="1" x14ac:dyDescent="0.3">
      <c r="A314" s="22" t="str">
        <f>IF(Employees!F7="Yes",Employees!B7,"")</f>
        <v/>
      </c>
      <c r="B314" s="23" t="str">
        <f>IF(A314="","",IF(IF(OR(DATE($B$3,10,1)&gt;EOMONTH(DATE($B$3,10,1),0),NETWORKDAYS.INTL(DATE($B$3,10,1),DATE($B$3,10,1),1,'Non-working days'!$A$6:$A$45)=0),"",IF(COUNTIFS('Leave log'!$A$7:$A$306,Employees!$A$7,'Leave log'!$B$7:$B$306,"&lt;="&amp;DATE($B$3,10,1),'Leave log'!$C$7:$C$306,"&gt;="&amp;DATE($B$3,10,1),'Leave log'!$F$7:$F$306,"Approved")&gt;0,"A",""))="A","A",IF(OR(DATE($B$3,10,1)&gt;EOMONTH(DATE($B$3,10,1),0),NETWORKDAYS.INTL(DATE($B$3,10,1),DATE($B$3,10,1),1,'Non-working days'!$A$6:$A$45)=0),"",IF(COUNTIFS('Leave log'!$A$7:$A$306,Employees!$A$7,'Leave log'!$B$7:$B$306,"&lt;="&amp;DATE($B$3,10,1),'Leave log'!$C$7:$C$306,"&gt;="&amp;DATE($B$3,10,1),'Leave log'!$F$7:$F$306,"Pending")&gt;0,"P",""))))</f>
        <v/>
      </c>
      <c r="C314" s="23" t="str">
        <f>IF(A314="","",IF(IF(OR(DATE($B$3,10,2)&gt;EOMONTH(DATE($B$3,10,1),0),NETWORKDAYS.INTL(DATE($B$3,10,2),DATE($B$3,10,2),1,'Non-working days'!$A$6:$A$45)=0),"",IF(COUNTIFS('Leave log'!$A$7:$A$306,Employees!$A$7,'Leave log'!$B$7:$B$306,"&lt;="&amp;DATE($B$3,10,2),'Leave log'!$C$7:$C$306,"&gt;="&amp;DATE($B$3,10,2),'Leave log'!$F$7:$F$306,"Approved")&gt;0,"A",""))="A","A",IF(OR(DATE($B$3,10,2)&gt;EOMONTH(DATE($B$3,10,1),0),NETWORKDAYS.INTL(DATE($B$3,10,2),DATE($B$3,10,2),1,'Non-working days'!$A$6:$A$45)=0),"",IF(COUNTIFS('Leave log'!$A$7:$A$306,Employees!$A$7,'Leave log'!$B$7:$B$306,"&lt;="&amp;DATE($B$3,10,2),'Leave log'!$C$7:$C$306,"&gt;="&amp;DATE($B$3,10,2),'Leave log'!$F$7:$F$306,"Pending")&gt;0,"P",""))))</f>
        <v/>
      </c>
      <c r="D314" s="23" t="str">
        <f>IF(A314="","",IF(IF(OR(DATE($B$3,10,3)&gt;EOMONTH(DATE($B$3,10,1),0),NETWORKDAYS.INTL(DATE($B$3,10,3),DATE($B$3,10,3),1,'Non-working days'!$A$6:$A$45)=0),"",IF(COUNTIFS('Leave log'!$A$7:$A$306,Employees!$A$7,'Leave log'!$B$7:$B$306,"&lt;="&amp;DATE($B$3,10,3),'Leave log'!$C$7:$C$306,"&gt;="&amp;DATE($B$3,10,3),'Leave log'!$F$7:$F$306,"Approved")&gt;0,"A",""))="A","A",IF(OR(DATE($B$3,10,3)&gt;EOMONTH(DATE($B$3,10,1),0),NETWORKDAYS.INTL(DATE($B$3,10,3),DATE($B$3,10,3),1,'Non-working days'!$A$6:$A$45)=0),"",IF(COUNTIFS('Leave log'!$A$7:$A$306,Employees!$A$7,'Leave log'!$B$7:$B$306,"&lt;="&amp;DATE($B$3,10,3),'Leave log'!$C$7:$C$306,"&gt;="&amp;DATE($B$3,10,3),'Leave log'!$F$7:$F$306,"Pending")&gt;0,"P",""))))</f>
        <v/>
      </c>
      <c r="E314" s="23" t="str">
        <f>IF(A314="","",IF(IF(OR(DATE($B$3,10,4)&gt;EOMONTH(DATE($B$3,10,1),0),NETWORKDAYS.INTL(DATE($B$3,10,4),DATE($B$3,10,4),1,'Non-working days'!$A$6:$A$45)=0),"",IF(COUNTIFS('Leave log'!$A$7:$A$306,Employees!$A$7,'Leave log'!$B$7:$B$306,"&lt;="&amp;DATE($B$3,10,4),'Leave log'!$C$7:$C$306,"&gt;="&amp;DATE($B$3,10,4),'Leave log'!$F$7:$F$306,"Approved")&gt;0,"A",""))="A","A",IF(OR(DATE($B$3,10,4)&gt;EOMONTH(DATE($B$3,10,1),0),NETWORKDAYS.INTL(DATE($B$3,10,4),DATE($B$3,10,4),1,'Non-working days'!$A$6:$A$45)=0),"",IF(COUNTIFS('Leave log'!$A$7:$A$306,Employees!$A$7,'Leave log'!$B$7:$B$306,"&lt;="&amp;DATE($B$3,10,4),'Leave log'!$C$7:$C$306,"&gt;="&amp;DATE($B$3,10,4),'Leave log'!$F$7:$F$306,"Pending")&gt;0,"P",""))))</f>
        <v/>
      </c>
      <c r="F314" s="23" t="str">
        <f>IF(A314="","",IF(IF(OR(DATE($B$3,10,5)&gt;EOMONTH(DATE($B$3,10,1),0),NETWORKDAYS.INTL(DATE($B$3,10,5),DATE($B$3,10,5),1,'Non-working days'!$A$6:$A$45)=0),"",IF(COUNTIFS('Leave log'!$A$7:$A$306,Employees!$A$7,'Leave log'!$B$7:$B$306,"&lt;="&amp;DATE($B$3,10,5),'Leave log'!$C$7:$C$306,"&gt;="&amp;DATE($B$3,10,5),'Leave log'!$F$7:$F$306,"Approved")&gt;0,"A",""))="A","A",IF(OR(DATE($B$3,10,5)&gt;EOMONTH(DATE($B$3,10,1),0),NETWORKDAYS.INTL(DATE($B$3,10,5),DATE($B$3,10,5),1,'Non-working days'!$A$6:$A$45)=0),"",IF(COUNTIFS('Leave log'!$A$7:$A$306,Employees!$A$7,'Leave log'!$B$7:$B$306,"&lt;="&amp;DATE($B$3,10,5),'Leave log'!$C$7:$C$306,"&gt;="&amp;DATE($B$3,10,5),'Leave log'!$F$7:$F$306,"Pending")&gt;0,"P",""))))</f>
        <v/>
      </c>
      <c r="G314" s="23" t="str">
        <f>IF(A314="","",IF(IF(OR(DATE($B$3,10,6)&gt;EOMONTH(DATE($B$3,10,1),0),NETWORKDAYS.INTL(DATE($B$3,10,6),DATE($B$3,10,6),1,'Non-working days'!$A$6:$A$45)=0),"",IF(COUNTIFS('Leave log'!$A$7:$A$306,Employees!$A$7,'Leave log'!$B$7:$B$306,"&lt;="&amp;DATE($B$3,10,6),'Leave log'!$C$7:$C$306,"&gt;="&amp;DATE($B$3,10,6),'Leave log'!$F$7:$F$306,"Approved")&gt;0,"A",""))="A","A",IF(OR(DATE($B$3,10,6)&gt;EOMONTH(DATE($B$3,10,1),0),NETWORKDAYS.INTL(DATE($B$3,10,6),DATE($B$3,10,6),1,'Non-working days'!$A$6:$A$45)=0),"",IF(COUNTIFS('Leave log'!$A$7:$A$306,Employees!$A$7,'Leave log'!$B$7:$B$306,"&lt;="&amp;DATE($B$3,10,6),'Leave log'!$C$7:$C$306,"&gt;="&amp;DATE($B$3,10,6),'Leave log'!$F$7:$F$306,"Pending")&gt;0,"P",""))))</f>
        <v/>
      </c>
      <c r="H314" s="23" t="str">
        <f>IF(A314="","",IF(IF(OR(DATE($B$3,10,7)&gt;EOMONTH(DATE($B$3,10,1),0),NETWORKDAYS.INTL(DATE($B$3,10,7),DATE($B$3,10,7),1,'Non-working days'!$A$6:$A$45)=0),"",IF(COUNTIFS('Leave log'!$A$7:$A$306,Employees!$A$7,'Leave log'!$B$7:$B$306,"&lt;="&amp;DATE($B$3,10,7),'Leave log'!$C$7:$C$306,"&gt;="&amp;DATE($B$3,10,7),'Leave log'!$F$7:$F$306,"Approved")&gt;0,"A",""))="A","A",IF(OR(DATE($B$3,10,7)&gt;EOMONTH(DATE($B$3,10,1),0),NETWORKDAYS.INTL(DATE($B$3,10,7),DATE($B$3,10,7),1,'Non-working days'!$A$6:$A$45)=0),"",IF(COUNTIFS('Leave log'!$A$7:$A$306,Employees!$A$7,'Leave log'!$B$7:$B$306,"&lt;="&amp;DATE($B$3,10,7),'Leave log'!$C$7:$C$306,"&gt;="&amp;DATE($B$3,10,7),'Leave log'!$F$7:$F$306,"Pending")&gt;0,"P",""))))</f>
        <v/>
      </c>
      <c r="I314" s="23" t="str">
        <f>IF(A314="","",IF(IF(OR(DATE($B$3,10,8)&gt;EOMONTH(DATE($B$3,10,1),0),NETWORKDAYS.INTL(DATE($B$3,10,8),DATE($B$3,10,8),1,'Non-working days'!$A$6:$A$45)=0),"",IF(COUNTIFS('Leave log'!$A$7:$A$306,Employees!$A$7,'Leave log'!$B$7:$B$306,"&lt;="&amp;DATE($B$3,10,8),'Leave log'!$C$7:$C$306,"&gt;="&amp;DATE($B$3,10,8),'Leave log'!$F$7:$F$306,"Approved")&gt;0,"A",""))="A","A",IF(OR(DATE($B$3,10,8)&gt;EOMONTH(DATE($B$3,10,1),0),NETWORKDAYS.INTL(DATE($B$3,10,8),DATE($B$3,10,8),1,'Non-working days'!$A$6:$A$45)=0),"",IF(COUNTIFS('Leave log'!$A$7:$A$306,Employees!$A$7,'Leave log'!$B$7:$B$306,"&lt;="&amp;DATE($B$3,10,8),'Leave log'!$C$7:$C$306,"&gt;="&amp;DATE($B$3,10,8),'Leave log'!$F$7:$F$306,"Pending")&gt;0,"P",""))))</f>
        <v/>
      </c>
      <c r="J314" s="23" t="str">
        <f>IF(A314="","",IF(IF(OR(DATE($B$3,10,9)&gt;EOMONTH(DATE($B$3,10,1),0),NETWORKDAYS.INTL(DATE($B$3,10,9),DATE($B$3,10,9),1,'Non-working days'!$A$6:$A$45)=0),"",IF(COUNTIFS('Leave log'!$A$7:$A$306,Employees!$A$7,'Leave log'!$B$7:$B$306,"&lt;="&amp;DATE($B$3,10,9),'Leave log'!$C$7:$C$306,"&gt;="&amp;DATE($B$3,10,9),'Leave log'!$F$7:$F$306,"Approved")&gt;0,"A",""))="A","A",IF(OR(DATE($B$3,10,9)&gt;EOMONTH(DATE($B$3,10,1),0),NETWORKDAYS.INTL(DATE($B$3,10,9),DATE($B$3,10,9),1,'Non-working days'!$A$6:$A$45)=0),"",IF(COUNTIFS('Leave log'!$A$7:$A$306,Employees!$A$7,'Leave log'!$B$7:$B$306,"&lt;="&amp;DATE($B$3,10,9),'Leave log'!$C$7:$C$306,"&gt;="&amp;DATE($B$3,10,9),'Leave log'!$F$7:$F$306,"Pending")&gt;0,"P",""))))</f>
        <v/>
      </c>
      <c r="K314" s="23" t="str">
        <f>IF(A314="","",IF(IF(OR(DATE($B$3,10,10)&gt;EOMONTH(DATE($B$3,10,1),0),NETWORKDAYS.INTL(DATE($B$3,10,10),DATE($B$3,10,10),1,'Non-working days'!$A$6:$A$45)=0),"",IF(COUNTIFS('Leave log'!$A$7:$A$306,Employees!$A$7,'Leave log'!$B$7:$B$306,"&lt;="&amp;DATE($B$3,10,10),'Leave log'!$C$7:$C$306,"&gt;="&amp;DATE($B$3,10,10),'Leave log'!$F$7:$F$306,"Approved")&gt;0,"A",""))="A","A",IF(OR(DATE($B$3,10,10)&gt;EOMONTH(DATE($B$3,10,1),0),NETWORKDAYS.INTL(DATE($B$3,10,10),DATE($B$3,10,10),1,'Non-working days'!$A$6:$A$45)=0),"",IF(COUNTIFS('Leave log'!$A$7:$A$306,Employees!$A$7,'Leave log'!$B$7:$B$306,"&lt;="&amp;DATE($B$3,10,10),'Leave log'!$C$7:$C$306,"&gt;="&amp;DATE($B$3,10,10),'Leave log'!$F$7:$F$306,"Pending")&gt;0,"P",""))))</f>
        <v/>
      </c>
      <c r="L314" s="23" t="str">
        <f>IF(A314="","",IF(IF(OR(DATE($B$3,10,11)&gt;EOMONTH(DATE($B$3,10,1),0),NETWORKDAYS.INTL(DATE($B$3,10,11),DATE($B$3,10,11),1,'Non-working days'!$A$6:$A$45)=0),"",IF(COUNTIFS('Leave log'!$A$7:$A$306,Employees!$A$7,'Leave log'!$B$7:$B$306,"&lt;="&amp;DATE($B$3,10,11),'Leave log'!$C$7:$C$306,"&gt;="&amp;DATE($B$3,10,11),'Leave log'!$F$7:$F$306,"Approved")&gt;0,"A",""))="A","A",IF(OR(DATE($B$3,10,11)&gt;EOMONTH(DATE($B$3,10,1),0),NETWORKDAYS.INTL(DATE($B$3,10,11),DATE($B$3,10,11),1,'Non-working days'!$A$6:$A$45)=0),"",IF(COUNTIFS('Leave log'!$A$7:$A$306,Employees!$A$7,'Leave log'!$B$7:$B$306,"&lt;="&amp;DATE($B$3,10,11),'Leave log'!$C$7:$C$306,"&gt;="&amp;DATE($B$3,10,11),'Leave log'!$F$7:$F$306,"Pending")&gt;0,"P",""))))</f>
        <v/>
      </c>
      <c r="M314" s="23" t="str">
        <f>IF(A314="","",IF(IF(OR(DATE($B$3,10,12)&gt;EOMONTH(DATE($B$3,10,1),0),NETWORKDAYS.INTL(DATE($B$3,10,12),DATE($B$3,10,12),1,'Non-working days'!$A$6:$A$45)=0),"",IF(COUNTIFS('Leave log'!$A$7:$A$306,Employees!$A$7,'Leave log'!$B$7:$B$306,"&lt;="&amp;DATE($B$3,10,12),'Leave log'!$C$7:$C$306,"&gt;="&amp;DATE($B$3,10,12),'Leave log'!$F$7:$F$306,"Approved")&gt;0,"A",""))="A","A",IF(OR(DATE($B$3,10,12)&gt;EOMONTH(DATE($B$3,10,1),0),NETWORKDAYS.INTL(DATE($B$3,10,12),DATE($B$3,10,12),1,'Non-working days'!$A$6:$A$45)=0),"",IF(COUNTIFS('Leave log'!$A$7:$A$306,Employees!$A$7,'Leave log'!$B$7:$B$306,"&lt;="&amp;DATE($B$3,10,12),'Leave log'!$C$7:$C$306,"&gt;="&amp;DATE($B$3,10,12),'Leave log'!$F$7:$F$306,"Pending")&gt;0,"P",""))))</f>
        <v/>
      </c>
      <c r="N314" s="23" t="str">
        <f>IF(A314="","",IF(IF(OR(DATE($B$3,10,13)&gt;EOMONTH(DATE($B$3,10,1),0),NETWORKDAYS.INTL(DATE($B$3,10,13),DATE($B$3,10,13),1,'Non-working days'!$A$6:$A$45)=0),"",IF(COUNTIFS('Leave log'!$A$7:$A$306,Employees!$A$7,'Leave log'!$B$7:$B$306,"&lt;="&amp;DATE($B$3,10,13),'Leave log'!$C$7:$C$306,"&gt;="&amp;DATE($B$3,10,13),'Leave log'!$F$7:$F$306,"Approved")&gt;0,"A",""))="A","A",IF(OR(DATE($B$3,10,13)&gt;EOMONTH(DATE($B$3,10,1),0),NETWORKDAYS.INTL(DATE($B$3,10,13),DATE($B$3,10,13),1,'Non-working days'!$A$6:$A$45)=0),"",IF(COUNTIFS('Leave log'!$A$7:$A$306,Employees!$A$7,'Leave log'!$B$7:$B$306,"&lt;="&amp;DATE($B$3,10,13),'Leave log'!$C$7:$C$306,"&gt;="&amp;DATE($B$3,10,13),'Leave log'!$F$7:$F$306,"Pending")&gt;0,"P",""))))</f>
        <v/>
      </c>
      <c r="O314" s="23" t="str">
        <f>IF(A314="","",IF(IF(OR(DATE($B$3,10,14)&gt;EOMONTH(DATE($B$3,10,1),0),NETWORKDAYS.INTL(DATE($B$3,10,14),DATE($B$3,10,14),1,'Non-working days'!$A$6:$A$45)=0),"",IF(COUNTIFS('Leave log'!$A$7:$A$306,Employees!$A$7,'Leave log'!$B$7:$B$306,"&lt;="&amp;DATE($B$3,10,14),'Leave log'!$C$7:$C$306,"&gt;="&amp;DATE($B$3,10,14),'Leave log'!$F$7:$F$306,"Approved")&gt;0,"A",""))="A","A",IF(OR(DATE($B$3,10,14)&gt;EOMONTH(DATE($B$3,10,1),0),NETWORKDAYS.INTL(DATE($B$3,10,14),DATE($B$3,10,14),1,'Non-working days'!$A$6:$A$45)=0),"",IF(COUNTIFS('Leave log'!$A$7:$A$306,Employees!$A$7,'Leave log'!$B$7:$B$306,"&lt;="&amp;DATE($B$3,10,14),'Leave log'!$C$7:$C$306,"&gt;="&amp;DATE($B$3,10,14),'Leave log'!$F$7:$F$306,"Pending")&gt;0,"P",""))))</f>
        <v/>
      </c>
      <c r="P314" s="23" t="str">
        <f>IF(A314="","",IF(IF(OR(DATE($B$3,10,15)&gt;EOMONTH(DATE($B$3,10,1),0),NETWORKDAYS.INTL(DATE($B$3,10,15),DATE($B$3,10,15),1,'Non-working days'!$A$6:$A$45)=0),"",IF(COUNTIFS('Leave log'!$A$7:$A$306,Employees!$A$7,'Leave log'!$B$7:$B$306,"&lt;="&amp;DATE($B$3,10,15),'Leave log'!$C$7:$C$306,"&gt;="&amp;DATE($B$3,10,15),'Leave log'!$F$7:$F$306,"Approved")&gt;0,"A",""))="A","A",IF(OR(DATE($B$3,10,15)&gt;EOMONTH(DATE($B$3,10,1),0),NETWORKDAYS.INTL(DATE($B$3,10,15),DATE($B$3,10,15),1,'Non-working days'!$A$6:$A$45)=0),"",IF(COUNTIFS('Leave log'!$A$7:$A$306,Employees!$A$7,'Leave log'!$B$7:$B$306,"&lt;="&amp;DATE($B$3,10,15),'Leave log'!$C$7:$C$306,"&gt;="&amp;DATE($B$3,10,15),'Leave log'!$F$7:$F$306,"Pending")&gt;0,"P",""))))</f>
        <v/>
      </c>
      <c r="Q314" s="23" t="str">
        <f>IF(A314="","",IF(IF(OR(DATE($B$3,10,16)&gt;EOMONTH(DATE($B$3,10,1),0),NETWORKDAYS.INTL(DATE($B$3,10,16),DATE($B$3,10,16),1,'Non-working days'!$A$6:$A$45)=0),"",IF(COUNTIFS('Leave log'!$A$7:$A$306,Employees!$A$7,'Leave log'!$B$7:$B$306,"&lt;="&amp;DATE($B$3,10,16),'Leave log'!$C$7:$C$306,"&gt;="&amp;DATE($B$3,10,16),'Leave log'!$F$7:$F$306,"Approved")&gt;0,"A",""))="A","A",IF(OR(DATE($B$3,10,16)&gt;EOMONTH(DATE($B$3,10,1),0),NETWORKDAYS.INTL(DATE($B$3,10,16),DATE($B$3,10,16),1,'Non-working days'!$A$6:$A$45)=0),"",IF(COUNTIFS('Leave log'!$A$7:$A$306,Employees!$A$7,'Leave log'!$B$7:$B$306,"&lt;="&amp;DATE($B$3,10,16),'Leave log'!$C$7:$C$306,"&gt;="&amp;DATE($B$3,10,16),'Leave log'!$F$7:$F$306,"Pending")&gt;0,"P",""))))</f>
        <v/>
      </c>
      <c r="R314" s="23" t="str">
        <f>IF(A314="","",IF(IF(OR(DATE($B$3,10,17)&gt;EOMONTH(DATE($B$3,10,1),0),NETWORKDAYS.INTL(DATE($B$3,10,17),DATE($B$3,10,17),1,'Non-working days'!$A$6:$A$45)=0),"",IF(COUNTIFS('Leave log'!$A$7:$A$306,Employees!$A$7,'Leave log'!$B$7:$B$306,"&lt;="&amp;DATE($B$3,10,17),'Leave log'!$C$7:$C$306,"&gt;="&amp;DATE($B$3,10,17),'Leave log'!$F$7:$F$306,"Approved")&gt;0,"A",""))="A","A",IF(OR(DATE($B$3,10,17)&gt;EOMONTH(DATE($B$3,10,1),0),NETWORKDAYS.INTL(DATE($B$3,10,17),DATE($B$3,10,17),1,'Non-working days'!$A$6:$A$45)=0),"",IF(COUNTIFS('Leave log'!$A$7:$A$306,Employees!$A$7,'Leave log'!$B$7:$B$306,"&lt;="&amp;DATE($B$3,10,17),'Leave log'!$C$7:$C$306,"&gt;="&amp;DATE($B$3,10,17),'Leave log'!$F$7:$F$306,"Pending")&gt;0,"P",""))))</f>
        <v/>
      </c>
      <c r="S314" s="23" t="str">
        <f>IF(A314="","",IF(IF(OR(DATE($B$3,10,18)&gt;EOMONTH(DATE($B$3,10,1),0),NETWORKDAYS.INTL(DATE($B$3,10,18),DATE($B$3,10,18),1,'Non-working days'!$A$6:$A$45)=0),"",IF(COUNTIFS('Leave log'!$A$7:$A$306,Employees!$A$7,'Leave log'!$B$7:$B$306,"&lt;="&amp;DATE($B$3,10,18),'Leave log'!$C$7:$C$306,"&gt;="&amp;DATE($B$3,10,18),'Leave log'!$F$7:$F$306,"Approved")&gt;0,"A",""))="A","A",IF(OR(DATE($B$3,10,18)&gt;EOMONTH(DATE($B$3,10,1),0),NETWORKDAYS.INTL(DATE($B$3,10,18),DATE($B$3,10,18),1,'Non-working days'!$A$6:$A$45)=0),"",IF(COUNTIFS('Leave log'!$A$7:$A$306,Employees!$A$7,'Leave log'!$B$7:$B$306,"&lt;="&amp;DATE($B$3,10,18),'Leave log'!$C$7:$C$306,"&gt;="&amp;DATE($B$3,10,18),'Leave log'!$F$7:$F$306,"Pending")&gt;0,"P",""))))</f>
        <v/>
      </c>
      <c r="T314" s="23" t="str">
        <f>IF(A314="","",IF(IF(OR(DATE($B$3,10,19)&gt;EOMONTH(DATE($B$3,10,1),0),NETWORKDAYS.INTL(DATE($B$3,10,19),DATE($B$3,10,19),1,'Non-working days'!$A$6:$A$45)=0),"",IF(COUNTIFS('Leave log'!$A$7:$A$306,Employees!$A$7,'Leave log'!$B$7:$B$306,"&lt;="&amp;DATE($B$3,10,19),'Leave log'!$C$7:$C$306,"&gt;="&amp;DATE($B$3,10,19),'Leave log'!$F$7:$F$306,"Approved")&gt;0,"A",""))="A","A",IF(OR(DATE($B$3,10,19)&gt;EOMONTH(DATE($B$3,10,1),0),NETWORKDAYS.INTL(DATE($B$3,10,19),DATE($B$3,10,19),1,'Non-working days'!$A$6:$A$45)=0),"",IF(COUNTIFS('Leave log'!$A$7:$A$306,Employees!$A$7,'Leave log'!$B$7:$B$306,"&lt;="&amp;DATE($B$3,10,19),'Leave log'!$C$7:$C$306,"&gt;="&amp;DATE($B$3,10,19),'Leave log'!$F$7:$F$306,"Pending")&gt;0,"P",""))))</f>
        <v/>
      </c>
      <c r="U314" s="23" t="str">
        <f>IF(A314="","",IF(IF(OR(DATE($B$3,10,20)&gt;EOMONTH(DATE($B$3,10,1),0),NETWORKDAYS.INTL(DATE($B$3,10,20),DATE($B$3,10,20),1,'Non-working days'!$A$6:$A$45)=0),"",IF(COUNTIFS('Leave log'!$A$7:$A$306,Employees!$A$7,'Leave log'!$B$7:$B$306,"&lt;="&amp;DATE($B$3,10,20),'Leave log'!$C$7:$C$306,"&gt;="&amp;DATE($B$3,10,20),'Leave log'!$F$7:$F$306,"Approved")&gt;0,"A",""))="A","A",IF(OR(DATE($B$3,10,20)&gt;EOMONTH(DATE($B$3,10,1),0),NETWORKDAYS.INTL(DATE($B$3,10,20),DATE($B$3,10,20),1,'Non-working days'!$A$6:$A$45)=0),"",IF(COUNTIFS('Leave log'!$A$7:$A$306,Employees!$A$7,'Leave log'!$B$7:$B$306,"&lt;="&amp;DATE($B$3,10,20),'Leave log'!$C$7:$C$306,"&gt;="&amp;DATE($B$3,10,20),'Leave log'!$F$7:$F$306,"Pending")&gt;0,"P",""))))</f>
        <v/>
      </c>
      <c r="V314" s="23" t="str">
        <f>IF(A314="","",IF(IF(OR(DATE($B$3,10,21)&gt;EOMONTH(DATE($B$3,10,1),0),NETWORKDAYS.INTL(DATE($B$3,10,21),DATE($B$3,10,21),1,'Non-working days'!$A$6:$A$45)=0),"",IF(COUNTIFS('Leave log'!$A$7:$A$306,Employees!$A$7,'Leave log'!$B$7:$B$306,"&lt;="&amp;DATE($B$3,10,21),'Leave log'!$C$7:$C$306,"&gt;="&amp;DATE($B$3,10,21),'Leave log'!$F$7:$F$306,"Approved")&gt;0,"A",""))="A","A",IF(OR(DATE($B$3,10,21)&gt;EOMONTH(DATE($B$3,10,1),0),NETWORKDAYS.INTL(DATE($B$3,10,21),DATE($B$3,10,21),1,'Non-working days'!$A$6:$A$45)=0),"",IF(COUNTIFS('Leave log'!$A$7:$A$306,Employees!$A$7,'Leave log'!$B$7:$B$306,"&lt;="&amp;DATE($B$3,10,21),'Leave log'!$C$7:$C$306,"&gt;="&amp;DATE($B$3,10,21),'Leave log'!$F$7:$F$306,"Pending")&gt;0,"P",""))))</f>
        <v/>
      </c>
      <c r="W314" s="23" t="str">
        <f>IF(A314="","",IF(IF(OR(DATE($B$3,10,22)&gt;EOMONTH(DATE($B$3,10,1),0),NETWORKDAYS.INTL(DATE($B$3,10,22),DATE($B$3,10,22),1,'Non-working days'!$A$6:$A$45)=0),"",IF(COUNTIFS('Leave log'!$A$7:$A$306,Employees!$A$7,'Leave log'!$B$7:$B$306,"&lt;="&amp;DATE($B$3,10,22),'Leave log'!$C$7:$C$306,"&gt;="&amp;DATE($B$3,10,22),'Leave log'!$F$7:$F$306,"Approved")&gt;0,"A",""))="A","A",IF(OR(DATE($B$3,10,22)&gt;EOMONTH(DATE($B$3,10,1),0),NETWORKDAYS.INTL(DATE($B$3,10,22),DATE($B$3,10,22),1,'Non-working days'!$A$6:$A$45)=0),"",IF(COUNTIFS('Leave log'!$A$7:$A$306,Employees!$A$7,'Leave log'!$B$7:$B$306,"&lt;="&amp;DATE($B$3,10,22),'Leave log'!$C$7:$C$306,"&gt;="&amp;DATE($B$3,10,22),'Leave log'!$F$7:$F$306,"Pending")&gt;0,"P",""))))</f>
        <v/>
      </c>
      <c r="X314" s="23" t="str">
        <f>IF(A314="","",IF(IF(OR(DATE($B$3,10,23)&gt;EOMONTH(DATE($B$3,10,1),0),NETWORKDAYS.INTL(DATE($B$3,10,23),DATE($B$3,10,23),1,'Non-working days'!$A$6:$A$45)=0),"",IF(COUNTIFS('Leave log'!$A$7:$A$306,Employees!$A$7,'Leave log'!$B$7:$B$306,"&lt;="&amp;DATE($B$3,10,23),'Leave log'!$C$7:$C$306,"&gt;="&amp;DATE($B$3,10,23),'Leave log'!$F$7:$F$306,"Approved")&gt;0,"A",""))="A","A",IF(OR(DATE($B$3,10,23)&gt;EOMONTH(DATE($B$3,10,1),0),NETWORKDAYS.INTL(DATE($B$3,10,23),DATE($B$3,10,23),1,'Non-working days'!$A$6:$A$45)=0),"",IF(COUNTIFS('Leave log'!$A$7:$A$306,Employees!$A$7,'Leave log'!$B$7:$B$306,"&lt;="&amp;DATE($B$3,10,23),'Leave log'!$C$7:$C$306,"&gt;="&amp;DATE($B$3,10,23),'Leave log'!$F$7:$F$306,"Pending")&gt;0,"P",""))))</f>
        <v/>
      </c>
      <c r="Y314" s="23" t="str">
        <f>IF(A314="","",IF(IF(OR(DATE($B$3,10,24)&gt;EOMONTH(DATE($B$3,10,1),0),NETWORKDAYS.INTL(DATE($B$3,10,24),DATE($B$3,10,24),1,'Non-working days'!$A$6:$A$45)=0),"",IF(COUNTIFS('Leave log'!$A$7:$A$306,Employees!$A$7,'Leave log'!$B$7:$B$306,"&lt;="&amp;DATE($B$3,10,24),'Leave log'!$C$7:$C$306,"&gt;="&amp;DATE($B$3,10,24),'Leave log'!$F$7:$F$306,"Approved")&gt;0,"A",""))="A","A",IF(OR(DATE($B$3,10,24)&gt;EOMONTH(DATE($B$3,10,1),0),NETWORKDAYS.INTL(DATE($B$3,10,24),DATE($B$3,10,24),1,'Non-working days'!$A$6:$A$45)=0),"",IF(COUNTIFS('Leave log'!$A$7:$A$306,Employees!$A$7,'Leave log'!$B$7:$B$306,"&lt;="&amp;DATE($B$3,10,24),'Leave log'!$C$7:$C$306,"&gt;="&amp;DATE($B$3,10,24),'Leave log'!$F$7:$F$306,"Pending")&gt;0,"P",""))))</f>
        <v/>
      </c>
      <c r="Z314" s="23" t="str">
        <f>IF(A314="","",IF(IF(OR(DATE($B$3,10,25)&gt;EOMONTH(DATE($B$3,10,1),0),NETWORKDAYS.INTL(DATE($B$3,10,25),DATE($B$3,10,25),1,'Non-working days'!$A$6:$A$45)=0),"",IF(COUNTIFS('Leave log'!$A$7:$A$306,Employees!$A$7,'Leave log'!$B$7:$B$306,"&lt;="&amp;DATE($B$3,10,25),'Leave log'!$C$7:$C$306,"&gt;="&amp;DATE($B$3,10,25),'Leave log'!$F$7:$F$306,"Approved")&gt;0,"A",""))="A","A",IF(OR(DATE($B$3,10,25)&gt;EOMONTH(DATE($B$3,10,1),0),NETWORKDAYS.INTL(DATE($B$3,10,25),DATE($B$3,10,25),1,'Non-working days'!$A$6:$A$45)=0),"",IF(COUNTIFS('Leave log'!$A$7:$A$306,Employees!$A$7,'Leave log'!$B$7:$B$306,"&lt;="&amp;DATE($B$3,10,25),'Leave log'!$C$7:$C$306,"&gt;="&amp;DATE($B$3,10,25),'Leave log'!$F$7:$F$306,"Pending")&gt;0,"P",""))))</f>
        <v/>
      </c>
      <c r="AA314" s="23" t="str">
        <f>IF(A314="","",IF(IF(OR(DATE($B$3,10,26)&gt;EOMONTH(DATE($B$3,10,1),0),NETWORKDAYS.INTL(DATE($B$3,10,26),DATE($B$3,10,26),1,'Non-working days'!$A$6:$A$45)=0),"",IF(COUNTIFS('Leave log'!$A$7:$A$306,Employees!$A$7,'Leave log'!$B$7:$B$306,"&lt;="&amp;DATE($B$3,10,26),'Leave log'!$C$7:$C$306,"&gt;="&amp;DATE($B$3,10,26),'Leave log'!$F$7:$F$306,"Approved")&gt;0,"A",""))="A","A",IF(OR(DATE($B$3,10,26)&gt;EOMONTH(DATE($B$3,10,1),0),NETWORKDAYS.INTL(DATE($B$3,10,26),DATE($B$3,10,26),1,'Non-working days'!$A$6:$A$45)=0),"",IF(COUNTIFS('Leave log'!$A$7:$A$306,Employees!$A$7,'Leave log'!$B$7:$B$306,"&lt;="&amp;DATE($B$3,10,26),'Leave log'!$C$7:$C$306,"&gt;="&amp;DATE($B$3,10,26),'Leave log'!$F$7:$F$306,"Pending")&gt;0,"P",""))))</f>
        <v/>
      </c>
      <c r="AB314" s="23" t="str">
        <f>IF(A314="","",IF(IF(OR(DATE($B$3,10,27)&gt;EOMONTH(DATE($B$3,10,1),0),NETWORKDAYS.INTL(DATE($B$3,10,27),DATE($B$3,10,27),1,'Non-working days'!$A$6:$A$45)=0),"",IF(COUNTIFS('Leave log'!$A$7:$A$306,Employees!$A$7,'Leave log'!$B$7:$B$306,"&lt;="&amp;DATE($B$3,10,27),'Leave log'!$C$7:$C$306,"&gt;="&amp;DATE($B$3,10,27),'Leave log'!$F$7:$F$306,"Approved")&gt;0,"A",""))="A","A",IF(OR(DATE($B$3,10,27)&gt;EOMONTH(DATE($B$3,10,1),0),NETWORKDAYS.INTL(DATE($B$3,10,27),DATE($B$3,10,27),1,'Non-working days'!$A$6:$A$45)=0),"",IF(COUNTIFS('Leave log'!$A$7:$A$306,Employees!$A$7,'Leave log'!$B$7:$B$306,"&lt;="&amp;DATE($B$3,10,27),'Leave log'!$C$7:$C$306,"&gt;="&amp;DATE($B$3,10,27),'Leave log'!$F$7:$F$306,"Pending")&gt;0,"P",""))))</f>
        <v/>
      </c>
      <c r="AC314" s="23" t="str">
        <f>IF(A314="","",IF(IF(OR(DATE($B$3,10,28)&gt;EOMONTH(DATE($B$3,10,1),0),NETWORKDAYS.INTL(DATE($B$3,10,28),DATE($B$3,10,28),1,'Non-working days'!$A$6:$A$45)=0),"",IF(COUNTIFS('Leave log'!$A$7:$A$306,Employees!$A$7,'Leave log'!$B$7:$B$306,"&lt;="&amp;DATE($B$3,10,28),'Leave log'!$C$7:$C$306,"&gt;="&amp;DATE($B$3,10,28),'Leave log'!$F$7:$F$306,"Approved")&gt;0,"A",""))="A","A",IF(OR(DATE($B$3,10,28)&gt;EOMONTH(DATE($B$3,10,1),0),NETWORKDAYS.INTL(DATE($B$3,10,28),DATE($B$3,10,28),1,'Non-working days'!$A$6:$A$45)=0),"",IF(COUNTIFS('Leave log'!$A$7:$A$306,Employees!$A$7,'Leave log'!$B$7:$B$306,"&lt;="&amp;DATE($B$3,10,28),'Leave log'!$C$7:$C$306,"&gt;="&amp;DATE($B$3,10,28),'Leave log'!$F$7:$F$306,"Pending")&gt;0,"P",""))))</f>
        <v/>
      </c>
      <c r="AD314" s="23" t="str">
        <f>IF(A314="","",IF(IF(OR(DATE($B$3,10,29)&gt;EOMONTH(DATE($B$3,10,1),0),NETWORKDAYS.INTL(DATE($B$3,10,29),DATE($B$3,10,29),1,'Non-working days'!$A$6:$A$45)=0),"",IF(COUNTIFS('Leave log'!$A$7:$A$306,Employees!$A$7,'Leave log'!$B$7:$B$306,"&lt;="&amp;DATE($B$3,10,29),'Leave log'!$C$7:$C$306,"&gt;="&amp;DATE($B$3,10,29),'Leave log'!$F$7:$F$306,"Approved")&gt;0,"A",""))="A","A",IF(OR(DATE($B$3,10,29)&gt;EOMONTH(DATE($B$3,10,1),0),NETWORKDAYS.INTL(DATE($B$3,10,29),DATE($B$3,10,29),1,'Non-working days'!$A$6:$A$45)=0),"",IF(COUNTIFS('Leave log'!$A$7:$A$306,Employees!$A$7,'Leave log'!$B$7:$B$306,"&lt;="&amp;DATE($B$3,10,29),'Leave log'!$C$7:$C$306,"&gt;="&amp;DATE($B$3,10,29),'Leave log'!$F$7:$F$306,"Pending")&gt;0,"P",""))))</f>
        <v/>
      </c>
      <c r="AE314" s="23" t="str">
        <f>IF(A314="","",IF(IF(OR(DATE($B$3,10,30)&gt;EOMONTH(DATE($B$3,10,1),0),NETWORKDAYS.INTL(DATE($B$3,10,30),DATE($B$3,10,30),1,'Non-working days'!$A$6:$A$45)=0),"",IF(COUNTIFS('Leave log'!$A$7:$A$306,Employees!$A$7,'Leave log'!$B$7:$B$306,"&lt;="&amp;DATE($B$3,10,30),'Leave log'!$C$7:$C$306,"&gt;="&amp;DATE($B$3,10,30),'Leave log'!$F$7:$F$306,"Approved")&gt;0,"A",""))="A","A",IF(OR(DATE($B$3,10,30)&gt;EOMONTH(DATE($B$3,10,1),0),NETWORKDAYS.INTL(DATE($B$3,10,30),DATE($B$3,10,30),1,'Non-working days'!$A$6:$A$45)=0),"",IF(COUNTIFS('Leave log'!$A$7:$A$306,Employees!$A$7,'Leave log'!$B$7:$B$306,"&lt;="&amp;DATE($B$3,10,30),'Leave log'!$C$7:$C$306,"&gt;="&amp;DATE($B$3,10,30),'Leave log'!$F$7:$F$306,"Pending")&gt;0,"P",""))))</f>
        <v/>
      </c>
      <c r="AF314" s="23" t="str">
        <f>IF(A314="","",IF(IF(OR(DATE($B$3,10,31)&gt;EOMONTH(DATE($B$3,10,1),0),NETWORKDAYS.INTL(DATE($B$3,10,31),DATE($B$3,10,31),1,'Non-working days'!$A$6:$A$45)=0),"",IF(COUNTIFS('Leave log'!$A$7:$A$306,Employees!$A$7,'Leave log'!$B$7:$B$306,"&lt;="&amp;DATE($B$3,10,31),'Leave log'!$C$7:$C$306,"&gt;="&amp;DATE($B$3,10,31),'Leave log'!$F$7:$F$306,"Approved")&gt;0,"A",""))="A","A",IF(OR(DATE($B$3,10,31)&gt;EOMONTH(DATE($B$3,10,1),0),NETWORKDAYS.INTL(DATE($B$3,10,31),DATE($B$3,10,31),1,'Non-working days'!$A$6:$A$45)=0),"",IF(COUNTIFS('Leave log'!$A$7:$A$306,Employees!$A$7,'Leave log'!$B$7:$B$306,"&lt;="&amp;DATE($B$3,10,31),'Leave log'!$C$7:$C$306,"&gt;="&amp;DATE($B$3,10,31),'Leave log'!$F$7:$F$306,"Pending")&gt;0,"P",""))))</f>
        <v/>
      </c>
    </row>
    <row r="315" spans="1:32" ht="18" customHeight="1" x14ac:dyDescent="0.3">
      <c r="A315" s="22" t="str">
        <f>IF(Employees!F8="Yes",Employees!B8,"")</f>
        <v/>
      </c>
      <c r="B315" s="23" t="str">
        <f>IF(A315="","",IF(IF(OR(DATE($B$3,10,1)&gt;EOMONTH(DATE($B$3,10,1),0),NETWORKDAYS.INTL(DATE($B$3,10,1),DATE($B$3,10,1),1,'Non-working days'!$A$6:$A$45)=0),"",IF(COUNTIFS('Leave log'!$A$7:$A$306,Employees!$A$8,'Leave log'!$B$7:$B$306,"&lt;="&amp;DATE($B$3,10,1),'Leave log'!$C$7:$C$306,"&gt;="&amp;DATE($B$3,10,1),'Leave log'!$F$7:$F$306,"Approved")&gt;0,"A",""))="A","A",IF(OR(DATE($B$3,10,1)&gt;EOMONTH(DATE($B$3,10,1),0),NETWORKDAYS.INTL(DATE($B$3,10,1),DATE($B$3,10,1),1,'Non-working days'!$A$6:$A$45)=0),"",IF(COUNTIFS('Leave log'!$A$7:$A$306,Employees!$A$8,'Leave log'!$B$7:$B$306,"&lt;="&amp;DATE($B$3,10,1),'Leave log'!$C$7:$C$306,"&gt;="&amp;DATE($B$3,10,1),'Leave log'!$F$7:$F$306,"Pending")&gt;0,"P",""))))</f>
        <v/>
      </c>
      <c r="C315" s="23" t="str">
        <f>IF(A315="","",IF(IF(OR(DATE($B$3,10,2)&gt;EOMONTH(DATE($B$3,10,1),0),NETWORKDAYS.INTL(DATE($B$3,10,2),DATE($B$3,10,2),1,'Non-working days'!$A$6:$A$45)=0),"",IF(COUNTIFS('Leave log'!$A$7:$A$306,Employees!$A$8,'Leave log'!$B$7:$B$306,"&lt;="&amp;DATE($B$3,10,2),'Leave log'!$C$7:$C$306,"&gt;="&amp;DATE($B$3,10,2),'Leave log'!$F$7:$F$306,"Approved")&gt;0,"A",""))="A","A",IF(OR(DATE($B$3,10,2)&gt;EOMONTH(DATE($B$3,10,1),0),NETWORKDAYS.INTL(DATE($B$3,10,2),DATE($B$3,10,2),1,'Non-working days'!$A$6:$A$45)=0),"",IF(COUNTIFS('Leave log'!$A$7:$A$306,Employees!$A$8,'Leave log'!$B$7:$B$306,"&lt;="&amp;DATE($B$3,10,2),'Leave log'!$C$7:$C$306,"&gt;="&amp;DATE($B$3,10,2),'Leave log'!$F$7:$F$306,"Pending")&gt;0,"P",""))))</f>
        <v/>
      </c>
      <c r="D315" s="23" t="str">
        <f>IF(A315="","",IF(IF(OR(DATE($B$3,10,3)&gt;EOMONTH(DATE($B$3,10,1),0),NETWORKDAYS.INTL(DATE($B$3,10,3),DATE($B$3,10,3),1,'Non-working days'!$A$6:$A$45)=0),"",IF(COUNTIFS('Leave log'!$A$7:$A$306,Employees!$A$8,'Leave log'!$B$7:$B$306,"&lt;="&amp;DATE($B$3,10,3),'Leave log'!$C$7:$C$306,"&gt;="&amp;DATE($B$3,10,3),'Leave log'!$F$7:$F$306,"Approved")&gt;0,"A",""))="A","A",IF(OR(DATE($B$3,10,3)&gt;EOMONTH(DATE($B$3,10,1),0),NETWORKDAYS.INTL(DATE($B$3,10,3),DATE($B$3,10,3),1,'Non-working days'!$A$6:$A$45)=0),"",IF(COUNTIFS('Leave log'!$A$7:$A$306,Employees!$A$8,'Leave log'!$B$7:$B$306,"&lt;="&amp;DATE($B$3,10,3),'Leave log'!$C$7:$C$306,"&gt;="&amp;DATE($B$3,10,3),'Leave log'!$F$7:$F$306,"Pending")&gt;0,"P",""))))</f>
        <v/>
      </c>
      <c r="E315" s="23" t="str">
        <f>IF(A315="","",IF(IF(OR(DATE($B$3,10,4)&gt;EOMONTH(DATE($B$3,10,1),0),NETWORKDAYS.INTL(DATE($B$3,10,4),DATE($B$3,10,4),1,'Non-working days'!$A$6:$A$45)=0),"",IF(COUNTIFS('Leave log'!$A$7:$A$306,Employees!$A$8,'Leave log'!$B$7:$B$306,"&lt;="&amp;DATE($B$3,10,4),'Leave log'!$C$7:$C$306,"&gt;="&amp;DATE($B$3,10,4),'Leave log'!$F$7:$F$306,"Approved")&gt;0,"A",""))="A","A",IF(OR(DATE($B$3,10,4)&gt;EOMONTH(DATE($B$3,10,1),0),NETWORKDAYS.INTL(DATE($B$3,10,4),DATE($B$3,10,4),1,'Non-working days'!$A$6:$A$45)=0),"",IF(COUNTIFS('Leave log'!$A$7:$A$306,Employees!$A$8,'Leave log'!$B$7:$B$306,"&lt;="&amp;DATE($B$3,10,4),'Leave log'!$C$7:$C$306,"&gt;="&amp;DATE($B$3,10,4),'Leave log'!$F$7:$F$306,"Pending")&gt;0,"P",""))))</f>
        <v/>
      </c>
      <c r="F315" s="23" t="str">
        <f>IF(A315="","",IF(IF(OR(DATE($B$3,10,5)&gt;EOMONTH(DATE($B$3,10,1),0),NETWORKDAYS.INTL(DATE($B$3,10,5),DATE($B$3,10,5),1,'Non-working days'!$A$6:$A$45)=0),"",IF(COUNTIFS('Leave log'!$A$7:$A$306,Employees!$A$8,'Leave log'!$B$7:$B$306,"&lt;="&amp;DATE($B$3,10,5),'Leave log'!$C$7:$C$306,"&gt;="&amp;DATE($B$3,10,5),'Leave log'!$F$7:$F$306,"Approved")&gt;0,"A",""))="A","A",IF(OR(DATE($B$3,10,5)&gt;EOMONTH(DATE($B$3,10,1),0),NETWORKDAYS.INTL(DATE($B$3,10,5),DATE($B$3,10,5),1,'Non-working days'!$A$6:$A$45)=0),"",IF(COUNTIFS('Leave log'!$A$7:$A$306,Employees!$A$8,'Leave log'!$B$7:$B$306,"&lt;="&amp;DATE($B$3,10,5),'Leave log'!$C$7:$C$306,"&gt;="&amp;DATE($B$3,10,5),'Leave log'!$F$7:$F$306,"Pending")&gt;0,"P",""))))</f>
        <v/>
      </c>
      <c r="G315" s="23" t="str">
        <f>IF(A315="","",IF(IF(OR(DATE($B$3,10,6)&gt;EOMONTH(DATE($B$3,10,1),0),NETWORKDAYS.INTL(DATE($B$3,10,6),DATE($B$3,10,6),1,'Non-working days'!$A$6:$A$45)=0),"",IF(COUNTIFS('Leave log'!$A$7:$A$306,Employees!$A$8,'Leave log'!$B$7:$B$306,"&lt;="&amp;DATE($B$3,10,6),'Leave log'!$C$7:$C$306,"&gt;="&amp;DATE($B$3,10,6),'Leave log'!$F$7:$F$306,"Approved")&gt;0,"A",""))="A","A",IF(OR(DATE($B$3,10,6)&gt;EOMONTH(DATE($B$3,10,1),0),NETWORKDAYS.INTL(DATE($B$3,10,6),DATE($B$3,10,6),1,'Non-working days'!$A$6:$A$45)=0),"",IF(COUNTIFS('Leave log'!$A$7:$A$306,Employees!$A$8,'Leave log'!$B$7:$B$306,"&lt;="&amp;DATE($B$3,10,6),'Leave log'!$C$7:$C$306,"&gt;="&amp;DATE($B$3,10,6),'Leave log'!$F$7:$F$306,"Pending")&gt;0,"P",""))))</f>
        <v/>
      </c>
      <c r="H315" s="23" t="str">
        <f>IF(A315="","",IF(IF(OR(DATE($B$3,10,7)&gt;EOMONTH(DATE($B$3,10,1),0),NETWORKDAYS.INTL(DATE($B$3,10,7),DATE($B$3,10,7),1,'Non-working days'!$A$6:$A$45)=0),"",IF(COUNTIFS('Leave log'!$A$7:$A$306,Employees!$A$8,'Leave log'!$B$7:$B$306,"&lt;="&amp;DATE($B$3,10,7),'Leave log'!$C$7:$C$306,"&gt;="&amp;DATE($B$3,10,7),'Leave log'!$F$7:$F$306,"Approved")&gt;0,"A",""))="A","A",IF(OR(DATE($B$3,10,7)&gt;EOMONTH(DATE($B$3,10,1),0),NETWORKDAYS.INTL(DATE($B$3,10,7),DATE($B$3,10,7),1,'Non-working days'!$A$6:$A$45)=0),"",IF(COUNTIFS('Leave log'!$A$7:$A$306,Employees!$A$8,'Leave log'!$B$7:$B$306,"&lt;="&amp;DATE($B$3,10,7),'Leave log'!$C$7:$C$306,"&gt;="&amp;DATE($B$3,10,7),'Leave log'!$F$7:$F$306,"Pending")&gt;0,"P",""))))</f>
        <v/>
      </c>
      <c r="I315" s="23" t="str">
        <f>IF(A315="","",IF(IF(OR(DATE($B$3,10,8)&gt;EOMONTH(DATE($B$3,10,1),0),NETWORKDAYS.INTL(DATE($B$3,10,8),DATE($B$3,10,8),1,'Non-working days'!$A$6:$A$45)=0),"",IF(COUNTIFS('Leave log'!$A$7:$A$306,Employees!$A$8,'Leave log'!$B$7:$B$306,"&lt;="&amp;DATE($B$3,10,8),'Leave log'!$C$7:$C$306,"&gt;="&amp;DATE($B$3,10,8),'Leave log'!$F$7:$F$306,"Approved")&gt;0,"A",""))="A","A",IF(OR(DATE($B$3,10,8)&gt;EOMONTH(DATE($B$3,10,1),0),NETWORKDAYS.INTL(DATE($B$3,10,8),DATE($B$3,10,8),1,'Non-working days'!$A$6:$A$45)=0),"",IF(COUNTIFS('Leave log'!$A$7:$A$306,Employees!$A$8,'Leave log'!$B$7:$B$306,"&lt;="&amp;DATE($B$3,10,8),'Leave log'!$C$7:$C$306,"&gt;="&amp;DATE($B$3,10,8),'Leave log'!$F$7:$F$306,"Pending")&gt;0,"P",""))))</f>
        <v/>
      </c>
      <c r="J315" s="23" t="str">
        <f>IF(A315="","",IF(IF(OR(DATE($B$3,10,9)&gt;EOMONTH(DATE($B$3,10,1),0),NETWORKDAYS.INTL(DATE($B$3,10,9),DATE($B$3,10,9),1,'Non-working days'!$A$6:$A$45)=0),"",IF(COUNTIFS('Leave log'!$A$7:$A$306,Employees!$A$8,'Leave log'!$B$7:$B$306,"&lt;="&amp;DATE($B$3,10,9),'Leave log'!$C$7:$C$306,"&gt;="&amp;DATE($B$3,10,9),'Leave log'!$F$7:$F$306,"Approved")&gt;0,"A",""))="A","A",IF(OR(DATE($B$3,10,9)&gt;EOMONTH(DATE($B$3,10,1),0),NETWORKDAYS.INTL(DATE($B$3,10,9),DATE($B$3,10,9),1,'Non-working days'!$A$6:$A$45)=0),"",IF(COUNTIFS('Leave log'!$A$7:$A$306,Employees!$A$8,'Leave log'!$B$7:$B$306,"&lt;="&amp;DATE($B$3,10,9),'Leave log'!$C$7:$C$306,"&gt;="&amp;DATE($B$3,10,9),'Leave log'!$F$7:$F$306,"Pending")&gt;0,"P",""))))</f>
        <v/>
      </c>
      <c r="K315" s="23" t="str">
        <f>IF(A315="","",IF(IF(OR(DATE($B$3,10,10)&gt;EOMONTH(DATE($B$3,10,1),0),NETWORKDAYS.INTL(DATE($B$3,10,10),DATE($B$3,10,10),1,'Non-working days'!$A$6:$A$45)=0),"",IF(COUNTIFS('Leave log'!$A$7:$A$306,Employees!$A$8,'Leave log'!$B$7:$B$306,"&lt;="&amp;DATE($B$3,10,10),'Leave log'!$C$7:$C$306,"&gt;="&amp;DATE($B$3,10,10),'Leave log'!$F$7:$F$306,"Approved")&gt;0,"A",""))="A","A",IF(OR(DATE($B$3,10,10)&gt;EOMONTH(DATE($B$3,10,1),0),NETWORKDAYS.INTL(DATE($B$3,10,10),DATE($B$3,10,10),1,'Non-working days'!$A$6:$A$45)=0),"",IF(COUNTIFS('Leave log'!$A$7:$A$306,Employees!$A$8,'Leave log'!$B$7:$B$306,"&lt;="&amp;DATE($B$3,10,10),'Leave log'!$C$7:$C$306,"&gt;="&amp;DATE($B$3,10,10),'Leave log'!$F$7:$F$306,"Pending")&gt;0,"P",""))))</f>
        <v/>
      </c>
      <c r="L315" s="23" t="str">
        <f>IF(A315="","",IF(IF(OR(DATE($B$3,10,11)&gt;EOMONTH(DATE($B$3,10,1),0),NETWORKDAYS.INTL(DATE($B$3,10,11),DATE($B$3,10,11),1,'Non-working days'!$A$6:$A$45)=0),"",IF(COUNTIFS('Leave log'!$A$7:$A$306,Employees!$A$8,'Leave log'!$B$7:$B$306,"&lt;="&amp;DATE($B$3,10,11),'Leave log'!$C$7:$C$306,"&gt;="&amp;DATE($B$3,10,11),'Leave log'!$F$7:$F$306,"Approved")&gt;0,"A",""))="A","A",IF(OR(DATE($B$3,10,11)&gt;EOMONTH(DATE($B$3,10,1),0),NETWORKDAYS.INTL(DATE($B$3,10,11),DATE($B$3,10,11),1,'Non-working days'!$A$6:$A$45)=0),"",IF(COUNTIFS('Leave log'!$A$7:$A$306,Employees!$A$8,'Leave log'!$B$7:$B$306,"&lt;="&amp;DATE($B$3,10,11),'Leave log'!$C$7:$C$306,"&gt;="&amp;DATE($B$3,10,11),'Leave log'!$F$7:$F$306,"Pending")&gt;0,"P",""))))</f>
        <v/>
      </c>
      <c r="M315" s="23" t="str">
        <f>IF(A315="","",IF(IF(OR(DATE($B$3,10,12)&gt;EOMONTH(DATE($B$3,10,1),0),NETWORKDAYS.INTL(DATE($B$3,10,12),DATE($B$3,10,12),1,'Non-working days'!$A$6:$A$45)=0),"",IF(COUNTIFS('Leave log'!$A$7:$A$306,Employees!$A$8,'Leave log'!$B$7:$B$306,"&lt;="&amp;DATE($B$3,10,12),'Leave log'!$C$7:$C$306,"&gt;="&amp;DATE($B$3,10,12),'Leave log'!$F$7:$F$306,"Approved")&gt;0,"A",""))="A","A",IF(OR(DATE($B$3,10,12)&gt;EOMONTH(DATE($B$3,10,1),0),NETWORKDAYS.INTL(DATE($B$3,10,12),DATE($B$3,10,12),1,'Non-working days'!$A$6:$A$45)=0),"",IF(COUNTIFS('Leave log'!$A$7:$A$306,Employees!$A$8,'Leave log'!$B$7:$B$306,"&lt;="&amp;DATE($B$3,10,12),'Leave log'!$C$7:$C$306,"&gt;="&amp;DATE($B$3,10,12),'Leave log'!$F$7:$F$306,"Pending")&gt;0,"P",""))))</f>
        <v/>
      </c>
      <c r="N315" s="23" t="str">
        <f>IF(A315="","",IF(IF(OR(DATE($B$3,10,13)&gt;EOMONTH(DATE($B$3,10,1),0),NETWORKDAYS.INTL(DATE($B$3,10,13),DATE($B$3,10,13),1,'Non-working days'!$A$6:$A$45)=0),"",IF(COUNTIFS('Leave log'!$A$7:$A$306,Employees!$A$8,'Leave log'!$B$7:$B$306,"&lt;="&amp;DATE($B$3,10,13),'Leave log'!$C$7:$C$306,"&gt;="&amp;DATE($B$3,10,13),'Leave log'!$F$7:$F$306,"Approved")&gt;0,"A",""))="A","A",IF(OR(DATE($B$3,10,13)&gt;EOMONTH(DATE($B$3,10,1),0),NETWORKDAYS.INTL(DATE($B$3,10,13),DATE($B$3,10,13),1,'Non-working days'!$A$6:$A$45)=0),"",IF(COUNTIFS('Leave log'!$A$7:$A$306,Employees!$A$8,'Leave log'!$B$7:$B$306,"&lt;="&amp;DATE($B$3,10,13),'Leave log'!$C$7:$C$306,"&gt;="&amp;DATE($B$3,10,13),'Leave log'!$F$7:$F$306,"Pending")&gt;0,"P",""))))</f>
        <v/>
      </c>
      <c r="O315" s="23" t="str">
        <f>IF(A315="","",IF(IF(OR(DATE($B$3,10,14)&gt;EOMONTH(DATE($B$3,10,1),0),NETWORKDAYS.INTL(DATE($B$3,10,14),DATE($B$3,10,14),1,'Non-working days'!$A$6:$A$45)=0),"",IF(COUNTIFS('Leave log'!$A$7:$A$306,Employees!$A$8,'Leave log'!$B$7:$B$306,"&lt;="&amp;DATE($B$3,10,14),'Leave log'!$C$7:$C$306,"&gt;="&amp;DATE($B$3,10,14),'Leave log'!$F$7:$F$306,"Approved")&gt;0,"A",""))="A","A",IF(OR(DATE($B$3,10,14)&gt;EOMONTH(DATE($B$3,10,1),0),NETWORKDAYS.INTL(DATE($B$3,10,14),DATE($B$3,10,14),1,'Non-working days'!$A$6:$A$45)=0),"",IF(COUNTIFS('Leave log'!$A$7:$A$306,Employees!$A$8,'Leave log'!$B$7:$B$306,"&lt;="&amp;DATE($B$3,10,14),'Leave log'!$C$7:$C$306,"&gt;="&amp;DATE($B$3,10,14),'Leave log'!$F$7:$F$306,"Pending")&gt;0,"P",""))))</f>
        <v/>
      </c>
      <c r="P315" s="23" t="str">
        <f>IF(A315="","",IF(IF(OR(DATE($B$3,10,15)&gt;EOMONTH(DATE($B$3,10,1),0),NETWORKDAYS.INTL(DATE($B$3,10,15),DATE($B$3,10,15),1,'Non-working days'!$A$6:$A$45)=0),"",IF(COUNTIFS('Leave log'!$A$7:$A$306,Employees!$A$8,'Leave log'!$B$7:$B$306,"&lt;="&amp;DATE($B$3,10,15),'Leave log'!$C$7:$C$306,"&gt;="&amp;DATE($B$3,10,15),'Leave log'!$F$7:$F$306,"Approved")&gt;0,"A",""))="A","A",IF(OR(DATE($B$3,10,15)&gt;EOMONTH(DATE($B$3,10,1),0),NETWORKDAYS.INTL(DATE($B$3,10,15),DATE($B$3,10,15),1,'Non-working days'!$A$6:$A$45)=0),"",IF(COUNTIFS('Leave log'!$A$7:$A$306,Employees!$A$8,'Leave log'!$B$7:$B$306,"&lt;="&amp;DATE($B$3,10,15),'Leave log'!$C$7:$C$306,"&gt;="&amp;DATE($B$3,10,15),'Leave log'!$F$7:$F$306,"Pending")&gt;0,"P",""))))</f>
        <v/>
      </c>
      <c r="Q315" s="23" t="str">
        <f>IF(A315="","",IF(IF(OR(DATE($B$3,10,16)&gt;EOMONTH(DATE($B$3,10,1),0),NETWORKDAYS.INTL(DATE($B$3,10,16),DATE($B$3,10,16),1,'Non-working days'!$A$6:$A$45)=0),"",IF(COUNTIFS('Leave log'!$A$7:$A$306,Employees!$A$8,'Leave log'!$B$7:$B$306,"&lt;="&amp;DATE($B$3,10,16),'Leave log'!$C$7:$C$306,"&gt;="&amp;DATE($B$3,10,16),'Leave log'!$F$7:$F$306,"Approved")&gt;0,"A",""))="A","A",IF(OR(DATE($B$3,10,16)&gt;EOMONTH(DATE($B$3,10,1),0),NETWORKDAYS.INTL(DATE($B$3,10,16),DATE($B$3,10,16),1,'Non-working days'!$A$6:$A$45)=0),"",IF(COUNTIFS('Leave log'!$A$7:$A$306,Employees!$A$8,'Leave log'!$B$7:$B$306,"&lt;="&amp;DATE($B$3,10,16),'Leave log'!$C$7:$C$306,"&gt;="&amp;DATE($B$3,10,16),'Leave log'!$F$7:$F$306,"Pending")&gt;0,"P",""))))</f>
        <v/>
      </c>
      <c r="R315" s="23" t="str">
        <f>IF(A315="","",IF(IF(OR(DATE($B$3,10,17)&gt;EOMONTH(DATE($B$3,10,1),0),NETWORKDAYS.INTL(DATE($B$3,10,17),DATE($B$3,10,17),1,'Non-working days'!$A$6:$A$45)=0),"",IF(COUNTIFS('Leave log'!$A$7:$A$306,Employees!$A$8,'Leave log'!$B$7:$B$306,"&lt;="&amp;DATE($B$3,10,17),'Leave log'!$C$7:$C$306,"&gt;="&amp;DATE($B$3,10,17),'Leave log'!$F$7:$F$306,"Approved")&gt;0,"A",""))="A","A",IF(OR(DATE($B$3,10,17)&gt;EOMONTH(DATE($B$3,10,1),0),NETWORKDAYS.INTL(DATE($B$3,10,17),DATE($B$3,10,17),1,'Non-working days'!$A$6:$A$45)=0),"",IF(COUNTIFS('Leave log'!$A$7:$A$306,Employees!$A$8,'Leave log'!$B$7:$B$306,"&lt;="&amp;DATE($B$3,10,17),'Leave log'!$C$7:$C$306,"&gt;="&amp;DATE($B$3,10,17),'Leave log'!$F$7:$F$306,"Pending")&gt;0,"P",""))))</f>
        <v/>
      </c>
      <c r="S315" s="23" t="str">
        <f>IF(A315="","",IF(IF(OR(DATE($B$3,10,18)&gt;EOMONTH(DATE($B$3,10,1),0),NETWORKDAYS.INTL(DATE($B$3,10,18),DATE($B$3,10,18),1,'Non-working days'!$A$6:$A$45)=0),"",IF(COUNTIFS('Leave log'!$A$7:$A$306,Employees!$A$8,'Leave log'!$B$7:$B$306,"&lt;="&amp;DATE($B$3,10,18),'Leave log'!$C$7:$C$306,"&gt;="&amp;DATE($B$3,10,18),'Leave log'!$F$7:$F$306,"Approved")&gt;0,"A",""))="A","A",IF(OR(DATE($B$3,10,18)&gt;EOMONTH(DATE($B$3,10,1),0),NETWORKDAYS.INTL(DATE($B$3,10,18),DATE($B$3,10,18),1,'Non-working days'!$A$6:$A$45)=0),"",IF(COUNTIFS('Leave log'!$A$7:$A$306,Employees!$A$8,'Leave log'!$B$7:$B$306,"&lt;="&amp;DATE($B$3,10,18),'Leave log'!$C$7:$C$306,"&gt;="&amp;DATE($B$3,10,18),'Leave log'!$F$7:$F$306,"Pending")&gt;0,"P",""))))</f>
        <v/>
      </c>
      <c r="T315" s="23" t="str">
        <f>IF(A315="","",IF(IF(OR(DATE($B$3,10,19)&gt;EOMONTH(DATE($B$3,10,1),0),NETWORKDAYS.INTL(DATE($B$3,10,19),DATE($B$3,10,19),1,'Non-working days'!$A$6:$A$45)=0),"",IF(COUNTIFS('Leave log'!$A$7:$A$306,Employees!$A$8,'Leave log'!$B$7:$B$306,"&lt;="&amp;DATE($B$3,10,19),'Leave log'!$C$7:$C$306,"&gt;="&amp;DATE($B$3,10,19),'Leave log'!$F$7:$F$306,"Approved")&gt;0,"A",""))="A","A",IF(OR(DATE($B$3,10,19)&gt;EOMONTH(DATE($B$3,10,1),0),NETWORKDAYS.INTL(DATE($B$3,10,19),DATE($B$3,10,19),1,'Non-working days'!$A$6:$A$45)=0),"",IF(COUNTIFS('Leave log'!$A$7:$A$306,Employees!$A$8,'Leave log'!$B$7:$B$306,"&lt;="&amp;DATE($B$3,10,19),'Leave log'!$C$7:$C$306,"&gt;="&amp;DATE($B$3,10,19),'Leave log'!$F$7:$F$306,"Pending")&gt;0,"P",""))))</f>
        <v/>
      </c>
      <c r="U315" s="23" t="str">
        <f>IF(A315="","",IF(IF(OR(DATE($B$3,10,20)&gt;EOMONTH(DATE($B$3,10,1),0),NETWORKDAYS.INTL(DATE($B$3,10,20),DATE($B$3,10,20),1,'Non-working days'!$A$6:$A$45)=0),"",IF(COUNTIFS('Leave log'!$A$7:$A$306,Employees!$A$8,'Leave log'!$B$7:$B$306,"&lt;="&amp;DATE($B$3,10,20),'Leave log'!$C$7:$C$306,"&gt;="&amp;DATE($B$3,10,20),'Leave log'!$F$7:$F$306,"Approved")&gt;0,"A",""))="A","A",IF(OR(DATE($B$3,10,20)&gt;EOMONTH(DATE($B$3,10,1),0),NETWORKDAYS.INTL(DATE($B$3,10,20),DATE($B$3,10,20),1,'Non-working days'!$A$6:$A$45)=0),"",IF(COUNTIFS('Leave log'!$A$7:$A$306,Employees!$A$8,'Leave log'!$B$7:$B$306,"&lt;="&amp;DATE($B$3,10,20),'Leave log'!$C$7:$C$306,"&gt;="&amp;DATE($B$3,10,20),'Leave log'!$F$7:$F$306,"Pending")&gt;0,"P",""))))</f>
        <v/>
      </c>
      <c r="V315" s="23" t="str">
        <f>IF(A315="","",IF(IF(OR(DATE($B$3,10,21)&gt;EOMONTH(DATE($B$3,10,1),0),NETWORKDAYS.INTL(DATE($B$3,10,21),DATE($B$3,10,21),1,'Non-working days'!$A$6:$A$45)=0),"",IF(COUNTIFS('Leave log'!$A$7:$A$306,Employees!$A$8,'Leave log'!$B$7:$B$306,"&lt;="&amp;DATE($B$3,10,21),'Leave log'!$C$7:$C$306,"&gt;="&amp;DATE($B$3,10,21),'Leave log'!$F$7:$F$306,"Approved")&gt;0,"A",""))="A","A",IF(OR(DATE($B$3,10,21)&gt;EOMONTH(DATE($B$3,10,1),0),NETWORKDAYS.INTL(DATE($B$3,10,21),DATE($B$3,10,21),1,'Non-working days'!$A$6:$A$45)=0),"",IF(COUNTIFS('Leave log'!$A$7:$A$306,Employees!$A$8,'Leave log'!$B$7:$B$306,"&lt;="&amp;DATE($B$3,10,21),'Leave log'!$C$7:$C$306,"&gt;="&amp;DATE($B$3,10,21),'Leave log'!$F$7:$F$306,"Pending")&gt;0,"P",""))))</f>
        <v/>
      </c>
      <c r="W315" s="23" t="str">
        <f>IF(A315="","",IF(IF(OR(DATE($B$3,10,22)&gt;EOMONTH(DATE($B$3,10,1),0),NETWORKDAYS.INTL(DATE($B$3,10,22),DATE($B$3,10,22),1,'Non-working days'!$A$6:$A$45)=0),"",IF(COUNTIFS('Leave log'!$A$7:$A$306,Employees!$A$8,'Leave log'!$B$7:$B$306,"&lt;="&amp;DATE($B$3,10,22),'Leave log'!$C$7:$C$306,"&gt;="&amp;DATE($B$3,10,22),'Leave log'!$F$7:$F$306,"Approved")&gt;0,"A",""))="A","A",IF(OR(DATE($B$3,10,22)&gt;EOMONTH(DATE($B$3,10,1),0),NETWORKDAYS.INTL(DATE($B$3,10,22),DATE($B$3,10,22),1,'Non-working days'!$A$6:$A$45)=0),"",IF(COUNTIFS('Leave log'!$A$7:$A$306,Employees!$A$8,'Leave log'!$B$7:$B$306,"&lt;="&amp;DATE($B$3,10,22),'Leave log'!$C$7:$C$306,"&gt;="&amp;DATE($B$3,10,22),'Leave log'!$F$7:$F$306,"Pending")&gt;0,"P",""))))</f>
        <v/>
      </c>
      <c r="X315" s="23" t="str">
        <f>IF(A315="","",IF(IF(OR(DATE($B$3,10,23)&gt;EOMONTH(DATE($B$3,10,1),0),NETWORKDAYS.INTL(DATE($B$3,10,23),DATE($B$3,10,23),1,'Non-working days'!$A$6:$A$45)=0),"",IF(COUNTIFS('Leave log'!$A$7:$A$306,Employees!$A$8,'Leave log'!$B$7:$B$306,"&lt;="&amp;DATE($B$3,10,23),'Leave log'!$C$7:$C$306,"&gt;="&amp;DATE($B$3,10,23),'Leave log'!$F$7:$F$306,"Approved")&gt;0,"A",""))="A","A",IF(OR(DATE($B$3,10,23)&gt;EOMONTH(DATE($B$3,10,1),0),NETWORKDAYS.INTL(DATE($B$3,10,23),DATE($B$3,10,23),1,'Non-working days'!$A$6:$A$45)=0),"",IF(COUNTIFS('Leave log'!$A$7:$A$306,Employees!$A$8,'Leave log'!$B$7:$B$306,"&lt;="&amp;DATE($B$3,10,23),'Leave log'!$C$7:$C$306,"&gt;="&amp;DATE($B$3,10,23),'Leave log'!$F$7:$F$306,"Pending")&gt;0,"P",""))))</f>
        <v/>
      </c>
      <c r="Y315" s="23" t="str">
        <f>IF(A315="","",IF(IF(OR(DATE($B$3,10,24)&gt;EOMONTH(DATE($B$3,10,1),0),NETWORKDAYS.INTL(DATE($B$3,10,24),DATE($B$3,10,24),1,'Non-working days'!$A$6:$A$45)=0),"",IF(COUNTIFS('Leave log'!$A$7:$A$306,Employees!$A$8,'Leave log'!$B$7:$B$306,"&lt;="&amp;DATE($B$3,10,24),'Leave log'!$C$7:$C$306,"&gt;="&amp;DATE($B$3,10,24),'Leave log'!$F$7:$F$306,"Approved")&gt;0,"A",""))="A","A",IF(OR(DATE($B$3,10,24)&gt;EOMONTH(DATE($B$3,10,1),0),NETWORKDAYS.INTL(DATE($B$3,10,24),DATE($B$3,10,24),1,'Non-working days'!$A$6:$A$45)=0),"",IF(COUNTIFS('Leave log'!$A$7:$A$306,Employees!$A$8,'Leave log'!$B$7:$B$306,"&lt;="&amp;DATE($B$3,10,24),'Leave log'!$C$7:$C$306,"&gt;="&amp;DATE($B$3,10,24),'Leave log'!$F$7:$F$306,"Pending")&gt;0,"P",""))))</f>
        <v/>
      </c>
      <c r="Z315" s="23" t="str">
        <f>IF(A315="","",IF(IF(OR(DATE($B$3,10,25)&gt;EOMONTH(DATE($B$3,10,1),0),NETWORKDAYS.INTL(DATE($B$3,10,25),DATE($B$3,10,25),1,'Non-working days'!$A$6:$A$45)=0),"",IF(COUNTIFS('Leave log'!$A$7:$A$306,Employees!$A$8,'Leave log'!$B$7:$B$306,"&lt;="&amp;DATE($B$3,10,25),'Leave log'!$C$7:$C$306,"&gt;="&amp;DATE($B$3,10,25),'Leave log'!$F$7:$F$306,"Approved")&gt;0,"A",""))="A","A",IF(OR(DATE($B$3,10,25)&gt;EOMONTH(DATE($B$3,10,1),0),NETWORKDAYS.INTL(DATE($B$3,10,25),DATE($B$3,10,25),1,'Non-working days'!$A$6:$A$45)=0),"",IF(COUNTIFS('Leave log'!$A$7:$A$306,Employees!$A$8,'Leave log'!$B$7:$B$306,"&lt;="&amp;DATE($B$3,10,25),'Leave log'!$C$7:$C$306,"&gt;="&amp;DATE($B$3,10,25),'Leave log'!$F$7:$F$306,"Pending")&gt;0,"P",""))))</f>
        <v/>
      </c>
      <c r="AA315" s="23" t="str">
        <f>IF(A315="","",IF(IF(OR(DATE($B$3,10,26)&gt;EOMONTH(DATE($B$3,10,1),0),NETWORKDAYS.INTL(DATE($B$3,10,26),DATE($B$3,10,26),1,'Non-working days'!$A$6:$A$45)=0),"",IF(COUNTIFS('Leave log'!$A$7:$A$306,Employees!$A$8,'Leave log'!$B$7:$B$306,"&lt;="&amp;DATE($B$3,10,26),'Leave log'!$C$7:$C$306,"&gt;="&amp;DATE($B$3,10,26),'Leave log'!$F$7:$F$306,"Approved")&gt;0,"A",""))="A","A",IF(OR(DATE($B$3,10,26)&gt;EOMONTH(DATE($B$3,10,1),0),NETWORKDAYS.INTL(DATE($B$3,10,26),DATE($B$3,10,26),1,'Non-working days'!$A$6:$A$45)=0),"",IF(COUNTIFS('Leave log'!$A$7:$A$306,Employees!$A$8,'Leave log'!$B$7:$B$306,"&lt;="&amp;DATE($B$3,10,26),'Leave log'!$C$7:$C$306,"&gt;="&amp;DATE($B$3,10,26),'Leave log'!$F$7:$F$306,"Pending")&gt;0,"P",""))))</f>
        <v/>
      </c>
      <c r="AB315" s="23" t="str">
        <f>IF(A315="","",IF(IF(OR(DATE($B$3,10,27)&gt;EOMONTH(DATE($B$3,10,1),0),NETWORKDAYS.INTL(DATE($B$3,10,27),DATE($B$3,10,27),1,'Non-working days'!$A$6:$A$45)=0),"",IF(COUNTIFS('Leave log'!$A$7:$A$306,Employees!$A$8,'Leave log'!$B$7:$B$306,"&lt;="&amp;DATE($B$3,10,27),'Leave log'!$C$7:$C$306,"&gt;="&amp;DATE($B$3,10,27),'Leave log'!$F$7:$F$306,"Approved")&gt;0,"A",""))="A","A",IF(OR(DATE($B$3,10,27)&gt;EOMONTH(DATE($B$3,10,1),0),NETWORKDAYS.INTL(DATE($B$3,10,27),DATE($B$3,10,27),1,'Non-working days'!$A$6:$A$45)=0),"",IF(COUNTIFS('Leave log'!$A$7:$A$306,Employees!$A$8,'Leave log'!$B$7:$B$306,"&lt;="&amp;DATE($B$3,10,27),'Leave log'!$C$7:$C$306,"&gt;="&amp;DATE($B$3,10,27),'Leave log'!$F$7:$F$306,"Pending")&gt;0,"P",""))))</f>
        <v/>
      </c>
      <c r="AC315" s="23" t="str">
        <f>IF(A315="","",IF(IF(OR(DATE($B$3,10,28)&gt;EOMONTH(DATE($B$3,10,1),0),NETWORKDAYS.INTL(DATE($B$3,10,28),DATE($B$3,10,28),1,'Non-working days'!$A$6:$A$45)=0),"",IF(COUNTIFS('Leave log'!$A$7:$A$306,Employees!$A$8,'Leave log'!$B$7:$B$306,"&lt;="&amp;DATE($B$3,10,28),'Leave log'!$C$7:$C$306,"&gt;="&amp;DATE($B$3,10,28),'Leave log'!$F$7:$F$306,"Approved")&gt;0,"A",""))="A","A",IF(OR(DATE($B$3,10,28)&gt;EOMONTH(DATE($B$3,10,1),0),NETWORKDAYS.INTL(DATE($B$3,10,28),DATE($B$3,10,28),1,'Non-working days'!$A$6:$A$45)=0),"",IF(COUNTIFS('Leave log'!$A$7:$A$306,Employees!$A$8,'Leave log'!$B$7:$B$306,"&lt;="&amp;DATE($B$3,10,28),'Leave log'!$C$7:$C$306,"&gt;="&amp;DATE($B$3,10,28),'Leave log'!$F$7:$F$306,"Pending")&gt;0,"P",""))))</f>
        <v/>
      </c>
      <c r="AD315" s="23" t="str">
        <f>IF(A315="","",IF(IF(OR(DATE($B$3,10,29)&gt;EOMONTH(DATE($B$3,10,1),0),NETWORKDAYS.INTL(DATE($B$3,10,29),DATE($B$3,10,29),1,'Non-working days'!$A$6:$A$45)=0),"",IF(COUNTIFS('Leave log'!$A$7:$A$306,Employees!$A$8,'Leave log'!$B$7:$B$306,"&lt;="&amp;DATE($B$3,10,29),'Leave log'!$C$7:$C$306,"&gt;="&amp;DATE($B$3,10,29),'Leave log'!$F$7:$F$306,"Approved")&gt;0,"A",""))="A","A",IF(OR(DATE($B$3,10,29)&gt;EOMONTH(DATE($B$3,10,1),0),NETWORKDAYS.INTL(DATE($B$3,10,29),DATE($B$3,10,29),1,'Non-working days'!$A$6:$A$45)=0),"",IF(COUNTIFS('Leave log'!$A$7:$A$306,Employees!$A$8,'Leave log'!$B$7:$B$306,"&lt;="&amp;DATE($B$3,10,29),'Leave log'!$C$7:$C$306,"&gt;="&amp;DATE($B$3,10,29),'Leave log'!$F$7:$F$306,"Pending")&gt;0,"P",""))))</f>
        <v/>
      </c>
      <c r="AE315" s="23" t="str">
        <f>IF(A315="","",IF(IF(OR(DATE($B$3,10,30)&gt;EOMONTH(DATE($B$3,10,1),0),NETWORKDAYS.INTL(DATE($B$3,10,30),DATE($B$3,10,30),1,'Non-working days'!$A$6:$A$45)=0),"",IF(COUNTIFS('Leave log'!$A$7:$A$306,Employees!$A$8,'Leave log'!$B$7:$B$306,"&lt;="&amp;DATE($B$3,10,30),'Leave log'!$C$7:$C$306,"&gt;="&amp;DATE($B$3,10,30),'Leave log'!$F$7:$F$306,"Approved")&gt;0,"A",""))="A","A",IF(OR(DATE($B$3,10,30)&gt;EOMONTH(DATE($B$3,10,1),0),NETWORKDAYS.INTL(DATE($B$3,10,30),DATE($B$3,10,30),1,'Non-working days'!$A$6:$A$45)=0),"",IF(COUNTIFS('Leave log'!$A$7:$A$306,Employees!$A$8,'Leave log'!$B$7:$B$306,"&lt;="&amp;DATE($B$3,10,30),'Leave log'!$C$7:$C$306,"&gt;="&amp;DATE($B$3,10,30),'Leave log'!$F$7:$F$306,"Pending")&gt;0,"P",""))))</f>
        <v/>
      </c>
      <c r="AF315" s="23" t="str">
        <f>IF(A315="","",IF(IF(OR(DATE($B$3,10,31)&gt;EOMONTH(DATE($B$3,10,1),0),NETWORKDAYS.INTL(DATE($B$3,10,31),DATE($B$3,10,31),1,'Non-working days'!$A$6:$A$45)=0),"",IF(COUNTIFS('Leave log'!$A$7:$A$306,Employees!$A$8,'Leave log'!$B$7:$B$306,"&lt;="&amp;DATE($B$3,10,31),'Leave log'!$C$7:$C$306,"&gt;="&amp;DATE($B$3,10,31),'Leave log'!$F$7:$F$306,"Approved")&gt;0,"A",""))="A","A",IF(OR(DATE($B$3,10,31)&gt;EOMONTH(DATE($B$3,10,1),0),NETWORKDAYS.INTL(DATE($B$3,10,31),DATE($B$3,10,31),1,'Non-working days'!$A$6:$A$45)=0),"",IF(COUNTIFS('Leave log'!$A$7:$A$306,Employees!$A$8,'Leave log'!$B$7:$B$306,"&lt;="&amp;DATE($B$3,10,31),'Leave log'!$C$7:$C$306,"&gt;="&amp;DATE($B$3,10,31),'Leave log'!$F$7:$F$306,"Pending")&gt;0,"P",""))))</f>
        <v/>
      </c>
    </row>
    <row r="316" spans="1:32" ht="18" customHeight="1" x14ac:dyDescent="0.3">
      <c r="A316" s="22" t="str">
        <f>IF(Employees!F9="Yes",Employees!B9,"")</f>
        <v/>
      </c>
      <c r="B316" s="23" t="str">
        <f>IF(A316="","",IF(IF(OR(DATE($B$3,10,1)&gt;EOMONTH(DATE($B$3,10,1),0),NETWORKDAYS.INTL(DATE($B$3,10,1),DATE($B$3,10,1),1,'Non-working days'!$A$6:$A$45)=0),"",IF(COUNTIFS('Leave log'!$A$7:$A$306,Employees!$A$9,'Leave log'!$B$7:$B$306,"&lt;="&amp;DATE($B$3,10,1),'Leave log'!$C$7:$C$306,"&gt;="&amp;DATE($B$3,10,1),'Leave log'!$F$7:$F$306,"Approved")&gt;0,"A",""))="A","A",IF(OR(DATE($B$3,10,1)&gt;EOMONTH(DATE($B$3,10,1),0),NETWORKDAYS.INTL(DATE($B$3,10,1),DATE($B$3,10,1),1,'Non-working days'!$A$6:$A$45)=0),"",IF(COUNTIFS('Leave log'!$A$7:$A$306,Employees!$A$9,'Leave log'!$B$7:$B$306,"&lt;="&amp;DATE($B$3,10,1),'Leave log'!$C$7:$C$306,"&gt;="&amp;DATE($B$3,10,1),'Leave log'!$F$7:$F$306,"Pending")&gt;0,"P",""))))</f>
        <v/>
      </c>
      <c r="C316" s="23" t="str">
        <f>IF(A316="","",IF(IF(OR(DATE($B$3,10,2)&gt;EOMONTH(DATE($B$3,10,1),0),NETWORKDAYS.INTL(DATE($B$3,10,2),DATE($B$3,10,2),1,'Non-working days'!$A$6:$A$45)=0),"",IF(COUNTIFS('Leave log'!$A$7:$A$306,Employees!$A$9,'Leave log'!$B$7:$B$306,"&lt;="&amp;DATE($B$3,10,2),'Leave log'!$C$7:$C$306,"&gt;="&amp;DATE($B$3,10,2),'Leave log'!$F$7:$F$306,"Approved")&gt;0,"A",""))="A","A",IF(OR(DATE($B$3,10,2)&gt;EOMONTH(DATE($B$3,10,1),0),NETWORKDAYS.INTL(DATE($B$3,10,2),DATE($B$3,10,2),1,'Non-working days'!$A$6:$A$45)=0),"",IF(COUNTIFS('Leave log'!$A$7:$A$306,Employees!$A$9,'Leave log'!$B$7:$B$306,"&lt;="&amp;DATE($B$3,10,2),'Leave log'!$C$7:$C$306,"&gt;="&amp;DATE($B$3,10,2),'Leave log'!$F$7:$F$306,"Pending")&gt;0,"P",""))))</f>
        <v/>
      </c>
      <c r="D316" s="23" t="str">
        <f>IF(A316="","",IF(IF(OR(DATE($B$3,10,3)&gt;EOMONTH(DATE($B$3,10,1),0),NETWORKDAYS.INTL(DATE($B$3,10,3),DATE($B$3,10,3),1,'Non-working days'!$A$6:$A$45)=0),"",IF(COUNTIFS('Leave log'!$A$7:$A$306,Employees!$A$9,'Leave log'!$B$7:$B$306,"&lt;="&amp;DATE($B$3,10,3),'Leave log'!$C$7:$C$306,"&gt;="&amp;DATE($B$3,10,3),'Leave log'!$F$7:$F$306,"Approved")&gt;0,"A",""))="A","A",IF(OR(DATE($B$3,10,3)&gt;EOMONTH(DATE($B$3,10,1),0),NETWORKDAYS.INTL(DATE($B$3,10,3),DATE($B$3,10,3),1,'Non-working days'!$A$6:$A$45)=0),"",IF(COUNTIFS('Leave log'!$A$7:$A$306,Employees!$A$9,'Leave log'!$B$7:$B$306,"&lt;="&amp;DATE($B$3,10,3),'Leave log'!$C$7:$C$306,"&gt;="&amp;DATE($B$3,10,3),'Leave log'!$F$7:$F$306,"Pending")&gt;0,"P",""))))</f>
        <v/>
      </c>
      <c r="E316" s="23" t="str">
        <f>IF(A316="","",IF(IF(OR(DATE($B$3,10,4)&gt;EOMONTH(DATE($B$3,10,1),0),NETWORKDAYS.INTL(DATE($B$3,10,4),DATE($B$3,10,4),1,'Non-working days'!$A$6:$A$45)=0),"",IF(COUNTIFS('Leave log'!$A$7:$A$306,Employees!$A$9,'Leave log'!$B$7:$B$306,"&lt;="&amp;DATE($B$3,10,4),'Leave log'!$C$7:$C$306,"&gt;="&amp;DATE($B$3,10,4),'Leave log'!$F$7:$F$306,"Approved")&gt;0,"A",""))="A","A",IF(OR(DATE($B$3,10,4)&gt;EOMONTH(DATE($B$3,10,1),0),NETWORKDAYS.INTL(DATE($B$3,10,4),DATE($B$3,10,4),1,'Non-working days'!$A$6:$A$45)=0),"",IF(COUNTIFS('Leave log'!$A$7:$A$306,Employees!$A$9,'Leave log'!$B$7:$B$306,"&lt;="&amp;DATE($B$3,10,4),'Leave log'!$C$7:$C$306,"&gt;="&amp;DATE($B$3,10,4),'Leave log'!$F$7:$F$306,"Pending")&gt;0,"P",""))))</f>
        <v/>
      </c>
      <c r="F316" s="23" t="str">
        <f>IF(A316="","",IF(IF(OR(DATE($B$3,10,5)&gt;EOMONTH(DATE($B$3,10,1),0),NETWORKDAYS.INTL(DATE($B$3,10,5),DATE($B$3,10,5),1,'Non-working days'!$A$6:$A$45)=0),"",IF(COUNTIFS('Leave log'!$A$7:$A$306,Employees!$A$9,'Leave log'!$B$7:$B$306,"&lt;="&amp;DATE($B$3,10,5),'Leave log'!$C$7:$C$306,"&gt;="&amp;DATE($B$3,10,5),'Leave log'!$F$7:$F$306,"Approved")&gt;0,"A",""))="A","A",IF(OR(DATE($B$3,10,5)&gt;EOMONTH(DATE($B$3,10,1),0),NETWORKDAYS.INTL(DATE($B$3,10,5),DATE($B$3,10,5),1,'Non-working days'!$A$6:$A$45)=0),"",IF(COUNTIFS('Leave log'!$A$7:$A$306,Employees!$A$9,'Leave log'!$B$7:$B$306,"&lt;="&amp;DATE($B$3,10,5),'Leave log'!$C$7:$C$306,"&gt;="&amp;DATE($B$3,10,5),'Leave log'!$F$7:$F$306,"Pending")&gt;0,"P",""))))</f>
        <v/>
      </c>
      <c r="G316" s="23" t="str">
        <f>IF(A316="","",IF(IF(OR(DATE($B$3,10,6)&gt;EOMONTH(DATE($B$3,10,1),0),NETWORKDAYS.INTL(DATE($B$3,10,6),DATE($B$3,10,6),1,'Non-working days'!$A$6:$A$45)=0),"",IF(COUNTIFS('Leave log'!$A$7:$A$306,Employees!$A$9,'Leave log'!$B$7:$B$306,"&lt;="&amp;DATE($B$3,10,6),'Leave log'!$C$7:$C$306,"&gt;="&amp;DATE($B$3,10,6),'Leave log'!$F$7:$F$306,"Approved")&gt;0,"A",""))="A","A",IF(OR(DATE($B$3,10,6)&gt;EOMONTH(DATE($B$3,10,1),0),NETWORKDAYS.INTL(DATE($B$3,10,6),DATE($B$3,10,6),1,'Non-working days'!$A$6:$A$45)=0),"",IF(COUNTIFS('Leave log'!$A$7:$A$306,Employees!$A$9,'Leave log'!$B$7:$B$306,"&lt;="&amp;DATE($B$3,10,6),'Leave log'!$C$7:$C$306,"&gt;="&amp;DATE($B$3,10,6),'Leave log'!$F$7:$F$306,"Pending")&gt;0,"P",""))))</f>
        <v/>
      </c>
      <c r="H316" s="23" t="str">
        <f>IF(A316="","",IF(IF(OR(DATE($B$3,10,7)&gt;EOMONTH(DATE($B$3,10,1),0),NETWORKDAYS.INTL(DATE($B$3,10,7),DATE($B$3,10,7),1,'Non-working days'!$A$6:$A$45)=0),"",IF(COUNTIFS('Leave log'!$A$7:$A$306,Employees!$A$9,'Leave log'!$B$7:$B$306,"&lt;="&amp;DATE($B$3,10,7),'Leave log'!$C$7:$C$306,"&gt;="&amp;DATE($B$3,10,7),'Leave log'!$F$7:$F$306,"Approved")&gt;0,"A",""))="A","A",IF(OR(DATE($B$3,10,7)&gt;EOMONTH(DATE($B$3,10,1),0),NETWORKDAYS.INTL(DATE($B$3,10,7),DATE($B$3,10,7),1,'Non-working days'!$A$6:$A$45)=0),"",IF(COUNTIFS('Leave log'!$A$7:$A$306,Employees!$A$9,'Leave log'!$B$7:$B$306,"&lt;="&amp;DATE($B$3,10,7),'Leave log'!$C$7:$C$306,"&gt;="&amp;DATE($B$3,10,7),'Leave log'!$F$7:$F$306,"Pending")&gt;0,"P",""))))</f>
        <v/>
      </c>
      <c r="I316" s="23" t="str">
        <f>IF(A316="","",IF(IF(OR(DATE($B$3,10,8)&gt;EOMONTH(DATE($B$3,10,1),0),NETWORKDAYS.INTL(DATE($B$3,10,8),DATE($B$3,10,8),1,'Non-working days'!$A$6:$A$45)=0),"",IF(COUNTIFS('Leave log'!$A$7:$A$306,Employees!$A$9,'Leave log'!$B$7:$B$306,"&lt;="&amp;DATE($B$3,10,8),'Leave log'!$C$7:$C$306,"&gt;="&amp;DATE($B$3,10,8),'Leave log'!$F$7:$F$306,"Approved")&gt;0,"A",""))="A","A",IF(OR(DATE($B$3,10,8)&gt;EOMONTH(DATE($B$3,10,1),0),NETWORKDAYS.INTL(DATE($B$3,10,8),DATE($B$3,10,8),1,'Non-working days'!$A$6:$A$45)=0),"",IF(COUNTIFS('Leave log'!$A$7:$A$306,Employees!$A$9,'Leave log'!$B$7:$B$306,"&lt;="&amp;DATE($B$3,10,8),'Leave log'!$C$7:$C$306,"&gt;="&amp;DATE($B$3,10,8),'Leave log'!$F$7:$F$306,"Pending")&gt;0,"P",""))))</f>
        <v/>
      </c>
      <c r="J316" s="23" t="str">
        <f>IF(A316="","",IF(IF(OR(DATE($B$3,10,9)&gt;EOMONTH(DATE($B$3,10,1),0),NETWORKDAYS.INTL(DATE($B$3,10,9),DATE($B$3,10,9),1,'Non-working days'!$A$6:$A$45)=0),"",IF(COUNTIFS('Leave log'!$A$7:$A$306,Employees!$A$9,'Leave log'!$B$7:$B$306,"&lt;="&amp;DATE($B$3,10,9),'Leave log'!$C$7:$C$306,"&gt;="&amp;DATE($B$3,10,9),'Leave log'!$F$7:$F$306,"Approved")&gt;0,"A",""))="A","A",IF(OR(DATE($B$3,10,9)&gt;EOMONTH(DATE($B$3,10,1),0),NETWORKDAYS.INTL(DATE($B$3,10,9),DATE($B$3,10,9),1,'Non-working days'!$A$6:$A$45)=0),"",IF(COUNTIFS('Leave log'!$A$7:$A$306,Employees!$A$9,'Leave log'!$B$7:$B$306,"&lt;="&amp;DATE($B$3,10,9),'Leave log'!$C$7:$C$306,"&gt;="&amp;DATE($B$3,10,9),'Leave log'!$F$7:$F$306,"Pending")&gt;0,"P",""))))</f>
        <v/>
      </c>
      <c r="K316" s="23" t="str">
        <f>IF(A316="","",IF(IF(OR(DATE($B$3,10,10)&gt;EOMONTH(DATE($B$3,10,1),0),NETWORKDAYS.INTL(DATE($B$3,10,10),DATE($B$3,10,10),1,'Non-working days'!$A$6:$A$45)=0),"",IF(COUNTIFS('Leave log'!$A$7:$A$306,Employees!$A$9,'Leave log'!$B$7:$B$306,"&lt;="&amp;DATE($B$3,10,10),'Leave log'!$C$7:$C$306,"&gt;="&amp;DATE($B$3,10,10),'Leave log'!$F$7:$F$306,"Approved")&gt;0,"A",""))="A","A",IF(OR(DATE($B$3,10,10)&gt;EOMONTH(DATE($B$3,10,1),0),NETWORKDAYS.INTL(DATE($B$3,10,10),DATE($B$3,10,10),1,'Non-working days'!$A$6:$A$45)=0),"",IF(COUNTIFS('Leave log'!$A$7:$A$306,Employees!$A$9,'Leave log'!$B$7:$B$306,"&lt;="&amp;DATE($B$3,10,10),'Leave log'!$C$7:$C$306,"&gt;="&amp;DATE($B$3,10,10),'Leave log'!$F$7:$F$306,"Pending")&gt;0,"P",""))))</f>
        <v/>
      </c>
      <c r="L316" s="23" t="str">
        <f>IF(A316="","",IF(IF(OR(DATE($B$3,10,11)&gt;EOMONTH(DATE($B$3,10,1),0),NETWORKDAYS.INTL(DATE($B$3,10,11),DATE($B$3,10,11),1,'Non-working days'!$A$6:$A$45)=0),"",IF(COUNTIFS('Leave log'!$A$7:$A$306,Employees!$A$9,'Leave log'!$B$7:$B$306,"&lt;="&amp;DATE($B$3,10,11),'Leave log'!$C$7:$C$306,"&gt;="&amp;DATE($B$3,10,11),'Leave log'!$F$7:$F$306,"Approved")&gt;0,"A",""))="A","A",IF(OR(DATE($B$3,10,11)&gt;EOMONTH(DATE($B$3,10,1),0),NETWORKDAYS.INTL(DATE($B$3,10,11),DATE($B$3,10,11),1,'Non-working days'!$A$6:$A$45)=0),"",IF(COUNTIFS('Leave log'!$A$7:$A$306,Employees!$A$9,'Leave log'!$B$7:$B$306,"&lt;="&amp;DATE($B$3,10,11),'Leave log'!$C$7:$C$306,"&gt;="&amp;DATE($B$3,10,11),'Leave log'!$F$7:$F$306,"Pending")&gt;0,"P",""))))</f>
        <v/>
      </c>
      <c r="M316" s="23" t="str">
        <f>IF(A316="","",IF(IF(OR(DATE($B$3,10,12)&gt;EOMONTH(DATE($B$3,10,1),0),NETWORKDAYS.INTL(DATE($B$3,10,12),DATE($B$3,10,12),1,'Non-working days'!$A$6:$A$45)=0),"",IF(COUNTIFS('Leave log'!$A$7:$A$306,Employees!$A$9,'Leave log'!$B$7:$B$306,"&lt;="&amp;DATE($B$3,10,12),'Leave log'!$C$7:$C$306,"&gt;="&amp;DATE($B$3,10,12),'Leave log'!$F$7:$F$306,"Approved")&gt;0,"A",""))="A","A",IF(OR(DATE($B$3,10,12)&gt;EOMONTH(DATE($B$3,10,1),0),NETWORKDAYS.INTL(DATE($B$3,10,12),DATE($B$3,10,12),1,'Non-working days'!$A$6:$A$45)=0),"",IF(COUNTIFS('Leave log'!$A$7:$A$306,Employees!$A$9,'Leave log'!$B$7:$B$306,"&lt;="&amp;DATE($B$3,10,12),'Leave log'!$C$7:$C$306,"&gt;="&amp;DATE($B$3,10,12),'Leave log'!$F$7:$F$306,"Pending")&gt;0,"P",""))))</f>
        <v/>
      </c>
      <c r="N316" s="23" t="str">
        <f>IF(A316="","",IF(IF(OR(DATE($B$3,10,13)&gt;EOMONTH(DATE($B$3,10,1),0),NETWORKDAYS.INTL(DATE($B$3,10,13),DATE($B$3,10,13),1,'Non-working days'!$A$6:$A$45)=0),"",IF(COUNTIFS('Leave log'!$A$7:$A$306,Employees!$A$9,'Leave log'!$B$7:$B$306,"&lt;="&amp;DATE($B$3,10,13),'Leave log'!$C$7:$C$306,"&gt;="&amp;DATE($B$3,10,13),'Leave log'!$F$7:$F$306,"Approved")&gt;0,"A",""))="A","A",IF(OR(DATE($B$3,10,13)&gt;EOMONTH(DATE($B$3,10,1),0),NETWORKDAYS.INTL(DATE($B$3,10,13),DATE($B$3,10,13),1,'Non-working days'!$A$6:$A$45)=0),"",IF(COUNTIFS('Leave log'!$A$7:$A$306,Employees!$A$9,'Leave log'!$B$7:$B$306,"&lt;="&amp;DATE($B$3,10,13),'Leave log'!$C$7:$C$306,"&gt;="&amp;DATE($B$3,10,13),'Leave log'!$F$7:$F$306,"Pending")&gt;0,"P",""))))</f>
        <v/>
      </c>
      <c r="O316" s="23" t="str">
        <f>IF(A316="","",IF(IF(OR(DATE($B$3,10,14)&gt;EOMONTH(DATE($B$3,10,1),0),NETWORKDAYS.INTL(DATE($B$3,10,14),DATE($B$3,10,14),1,'Non-working days'!$A$6:$A$45)=0),"",IF(COUNTIFS('Leave log'!$A$7:$A$306,Employees!$A$9,'Leave log'!$B$7:$B$306,"&lt;="&amp;DATE($B$3,10,14),'Leave log'!$C$7:$C$306,"&gt;="&amp;DATE($B$3,10,14),'Leave log'!$F$7:$F$306,"Approved")&gt;0,"A",""))="A","A",IF(OR(DATE($B$3,10,14)&gt;EOMONTH(DATE($B$3,10,1),0),NETWORKDAYS.INTL(DATE($B$3,10,14),DATE($B$3,10,14),1,'Non-working days'!$A$6:$A$45)=0),"",IF(COUNTIFS('Leave log'!$A$7:$A$306,Employees!$A$9,'Leave log'!$B$7:$B$306,"&lt;="&amp;DATE($B$3,10,14),'Leave log'!$C$7:$C$306,"&gt;="&amp;DATE($B$3,10,14),'Leave log'!$F$7:$F$306,"Pending")&gt;0,"P",""))))</f>
        <v/>
      </c>
      <c r="P316" s="23" t="str">
        <f>IF(A316="","",IF(IF(OR(DATE($B$3,10,15)&gt;EOMONTH(DATE($B$3,10,1),0),NETWORKDAYS.INTL(DATE($B$3,10,15),DATE($B$3,10,15),1,'Non-working days'!$A$6:$A$45)=0),"",IF(COUNTIFS('Leave log'!$A$7:$A$306,Employees!$A$9,'Leave log'!$B$7:$B$306,"&lt;="&amp;DATE($B$3,10,15),'Leave log'!$C$7:$C$306,"&gt;="&amp;DATE($B$3,10,15),'Leave log'!$F$7:$F$306,"Approved")&gt;0,"A",""))="A","A",IF(OR(DATE($B$3,10,15)&gt;EOMONTH(DATE($B$3,10,1),0),NETWORKDAYS.INTL(DATE($B$3,10,15),DATE($B$3,10,15),1,'Non-working days'!$A$6:$A$45)=0),"",IF(COUNTIFS('Leave log'!$A$7:$A$306,Employees!$A$9,'Leave log'!$B$7:$B$306,"&lt;="&amp;DATE($B$3,10,15),'Leave log'!$C$7:$C$306,"&gt;="&amp;DATE($B$3,10,15),'Leave log'!$F$7:$F$306,"Pending")&gt;0,"P",""))))</f>
        <v/>
      </c>
      <c r="Q316" s="23" t="str">
        <f>IF(A316="","",IF(IF(OR(DATE($B$3,10,16)&gt;EOMONTH(DATE($B$3,10,1),0),NETWORKDAYS.INTL(DATE($B$3,10,16),DATE($B$3,10,16),1,'Non-working days'!$A$6:$A$45)=0),"",IF(COUNTIFS('Leave log'!$A$7:$A$306,Employees!$A$9,'Leave log'!$B$7:$B$306,"&lt;="&amp;DATE($B$3,10,16),'Leave log'!$C$7:$C$306,"&gt;="&amp;DATE($B$3,10,16),'Leave log'!$F$7:$F$306,"Approved")&gt;0,"A",""))="A","A",IF(OR(DATE($B$3,10,16)&gt;EOMONTH(DATE($B$3,10,1),0),NETWORKDAYS.INTL(DATE($B$3,10,16),DATE($B$3,10,16),1,'Non-working days'!$A$6:$A$45)=0),"",IF(COUNTIFS('Leave log'!$A$7:$A$306,Employees!$A$9,'Leave log'!$B$7:$B$306,"&lt;="&amp;DATE($B$3,10,16),'Leave log'!$C$7:$C$306,"&gt;="&amp;DATE($B$3,10,16),'Leave log'!$F$7:$F$306,"Pending")&gt;0,"P",""))))</f>
        <v/>
      </c>
      <c r="R316" s="23" t="str">
        <f>IF(A316="","",IF(IF(OR(DATE($B$3,10,17)&gt;EOMONTH(DATE($B$3,10,1),0),NETWORKDAYS.INTL(DATE($B$3,10,17),DATE($B$3,10,17),1,'Non-working days'!$A$6:$A$45)=0),"",IF(COUNTIFS('Leave log'!$A$7:$A$306,Employees!$A$9,'Leave log'!$B$7:$B$306,"&lt;="&amp;DATE($B$3,10,17),'Leave log'!$C$7:$C$306,"&gt;="&amp;DATE($B$3,10,17),'Leave log'!$F$7:$F$306,"Approved")&gt;0,"A",""))="A","A",IF(OR(DATE($B$3,10,17)&gt;EOMONTH(DATE($B$3,10,1),0),NETWORKDAYS.INTL(DATE($B$3,10,17),DATE($B$3,10,17),1,'Non-working days'!$A$6:$A$45)=0),"",IF(COUNTIFS('Leave log'!$A$7:$A$306,Employees!$A$9,'Leave log'!$B$7:$B$306,"&lt;="&amp;DATE($B$3,10,17),'Leave log'!$C$7:$C$306,"&gt;="&amp;DATE($B$3,10,17),'Leave log'!$F$7:$F$306,"Pending")&gt;0,"P",""))))</f>
        <v/>
      </c>
      <c r="S316" s="23" t="str">
        <f>IF(A316="","",IF(IF(OR(DATE($B$3,10,18)&gt;EOMONTH(DATE($B$3,10,1),0),NETWORKDAYS.INTL(DATE($B$3,10,18),DATE($B$3,10,18),1,'Non-working days'!$A$6:$A$45)=0),"",IF(COUNTIFS('Leave log'!$A$7:$A$306,Employees!$A$9,'Leave log'!$B$7:$B$306,"&lt;="&amp;DATE($B$3,10,18),'Leave log'!$C$7:$C$306,"&gt;="&amp;DATE($B$3,10,18),'Leave log'!$F$7:$F$306,"Approved")&gt;0,"A",""))="A","A",IF(OR(DATE($B$3,10,18)&gt;EOMONTH(DATE($B$3,10,1),0),NETWORKDAYS.INTL(DATE($B$3,10,18),DATE($B$3,10,18),1,'Non-working days'!$A$6:$A$45)=0),"",IF(COUNTIFS('Leave log'!$A$7:$A$306,Employees!$A$9,'Leave log'!$B$7:$B$306,"&lt;="&amp;DATE($B$3,10,18),'Leave log'!$C$7:$C$306,"&gt;="&amp;DATE($B$3,10,18),'Leave log'!$F$7:$F$306,"Pending")&gt;0,"P",""))))</f>
        <v/>
      </c>
      <c r="T316" s="23" t="str">
        <f>IF(A316="","",IF(IF(OR(DATE($B$3,10,19)&gt;EOMONTH(DATE($B$3,10,1),0),NETWORKDAYS.INTL(DATE($B$3,10,19),DATE($B$3,10,19),1,'Non-working days'!$A$6:$A$45)=0),"",IF(COUNTIFS('Leave log'!$A$7:$A$306,Employees!$A$9,'Leave log'!$B$7:$B$306,"&lt;="&amp;DATE($B$3,10,19),'Leave log'!$C$7:$C$306,"&gt;="&amp;DATE($B$3,10,19),'Leave log'!$F$7:$F$306,"Approved")&gt;0,"A",""))="A","A",IF(OR(DATE($B$3,10,19)&gt;EOMONTH(DATE($B$3,10,1),0),NETWORKDAYS.INTL(DATE($B$3,10,19),DATE($B$3,10,19),1,'Non-working days'!$A$6:$A$45)=0),"",IF(COUNTIFS('Leave log'!$A$7:$A$306,Employees!$A$9,'Leave log'!$B$7:$B$306,"&lt;="&amp;DATE($B$3,10,19),'Leave log'!$C$7:$C$306,"&gt;="&amp;DATE($B$3,10,19),'Leave log'!$F$7:$F$306,"Pending")&gt;0,"P",""))))</f>
        <v/>
      </c>
      <c r="U316" s="23" t="str">
        <f>IF(A316="","",IF(IF(OR(DATE($B$3,10,20)&gt;EOMONTH(DATE($B$3,10,1),0),NETWORKDAYS.INTL(DATE($B$3,10,20),DATE($B$3,10,20),1,'Non-working days'!$A$6:$A$45)=0),"",IF(COUNTIFS('Leave log'!$A$7:$A$306,Employees!$A$9,'Leave log'!$B$7:$B$306,"&lt;="&amp;DATE($B$3,10,20),'Leave log'!$C$7:$C$306,"&gt;="&amp;DATE($B$3,10,20),'Leave log'!$F$7:$F$306,"Approved")&gt;0,"A",""))="A","A",IF(OR(DATE($B$3,10,20)&gt;EOMONTH(DATE($B$3,10,1),0),NETWORKDAYS.INTL(DATE($B$3,10,20),DATE($B$3,10,20),1,'Non-working days'!$A$6:$A$45)=0),"",IF(COUNTIFS('Leave log'!$A$7:$A$306,Employees!$A$9,'Leave log'!$B$7:$B$306,"&lt;="&amp;DATE($B$3,10,20),'Leave log'!$C$7:$C$306,"&gt;="&amp;DATE($B$3,10,20),'Leave log'!$F$7:$F$306,"Pending")&gt;0,"P",""))))</f>
        <v/>
      </c>
      <c r="V316" s="23" t="str">
        <f>IF(A316="","",IF(IF(OR(DATE($B$3,10,21)&gt;EOMONTH(DATE($B$3,10,1),0),NETWORKDAYS.INTL(DATE($B$3,10,21),DATE($B$3,10,21),1,'Non-working days'!$A$6:$A$45)=0),"",IF(COUNTIFS('Leave log'!$A$7:$A$306,Employees!$A$9,'Leave log'!$B$7:$B$306,"&lt;="&amp;DATE($B$3,10,21),'Leave log'!$C$7:$C$306,"&gt;="&amp;DATE($B$3,10,21),'Leave log'!$F$7:$F$306,"Approved")&gt;0,"A",""))="A","A",IF(OR(DATE($B$3,10,21)&gt;EOMONTH(DATE($B$3,10,1),0),NETWORKDAYS.INTL(DATE($B$3,10,21),DATE($B$3,10,21),1,'Non-working days'!$A$6:$A$45)=0),"",IF(COUNTIFS('Leave log'!$A$7:$A$306,Employees!$A$9,'Leave log'!$B$7:$B$306,"&lt;="&amp;DATE($B$3,10,21),'Leave log'!$C$7:$C$306,"&gt;="&amp;DATE($B$3,10,21),'Leave log'!$F$7:$F$306,"Pending")&gt;0,"P",""))))</f>
        <v/>
      </c>
      <c r="W316" s="23" t="str">
        <f>IF(A316="","",IF(IF(OR(DATE($B$3,10,22)&gt;EOMONTH(DATE($B$3,10,1),0),NETWORKDAYS.INTL(DATE($B$3,10,22),DATE($B$3,10,22),1,'Non-working days'!$A$6:$A$45)=0),"",IF(COUNTIFS('Leave log'!$A$7:$A$306,Employees!$A$9,'Leave log'!$B$7:$B$306,"&lt;="&amp;DATE($B$3,10,22),'Leave log'!$C$7:$C$306,"&gt;="&amp;DATE($B$3,10,22),'Leave log'!$F$7:$F$306,"Approved")&gt;0,"A",""))="A","A",IF(OR(DATE($B$3,10,22)&gt;EOMONTH(DATE($B$3,10,1),0),NETWORKDAYS.INTL(DATE($B$3,10,22),DATE($B$3,10,22),1,'Non-working days'!$A$6:$A$45)=0),"",IF(COUNTIFS('Leave log'!$A$7:$A$306,Employees!$A$9,'Leave log'!$B$7:$B$306,"&lt;="&amp;DATE($B$3,10,22),'Leave log'!$C$7:$C$306,"&gt;="&amp;DATE($B$3,10,22),'Leave log'!$F$7:$F$306,"Pending")&gt;0,"P",""))))</f>
        <v/>
      </c>
      <c r="X316" s="23" t="str">
        <f>IF(A316="","",IF(IF(OR(DATE($B$3,10,23)&gt;EOMONTH(DATE($B$3,10,1),0),NETWORKDAYS.INTL(DATE($B$3,10,23),DATE($B$3,10,23),1,'Non-working days'!$A$6:$A$45)=0),"",IF(COUNTIFS('Leave log'!$A$7:$A$306,Employees!$A$9,'Leave log'!$B$7:$B$306,"&lt;="&amp;DATE($B$3,10,23),'Leave log'!$C$7:$C$306,"&gt;="&amp;DATE($B$3,10,23),'Leave log'!$F$7:$F$306,"Approved")&gt;0,"A",""))="A","A",IF(OR(DATE($B$3,10,23)&gt;EOMONTH(DATE($B$3,10,1),0),NETWORKDAYS.INTL(DATE($B$3,10,23),DATE($B$3,10,23),1,'Non-working days'!$A$6:$A$45)=0),"",IF(COUNTIFS('Leave log'!$A$7:$A$306,Employees!$A$9,'Leave log'!$B$7:$B$306,"&lt;="&amp;DATE($B$3,10,23),'Leave log'!$C$7:$C$306,"&gt;="&amp;DATE($B$3,10,23),'Leave log'!$F$7:$F$306,"Pending")&gt;0,"P",""))))</f>
        <v/>
      </c>
      <c r="Y316" s="23" t="str">
        <f>IF(A316="","",IF(IF(OR(DATE($B$3,10,24)&gt;EOMONTH(DATE($B$3,10,1),0),NETWORKDAYS.INTL(DATE($B$3,10,24),DATE($B$3,10,24),1,'Non-working days'!$A$6:$A$45)=0),"",IF(COUNTIFS('Leave log'!$A$7:$A$306,Employees!$A$9,'Leave log'!$B$7:$B$306,"&lt;="&amp;DATE($B$3,10,24),'Leave log'!$C$7:$C$306,"&gt;="&amp;DATE($B$3,10,24),'Leave log'!$F$7:$F$306,"Approved")&gt;0,"A",""))="A","A",IF(OR(DATE($B$3,10,24)&gt;EOMONTH(DATE($B$3,10,1),0),NETWORKDAYS.INTL(DATE($B$3,10,24),DATE($B$3,10,24),1,'Non-working days'!$A$6:$A$45)=0),"",IF(COUNTIFS('Leave log'!$A$7:$A$306,Employees!$A$9,'Leave log'!$B$7:$B$306,"&lt;="&amp;DATE($B$3,10,24),'Leave log'!$C$7:$C$306,"&gt;="&amp;DATE($B$3,10,24),'Leave log'!$F$7:$F$306,"Pending")&gt;0,"P",""))))</f>
        <v/>
      </c>
      <c r="Z316" s="23" t="str">
        <f>IF(A316="","",IF(IF(OR(DATE($B$3,10,25)&gt;EOMONTH(DATE($B$3,10,1),0),NETWORKDAYS.INTL(DATE($B$3,10,25),DATE($B$3,10,25),1,'Non-working days'!$A$6:$A$45)=0),"",IF(COUNTIFS('Leave log'!$A$7:$A$306,Employees!$A$9,'Leave log'!$B$7:$B$306,"&lt;="&amp;DATE($B$3,10,25),'Leave log'!$C$7:$C$306,"&gt;="&amp;DATE($B$3,10,25),'Leave log'!$F$7:$F$306,"Approved")&gt;0,"A",""))="A","A",IF(OR(DATE($B$3,10,25)&gt;EOMONTH(DATE($B$3,10,1),0),NETWORKDAYS.INTL(DATE($B$3,10,25),DATE($B$3,10,25),1,'Non-working days'!$A$6:$A$45)=0),"",IF(COUNTIFS('Leave log'!$A$7:$A$306,Employees!$A$9,'Leave log'!$B$7:$B$306,"&lt;="&amp;DATE($B$3,10,25),'Leave log'!$C$7:$C$306,"&gt;="&amp;DATE($B$3,10,25),'Leave log'!$F$7:$F$306,"Pending")&gt;0,"P",""))))</f>
        <v/>
      </c>
      <c r="AA316" s="23" t="str">
        <f>IF(A316="","",IF(IF(OR(DATE($B$3,10,26)&gt;EOMONTH(DATE($B$3,10,1),0),NETWORKDAYS.INTL(DATE($B$3,10,26),DATE($B$3,10,26),1,'Non-working days'!$A$6:$A$45)=0),"",IF(COUNTIFS('Leave log'!$A$7:$A$306,Employees!$A$9,'Leave log'!$B$7:$B$306,"&lt;="&amp;DATE($B$3,10,26),'Leave log'!$C$7:$C$306,"&gt;="&amp;DATE($B$3,10,26),'Leave log'!$F$7:$F$306,"Approved")&gt;0,"A",""))="A","A",IF(OR(DATE($B$3,10,26)&gt;EOMONTH(DATE($B$3,10,1),0),NETWORKDAYS.INTL(DATE($B$3,10,26),DATE($B$3,10,26),1,'Non-working days'!$A$6:$A$45)=0),"",IF(COUNTIFS('Leave log'!$A$7:$A$306,Employees!$A$9,'Leave log'!$B$7:$B$306,"&lt;="&amp;DATE($B$3,10,26),'Leave log'!$C$7:$C$306,"&gt;="&amp;DATE($B$3,10,26),'Leave log'!$F$7:$F$306,"Pending")&gt;0,"P",""))))</f>
        <v/>
      </c>
      <c r="AB316" s="23" t="str">
        <f>IF(A316="","",IF(IF(OR(DATE($B$3,10,27)&gt;EOMONTH(DATE($B$3,10,1),0),NETWORKDAYS.INTL(DATE($B$3,10,27),DATE($B$3,10,27),1,'Non-working days'!$A$6:$A$45)=0),"",IF(COUNTIFS('Leave log'!$A$7:$A$306,Employees!$A$9,'Leave log'!$B$7:$B$306,"&lt;="&amp;DATE($B$3,10,27),'Leave log'!$C$7:$C$306,"&gt;="&amp;DATE($B$3,10,27),'Leave log'!$F$7:$F$306,"Approved")&gt;0,"A",""))="A","A",IF(OR(DATE($B$3,10,27)&gt;EOMONTH(DATE($B$3,10,1),0),NETWORKDAYS.INTL(DATE($B$3,10,27),DATE($B$3,10,27),1,'Non-working days'!$A$6:$A$45)=0),"",IF(COUNTIFS('Leave log'!$A$7:$A$306,Employees!$A$9,'Leave log'!$B$7:$B$306,"&lt;="&amp;DATE($B$3,10,27),'Leave log'!$C$7:$C$306,"&gt;="&amp;DATE($B$3,10,27),'Leave log'!$F$7:$F$306,"Pending")&gt;0,"P",""))))</f>
        <v/>
      </c>
      <c r="AC316" s="23" t="str">
        <f>IF(A316="","",IF(IF(OR(DATE($B$3,10,28)&gt;EOMONTH(DATE($B$3,10,1),0),NETWORKDAYS.INTL(DATE($B$3,10,28),DATE($B$3,10,28),1,'Non-working days'!$A$6:$A$45)=0),"",IF(COUNTIFS('Leave log'!$A$7:$A$306,Employees!$A$9,'Leave log'!$B$7:$B$306,"&lt;="&amp;DATE($B$3,10,28),'Leave log'!$C$7:$C$306,"&gt;="&amp;DATE($B$3,10,28),'Leave log'!$F$7:$F$306,"Approved")&gt;0,"A",""))="A","A",IF(OR(DATE($B$3,10,28)&gt;EOMONTH(DATE($B$3,10,1),0),NETWORKDAYS.INTL(DATE($B$3,10,28),DATE($B$3,10,28),1,'Non-working days'!$A$6:$A$45)=0),"",IF(COUNTIFS('Leave log'!$A$7:$A$306,Employees!$A$9,'Leave log'!$B$7:$B$306,"&lt;="&amp;DATE($B$3,10,28),'Leave log'!$C$7:$C$306,"&gt;="&amp;DATE($B$3,10,28),'Leave log'!$F$7:$F$306,"Pending")&gt;0,"P",""))))</f>
        <v/>
      </c>
      <c r="AD316" s="23" t="str">
        <f>IF(A316="","",IF(IF(OR(DATE($B$3,10,29)&gt;EOMONTH(DATE($B$3,10,1),0),NETWORKDAYS.INTL(DATE($B$3,10,29),DATE($B$3,10,29),1,'Non-working days'!$A$6:$A$45)=0),"",IF(COUNTIFS('Leave log'!$A$7:$A$306,Employees!$A$9,'Leave log'!$B$7:$B$306,"&lt;="&amp;DATE($B$3,10,29),'Leave log'!$C$7:$C$306,"&gt;="&amp;DATE($B$3,10,29),'Leave log'!$F$7:$F$306,"Approved")&gt;0,"A",""))="A","A",IF(OR(DATE($B$3,10,29)&gt;EOMONTH(DATE($B$3,10,1),0),NETWORKDAYS.INTL(DATE($B$3,10,29),DATE($B$3,10,29),1,'Non-working days'!$A$6:$A$45)=0),"",IF(COUNTIFS('Leave log'!$A$7:$A$306,Employees!$A$9,'Leave log'!$B$7:$B$306,"&lt;="&amp;DATE($B$3,10,29),'Leave log'!$C$7:$C$306,"&gt;="&amp;DATE($B$3,10,29),'Leave log'!$F$7:$F$306,"Pending")&gt;0,"P",""))))</f>
        <v/>
      </c>
      <c r="AE316" s="23" t="str">
        <f>IF(A316="","",IF(IF(OR(DATE($B$3,10,30)&gt;EOMONTH(DATE($B$3,10,1),0),NETWORKDAYS.INTL(DATE($B$3,10,30),DATE($B$3,10,30),1,'Non-working days'!$A$6:$A$45)=0),"",IF(COUNTIFS('Leave log'!$A$7:$A$306,Employees!$A$9,'Leave log'!$B$7:$B$306,"&lt;="&amp;DATE($B$3,10,30),'Leave log'!$C$7:$C$306,"&gt;="&amp;DATE($B$3,10,30),'Leave log'!$F$7:$F$306,"Approved")&gt;0,"A",""))="A","A",IF(OR(DATE($B$3,10,30)&gt;EOMONTH(DATE($B$3,10,1),0),NETWORKDAYS.INTL(DATE($B$3,10,30),DATE($B$3,10,30),1,'Non-working days'!$A$6:$A$45)=0),"",IF(COUNTIFS('Leave log'!$A$7:$A$306,Employees!$A$9,'Leave log'!$B$7:$B$306,"&lt;="&amp;DATE($B$3,10,30),'Leave log'!$C$7:$C$306,"&gt;="&amp;DATE($B$3,10,30),'Leave log'!$F$7:$F$306,"Pending")&gt;0,"P",""))))</f>
        <v/>
      </c>
      <c r="AF316" s="23" t="str">
        <f>IF(A316="","",IF(IF(OR(DATE($B$3,10,31)&gt;EOMONTH(DATE($B$3,10,1),0),NETWORKDAYS.INTL(DATE($B$3,10,31),DATE($B$3,10,31),1,'Non-working days'!$A$6:$A$45)=0),"",IF(COUNTIFS('Leave log'!$A$7:$A$306,Employees!$A$9,'Leave log'!$B$7:$B$306,"&lt;="&amp;DATE($B$3,10,31),'Leave log'!$C$7:$C$306,"&gt;="&amp;DATE($B$3,10,31),'Leave log'!$F$7:$F$306,"Approved")&gt;0,"A",""))="A","A",IF(OR(DATE($B$3,10,31)&gt;EOMONTH(DATE($B$3,10,1),0),NETWORKDAYS.INTL(DATE($B$3,10,31),DATE($B$3,10,31),1,'Non-working days'!$A$6:$A$45)=0),"",IF(COUNTIFS('Leave log'!$A$7:$A$306,Employees!$A$9,'Leave log'!$B$7:$B$306,"&lt;="&amp;DATE($B$3,10,31),'Leave log'!$C$7:$C$306,"&gt;="&amp;DATE($B$3,10,31),'Leave log'!$F$7:$F$306,"Pending")&gt;0,"P",""))))</f>
        <v/>
      </c>
    </row>
    <row r="317" spans="1:32" ht="18" customHeight="1" x14ac:dyDescent="0.3">
      <c r="A317" s="22" t="str">
        <f>IF(Employees!F10="Yes",Employees!B10,"")</f>
        <v/>
      </c>
      <c r="B317" s="23" t="str">
        <f>IF(A317="","",IF(IF(OR(DATE($B$3,10,1)&gt;EOMONTH(DATE($B$3,10,1),0),NETWORKDAYS.INTL(DATE($B$3,10,1),DATE($B$3,10,1),1,'Non-working days'!$A$6:$A$45)=0),"",IF(COUNTIFS('Leave log'!$A$7:$A$306,Employees!$A$10,'Leave log'!$B$7:$B$306,"&lt;="&amp;DATE($B$3,10,1),'Leave log'!$C$7:$C$306,"&gt;="&amp;DATE($B$3,10,1),'Leave log'!$F$7:$F$306,"Approved")&gt;0,"A",""))="A","A",IF(OR(DATE($B$3,10,1)&gt;EOMONTH(DATE($B$3,10,1),0),NETWORKDAYS.INTL(DATE($B$3,10,1),DATE($B$3,10,1),1,'Non-working days'!$A$6:$A$45)=0),"",IF(COUNTIFS('Leave log'!$A$7:$A$306,Employees!$A$10,'Leave log'!$B$7:$B$306,"&lt;="&amp;DATE($B$3,10,1),'Leave log'!$C$7:$C$306,"&gt;="&amp;DATE($B$3,10,1),'Leave log'!$F$7:$F$306,"Pending")&gt;0,"P",""))))</f>
        <v/>
      </c>
      <c r="C317" s="23" t="str">
        <f>IF(A317="","",IF(IF(OR(DATE($B$3,10,2)&gt;EOMONTH(DATE($B$3,10,1),0),NETWORKDAYS.INTL(DATE($B$3,10,2),DATE($B$3,10,2),1,'Non-working days'!$A$6:$A$45)=0),"",IF(COUNTIFS('Leave log'!$A$7:$A$306,Employees!$A$10,'Leave log'!$B$7:$B$306,"&lt;="&amp;DATE($B$3,10,2),'Leave log'!$C$7:$C$306,"&gt;="&amp;DATE($B$3,10,2),'Leave log'!$F$7:$F$306,"Approved")&gt;0,"A",""))="A","A",IF(OR(DATE($B$3,10,2)&gt;EOMONTH(DATE($B$3,10,1),0),NETWORKDAYS.INTL(DATE($B$3,10,2),DATE($B$3,10,2),1,'Non-working days'!$A$6:$A$45)=0),"",IF(COUNTIFS('Leave log'!$A$7:$A$306,Employees!$A$10,'Leave log'!$B$7:$B$306,"&lt;="&amp;DATE($B$3,10,2),'Leave log'!$C$7:$C$306,"&gt;="&amp;DATE($B$3,10,2),'Leave log'!$F$7:$F$306,"Pending")&gt;0,"P",""))))</f>
        <v/>
      </c>
      <c r="D317" s="23" t="str">
        <f>IF(A317="","",IF(IF(OR(DATE($B$3,10,3)&gt;EOMONTH(DATE($B$3,10,1),0),NETWORKDAYS.INTL(DATE($B$3,10,3),DATE($B$3,10,3),1,'Non-working days'!$A$6:$A$45)=0),"",IF(COUNTIFS('Leave log'!$A$7:$A$306,Employees!$A$10,'Leave log'!$B$7:$B$306,"&lt;="&amp;DATE($B$3,10,3),'Leave log'!$C$7:$C$306,"&gt;="&amp;DATE($B$3,10,3),'Leave log'!$F$7:$F$306,"Approved")&gt;0,"A",""))="A","A",IF(OR(DATE($B$3,10,3)&gt;EOMONTH(DATE($B$3,10,1),0),NETWORKDAYS.INTL(DATE($B$3,10,3),DATE($B$3,10,3),1,'Non-working days'!$A$6:$A$45)=0),"",IF(COUNTIFS('Leave log'!$A$7:$A$306,Employees!$A$10,'Leave log'!$B$7:$B$306,"&lt;="&amp;DATE($B$3,10,3),'Leave log'!$C$7:$C$306,"&gt;="&amp;DATE($B$3,10,3),'Leave log'!$F$7:$F$306,"Pending")&gt;0,"P",""))))</f>
        <v/>
      </c>
      <c r="E317" s="23" t="str">
        <f>IF(A317="","",IF(IF(OR(DATE($B$3,10,4)&gt;EOMONTH(DATE($B$3,10,1),0),NETWORKDAYS.INTL(DATE($B$3,10,4),DATE($B$3,10,4),1,'Non-working days'!$A$6:$A$45)=0),"",IF(COUNTIFS('Leave log'!$A$7:$A$306,Employees!$A$10,'Leave log'!$B$7:$B$306,"&lt;="&amp;DATE($B$3,10,4),'Leave log'!$C$7:$C$306,"&gt;="&amp;DATE($B$3,10,4),'Leave log'!$F$7:$F$306,"Approved")&gt;0,"A",""))="A","A",IF(OR(DATE($B$3,10,4)&gt;EOMONTH(DATE($B$3,10,1),0),NETWORKDAYS.INTL(DATE($B$3,10,4),DATE($B$3,10,4),1,'Non-working days'!$A$6:$A$45)=0),"",IF(COUNTIFS('Leave log'!$A$7:$A$306,Employees!$A$10,'Leave log'!$B$7:$B$306,"&lt;="&amp;DATE($B$3,10,4),'Leave log'!$C$7:$C$306,"&gt;="&amp;DATE($B$3,10,4),'Leave log'!$F$7:$F$306,"Pending")&gt;0,"P",""))))</f>
        <v/>
      </c>
      <c r="F317" s="23" t="str">
        <f>IF(A317="","",IF(IF(OR(DATE($B$3,10,5)&gt;EOMONTH(DATE($B$3,10,1),0),NETWORKDAYS.INTL(DATE($B$3,10,5),DATE($B$3,10,5),1,'Non-working days'!$A$6:$A$45)=0),"",IF(COUNTIFS('Leave log'!$A$7:$A$306,Employees!$A$10,'Leave log'!$B$7:$B$306,"&lt;="&amp;DATE($B$3,10,5),'Leave log'!$C$7:$C$306,"&gt;="&amp;DATE($B$3,10,5),'Leave log'!$F$7:$F$306,"Approved")&gt;0,"A",""))="A","A",IF(OR(DATE($B$3,10,5)&gt;EOMONTH(DATE($B$3,10,1),0),NETWORKDAYS.INTL(DATE($B$3,10,5),DATE($B$3,10,5),1,'Non-working days'!$A$6:$A$45)=0),"",IF(COUNTIFS('Leave log'!$A$7:$A$306,Employees!$A$10,'Leave log'!$B$7:$B$306,"&lt;="&amp;DATE($B$3,10,5),'Leave log'!$C$7:$C$306,"&gt;="&amp;DATE($B$3,10,5),'Leave log'!$F$7:$F$306,"Pending")&gt;0,"P",""))))</f>
        <v/>
      </c>
      <c r="G317" s="23" t="str">
        <f>IF(A317="","",IF(IF(OR(DATE($B$3,10,6)&gt;EOMONTH(DATE($B$3,10,1),0),NETWORKDAYS.INTL(DATE($B$3,10,6),DATE($B$3,10,6),1,'Non-working days'!$A$6:$A$45)=0),"",IF(COUNTIFS('Leave log'!$A$7:$A$306,Employees!$A$10,'Leave log'!$B$7:$B$306,"&lt;="&amp;DATE($B$3,10,6),'Leave log'!$C$7:$C$306,"&gt;="&amp;DATE($B$3,10,6),'Leave log'!$F$7:$F$306,"Approved")&gt;0,"A",""))="A","A",IF(OR(DATE($B$3,10,6)&gt;EOMONTH(DATE($B$3,10,1),0),NETWORKDAYS.INTL(DATE($B$3,10,6),DATE($B$3,10,6),1,'Non-working days'!$A$6:$A$45)=0),"",IF(COUNTIFS('Leave log'!$A$7:$A$306,Employees!$A$10,'Leave log'!$B$7:$B$306,"&lt;="&amp;DATE($B$3,10,6),'Leave log'!$C$7:$C$306,"&gt;="&amp;DATE($B$3,10,6),'Leave log'!$F$7:$F$306,"Pending")&gt;0,"P",""))))</f>
        <v/>
      </c>
      <c r="H317" s="23" t="str">
        <f>IF(A317="","",IF(IF(OR(DATE($B$3,10,7)&gt;EOMONTH(DATE($B$3,10,1),0),NETWORKDAYS.INTL(DATE($B$3,10,7),DATE($B$3,10,7),1,'Non-working days'!$A$6:$A$45)=0),"",IF(COUNTIFS('Leave log'!$A$7:$A$306,Employees!$A$10,'Leave log'!$B$7:$B$306,"&lt;="&amp;DATE($B$3,10,7),'Leave log'!$C$7:$C$306,"&gt;="&amp;DATE($B$3,10,7),'Leave log'!$F$7:$F$306,"Approved")&gt;0,"A",""))="A","A",IF(OR(DATE($B$3,10,7)&gt;EOMONTH(DATE($B$3,10,1),0),NETWORKDAYS.INTL(DATE($B$3,10,7),DATE($B$3,10,7),1,'Non-working days'!$A$6:$A$45)=0),"",IF(COUNTIFS('Leave log'!$A$7:$A$306,Employees!$A$10,'Leave log'!$B$7:$B$306,"&lt;="&amp;DATE($B$3,10,7),'Leave log'!$C$7:$C$306,"&gt;="&amp;DATE($B$3,10,7),'Leave log'!$F$7:$F$306,"Pending")&gt;0,"P",""))))</f>
        <v/>
      </c>
      <c r="I317" s="23" t="str">
        <f>IF(A317="","",IF(IF(OR(DATE($B$3,10,8)&gt;EOMONTH(DATE($B$3,10,1),0),NETWORKDAYS.INTL(DATE($B$3,10,8),DATE($B$3,10,8),1,'Non-working days'!$A$6:$A$45)=0),"",IF(COUNTIFS('Leave log'!$A$7:$A$306,Employees!$A$10,'Leave log'!$B$7:$B$306,"&lt;="&amp;DATE($B$3,10,8),'Leave log'!$C$7:$C$306,"&gt;="&amp;DATE($B$3,10,8),'Leave log'!$F$7:$F$306,"Approved")&gt;0,"A",""))="A","A",IF(OR(DATE($B$3,10,8)&gt;EOMONTH(DATE($B$3,10,1),0),NETWORKDAYS.INTL(DATE($B$3,10,8),DATE($B$3,10,8),1,'Non-working days'!$A$6:$A$45)=0),"",IF(COUNTIFS('Leave log'!$A$7:$A$306,Employees!$A$10,'Leave log'!$B$7:$B$306,"&lt;="&amp;DATE($B$3,10,8),'Leave log'!$C$7:$C$306,"&gt;="&amp;DATE($B$3,10,8),'Leave log'!$F$7:$F$306,"Pending")&gt;0,"P",""))))</f>
        <v/>
      </c>
      <c r="J317" s="23" t="str">
        <f>IF(A317="","",IF(IF(OR(DATE($B$3,10,9)&gt;EOMONTH(DATE($B$3,10,1),0),NETWORKDAYS.INTL(DATE($B$3,10,9),DATE($B$3,10,9),1,'Non-working days'!$A$6:$A$45)=0),"",IF(COUNTIFS('Leave log'!$A$7:$A$306,Employees!$A$10,'Leave log'!$B$7:$B$306,"&lt;="&amp;DATE($B$3,10,9),'Leave log'!$C$7:$C$306,"&gt;="&amp;DATE($B$3,10,9),'Leave log'!$F$7:$F$306,"Approved")&gt;0,"A",""))="A","A",IF(OR(DATE($B$3,10,9)&gt;EOMONTH(DATE($B$3,10,1),0),NETWORKDAYS.INTL(DATE($B$3,10,9),DATE($B$3,10,9),1,'Non-working days'!$A$6:$A$45)=0),"",IF(COUNTIFS('Leave log'!$A$7:$A$306,Employees!$A$10,'Leave log'!$B$7:$B$306,"&lt;="&amp;DATE($B$3,10,9),'Leave log'!$C$7:$C$306,"&gt;="&amp;DATE($B$3,10,9),'Leave log'!$F$7:$F$306,"Pending")&gt;0,"P",""))))</f>
        <v/>
      </c>
      <c r="K317" s="23" t="str">
        <f>IF(A317="","",IF(IF(OR(DATE($B$3,10,10)&gt;EOMONTH(DATE($B$3,10,1),0),NETWORKDAYS.INTL(DATE($B$3,10,10),DATE($B$3,10,10),1,'Non-working days'!$A$6:$A$45)=0),"",IF(COUNTIFS('Leave log'!$A$7:$A$306,Employees!$A$10,'Leave log'!$B$7:$B$306,"&lt;="&amp;DATE($B$3,10,10),'Leave log'!$C$7:$C$306,"&gt;="&amp;DATE($B$3,10,10),'Leave log'!$F$7:$F$306,"Approved")&gt;0,"A",""))="A","A",IF(OR(DATE($B$3,10,10)&gt;EOMONTH(DATE($B$3,10,1),0),NETWORKDAYS.INTL(DATE($B$3,10,10),DATE($B$3,10,10),1,'Non-working days'!$A$6:$A$45)=0),"",IF(COUNTIFS('Leave log'!$A$7:$A$306,Employees!$A$10,'Leave log'!$B$7:$B$306,"&lt;="&amp;DATE($B$3,10,10),'Leave log'!$C$7:$C$306,"&gt;="&amp;DATE($B$3,10,10),'Leave log'!$F$7:$F$306,"Pending")&gt;0,"P",""))))</f>
        <v/>
      </c>
      <c r="L317" s="23" t="str">
        <f>IF(A317="","",IF(IF(OR(DATE($B$3,10,11)&gt;EOMONTH(DATE($B$3,10,1),0),NETWORKDAYS.INTL(DATE($B$3,10,11),DATE($B$3,10,11),1,'Non-working days'!$A$6:$A$45)=0),"",IF(COUNTIFS('Leave log'!$A$7:$A$306,Employees!$A$10,'Leave log'!$B$7:$B$306,"&lt;="&amp;DATE($B$3,10,11),'Leave log'!$C$7:$C$306,"&gt;="&amp;DATE($B$3,10,11),'Leave log'!$F$7:$F$306,"Approved")&gt;0,"A",""))="A","A",IF(OR(DATE($B$3,10,11)&gt;EOMONTH(DATE($B$3,10,1),0),NETWORKDAYS.INTL(DATE($B$3,10,11),DATE($B$3,10,11),1,'Non-working days'!$A$6:$A$45)=0),"",IF(COUNTIFS('Leave log'!$A$7:$A$306,Employees!$A$10,'Leave log'!$B$7:$B$306,"&lt;="&amp;DATE($B$3,10,11),'Leave log'!$C$7:$C$306,"&gt;="&amp;DATE($B$3,10,11),'Leave log'!$F$7:$F$306,"Pending")&gt;0,"P",""))))</f>
        <v/>
      </c>
      <c r="M317" s="23" t="str">
        <f>IF(A317="","",IF(IF(OR(DATE($B$3,10,12)&gt;EOMONTH(DATE($B$3,10,1),0),NETWORKDAYS.INTL(DATE($B$3,10,12),DATE($B$3,10,12),1,'Non-working days'!$A$6:$A$45)=0),"",IF(COUNTIFS('Leave log'!$A$7:$A$306,Employees!$A$10,'Leave log'!$B$7:$B$306,"&lt;="&amp;DATE($B$3,10,12),'Leave log'!$C$7:$C$306,"&gt;="&amp;DATE($B$3,10,12),'Leave log'!$F$7:$F$306,"Approved")&gt;0,"A",""))="A","A",IF(OR(DATE($B$3,10,12)&gt;EOMONTH(DATE($B$3,10,1),0),NETWORKDAYS.INTL(DATE($B$3,10,12),DATE($B$3,10,12),1,'Non-working days'!$A$6:$A$45)=0),"",IF(COUNTIFS('Leave log'!$A$7:$A$306,Employees!$A$10,'Leave log'!$B$7:$B$306,"&lt;="&amp;DATE($B$3,10,12),'Leave log'!$C$7:$C$306,"&gt;="&amp;DATE($B$3,10,12),'Leave log'!$F$7:$F$306,"Pending")&gt;0,"P",""))))</f>
        <v/>
      </c>
      <c r="N317" s="23" t="str">
        <f>IF(A317="","",IF(IF(OR(DATE($B$3,10,13)&gt;EOMONTH(DATE($B$3,10,1),0),NETWORKDAYS.INTL(DATE($B$3,10,13),DATE($B$3,10,13),1,'Non-working days'!$A$6:$A$45)=0),"",IF(COUNTIFS('Leave log'!$A$7:$A$306,Employees!$A$10,'Leave log'!$B$7:$B$306,"&lt;="&amp;DATE($B$3,10,13),'Leave log'!$C$7:$C$306,"&gt;="&amp;DATE($B$3,10,13),'Leave log'!$F$7:$F$306,"Approved")&gt;0,"A",""))="A","A",IF(OR(DATE($B$3,10,13)&gt;EOMONTH(DATE($B$3,10,1),0),NETWORKDAYS.INTL(DATE($B$3,10,13),DATE($B$3,10,13),1,'Non-working days'!$A$6:$A$45)=0),"",IF(COUNTIFS('Leave log'!$A$7:$A$306,Employees!$A$10,'Leave log'!$B$7:$B$306,"&lt;="&amp;DATE($B$3,10,13),'Leave log'!$C$7:$C$306,"&gt;="&amp;DATE($B$3,10,13),'Leave log'!$F$7:$F$306,"Pending")&gt;0,"P",""))))</f>
        <v/>
      </c>
      <c r="O317" s="23" t="str">
        <f>IF(A317="","",IF(IF(OR(DATE($B$3,10,14)&gt;EOMONTH(DATE($B$3,10,1),0),NETWORKDAYS.INTL(DATE($B$3,10,14),DATE($B$3,10,14),1,'Non-working days'!$A$6:$A$45)=0),"",IF(COUNTIFS('Leave log'!$A$7:$A$306,Employees!$A$10,'Leave log'!$B$7:$B$306,"&lt;="&amp;DATE($B$3,10,14),'Leave log'!$C$7:$C$306,"&gt;="&amp;DATE($B$3,10,14),'Leave log'!$F$7:$F$306,"Approved")&gt;0,"A",""))="A","A",IF(OR(DATE($B$3,10,14)&gt;EOMONTH(DATE($B$3,10,1),0),NETWORKDAYS.INTL(DATE($B$3,10,14),DATE($B$3,10,14),1,'Non-working days'!$A$6:$A$45)=0),"",IF(COUNTIFS('Leave log'!$A$7:$A$306,Employees!$A$10,'Leave log'!$B$7:$B$306,"&lt;="&amp;DATE($B$3,10,14),'Leave log'!$C$7:$C$306,"&gt;="&amp;DATE($B$3,10,14),'Leave log'!$F$7:$F$306,"Pending")&gt;0,"P",""))))</f>
        <v/>
      </c>
      <c r="P317" s="23" t="str">
        <f>IF(A317="","",IF(IF(OR(DATE($B$3,10,15)&gt;EOMONTH(DATE($B$3,10,1),0),NETWORKDAYS.INTL(DATE($B$3,10,15),DATE($B$3,10,15),1,'Non-working days'!$A$6:$A$45)=0),"",IF(COUNTIFS('Leave log'!$A$7:$A$306,Employees!$A$10,'Leave log'!$B$7:$B$306,"&lt;="&amp;DATE($B$3,10,15),'Leave log'!$C$7:$C$306,"&gt;="&amp;DATE($B$3,10,15),'Leave log'!$F$7:$F$306,"Approved")&gt;0,"A",""))="A","A",IF(OR(DATE($B$3,10,15)&gt;EOMONTH(DATE($B$3,10,1),0),NETWORKDAYS.INTL(DATE($B$3,10,15),DATE($B$3,10,15),1,'Non-working days'!$A$6:$A$45)=0),"",IF(COUNTIFS('Leave log'!$A$7:$A$306,Employees!$A$10,'Leave log'!$B$7:$B$306,"&lt;="&amp;DATE($B$3,10,15),'Leave log'!$C$7:$C$306,"&gt;="&amp;DATE($B$3,10,15),'Leave log'!$F$7:$F$306,"Pending")&gt;0,"P",""))))</f>
        <v/>
      </c>
      <c r="Q317" s="23" t="str">
        <f>IF(A317="","",IF(IF(OR(DATE($B$3,10,16)&gt;EOMONTH(DATE($B$3,10,1),0),NETWORKDAYS.INTL(DATE($B$3,10,16),DATE($B$3,10,16),1,'Non-working days'!$A$6:$A$45)=0),"",IF(COUNTIFS('Leave log'!$A$7:$A$306,Employees!$A$10,'Leave log'!$B$7:$B$306,"&lt;="&amp;DATE($B$3,10,16),'Leave log'!$C$7:$C$306,"&gt;="&amp;DATE($B$3,10,16),'Leave log'!$F$7:$F$306,"Approved")&gt;0,"A",""))="A","A",IF(OR(DATE($B$3,10,16)&gt;EOMONTH(DATE($B$3,10,1),0),NETWORKDAYS.INTL(DATE($B$3,10,16),DATE($B$3,10,16),1,'Non-working days'!$A$6:$A$45)=0),"",IF(COUNTIFS('Leave log'!$A$7:$A$306,Employees!$A$10,'Leave log'!$B$7:$B$306,"&lt;="&amp;DATE($B$3,10,16),'Leave log'!$C$7:$C$306,"&gt;="&amp;DATE($B$3,10,16),'Leave log'!$F$7:$F$306,"Pending")&gt;0,"P",""))))</f>
        <v/>
      </c>
      <c r="R317" s="23" t="str">
        <f>IF(A317="","",IF(IF(OR(DATE($B$3,10,17)&gt;EOMONTH(DATE($B$3,10,1),0),NETWORKDAYS.INTL(DATE($B$3,10,17),DATE($B$3,10,17),1,'Non-working days'!$A$6:$A$45)=0),"",IF(COUNTIFS('Leave log'!$A$7:$A$306,Employees!$A$10,'Leave log'!$B$7:$B$306,"&lt;="&amp;DATE($B$3,10,17),'Leave log'!$C$7:$C$306,"&gt;="&amp;DATE($B$3,10,17),'Leave log'!$F$7:$F$306,"Approved")&gt;0,"A",""))="A","A",IF(OR(DATE($B$3,10,17)&gt;EOMONTH(DATE($B$3,10,1),0),NETWORKDAYS.INTL(DATE($B$3,10,17),DATE($B$3,10,17),1,'Non-working days'!$A$6:$A$45)=0),"",IF(COUNTIFS('Leave log'!$A$7:$A$306,Employees!$A$10,'Leave log'!$B$7:$B$306,"&lt;="&amp;DATE($B$3,10,17),'Leave log'!$C$7:$C$306,"&gt;="&amp;DATE($B$3,10,17),'Leave log'!$F$7:$F$306,"Pending")&gt;0,"P",""))))</f>
        <v/>
      </c>
      <c r="S317" s="23" t="str">
        <f>IF(A317="","",IF(IF(OR(DATE($B$3,10,18)&gt;EOMONTH(DATE($B$3,10,1),0),NETWORKDAYS.INTL(DATE($B$3,10,18),DATE($B$3,10,18),1,'Non-working days'!$A$6:$A$45)=0),"",IF(COUNTIFS('Leave log'!$A$7:$A$306,Employees!$A$10,'Leave log'!$B$7:$B$306,"&lt;="&amp;DATE($B$3,10,18),'Leave log'!$C$7:$C$306,"&gt;="&amp;DATE($B$3,10,18),'Leave log'!$F$7:$F$306,"Approved")&gt;0,"A",""))="A","A",IF(OR(DATE($B$3,10,18)&gt;EOMONTH(DATE($B$3,10,1),0),NETWORKDAYS.INTL(DATE($B$3,10,18),DATE($B$3,10,18),1,'Non-working days'!$A$6:$A$45)=0),"",IF(COUNTIFS('Leave log'!$A$7:$A$306,Employees!$A$10,'Leave log'!$B$7:$B$306,"&lt;="&amp;DATE($B$3,10,18),'Leave log'!$C$7:$C$306,"&gt;="&amp;DATE($B$3,10,18),'Leave log'!$F$7:$F$306,"Pending")&gt;0,"P",""))))</f>
        <v/>
      </c>
      <c r="T317" s="23" t="str">
        <f>IF(A317="","",IF(IF(OR(DATE($B$3,10,19)&gt;EOMONTH(DATE($B$3,10,1),0),NETWORKDAYS.INTL(DATE($B$3,10,19),DATE($B$3,10,19),1,'Non-working days'!$A$6:$A$45)=0),"",IF(COUNTIFS('Leave log'!$A$7:$A$306,Employees!$A$10,'Leave log'!$B$7:$B$306,"&lt;="&amp;DATE($B$3,10,19),'Leave log'!$C$7:$C$306,"&gt;="&amp;DATE($B$3,10,19),'Leave log'!$F$7:$F$306,"Approved")&gt;0,"A",""))="A","A",IF(OR(DATE($B$3,10,19)&gt;EOMONTH(DATE($B$3,10,1),0),NETWORKDAYS.INTL(DATE($B$3,10,19),DATE($B$3,10,19),1,'Non-working days'!$A$6:$A$45)=0),"",IF(COUNTIFS('Leave log'!$A$7:$A$306,Employees!$A$10,'Leave log'!$B$7:$B$306,"&lt;="&amp;DATE($B$3,10,19),'Leave log'!$C$7:$C$306,"&gt;="&amp;DATE($B$3,10,19),'Leave log'!$F$7:$F$306,"Pending")&gt;0,"P",""))))</f>
        <v/>
      </c>
      <c r="U317" s="23" t="str">
        <f>IF(A317="","",IF(IF(OR(DATE($B$3,10,20)&gt;EOMONTH(DATE($B$3,10,1),0),NETWORKDAYS.INTL(DATE($B$3,10,20),DATE($B$3,10,20),1,'Non-working days'!$A$6:$A$45)=0),"",IF(COUNTIFS('Leave log'!$A$7:$A$306,Employees!$A$10,'Leave log'!$B$7:$B$306,"&lt;="&amp;DATE($B$3,10,20),'Leave log'!$C$7:$C$306,"&gt;="&amp;DATE($B$3,10,20),'Leave log'!$F$7:$F$306,"Approved")&gt;0,"A",""))="A","A",IF(OR(DATE($B$3,10,20)&gt;EOMONTH(DATE($B$3,10,1),0),NETWORKDAYS.INTL(DATE($B$3,10,20),DATE($B$3,10,20),1,'Non-working days'!$A$6:$A$45)=0),"",IF(COUNTIFS('Leave log'!$A$7:$A$306,Employees!$A$10,'Leave log'!$B$7:$B$306,"&lt;="&amp;DATE($B$3,10,20),'Leave log'!$C$7:$C$306,"&gt;="&amp;DATE($B$3,10,20),'Leave log'!$F$7:$F$306,"Pending")&gt;0,"P",""))))</f>
        <v/>
      </c>
      <c r="V317" s="23" t="str">
        <f>IF(A317="","",IF(IF(OR(DATE($B$3,10,21)&gt;EOMONTH(DATE($B$3,10,1),0),NETWORKDAYS.INTL(DATE($B$3,10,21),DATE($B$3,10,21),1,'Non-working days'!$A$6:$A$45)=0),"",IF(COUNTIFS('Leave log'!$A$7:$A$306,Employees!$A$10,'Leave log'!$B$7:$B$306,"&lt;="&amp;DATE($B$3,10,21),'Leave log'!$C$7:$C$306,"&gt;="&amp;DATE($B$3,10,21),'Leave log'!$F$7:$F$306,"Approved")&gt;0,"A",""))="A","A",IF(OR(DATE($B$3,10,21)&gt;EOMONTH(DATE($B$3,10,1),0),NETWORKDAYS.INTL(DATE($B$3,10,21),DATE($B$3,10,21),1,'Non-working days'!$A$6:$A$45)=0),"",IF(COUNTIFS('Leave log'!$A$7:$A$306,Employees!$A$10,'Leave log'!$B$7:$B$306,"&lt;="&amp;DATE($B$3,10,21),'Leave log'!$C$7:$C$306,"&gt;="&amp;DATE($B$3,10,21),'Leave log'!$F$7:$F$306,"Pending")&gt;0,"P",""))))</f>
        <v/>
      </c>
      <c r="W317" s="23" t="str">
        <f>IF(A317="","",IF(IF(OR(DATE($B$3,10,22)&gt;EOMONTH(DATE($B$3,10,1),0),NETWORKDAYS.INTL(DATE($B$3,10,22),DATE($B$3,10,22),1,'Non-working days'!$A$6:$A$45)=0),"",IF(COUNTIFS('Leave log'!$A$7:$A$306,Employees!$A$10,'Leave log'!$B$7:$B$306,"&lt;="&amp;DATE($B$3,10,22),'Leave log'!$C$7:$C$306,"&gt;="&amp;DATE($B$3,10,22),'Leave log'!$F$7:$F$306,"Approved")&gt;0,"A",""))="A","A",IF(OR(DATE($B$3,10,22)&gt;EOMONTH(DATE($B$3,10,1),0),NETWORKDAYS.INTL(DATE($B$3,10,22),DATE($B$3,10,22),1,'Non-working days'!$A$6:$A$45)=0),"",IF(COUNTIFS('Leave log'!$A$7:$A$306,Employees!$A$10,'Leave log'!$B$7:$B$306,"&lt;="&amp;DATE($B$3,10,22),'Leave log'!$C$7:$C$306,"&gt;="&amp;DATE($B$3,10,22),'Leave log'!$F$7:$F$306,"Pending")&gt;0,"P",""))))</f>
        <v/>
      </c>
      <c r="X317" s="23" t="str">
        <f>IF(A317="","",IF(IF(OR(DATE($B$3,10,23)&gt;EOMONTH(DATE($B$3,10,1),0),NETWORKDAYS.INTL(DATE($B$3,10,23),DATE($B$3,10,23),1,'Non-working days'!$A$6:$A$45)=0),"",IF(COUNTIFS('Leave log'!$A$7:$A$306,Employees!$A$10,'Leave log'!$B$7:$B$306,"&lt;="&amp;DATE($B$3,10,23),'Leave log'!$C$7:$C$306,"&gt;="&amp;DATE($B$3,10,23),'Leave log'!$F$7:$F$306,"Approved")&gt;0,"A",""))="A","A",IF(OR(DATE($B$3,10,23)&gt;EOMONTH(DATE($B$3,10,1),0),NETWORKDAYS.INTL(DATE($B$3,10,23),DATE($B$3,10,23),1,'Non-working days'!$A$6:$A$45)=0),"",IF(COUNTIFS('Leave log'!$A$7:$A$306,Employees!$A$10,'Leave log'!$B$7:$B$306,"&lt;="&amp;DATE($B$3,10,23),'Leave log'!$C$7:$C$306,"&gt;="&amp;DATE($B$3,10,23),'Leave log'!$F$7:$F$306,"Pending")&gt;0,"P",""))))</f>
        <v/>
      </c>
      <c r="Y317" s="23" t="str">
        <f>IF(A317="","",IF(IF(OR(DATE($B$3,10,24)&gt;EOMONTH(DATE($B$3,10,1),0),NETWORKDAYS.INTL(DATE($B$3,10,24),DATE($B$3,10,24),1,'Non-working days'!$A$6:$A$45)=0),"",IF(COUNTIFS('Leave log'!$A$7:$A$306,Employees!$A$10,'Leave log'!$B$7:$B$306,"&lt;="&amp;DATE($B$3,10,24),'Leave log'!$C$7:$C$306,"&gt;="&amp;DATE($B$3,10,24),'Leave log'!$F$7:$F$306,"Approved")&gt;0,"A",""))="A","A",IF(OR(DATE($B$3,10,24)&gt;EOMONTH(DATE($B$3,10,1),0),NETWORKDAYS.INTL(DATE($B$3,10,24),DATE($B$3,10,24),1,'Non-working days'!$A$6:$A$45)=0),"",IF(COUNTIFS('Leave log'!$A$7:$A$306,Employees!$A$10,'Leave log'!$B$7:$B$306,"&lt;="&amp;DATE($B$3,10,24),'Leave log'!$C$7:$C$306,"&gt;="&amp;DATE($B$3,10,24),'Leave log'!$F$7:$F$306,"Pending")&gt;0,"P",""))))</f>
        <v/>
      </c>
      <c r="Z317" s="23" t="str">
        <f>IF(A317="","",IF(IF(OR(DATE($B$3,10,25)&gt;EOMONTH(DATE($B$3,10,1),0),NETWORKDAYS.INTL(DATE($B$3,10,25),DATE($B$3,10,25),1,'Non-working days'!$A$6:$A$45)=0),"",IF(COUNTIFS('Leave log'!$A$7:$A$306,Employees!$A$10,'Leave log'!$B$7:$B$306,"&lt;="&amp;DATE($B$3,10,25),'Leave log'!$C$7:$C$306,"&gt;="&amp;DATE($B$3,10,25),'Leave log'!$F$7:$F$306,"Approved")&gt;0,"A",""))="A","A",IF(OR(DATE($B$3,10,25)&gt;EOMONTH(DATE($B$3,10,1),0),NETWORKDAYS.INTL(DATE($B$3,10,25),DATE($B$3,10,25),1,'Non-working days'!$A$6:$A$45)=0),"",IF(COUNTIFS('Leave log'!$A$7:$A$306,Employees!$A$10,'Leave log'!$B$7:$B$306,"&lt;="&amp;DATE($B$3,10,25),'Leave log'!$C$7:$C$306,"&gt;="&amp;DATE($B$3,10,25),'Leave log'!$F$7:$F$306,"Pending")&gt;0,"P",""))))</f>
        <v/>
      </c>
      <c r="AA317" s="23" t="str">
        <f>IF(A317="","",IF(IF(OR(DATE($B$3,10,26)&gt;EOMONTH(DATE($B$3,10,1),0),NETWORKDAYS.INTL(DATE($B$3,10,26),DATE($B$3,10,26),1,'Non-working days'!$A$6:$A$45)=0),"",IF(COUNTIFS('Leave log'!$A$7:$A$306,Employees!$A$10,'Leave log'!$B$7:$B$306,"&lt;="&amp;DATE($B$3,10,26),'Leave log'!$C$7:$C$306,"&gt;="&amp;DATE($B$3,10,26),'Leave log'!$F$7:$F$306,"Approved")&gt;0,"A",""))="A","A",IF(OR(DATE($B$3,10,26)&gt;EOMONTH(DATE($B$3,10,1),0),NETWORKDAYS.INTL(DATE($B$3,10,26),DATE($B$3,10,26),1,'Non-working days'!$A$6:$A$45)=0),"",IF(COUNTIFS('Leave log'!$A$7:$A$306,Employees!$A$10,'Leave log'!$B$7:$B$306,"&lt;="&amp;DATE($B$3,10,26),'Leave log'!$C$7:$C$306,"&gt;="&amp;DATE($B$3,10,26),'Leave log'!$F$7:$F$306,"Pending")&gt;0,"P",""))))</f>
        <v/>
      </c>
      <c r="AB317" s="23" t="str">
        <f>IF(A317="","",IF(IF(OR(DATE($B$3,10,27)&gt;EOMONTH(DATE($B$3,10,1),0),NETWORKDAYS.INTL(DATE($B$3,10,27),DATE($B$3,10,27),1,'Non-working days'!$A$6:$A$45)=0),"",IF(COUNTIFS('Leave log'!$A$7:$A$306,Employees!$A$10,'Leave log'!$B$7:$B$306,"&lt;="&amp;DATE($B$3,10,27),'Leave log'!$C$7:$C$306,"&gt;="&amp;DATE($B$3,10,27),'Leave log'!$F$7:$F$306,"Approved")&gt;0,"A",""))="A","A",IF(OR(DATE($B$3,10,27)&gt;EOMONTH(DATE($B$3,10,1),0),NETWORKDAYS.INTL(DATE($B$3,10,27),DATE($B$3,10,27),1,'Non-working days'!$A$6:$A$45)=0),"",IF(COUNTIFS('Leave log'!$A$7:$A$306,Employees!$A$10,'Leave log'!$B$7:$B$306,"&lt;="&amp;DATE($B$3,10,27),'Leave log'!$C$7:$C$306,"&gt;="&amp;DATE($B$3,10,27),'Leave log'!$F$7:$F$306,"Pending")&gt;0,"P",""))))</f>
        <v/>
      </c>
      <c r="AC317" s="23" t="str">
        <f>IF(A317="","",IF(IF(OR(DATE($B$3,10,28)&gt;EOMONTH(DATE($B$3,10,1),0),NETWORKDAYS.INTL(DATE($B$3,10,28),DATE($B$3,10,28),1,'Non-working days'!$A$6:$A$45)=0),"",IF(COUNTIFS('Leave log'!$A$7:$A$306,Employees!$A$10,'Leave log'!$B$7:$B$306,"&lt;="&amp;DATE($B$3,10,28),'Leave log'!$C$7:$C$306,"&gt;="&amp;DATE($B$3,10,28),'Leave log'!$F$7:$F$306,"Approved")&gt;0,"A",""))="A","A",IF(OR(DATE($B$3,10,28)&gt;EOMONTH(DATE($B$3,10,1),0),NETWORKDAYS.INTL(DATE($B$3,10,28),DATE($B$3,10,28),1,'Non-working days'!$A$6:$A$45)=0),"",IF(COUNTIFS('Leave log'!$A$7:$A$306,Employees!$A$10,'Leave log'!$B$7:$B$306,"&lt;="&amp;DATE($B$3,10,28),'Leave log'!$C$7:$C$306,"&gt;="&amp;DATE($B$3,10,28),'Leave log'!$F$7:$F$306,"Pending")&gt;0,"P",""))))</f>
        <v/>
      </c>
      <c r="AD317" s="23" t="str">
        <f>IF(A317="","",IF(IF(OR(DATE($B$3,10,29)&gt;EOMONTH(DATE($B$3,10,1),0),NETWORKDAYS.INTL(DATE($B$3,10,29),DATE($B$3,10,29),1,'Non-working days'!$A$6:$A$45)=0),"",IF(COUNTIFS('Leave log'!$A$7:$A$306,Employees!$A$10,'Leave log'!$B$7:$B$306,"&lt;="&amp;DATE($B$3,10,29),'Leave log'!$C$7:$C$306,"&gt;="&amp;DATE($B$3,10,29),'Leave log'!$F$7:$F$306,"Approved")&gt;0,"A",""))="A","A",IF(OR(DATE($B$3,10,29)&gt;EOMONTH(DATE($B$3,10,1),0),NETWORKDAYS.INTL(DATE($B$3,10,29),DATE($B$3,10,29),1,'Non-working days'!$A$6:$A$45)=0),"",IF(COUNTIFS('Leave log'!$A$7:$A$306,Employees!$A$10,'Leave log'!$B$7:$B$306,"&lt;="&amp;DATE($B$3,10,29),'Leave log'!$C$7:$C$306,"&gt;="&amp;DATE($B$3,10,29),'Leave log'!$F$7:$F$306,"Pending")&gt;0,"P",""))))</f>
        <v/>
      </c>
      <c r="AE317" s="23" t="str">
        <f>IF(A317="","",IF(IF(OR(DATE($B$3,10,30)&gt;EOMONTH(DATE($B$3,10,1),0),NETWORKDAYS.INTL(DATE($B$3,10,30),DATE($B$3,10,30),1,'Non-working days'!$A$6:$A$45)=0),"",IF(COUNTIFS('Leave log'!$A$7:$A$306,Employees!$A$10,'Leave log'!$B$7:$B$306,"&lt;="&amp;DATE($B$3,10,30),'Leave log'!$C$7:$C$306,"&gt;="&amp;DATE($B$3,10,30),'Leave log'!$F$7:$F$306,"Approved")&gt;0,"A",""))="A","A",IF(OR(DATE($B$3,10,30)&gt;EOMONTH(DATE($B$3,10,1),0),NETWORKDAYS.INTL(DATE($B$3,10,30),DATE($B$3,10,30),1,'Non-working days'!$A$6:$A$45)=0),"",IF(COUNTIFS('Leave log'!$A$7:$A$306,Employees!$A$10,'Leave log'!$B$7:$B$306,"&lt;="&amp;DATE($B$3,10,30),'Leave log'!$C$7:$C$306,"&gt;="&amp;DATE($B$3,10,30),'Leave log'!$F$7:$F$306,"Pending")&gt;0,"P",""))))</f>
        <v/>
      </c>
      <c r="AF317" s="23" t="str">
        <f>IF(A317="","",IF(IF(OR(DATE($B$3,10,31)&gt;EOMONTH(DATE($B$3,10,1),0),NETWORKDAYS.INTL(DATE($B$3,10,31),DATE($B$3,10,31),1,'Non-working days'!$A$6:$A$45)=0),"",IF(COUNTIFS('Leave log'!$A$7:$A$306,Employees!$A$10,'Leave log'!$B$7:$B$306,"&lt;="&amp;DATE($B$3,10,31),'Leave log'!$C$7:$C$306,"&gt;="&amp;DATE($B$3,10,31),'Leave log'!$F$7:$F$306,"Approved")&gt;0,"A",""))="A","A",IF(OR(DATE($B$3,10,31)&gt;EOMONTH(DATE($B$3,10,1),0),NETWORKDAYS.INTL(DATE($B$3,10,31),DATE($B$3,10,31),1,'Non-working days'!$A$6:$A$45)=0),"",IF(COUNTIFS('Leave log'!$A$7:$A$306,Employees!$A$10,'Leave log'!$B$7:$B$306,"&lt;="&amp;DATE($B$3,10,31),'Leave log'!$C$7:$C$306,"&gt;="&amp;DATE($B$3,10,31),'Leave log'!$F$7:$F$306,"Pending")&gt;0,"P",""))))</f>
        <v/>
      </c>
    </row>
    <row r="318" spans="1:32" ht="18" customHeight="1" x14ac:dyDescent="0.3">
      <c r="A318" s="22" t="str">
        <f>IF(Employees!F11="Yes",Employees!B11,"")</f>
        <v/>
      </c>
      <c r="B318" s="23" t="str">
        <f>IF(A318="","",IF(IF(OR(DATE($B$3,10,1)&gt;EOMONTH(DATE($B$3,10,1),0),NETWORKDAYS.INTL(DATE($B$3,10,1),DATE($B$3,10,1),1,'Non-working days'!$A$6:$A$45)=0),"",IF(COUNTIFS('Leave log'!$A$7:$A$306,Employees!$A$11,'Leave log'!$B$7:$B$306,"&lt;="&amp;DATE($B$3,10,1),'Leave log'!$C$7:$C$306,"&gt;="&amp;DATE($B$3,10,1),'Leave log'!$F$7:$F$306,"Approved")&gt;0,"A",""))="A","A",IF(OR(DATE($B$3,10,1)&gt;EOMONTH(DATE($B$3,10,1),0),NETWORKDAYS.INTL(DATE($B$3,10,1),DATE($B$3,10,1),1,'Non-working days'!$A$6:$A$45)=0),"",IF(COUNTIFS('Leave log'!$A$7:$A$306,Employees!$A$11,'Leave log'!$B$7:$B$306,"&lt;="&amp;DATE($B$3,10,1),'Leave log'!$C$7:$C$306,"&gt;="&amp;DATE($B$3,10,1),'Leave log'!$F$7:$F$306,"Pending")&gt;0,"P",""))))</f>
        <v/>
      </c>
      <c r="C318" s="23" t="str">
        <f>IF(A318="","",IF(IF(OR(DATE($B$3,10,2)&gt;EOMONTH(DATE($B$3,10,1),0),NETWORKDAYS.INTL(DATE($B$3,10,2),DATE($B$3,10,2),1,'Non-working days'!$A$6:$A$45)=0),"",IF(COUNTIFS('Leave log'!$A$7:$A$306,Employees!$A$11,'Leave log'!$B$7:$B$306,"&lt;="&amp;DATE($B$3,10,2),'Leave log'!$C$7:$C$306,"&gt;="&amp;DATE($B$3,10,2),'Leave log'!$F$7:$F$306,"Approved")&gt;0,"A",""))="A","A",IF(OR(DATE($B$3,10,2)&gt;EOMONTH(DATE($B$3,10,1),0),NETWORKDAYS.INTL(DATE($B$3,10,2),DATE($B$3,10,2),1,'Non-working days'!$A$6:$A$45)=0),"",IF(COUNTIFS('Leave log'!$A$7:$A$306,Employees!$A$11,'Leave log'!$B$7:$B$306,"&lt;="&amp;DATE($B$3,10,2),'Leave log'!$C$7:$C$306,"&gt;="&amp;DATE($B$3,10,2),'Leave log'!$F$7:$F$306,"Pending")&gt;0,"P",""))))</f>
        <v/>
      </c>
      <c r="D318" s="23" t="str">
        <f>IF(A318="","",IF(IF(OR(DATE($B$3,10,3)&gt;EOMONTH(DATE($B$3,10,1),0),NETWORKDAYS.INTL(DATE($B$3,10,3),DATE($B$3,10,3),1,'Non-working days'!$A$6:$A$45)=0),"",IF(COUNTIFS('Leave log'!$A$7:$A$306,Employees!$A$11,'Leave log'!$B$7:$B$306,"&lt;="&amp;DATE($B$3,10,3),'Leave log'!$C$7:$C$306,"&gt;="&amp;DATE($B$3,10,3),'Leave log'!$F$7:$F$306,"Approved")&gt;0,"A",""))="A","A",IF(OR(DATE($B$3,10,3)&gt;EOMONTH(DATE($B$3,10,1),0),NETWORKDAYS.INTL(DATE($B$3,10,3),DATE($B$3,10,3),1,'Non-working days'!$A$6:$A$45)=0),"",IF(COUNTIFS('Leave log'!$A$7:$A$306,Employees!$A$11,'Leave log'!$B$7:$B$306,"&lt;="&amp;DATE($B$3,10,3),'Leave log'!$C$7:$C$306,"&gt;="&amp;DATE($B$3,10,3),'Leave log'!$F$7:$F$306,"Pending")&gt;0,"P",""))))</f>
        <v/>
      </c>
      <c r="E318" s="23" t="str">
        <f>IF(A318="","",IF(IF(OR(DATE($B$3,10,4)&gt;EOMONTH(DATE($B$3,10,1),0),NETWORKDAYS.INTL(DATE($B$3,10,4),DATE($B$3,10,4),1,'Non-working days'!$A$6:$A$45)=0),"",IF(COUNTIFS('Leave log'!$A$7:$A$306,Employees!$A$11,'Leave log'!$B$7:$B$306,"&lt;="&amp;DATE($B$3,10,4),'Leave log'!$C$7:$C$306,"&gt;="&amp;DATE($B$3,10,4),'Leave log'!$F$7:$F$306,"Approved")&gt;0,"A",""))="A","A",IF(OR(DATE($B$3,10,4)&gt;EOMONTH(DATE($B$3,10,1),0),NETWORKDAYS.INTL(DATE($B$3,10,4),DATE($B$3,10,4),1,'Non-working days'!$A$6:$A$45)=0),"",IF(COUNTIFS('Leave log'!$A$7:$A$306,Employees!$A$11,'Leave log'!$B$7:$B$306,"&lt;="&amp;DATE($B$3,10,4),'Leave log'!$C$7:$C$306,"&gt;="&amp;DATE($B$3,10,4),'Leave log'!$F$7:$F$306,"Pending")&gt;0,"P",""))))</f>
        <v/>
      </c>
      <c r="F318" s="23" t="str">
        <f>IF(A318="","",IF(IF(OR(DATE($B$3,10,5)&gt;EOMONTH(DATE($B$3,10,1),0),NETWORKDAYS.INTL(DATE($B$3,10,5),DATE($B$3,10,5),1,'Non-working days'!$A$6:$A$45)=0),"",IF(COUNTIFS('Leave log'!$A$7:$A$306,Employees!$A$11,'Leave log'!$B$7:$B$306,"&lt;="&amp;DATE($B$3,10,5),'Leave log'!$C$7:$C$306,"&gt;="&amp;DATE($B$3,10,5),'Leave log'!$F$7:$F$306,"Approved")&gt;0,"A",""))="A","A",IF(OR(DATE($B$3,10,5)&gt;EOMONTH(DATE($B$3,10,1),0),NETWORKDAYS.INTL(DATE($B$3,10,5),DATE($B$3,10,5),1,'Non-working days'!$A$6:$A$45)=0),"",IF(COUNTIFS('Leave log'!$A$7:$A$306,Employees!$A$11,'Leave log'!$B$7:$B$306,"&lt;="&amp;DATE($B$3,10,5),'Leave log'!$C$7:$C$306,"&gt;="&amp;DATE($B$3,10,5),'Leave log'!$F$7:$F$306,"Pending")&gt;0,"P",""))))</f>
        <v/>
      </c>
      <c r="G318" s="23" t="str">
        <f>IF(A318="","",IF(IF(OR(DATE($B$3,10,6)&gt;EOMONTH(DATE($B$3,10,1),0),NETWORKDAYS.INTL(DATE($B$3,10,6),DATE($B$3,10,6),1,'Non-working days'!$A$6:$A$45)=0),"",IF(COUNTIFS('Leave log'!$A$7:$A$306,Employees!$A$11,'Leave log'!$B$7:$B$306,"&lt;="&amp;DATE($B$3,10,6),'Leave log'!$C$7:$C$306,"&gt;="&amp;DATE($B$3,10,6),'Leave log'!$F$7:$F$306,"Approved")&gt;0,"A",""))="A","A",IF(OR(DATE($B$3,10,6)&gt;EOMONTH(DATE($B$3,10,1),0),NETWORKDAYS.INTL(DATE($B$3,10,6),DATE($B$3,10,6),1,'Non-working days'!$A$6:$A$45)=0),"",IF(COUNTIFS('Leave log'!$A$7:$A$306,Employees!$A$11,'Leave log'!$B$7:$B$306,"&lt;="&amp;DATE($B$3,10,6),'Leave log'!$C$7:$C$306,"&gt;="&amp;DATE($B$3,10,6),'Leave log'!$F$7:$F$306,"Pending")&gt;0,"P",""))))</f>
        <v/>
      </c>
      <c r="H318" s="23" t="str">
        <f>IF(A318="","",IF(IF(OR(DATE($B$3,10,7)&gt;EOMONTH(DATE($B$3,10,1),0),NETWORKDAYS.INTL(DATE($B$3,10,7),DATE($B$3,10,7),1,'Non-working days'!$A$6:$A$45)=0),"",IF(COUNTIFS('Leave log'!$A$7:$A$306,Employees!$A$11,'Leave log'!$B$7:$B$306,"&lt;="&amp;DATE($B$3,10,7),'Leave log'!$C$7:$C$306,"&gt;="&amp;DATE($B$3,10,7),'Leave log'!$F$7:$F$306,"Approved")&gt;0,"A",""))="A","A",IF(OR(DATE($B$3,10,7)&gt;EOMONTH(DATE($B$3,10,1),0),NETWORKDAYS.INTL(DATE($B$3,10,7),DATE($B$3,10,7),1,'Non-working days'!$A$6:$A$45)=0),"",IF(COUNTIFS('Leave log'!$A$7:$A$306,Employees!$A$11,'Leave log'!$B$7:$B$306,"&lt;="&amp;DATE($B$3,10,7),'Leave log'!$C$7:$C$306,"&gt;="&amp;DATE($B$3,10,7),'Leave log'!$F$7:$F$306,"Pending")&gt;0,"P",""))))</f>
        <v/>
      </c>
      <c r="I318" s="23" t="str">
        <f>IF(A318="","",IF(IF(OR(DATE($B$3,10,8)&gt;EOMONTH(DATE($B$3,10,1),0),NETWORKDAYS.INTL(DATE($B$3,10,8),DATE($B$3,10,8),1,'Non-working days'!$A$6:$A$45)=0),"",IF(COUNTIFS('Leave log'!$A$7:$A$306,Employees!$A$11,'Leave log'!$B$7:$B$306,"&lt;="&amp;DATE($B$3,10,8),'Leave log'!$C$7:$C$306,"&gt;="&amp;DATE($B$3,10,8),'Leave log'!$F$7:$F$306,"Approved")&gt;0,"A",""))="A","A",IF(OR(DATE($B$3,10,8)&gt;EOMONTH(DATE($B$3,10,1),0),NETWORKDAYS.INTL(DATE($B$3,10,8),DATE($B$3,10,8),1,'Non-working days'!$A$6:$A$45)=0),"",IF(COUNTIFS('Leave log'!$A$7:$A$306,Employees!$A$11,'Leave log'!$B$7:$B$306,"&lt;="&amp;DATE($B$3,10,8),'Leave log'!$C$7:$C$306,"&gt;="&amp;DATE($B$3,10,8),'Leave log'!$F$7:$F$306,"Pending")&gt;0,"P",""))))</f>
        <v/>
      </c>
      <c r="J318" s="23" t="str">
        <f>IF(A318="","",IF(IF(OR(DATE($B$3,10,9)&gt;EOMONTH(DATE($B$3,10,1),0),NETWORKDAYS.INTL(DATE($B$3,10,9),DATE($B$3,10,9),1,'Non-working days'!$A$6:$A$45)=0),"",IF(COUNTIFS('Leave log'!$A$7:$A$306,Employees!$A$11,'Leave log'!$B$7:$B$306,"&lt;="&amp;DATE($B$3,10,9),'Leave log'!$C$7:$C$306,"&gt;="&amp;DATE($B$3,10,9),'Leave log'!$F$7:$F$306,"Approved")&gt;0,"A",""))="A","A",IF(OR(DATE($B$3,10,9)&gt;EOMONTH(DATE($B$3,10,1),0),NETWORKDAYS.INTL(DATE($B$3,10,9),DATE($B$3,10,9),1,'Non-working days'!$A$6:$A$45)=0),"",IF(COUNTIFS('Leave log'!$A$7:$A$306,Employees!$A$11,'Leave log'!$B$7:$B$306,"&lt;="&amp;DATE($B$3,10,9),'Leave log'!$C$7:$C$306,"&gt;="&amp;DATE($B$3,10,9),'Leave log'!$F$7:$F$306,"Pending")&gt;0,"P",""))))</f>
        <v/>
      </c>
      <c r="K318" s="23" t="str">
        <f>IF(A318="","",IF(IF(OR(DATE($B$3,10,10)&gt;EOMONTH(DATE($B$3,10,1),0),NETWORKDAYS.INTL(DATE($B$3,10,10),DATE($B$3,10,10),1,'Non-working days'!$A$6:$A$45)=0),"",IF(COUNTIFS('Leave log'!$A$7:$A$306,Employees!$A$11,'Leave log'!$B$7:$B$306,"&lt;="&amp;DATE($B$3,10,10),'Leave log'!$C$7:$C$306,"&gt;="&amp;DATE($B$3,10,10),'Leave log'!$F$7:$F$306,"Approved")&gt;0,"A",""))="A","A",IF(OR(DATE($B$3,10,10)&gt;EOMONTH(DATE($B$3,10,1),0),NETWORKDAYS.INTL(DATE($B$3,10,10),DATE($B$3,10,10),1,'Non-working days'!$A$6:$A$45)=0),"",IF(COUNTIFS('Leave log'!$A$7:$A$306,Employees!$A$11,'Leave log'!$B$7:$B$306,"&lt;="&amp;DATE($B$3,10,10),'Leave log'!$C$7:$C$306,"&gt;="&amp;DATE($B$3,10,10),'Leave log'!$F$7:$F$306,"Pending")&gt;0,"P",""))))</f>
        <v/>
      </c>
      <c r="L318" s="23" t="str">
        <f>IF(A318="","",IF(IF(OR(DATE($B$3,10,11)&gt;EOMONTH(DATE($B$3,10,1),0),NETWORKDAYS.INTL(DATE($B$3,10,11),DATE($B$3,10,11),1,'Non-working days'!$A$6:$A$45)=0),"",IF(COUNTIFS('Leave log'!$A$7:$A$306,Employees!$A$11,'Leave log'!$B$7:$B$306,"&lt;="&amp;DATE($B$3,10,11),'Leave log'!$C$7:$C$306,"&gt;="&amp;DATE($B$3,10,11),'Leave log'!$F$7:$F$306,"Approved")&gt;0,"A",""))="A","A",IF(OR(DATE($B$3,10,11)&gt;EOMONTH(DATE($B$3,10,1),0),NETWORKDAYS.INTL(DATE($B$3,10,11),DATE($B$3,10,11),1,'Non-working days'!$A$6:$A$45)=0),"",IF(COUNTIFS('Leave log'!$A$7:$A$306,Employees!$A$11,'Leave log'!$B$7:$B$306,"&lt;="&amp;DATE($B$3,10,11),'Leave log'!$C$7:$C$306,"&gt;="&amp;DATE($B$3,10,11),'Leave log'!$F$7:$F$306,"Pending")&gt;0,"P",""))))</f>
        <v/>
      </c>
      <c r="M318" s="23" t="str">
        <f>IF(A318="","",IF(IF(OR(DATE($B$3,10,12)&gt;EOMONTH(DATE($B$3,10,1),0),NETWORKDAYS.INTL(DATE($B$3,10,12),DATE($B$3,10,12),1,'Non-working days'!$A$6:$A$45)=0),"",IF(COUNTIFS('Leave log'!$A$7:$A$306,Employees!$A$11,'Leave log'!$B$7:$B$306,"&lt;="&amp;DATE($B$3,10,12),'Leave log'!$C$7:$C$306,"&gt;="&amp;DATE($B$3,10,12),'Leave log'!$F$7:$F$306,"Approved")&gt;0,"A",""))="A","A",IF(OR(DATE($B$3,10,12)&gt;EOMONTH(DATE($B$3,10,1),0),NETWORKDAYS.INTL(DATE($B$3,10,12),DATE($B$3,10,12),1,'Non-working days'!$A$6:$A$45)=0),"",IF(COUNTIFS('Leave log'!$A$7:$A$306,Employees!$A$11,'Leave log'!$B$7:$B$306,"&lt;="&amp;DATE($B$3,10,12),'Leave log'!$C$7:$C$306,"&gt;="&amp;DATE($B$3,10,12),'Leave log'!$F$7:$F$306,"Pending")&gt;0,"P",""))))</f>
        <v/>
      </c>
      <c r="N318" s="23" t="str">
        <f>IF(A318="","",IF(IF(OR(DATE($B$3,10,13)&gt;EOMONTH(DATE($B$3,10,1),0),NETWORKDAYS.INTL(DATE($B$3,10,13),DATE($B$3,10,13),1,'Non-working days'!$A$6:$A$45)=0),"",IF(COUNTIFS('Leave log'!$A$7:$A$306,Employees!$A$11,'Leave log'!$B$7:$B$306,"&lt;="&amp;DATE($B$3,10,13),'Leave log'!$C$7:$C$306,"&gt;="&amp;DATE($B$3,10,13),'Leave log'!$F$7:$F$306,"Approved")&gt;0,"A",""))="A","A",IF(OR(DATE($B$3,10,13)&gt;EOMONTH(DATE($B$3,10,1),0),NETWORKDAYS.INTL(DATE($B$3,10,13),DATE($B$3,10,13),1,'Non-working days'!$A$6:$A$45)=0),"",IF(COUNTIFS('Leave log'!$A$7:$A$306,Employees!$A$11,'Leave log'!$B$7:$B$306,"&lt;="&amp;DATE($B$3,10,13),'Leave log'!$C$7:$C$306,"&gt;="&amp;DATE($B$3,10,13),'Leave log'!$F$7:$F$306,"Pending")&gt;0,"P",""))))</f>
        <v/>
      </c>
      <c r="O318" s="23" t="str">
        <f>IF(A318="","",IF(IF(OR(DATE($B$3,10,14)&gt;EOMONTH(DATE($B$3,10,1),0),NETWORKDAYS.INTL(DATE($B$3,10,14),DATE($B$3,10,14),1,'Non-working days'!$A$6:$A$45)=0),"",IF(COUNTIFS('Leave log'!$A$7:$A$306,Employees!$A$11,'Leave log'!$B$7:$B$306,"&lt;="&amp;DATE($B$3,10,14),'Leave log'!$C$7:$C$306,"&gt;="&amp;DATE($B$3,10,14),'Leave log'!$F$7:$F$306,"Approved")&gt;0,"A",""))="A","A",IF(OR(DATE($B$3,10,14)&gt;EOMONTH(DATE($B$3,10,1),0),NETWORKDAYS.INTL(DATE($B$3,10,14),DATE($B$3,10,14),1,'Non-working days'!$A$6:$A$45)=0),"",IF(COUNTIFS('Leave log'!$A$7:$A$306,Employees!$A$11,'Leave log'!$B$7:$B$306,"&lt;="&amp;DATE($B$3,10,14),'Leave log'!$C$7:$C$306,"&gt;="&amp;DATE($B$3,10,14),'Leave log'!$F$7:$F$306,"Pending")&gt;0,"P",""))))</f>
        <v/>
      </c>
      <c r="P318" s="23" t="str">
        <f>IF(A318="","",IF(IF(OR(DATE($B$3,10,15)&gt;EOMONTH(DATE($B$3,10,1),0),NETWORKDAYS.INTL(DATE($B$3,10,15),DATE($B$3,10,15),1,'Non-working days'!$A$6:$A$45)=0),"",IF(COUNTIFS('Leave log'!$A$7:$A$306,Employees!$A$11,'Leave log'!$B$7:$B$306,"&lt;="&amp;DATE($B$3,10,15),'Leave log'!$C$7:$C$306,"&gt;="&amp;DATE($B$3,10,15),'Leave log'!$F$7:$F$306,"Approved")&gt;0,"A",""))="A","A",IF(OR(DATE($B$3,10,15)&gt;EOMONTH(DATE($B$3,10,1),0),NETWORKDAYS.INTL(DATE($B$3,10,15),DATE($B$3,10,15),1,'Non-working days'!$A$6:$A$45)=0),"",IF(COUNTIFS('Leave log'!$A$7:$A$306,Employees!$A$11,'Leave log'!$B$7:$B$306,"&lt;="&amp;DATE($B$3,10,15),'Leave log'!$C$7:$C$306,"&gt;="&amp;DATE($B$3,10,15),'Leave log'!$F$7:$F$306,"Pending")&gt;0,"P",""))))</f>
        <v/>
      </c>
      <c r="Q318" s="23" t="str">
        <f>IF(A318="","",IF(IF(OR(DATE($B$3,10,16)&gt;EOMONTH(DATE($B$3,10,1),0),NETWORKDAYS.INTL(DATE($B$3,10,16),DATE($B$3,10,16),1,'Non-working days'!$A$6:$A$45)=0),"",IF(COUNTIFS('Leave log'!$A$7:$A$306,Employees!$A$11,'Leave log'!$B$7:$B$306,"&lt;="&amp;DATE($B$3,10,16),'Leave log'!$C$7:$C$306,"&gt;="&amp;DATE($B$3,10,16),'Leave log'!$F$7:$F$306,"Approved")&gt;0,"A",""))="A","A",IF(OR(DATE($B$3,10,16)&gt;EOMONTH(DATE($B$3,10,1),0),NETWORKDAYS.INTL(DATE($B$3,10,16),DATE($B$3,10,16),1,'Non-working days'!$A$6:$A$45)=0),"",IF(COUNTIFS('Leave log'!$A$7:$A$306,Employees!$A$11,'Leave log'!$B$7:$B$306,"&lt;="&amp;DATE($B$3,10,16),'Leave log'!$C$7:$C$306,"&gt;="&amp;DATE($B$3,10,16),'Leave log'!$F$7:$F$306,"Pending")&gt;0,"P",""))))</f>
        <v/>
      </c>
      <c r="R318" s="23" t="str">
        <f>IF(A318="","",IF(IF(OR(DATE($B$3,10,17)&gt;EOMONTH(DATE($B$3,10,1),0),NETWORKDAYS.INTL(DATE($B$3,10,17),DATE($B$3,10,17),1,'Non-working days'!$A$6:$A$45)=0),"",IF(COUNTIFS('Leave log'!$A$7:$A$306,Employees!$A$11,'Leave log'!$B$7:$B$306,"&lt;="&amp;DATE($B$3,10,17),'Leave log'!$C$7:$C$306,"&gt;="&amp;DATE($B$3,10,17),'Leave log'!$F$7:$F$306,"Approved")&gt;0,"A",""))="A","A",IF(OR(DATE($B$3,10,17)&gt;EOMONTH(DATE($B$3,10,1),0),NETWORKDAYS.INTL(DATE($B$3,10,17),DATE($B$3,10,17),1,'Non-working days'!$A$6:$A$45)=0),"",IF(COUNTIFS('Leave log'!$A$7:$A$306,Employees!$A$11,'Leave log'!$B$7:$B$306,"&lt;="&amp;DATE($B$3,10,17),'Leave log'!$C$7:$C$306,"&gt;="&amp;DATE($B$3,10,17),'Leave log'!$F$7:$F$306,"Pending")&gt;0,"P",""))))</f>
        <v/>
      </c>
      <c r="S318" s="23" t="str">
        <f>IF(A318="","",IF(IF(OR(DATE($B$3,10,18)&gt;EOMONTH(DATE($B$3,10,1),0),NETWORKDAYS.INTL(DATE($B$3,10,18),DATE($B$3,10,18),1,'Non-working days'!$A$6:$A$45)=0),"",IF(COUNTIFS('Leave log'!$A$7:$A$306,Employees!$A$11,'Leave log'!$B$7:$B$306,"&lt;="&amp;DATE($B$3,10,18),'Leave log'!$C$7:$C$306,"&gt;="&amp;DATE($B$3,10,18),'Leave log'!$F$7:$F$306,"Approved")&gt;0,"A",""))="A","A",IF(OR(DATE($B$3,10,18)&gt;EOMONTH(DATE($B$3,10,1),0),NETWORKDAYS.INTL(DATE($B$3,10,18),DATE($B$3,10,18),1,'Non-working days'!$A$6:$A$45)=0),"",IF(COUNTIFS('Leave log'!$A$7:$A$306,Employees!$A$11,'Leave log'!$B$7:$B$306,"&lt;="&amp;DATE($B$3,10,18),'Leave log'!$C$7:$C$306,"&gt;="&amp;DATE($B$3,10,18),'Leave log'!$F$7:$F$306,"Pending")&gt;0,"P",""))))</f>
        <v/>
      </c>
      <c r="T318" s="23" t="str">
        <f>IF(A318="","",IF(IF(OR(DATE($B$3,10,19)&gt;EOMONTH(DATE($B$3,10,1),0),NETWORKDAYS.INTL(DATE($B$3,10,19),DATE($B$3,10,19),1,'Non-working days'!$A$6:$A$45)=0),"",IF(COUNTIFS('Leave log'!$A$7:$A$306,Employees!$A$11,'Leave log'!$B$7:$B$306,"&lt;="&amp;DATE($B$3,10,19),'Leave log'!$C$7:$C$306,"&gt;="&amp;DATE($B$3,10,19),'Leave log'!$F$7:$F$306,"Approved")&gt;0,"A",""))="A","A",IF(OR(DATE($B$3,10,19)&gt;EOMONTH(DATE($B$3,10,1),0),NETWORKDAYS.INTL(DATE($B$3,10,19),DATE($B$3,10,19),1,'Non-working days'!$A$6:$A$45)=0),"",IF(COUNTIFS('Leave log'!$A$7:$A$306,Employees!$A$11,'Leave log'!$B$7:$B$306,"&lt;="&amp;DATE($B$3,10,19),'Leave log'!$C$7:$C$306,"&gt;="&amp;DATE($B$3,10,19),'Leave log'!$F$7:$F$306,"Pending")&gt;0,"P",""))))</f>
        <v/>
      </c>
      <c r="U318" s="23" t="str">
        <f>IF(A318="","",IF(IF(OR(DATE($B$3,10,20)&gt;EOMONTH(DATE($B$3,10,1),0),NETWORKDAYS.INTL(DATE($B$3,10,20),DATE($B$3,10,20),1,'Non-working days'!$A$6:$A$45)=0),"",IF(COUNTIFS('Leave log'!$A$7:$A$306,Employees!$A$11,'Leave log'!$B$7:$B$306,"&lt;="&amp;DATE($B$3,10,20),'Leave log'!$C$7:$C$306,"&gt;="&amp;DATE($B$3,10,20),'Leave log'!$F$7:$F$306,"Approved")&gt;0,"A",""))="A","A",IF(OR(DATE($B$3,10,20)&gt;EOMONTH(DATE($B$3,10,1),0),NETWORKDAYS.INTL(DATE($B$3,10,20),DATE($B$3,10,20),1,'Non-working days'!$A$6:$A$45)=0),"",IF(COUNTIFS('Leave log'!$A$7:$A$306,Employees!$A$11,'Leave log'!$B$7:$B$306,"&lt;="&amp;DATE($B$3,10,20),'Leave log'!$C$7:$C$306,"&gt;="&amp;DATE($B$3,10,20),'Leave log'!$F$7:$F$306,"Pending")&gt;0,"P",""))))</f>
        <v/>
      </c>
      <c r="V318" s="23" t="str">
        <f>IF(A318="","",IF(IF(OR(DATE($B$3,10,21)&gt;EOMONTH(DATE($B$3,10,1),0),NETWORKDAYS.INTL(DATE($B$3,10,21),DATE($B$3,10,21),1,'Non-working days'!$A$6:$A$45)=0),"",IF(COUNTIFS('Leave log'!$A$7:$A$306,Employees!$A$11,'Leave log'!$B$7:$B$306,"&lt;="&amp;DATE($B$3,10,21),'Leave log'!$C$7:$C$306,"&gt;="&amp;DATE($B$3,10,21),'Leave log'!$F$7:$F$306,"Approved")&gt;0,"A",""))="A","A",IF(OR(DATE($B$3,10,21)&gt;EOMONTH(DATE($B$3,10,1),0),NETWORKDAYS.INTL(DATE($B$3,10,21),DATE($B$3,10,21),1,'Non-working days'!$A$6:$A$45)=0),"",IF(COUNTIFS('Leave log'!$A$7:$A$306,Employees!$A$11,'Leave log'!$B$7:$B$306,"&lt;="&amp;DATE($B$3,10,21),'Leave log'!$C$7:$C$306,"&gt;="&amp;DATE($B$3,10,21),'Leave log'!$F$7:$F$306,"Pending")&gt;0,"P",""))))</f>
        <v/>
      </c>
      <c r="W318" s="23" t="str">
        <f>IF(A318="","",IF(IF(OR(DATE($B$3,10,22)&gt;EOMONTH(DATE($B$3,10,1),0),NETWORKDAYS.INTL(DATE($B$3,10,22),DATE($B$3,10,22),1,'Non-working days'!$A$6:$A$45)=0),"",IF(COUNTIFS('Leave log'!$A$7:$A$306,Employees!$A$11,'Leave log'!$B$7:$B$306,"&lt;="&amp;DATE($B$3,10,22),'Leave log'!$C$7:$C$306,"&gt;="&amp;DATE($B$3,10,22),'Leave log'!$F$7:$F$306,"Approved")&gt;0,"A",""))="A","A",IF(OR(DATE($B$3,10,22)&gt;EOMONTH(DATE($B$3,10,1),0),NETWORKDAYS.INTL(DATE($B$3,10,22),DATE($B$3,10,22),1,'Non-working days'!$A$6:$A$45)=0),"",IF(COUNTIFS('Leave log'!$A$7:$A$306,Employees!$A$11,'Leave log'!$B$7:$B$306,"&lt;="&amp;DATE($B$3,10,22),'Leave log'!$C$7:$C$306,"&gt;="&amp;DATE($B$3,10,22),'Leave log'!$F$7:$F$306,"Pending")&gt;0,"P",""))))</f>
        <v/>
      </c>
      <c r="X318" s="23" t="str">
        <f>IF(A318="","",IF(IF(OR(DATE($B$3,10,23)&gt;EOMONTH(DATE($B$3,10,1),0),NETWORKDAYS.INTL(DATE($B$3,10,23),DATE($B$3,10,23),1,'Non-working days'!$A$6:$A$45)=0),"",IF(COUNTIFS('Leave log'!$A$7:$A$306,Employees!$A$11,'Leave log'!$B$7:$B$306,"&lt;="&amp;DATE($B$3,10,23),'Leave log'!$C$7:$C$306,"&gt;="&amp;DATE($B$3,10,23),'Leave log'!$F$7:$F$306,"Approved")&gt;0,"A",""))="A","A",IF(OR(DATE($B$3,10,23)&gt;EOMONTH(DATE($B$3,10,1),0),NETWORKDAYS.INTL(DATE($B$3,10,23),DATE($B$3,10,23),1,'Non-working days'!$A$6:$A$45)=0),"",IF(COUNTIFS('Leave log'!$A$7:$A$306,Employees!$A$11,'Leave log'!$B$7:$B$306,"&lt;="&amp;DATE($B$3,10,23),'Leave log'!$C$7:$C$306,"&gt;="&amp;DATE($B$3,10,23),'Leave log'!$F$7:$F$306,"Pending")&gt;0,"P",""))))</f>
        <v/>
      </c>
      <c r="Y318" s="23" t="str">
        <f>IF(A318="","",IF(IF(OR(DATE($B$3,10,24)&gt;EOMONTH(DATE($B$3,10,1),0),NETWORKDAYS.INTL(DATE($B$3,10,24),DATE($B$3,10,24),1,'Non-working days'!$A$6:$A$45)=0),"",IF(COUNTIFS('Leave log'!$A$7:$A$306,Employees!$A$11,'Leave log'!$B$7:$B$306,"&lt;="&amp;DATE($B$3,10,24),'Leave log'!$C$7:$C$306,"&gt;="&amp;DATE($B$3,10,24),'Leave log'!$F$7:$F$306,"Approved")&gt;0,"A",""))="A","A",IF(OR(DATE($B$3,10,24)&gt;EOMONTH(DATE($B$3,10,1),0),NETWORKDAYS.INTL(DATE($B$3,10,24),DATE($B$3,10,24),1,'Non-working days'!$A$6:$A$45)=0),"",IF(COUNTIFS('Leave log'!$A$7:$A$306,Employees!$A$11,'Leave log'!$B$7:$B$306,"&lt;="&amp;DATE($B$3,10,24),'Leave log'!$C$7:$C$306,"&gt;="&amp;DATE($B$3,10,24),'Leave log'!$F$7:$F$306,"Pending")&gt;0,"P",""))))</f>
        <v/>
      </c>
      <c r="Z318" s="23" t="str">
        <f>IF(A318="","",IF(IF(OR(DATE($B$3,10,25)&gt;EOMONTH(DATE($B$3,10,1),0),NETWORKDAYS.INTL(DATE($B$3,10,25),DATE($B$3,10,25),1,'Non-working days'!$A$6:$A$45)=0),"",IF(COUNTIFS('Leave log'!$A$7:$A$306,Employees!$A$11,'Leave log'!$B$7:$B$306,"&lt;="&amp;DATE($B$3,10,25),'Leave log'!$C$7:$C$306,"&gt;="&amp;DATE($B$3,10,25),'Leave log'!$F$7:$F$306,"Approved")&gt;0,"A",""))="A","A",IF(OR(DATE($B$3,10,25)&gt;EOMONTH(DATE($B$3,10,1),0),NETWORKDAYS.INTL(DATE($B$3,10,25),DATE($B$3,10,25),1,'Non-working days'!$A$6:$A$45)=0),"",IF(COUNTIFS('Leave log'!$A$7:$A$306,Employees!$A$11,'Leave log'!$B$7:$B$306,"&lt;="&amp;DATE($B$3,10,25),'Leave log'!$C$7:$C$306,"&gt;="&amp;DATE($B$3,10,25),'Leave log'!$F$7:$F$306,"Pending")&gt;0,"P",""))))</f>
        <v/>
      </c>
      <c r="AA318" s="23" t="str">
        <f>IF(A318="","",IF(IF(OR(DATE($B$3,10,26)&gt;EOMONTH(DATE($B$3,10,1),0),NETWORKDAYS.INTL(DATE($B$3,10,26),DATE($B$3,10,26),1,'Non-working days'!$A$6:$A$45)=0),"",IF(COUNTIFS('Leave log'!$A$7:$A$306,Employees!$A$11,'Leave log'!$B$7:$B$306,"&lt;="&amp;DATE($B$3,10,26),'Leave log'!$C$7:$C$306,"&gt;="&amp;DATE($B$3,10,26),'Leave log'!$F$7:$F$306,"Approved")&gt;0,"A",""))="A","A",IF(OR(DATE($B$3,10,26)&gt;EOMONTH(DATE($B$3,10,1),0),NETWORKDAYS.INTL(DATE($B$3,10,26),DATE($B$3,10,26),1,'Non-working days'!$A$6:$A$45)=0),"",IF(COUNTIFS('Leave log'!$A$7:$A$306,Employees!$A$11,'Leave log'!$B$7:$B$306,"&lt;="&amp;DATE($B$3,10,26),'Leave log'!$C$7:$C$306,"&gt;="&amp;DATE($B$3,10,26),'Leave log'!$F$7:$F$306,"Pending")&gt;0,"P",""))))</f>
        <v/>
      </c>
      <c r="AB318" s="23" t="str">
        <f>IF(A318="","",IF(IF(OR(DATE($B$3,10,27)&gt;EOMONTH(DATE($B$3,10,1),0),NETWORKDAYS.INTL(DATE($B$3,10,27),DATE($B$3,10,27),1,'Non-working days'!$A$6:$A$45)=0),"",IF(COUNTIFS('Leave log'!$A$7:$A$306,Employees!$A$11,'Leave log'!$B$7:$B$306,"&lt;="&amp;DATE($B$3,10,27),'Leave log'!$C$7:$C$306,"&gt;="&amp;DATE($B$3,10,27),'Leave log'!$F$7:$F$306,"Approved")&gt;0,"A",""))="A","A",IF(OR(DATE($B$3,10,27)&gt;EOMONTH(DATE($B$3,10,1),0),NETWORKDAYS.INTL(DATE($B$3,10,27),DATE($B$3,10,27),1,'Non-working days'!$A$6:$A$45)=0),"",IF(COUNTIFS('Leave log'!$A$7:$A$306,Employees!$A$11,'Leave log'!$B$7:$B$306,"&lt;="&amp;DATE($B$3,10,27),'Leave log'!$C$7:$C$306,"&gt;="&amp;DATE($B$3,10,27),'Leave log'!$F$7:$F$306,"Pending")&gt;0,"P",""))))</f>
        <v/>
      </c>
      <c r="AC318" s="23" t="str">
        <f>IF(A318="","",IF(IF(OR(DATE($B$3,10,28)&gt;EOMONTH(DATE($B$3,10,1),0),NETWORKDAYS.INTL(DATE($B$3,10,28),DATE($B$3,10,28),1,'Non-working days'!$A$6:$A$45)=0),"",IF(COUNTIFS('Leave log'!$A$7:$A$306,Employees!$A$11,'Leave log'!$B$7:$B$306,"&lt;="&amp;DATE($B$3,10,28),'Leave log'!$C$7:$C$306,"&gt;="&amp;DATE($B$3,10,28),'Leave log'!$F$7:$F$306,"Approved")&gt;0,"A",""))="A","A",IF(OR(DATE($B$3,10,28)&gt;EOMONTH(DATE($B$3,10,1),0),NETWORKDAYS.INTL(DATE($B$3,10,28),DATE($B$3,10,28),1,'Non-working days'!$A$6:$A$45)=0),"",IF(COUNTIFS('Leave log'!$A$7:$A$306,Employees!$A$11,'Leave log'!$B$7:$B$306,"&lt;="&amp;DATE($B$3,10,28),'Leave log'!$C$7:$C$306,"&gt;="&amp;DATE($B$3,10,28),'Leave log'!$F$7:$F$306,"Pending")&gt;0,"P",""))))</f>
        <v/>
      </c>
      <c r="AD318" s="23" t="str">
        <f>IF(A318="","",IF(IF(OR(DATE($B$3,10,29)&gt;EOMONTH(DATE($B$3,10,1),0),NETWORKDAYS.INTL(DATE($B$3,10,29),DATE($B$3,10,29),1,'Non-working days'!$A$6:$A$45)=0),"",IF(COUNTIFS('Leave log'!$A$7:$A$306,Employees!$A$11,'Leave log'!$B$7:$B$306,"&lt;="&amp;DATE($B$3,10,29),'Leave log'!$C$7:$C$306,"&gt;="&amp;DATE($B$3,10,29),'Leave log'!$F$7:$F$306,"Approved")&gt;0,"A",""))="A","A",IF(OR(DATE($B$3,10,29)&gt;EOMONTH(DATE($B$3,10,1),0),NETWORKDAYS.INTL(DATE($B$3,10,29),DATE($B$3,10,29),1,'Non-working days'!$A$6:$A$45)=0),"",IF(COUNTIFS('Leave log'!$A$7:$A$306,Employees!$A$11,'Leave log'!$B$7:$B$306,"&lt;="&amp;DATE($B$3,10,29),'Leave log'!$C$7:$C$306,"&gt;="&amp;DATE($B$3,10,29),'Leave log'!$F$7:$F$306,"Pending")&gt;0,"P",""))))</f>
        <v/>
      </c>
      <c r="AE318" s="23" t="str">
        <f>IF(A318="","",IF(IF(OR(DATE($B$3,10,30)&gt;EOMONTH(DATE($B$3,10,1),0),NETWORKDAYS.INTL(DATE($B$3,10,30),DATE($B$3,10,30),1,'Non-working days'!$A$6:$A$45)=0),"",IF(COUNTIFS('Leave log'!$A$7:$A$306,Employees!$A$11,'Leave log'!$B$7:$B$306,"&lt;="&amp;DATE($B$3,10,30),'Leave log'!$C$7:$C$306,"&gt;="&amp;DATE($B$3,10,30),'Leave log'!$F$7:$F$306,"Approved")&gt;0,"A",""))="A","A",IF(OR(DATE($B$3,10,30)&gt;EOMONTH(DATE($B$3,10,1),0),NETWORKDAYS.INTL(DATE($B$3,10,30),DATE($B$3,10,30),1,'Non-working days'!$A$6:$A$45)=0),"",IF(COUNTIFS('Leave log'!$A$7:$A$306,Employees!$A$11,'Leave log'!$B$7:$B$306,"&lt;="&amp;DATE($B$3,10,30),'Leave log'!$C$7:$C$306,"&gt;="&amp;DATE($B$3,10,30),'Leave log'!$F$7:$F$306,"Pending")&gt;0,"P",""))))</f>
        <v/>
      </c>
      <c r="AF318" s="23" t="str">
        <f>IF(A318="","",IF(IF(OR(DATE($B$3,10,31)&gt;EOMONTH(DATE($B$3,10,1),0),NETWORKDAYS.INTL(DATE($B$3,10,31),DATE($B$3,10,31),1,'Non-working days'!$A$6:$A$45)=0),"",IF(COUNTIFS('Leave log'!$A$7:$A$306,Employees!$A$11,'Leave log'!$B$7:$B$306,"&lt;="&amp;DATE($B$3,10,31),'Leave log'!$C$7:$C$306,"&gt;="&amp;DATE($B$3,10,31),'Leave log'!$F$7:$F$306,"Approved")&gt;0,"A",""))="A","A",IF(OR(DATE($B$3,10,31)&gt;EOMONTH(DATE($B$3,10,1),0),NETWORKDAYS.INTL(DATE($B$3,10,31),DATE($B$3,10,31),1,'Non-working days'!$A$6:$A$45)=0),"",IF(COUNTIFS('Leave log'!$A$7:$A$306,Employees!$A$11,'Leave log'!$B$7:$B$306,"&lt;="&amp;DATE($B$3,10,31),'Leave log'!$C$7:$C$306,"&gt;="&amp;DATE($B$3,10,31),'Leave log'!$F$7:$F$306,"Pending")&gt;0,"P",""))))</f>
        <v/>
      </c>
    </row>
    <row r="319" spans="1:32" ht="18" customHeight="1" x14ac:dyDescent="0.3">
      <c r="A319" s="22" t="str">
        <f>IF(Employees!F12="Yes",Employees!B12,"")</f>
        <v/>
      </c>
      <c r="B319" s="23" t="str">
        <f>IF(A319="","",IF(IF(OR(DATE($B$3,10,1)&gt;EOMONTH(DATE($B$3,10,1),0),NETWORKDAYS.INTL(DATE($B$3,10,1),DATE($B$3,10,1),1,'Non-working days'!$A$6:$A$45)=0),"",IF(COUNTIFS('Leave log'!$A$7:$A$306,Employees!$A$12,'Leave log'!$B$7:$B$306,"&lt;="&amp;DATE($B$3,10,1),'Leave log'!$C$7:$C$306,"&gt;="&amp;DATE($B$3,10,1),'Leave log'!$F$7:$F$306,"Approved")&gt;0,"A",""))="A","A",IF(OR(DATE($B$3,10,1)&gt;EOMONTH(DATE($B$3,10,1),0),NETWORKDAYS.INTL(DATE($B$3,10,1),DATE($B$3,10,1),1,'Non-working days'!$A$6:$A$45)=0),"",IF(COUNTIFS('Leave log'!$A$7:$A$306,Employees!$A$12,'Leave log'!$B$7:$B$306,"&lt;="&amp;DATE($B$3,10,1),'Leave log'!$C$7:$C$306,"&gt;="&amp;DATE($B$3,10,1),'Leave log'!$F$7:$F$306,"Pending")&gt;0,"P",""))))</f>
        <v/>
      </c>
      <c r="C319" s="23" t="str">
        <f>IF(A319="","",IF(IF(OR(DATE($B$3,10,2)&gt;EOMONTH(DATE($B$3,10,1),0),NETWORKDAYS.INTL(DATE($B$3,10,2),DATE($B$3,10,2),1,'Non-working days'!$A$6:$A$45)=0),"",IF(COUNTIFS('Leave log'!$A$7:$A$306,Employees!$A$12,'Leave log'!$B$7:$B$306,"&lt;="&amp;DATE($B$3,10,2),'Leave log'!$C$7:$C$306,"&gt;="&amp;DATE($B$3,10,2),'Leave log'!$F$7:$F$306,"Approved")&gt;0,"A",""))="A","A",IF(OR(DATE($B$3,10,2)&gt;EOMONTH(DATE($B$3,10,1),0),NETWORKDAYS.INTL(DATE($B$3,10,2),DATE($B$3,10,2),1,'Non-working days'!$A$6:$A$45)=0),"",IF(COUNTIFS('Leave log'!$A$7:$A$306,Employees!$A$12,'Leave log'!$B$7:$B$306,"&lt;="&amp;DATE($B$3,10,2),'Leave log'!$C$7:$C$306,"&gt;="&amp;DATE($B$3,10,2),'Leave log'!$F$7:$F$306,"Pending")&gt;0,"P",""))))</f>
        <v/>
      </c>
      <c r="D319" s="23" t="str">
        <f>IF(A319="","",IF(IF(OR(DATE($B$3,10,3)&gt;EOMONTH(DATE($B$3,10,1),0),NETWORKDAYS.INTL(DATE($B$3,10,3),DATE($B$3,10,3),1,'Non-working days'!$A$6:$A$45)=0),"",IF(COUNTIFS('Leave log'!$A$7:$A$306,Employees!$A$12,'Leave log'!$B$7:$B$306,"&lt;="&amp;DATE($B$3,10,3),'Leave log'!$C$7:$C$306,"&gt;="&amp;DATE($B$3,10,3),'Leave log'!$F$7:$F$306,"Approved")&gt;0,"A",""))="A","A",IF(OR(DATE($B$3,10,3)&gt;EOMONTH(DATE($B$3,10,1),0),NETWORKDAYS.INTL(DATE($B$3,10,3),DATE($B$3,10,3),1,'Non-working days'!$A$6:$A$45)=0),"",IF(COUNTIFS('Leave log'!$A$7:$A$306,Employees!$A$12,'Leave log'!$B$7:$B$306,"&lt;="&amp;DATE($B$3,10,3),'Leave log'!$C$7:$C$306,"&gt;="&amp;DATE($B$3,10,3),'Leave log'!$F$7:$F$306,"Pending")&gt;0,"P",""))))</f>
        <v/>
      </c>
      <c r="E319" s="23" t="str">
        <f>IF(A319="","",IF(IF(OR(DATE($B$3,10,4)&gt;EOMONTH(DATE($B$3,10,1),0),NETWORKDAYS.INTL(DATE($B$3,10,4),DATE($B$3,10,4),1,'Non-working days'!$A$6:$A$45)=0),"",IF(COUNTIFS('Leave log'!$A$7:$A$306,Employees!$A$12,'Leave log'!$B$7:$B$306,"&lt;="&amp;DATE($B$3,10,4),'Leave log'!$C$7:$C$306,"&gt;="&amp;DATE($B$3,10,4),'Leave log'!$F$7:$F$306,"Approved")&gt;0,"A",""))="A","A",IF(OR(DATE($B$3,10,4)&gt;EOMONTH(DATE($B$3,10,1),0),NETWORKDAYS.INTL(DATE($B$3,10,4),DATE($B$3,10,4),1,'Non-working days'!$A$6:$A$45)=0),"",IF(COUNTIFS('Leave log'!$A$7:$A$306,Employees!$A$12,'Leave log'!$B$7:$B$306,"&lt;="&amp;DATE($B$3,10,4),'Leave log'!$C$7:$C$306,"&gt;="&amp;DATE($B$3,10,4),'Leave log'!$F$7:$F$306,"Pending")&gt;0,"P",""))))</f>
        <v/>
      </c>
      <c r="F319" s="23" t="str">
        <f>IF(A319="","",IF(IF(OR(DATE($B$3,10,5)&gt;EOMONTH(DATE($B$3,10,1),0),NETWORKDAYS.INTL(DATE($B$3,10,5),DATE($B$3,10,5),1,'Non-working days'!$A$6:$A$45)=0),"",IF(COUNTIFS('Leave log'!$A$7:$A$306,Employees!$A$12,'Leave log'!$B$7:$B$306,"&lt;="&amp;DATE($B$3,10,5),'Leave log'!$C$7:$C$306,"&gt;="&amp;DATE($B$3,10,5),'Leave log'!$F$7:$F$306,"Approved")&gt;0,"A",""))="A","A",IF(OR(DATE($B$3,10,5)&gt;EOMONTH(DATE($B$3,10,1),0),NETWORKDAYS.INTL(DATE($B$3,10,5),DATE($B$3,10,5),1,'Non-working days'!$A$6:$A$45)=0),"",IF(COUNTIFS('Leave log'!$A$7:$A$306,Employees!$A$12,'Leave log'!$B$7:$B$306,"&lt;="&amp;DATE($B$3,10,5),'Leave log'!$C$7:$C$306,"&gt;="&amp;DATE($B$3,10,5),'Leave log'!$F$7:$F$306,"Pending")&gt;0,"P",""))))</f>
        <v/>
      </c>
      <c r="G319" s="23" t="str">
        <f>IF(A319="","",IF(IF(OR(DATE($B$3,10,6)&gt;EOMONTH(DATE($B$3,10,1),0),NETWORKDAYS.INTL(DATE($B$3,10,6),DATE($B$3,10,6),1,'Non-working days'!$A$6:$A$45)=0),"",IF(COUNTIFS('Leave log'!$A$7:$A$306,Employees!$A$12,'Leave log'!$B$7:$B$306,"&lt;="&amp;DATE($B$3,10,6),'Leave log'!$C$7:$C$306,"&gt;="&amp;DATE($B$3,10,6),'Leave log'!$F$7:$F$306,"Approved")&gt;0,"A",""))="A","A",IF(OR(DATE($B$3,10,6)&gt;EOMONTH(DATE($B$3,10,1),0),NETWORKDAYS.INTL(DATE($B$3,10,6),DATE($B$3,10,6),1,'Non-working days'!$A$6:$A$45)=0),"",IF(COUNTIFS('Leave log'!$A$7:$A$306,Employees!$A$12,'Leave log'!$B$7:$B$306,"&lt;="&amp;DATE($B$3,10,6),'Leave log'!$C$7:$C$306,"&gt;="&amp;DATE($B$3,10,6),'Leave log'!$F$7:$F$306,"Pending")&gt;0,"P",""))))</f>
        <v/>
      </c>
      <c r="H319" s="23" t="str">
        <f>IF(A319="","",IF(IF(OR(DATE($B$3,10,7)&gt;EOMONTH(DATE($B$3,10,1),0),NETWORKDAYS.INTL(DATE($B$3,10,7),DATE($B$3,10,7),1,'Non-working days'!$A$6:$A$45)=0),"",IF(COUNTIFS('Leave log'!$A$7:$A$306,Employees!$A$12,'Leave log'!$B$7:$B$306,"&lt;="&amp;DATE($B$3,10,7),'Leave log'!$C$7:$C$306,"&gt;="&amp;DATE($B$3,10,7),'Leave log'!$F$7:$F$306,"Approved")&gt;0,"A",""))="A","A",IF(OR(DATE($B$3,10,7)&gt;EOMONTH(DATE($B$3,10,1),0),NETWORKDAYS.INTL(DATE($B$3,10,7),DATE($B$3,10,7),1,'Non-working days'!$A$6:$A$45)=0),"",IF(COUNTIFS('Leave log'!$A$7:$A$306,Employees!$A$12,'Leave log'!$B$7:$B$306,"&lt;="&amp;DATE($B$3,10,7),'Leave log'!$C$7:$C$306,"&gt;="&amp;DATE($B$3,10,7),'Leave log'!$F$7:$F$306,"Pending")&gt;0,"P",""))))</f>
        <v/>
      </c>
      <c r="I319" s="23" t="str">
        <f>IF(A319="","",IF(IF(OR(DATE($B$3,10,8)&gt;EOMONTH(DATE($B$3,10,1),0),NETWORKDAYS.INTL(DATE($B$3,10,8),DATE($B$3,10,8),1,'Non-working days'!$A$6:$A$45)=0),"",IF(COUNTIFS('Leave log'!$A$7:$A$306,Employees!$A$12,'Leave log'!$B$7:$B$306,"&lt;="&amp;DATE($B$3,10,8),'Leave log'!$C$7:$C$306,"&gt;="&amp;DATE($B$3,10,8),'Leave log'!$F$7:$F$306,"Approved")&gt;0,"A",""))="A","A",IF(OR(DATE($B$3,10,8)&gt;EOMONTH(DATE($B$3,10,1),0),NETWORKDAYS.INTL(DATE($B$3,10,8),DATE($B$3,10,8),1,'Non-working days'!$A$6:$A$45)=0),"",IF(COUNTIFS('Leave log'!$A$7:$A$306,Employees!$A$12,'Leave log'!$B$7:$B$306,"&lt;="&amp;DATE($B$3,10,8),'Leave log'!$C$7:$C$306,"&gt;="&amp;DATE($B$3,10,8),'Leave log'!$F$7:$F$306,"Pending")&gt;0,"P",""))))</f>
        <v/>
      </c>
      <c r="J319" s="23" t="str">
        <f>IF(A319="","",IF(IF(OR(DATE($B$3,10,9)&gt;EOMONTH(DATE($B$3,10,1),0),NETWORKDAYS.INTL(DATE($B$3,10,9),DATE($B$3,10,9),1,'Non-working days'!$A$6:$A$45)=0),"",IF(COUNTIFS('Leave log'!$A$7:$A$306,Employees!$A$12,'Leave log'!$B$7:$B$306,"&lt;="&amp;DATE($B$3,10,9),'Leave log'!$C$7:$C$306,"&gt;="&amp;DATE($B$3,10,9),'Leave log'!$F$7:$F$306,"Approved")&gt;0,"A",""))="A","A",IF(OR(DATE($B$3,10,9)&gt;EOMONTH(DATE($B$3,10,1),0),NETWORKDAYS.INTL(DATE($B$3,10,9),DATE($B$3,10,9),1,'Non-working days'!$A$6:$A$45)=0),"",IF(COUNTIFS('Leave log'!$A$7:$A$306,Employees!$A$12,'Leave log'!$B$7:$B$306,"&lt;="&amp;DATE($B$3,10,9),'Leave log'!$C$7:$C$306,"&gt;="&amp;DATE($B$3,10,9),'Leave log'!$F$7:$F$306,"Pending")&gt;0,"P",""))))</f>
        <v/>
      </c>
      <c r="K319" s="23" t="str">
        <f>IF(A319="","",IF(IF(OR(DATE($B$3,10,10)&gt;EOMONTH(DATE($B$3,10,1),0),NETWORKDAYS.INTL(DATE($B$3,10,10),DATE($B$3,10,10),1,'Non-working days'!$A$6:$A$45)=0),"",IF(COUNTIFS('Leave log'!$A$7:$A$306,Employees!$A$12,'Leave log'!$B$7:$B$306,"&lt;="&amp;DATE($B$3,10,10),'Leave log'!$C$7:$C$306,"&gt;="&amp;DATE($B$3,10,10),'Leave log'!$F$7:$F$306,"Approved")&gt;0,"A",""))="A","A",IF(OR(DATE($B$3,10,10)&gt;EOMONTH(DATE($B$3,10,1),0),NETWORKDAYS.INTL(DATE($B$3,10,10),DATE($B$3,10,10),1,'Non-working days'!$A$6:$A$45)=0),"",IF(COUNTIFS('Leave log'!$A$7:$A$306,Employees!$A$12,'Leave log'!$B$7:$B$306,"&lt;="&amp;DATE($B$3,10,10),'Leave log'!$C$7:$C$306,"&gt;="&amp;DATE($B$3,10,10),'Leave log'!$F$7:$F$306,"Pending")&gt;0,"P",""))))</f>
        <v/>
      </c>
      <c r="L319" s="23" t="str">
        <f>IF(A319="","",IF(IF(OR(DATE($B$3,10,11)&gt;EOMONTH(DATE($B$3,10,1),0),NETWORKDAYS.INTL(DATE($B$3,10,11),DATE($B$3,10,11),1,'Non-working days'!$A$6:$A$45)=0),"",IF(COUNTIFS('Leave log'!$A$7:$A$306,Employees!$A$12,'Leave log'!$B$7:$B$306,"&lt;="&amp;DATE($B$3,10,11),'Leave log'!$C$7:$C$306,"&gt;="&amp;DATE($B$3,10,11),'Leave log'!$F$7:$F$306,"Approved")&gt;0,"A",""))="A","A",IF(OR(DATE($B$3,10,11)&gt;EOMONTH(DATE($B$3,10,1),0),NETWORKDAYS.INTL(DATE($B$3,10,11),DATE($B$3,10,11),1,'Non-working days'!$A$6:$A$45)=0),"",IF(COUNTIFS('Leave log'!$A$7:$A$306,Employees!$A$12,'Leave log'!$B$7:$B$306,"&lt;="&amp;DATE($B$3,10,11),'Leave log'!$C$7:$C$306,"&gt;="&amp;DATE($B$3,10,11),'Leave log'!$F$7:$F$306,"Pending")&gt;0,"P",""))))</f>
        <v/>
      </c>
      <c r="M319" s="23" t="str">
        <f>IF(A319="","",IF(IF(OR(DATE($B$3,10,12)&gt;EOMONTH(DATE($B$3,10,1),0),NETWORKDAYS.INTL(DATE($B$3,10,12),DATE($B$3,10,12),1,'Non-working days'!$A$6:$A$45)=0),"",IF(COUNTIFS('Leave log'!$A$7:$A$306,Employees!$A$12,'Leave log'!$B$7:$B$306,"&lt;="&amp;DATE($B$3,10,12),'Leave log'!$C$7:$C$306,"&gt;="&amp;DATE($B$3,10,12),'Leave log'!$F$7:$F$306,"Approved")&gt;0,"A",""))="A","A",IF(OR(DATE($B$3,10,12)&gt;EOMONTH(DATE($B$3,10,1),0),NETWORKDAYS.INTL(DATE($B$3,10,12),DATE($B$3,10,12),1,'Non-working days'!$A$6:$A$45)=0),"",IF(COUNTIFS('Leave log'!$A$7:$A$306,Employees!$A$12,'Leave log'!$B$7:$B$306,"&lt;="&amp;DATE($B$3,10,12),'Leave log'!$C$7:$C$306,"&gt;="&amp;DATE($B$3,10,12),'Leave log'!$F$7:$F$306,"Pending")&gt;0,"P",""))))</f>
        <v/>
      </c>
      <c r="N319" s="23" t="str">
        <f>IF(A319="","",IF(IF(OR(DATE($B$3,10,13)&gt;EOMONTH(DATE($B$3,10,1),0),NETWORKDAYS.INTL(DATE($B$3,10,13),DATE($B$3,10,13),1,'Non-working days'!$A$6:$A$45)=0),"",IF(COUNTIFS('Leave log'!$A$7:$A$306,Employees!$A$12,'Leave log'!$B$7:$B$306,"&lt;="&amp;DATE($B$3,10,13),'Leave log'!$C$7:$C$306,"&gt;="&amp;DATE($B$3,10,13),'Leave log'!$F$7:$F$306,"Approved")&gt;0,"A",""))="A","A",IF(OR(DATE($B$3,10,13)&gt;EOMONTH(DATE($B$3,10,1),0),NETWORKDAYS.INTL(DATE($B$3,10,13),DATE($B$3,10,13),1,'Non-working days'!$A$6:$A$45)=0),"",IF(COUNTIFS('Leave log'!$A$7:$A$306,Employees!$A$12,'Leave log'!$B$7:$B$306,"&lt;="&amp;DATE($B$3,10,13),'Leave log'!$C$7:$C$306,"&gt;="&amp;DATE($B$3,10,13),'Leave log'!$F$7:$F$306,"Pending")&gt;0,"P",""))))</f>
        <v/>
      </c>
      <c r="O319" s="23" t="str">
        <f>IF(A319="","",IF(IF(OR(DATE($B$3,10,14)&gt;EOMONTH(DATE($B$3,10,1),0),NETWORKDAYS.INTL(DATE($B$3,10,14),DATE($B$3,10,14),1,'Non-working days'!$A$6:$A$45)=0),"",IF(COUNTIFS('Leave log'!$A$7:$A$306,Employees!$A$12,'Leave log'!$B$7:$B$306,"&lt;="&amp;DATE($B$3,10,14),'Leave log'!$C$7:$C$306,"&gt;="&amp;DATE($B$3,10,14),'Leave log'!$F$7:$F$306,"Approved")&gt;0,"A",""))="A","A",IF(OR(DATE($B$3,10,14)&gt;EOMONTH(DATE($B$3,10,1),0),NETWORKDAYS.INTL(DATE($B$3,10,14),DATE($B$3,10,14),1,'Non-working days'!$A$6:$A$45)=0),"",IF(COUNTIFS('Leave log'!$A$7:$A$306,Employees!$A$12,'Leave log'!$B$7:$B$306,"&lt;="&amp;DATE($B$3,10,14),'Leave log'!$C$7:$C$306,"&gt;="&amp;DATE($B$3,10,14),'Leave log'!$F$7:$F$306,"Pending")&gt;0,"P",""))))</f>
        <v/>
      </c>
      <c r="P319" s="23" t="str">
        <f>IF(A319="","",IF(IF(OR(DATE($B$3,10,15)&gt;EOMONTH(DATE($B$3,10,1),0),NETWORKDAYS.INTL(DATE($B$3,10,15),DATE($B$3,10,15),1,'Non-working days'!$A$6:$A$45)=0),"",IF(COUNTIFS('Leave log'!$A$7:$A$306,Employees!$A$12,'Leave log'!$B$7:$B$306,"&lt;="&amp;DATE($B$3,10,15),'Leave log'!$C$7:$C$306,"&gt;="&amp;DATE($B$3,10,15),'Leave log'!$F$7:$F$306,"Approved")&gt;0,"A",""))="A","A",IF(OR(DATE($B$3,10,15)&gt;EOMONTH(DATE($B$3,10,1),0),NETWORKDAYS.INTL(DATE($B$3,10,15),DATE($B$3,10,15),1,'Non-working days'!$A$6:$A$45)=0),"",IF(COUNTIFS('Leave log'!$A$7:$A$306,Employees!$A$12,'Leave log'!$B$7:$B$306,"&lt;="&amp;DATE($B$3,10,15),'Leave log'!$C$7:$C$306,"&gt;="&amp;DATE($B$3,10,15),'Leave log'!$F$7:$F$306,"Pending")&gt;0,"P",""))))</f>
        <v/>
      </c>
      <c r="Q319" s="23" t="str">
        <f>IF(A319="","",IF(IF(OR(DATE($B$3,10,16)&gt;EOMONTH(DATE($B$3,10,1),0),NETWORKDAYS.INTL(DATE($B$3,10,16),DATE($B$3,10,16),1,'Non-working days'!$A$6:$A$45)=0),"",IF(COUNTIFS('Leave log'!$A$7:$A$306,Employees!$A$12,'Leave log'!$B$7:$B$306,"&lt;="&amp;DATE($B$3,10,16),'Leave log'!$C$7:$C$306,"&gt;="&amp;DATE($B$3,10,16),'Leave log'!$F$7:$F$306,"Approved")&gt;0,"A",""))="A","A",IF(OR(DATE($B$3,10,16)&gt;EOMONTH(DATE($B$3,10,1),0),NETWORKDAYS.INTL(DATE($B$3,10,16),DATE($B$3,10,16),1,'Non-working days'!$A$6:$A$45)=0),"",IF(COUNTIFS('Leave log'!$A$7:$A$306,Employees!$A$12,'Leave log'!$B$7:$B$306,"&lt;="&amp;DATE($B$3,10,16),'Leave log'!$C$7:$C$306,"&gt;="&amp;DATE($B$3,10,16),'Leave log'!$F$7:$F$306,"Pending")&gt;0,"P",""))))</f>
        <v/>
      </c>
      <c r="R319" s="23" t="str">
        <f>IF(A319="","",IF(IF(OR(DATE($B$3,10,17)&gt;EOMONTH(DATE($B$3,10,1),0),NETWORKDAYS.INTL(DATE($B$3,10,17),DATE($B$3,10,17),1,'Non-working days'!$A$6:$A$45)=0),"",IF(COUNTIFS('Leave log'!$A$7:$A$306,Employees!$A$12,'Leave log'!$B$7:$B$306,"&lt;="&amp;DATE($B$3,10,17),'Leave log'!$C$7:$C$306,"&gt;="&amp;DATE($B$3,10,17),'Leave log'!$F$7:$F$306,"Approved")&gt;0,"A",""))="A","A",IF(OR(DATE($B$3,10,17)&gt;EOMONTH(DATE($B$3,10,1),0),NETWORKDAYS.INTL(DATE($B$3,10,17),DATE($B$3,10,17),1,'Non-working days'!$A$6:$A$45)=0),"",IF(COUNTIFS('Leave log'!$A$7:$A$306,Employees!$A$12,'Leave log'!$B$7:$B$306,"&lt;="&amp;DATE($B$3,10,17),'Leave log'!$C$7:$C$306,"&gt;="&amp;DATE($B$3,10,17),'Leave log'!$F$7:$F$306,"Pending")&gt;0,"P",""))))</f>
        <v/>
      </c>
      <c r="S319" s="23" t="str">
        <f>IF(A319="","",IF(IF(OR(DATE($B$3,10,18)&gt;EOMONTH(DATE($B$3,10,1),0),NETWORKDAYS.INTL(DATE($B$3,10,18),DATE($B$3,10,18),1,'Non-working days'!$A$6:$A$45)=0),"",IF(COUNTIFS('Leave log'!$A$7:$A$306,Employees!$A$12,'Leave log'!$B$7:$B$306,"&lt;="&amp;DATE($B$3,10,18),'Leave log'!$C$7:$C$306,"&gt;="&amp;DATE($B$3,10,18),'Leave log'!$F$7:$F$306,"Approved")&gt;0,"A",""))="A","A",IF(OR(DATE($B$3,10,18)&gt;EOMONTH(DATE($B$3,10,1),0),NETWORKDAYS.INTL(DATE($B$3,10,18),DATE($B$3,10,18),1,'Non-working days'!$A$6:$A$45)=0),"",IF(COUNTIFS('Leave log'!$A$7:$A$306,Employees!$A$12,'Leave log'!$B$7:$B$306,"&lt;="&amp;DATE($B$3,10,18),'Leave log'!$C$7:$C$306,"&gt;="&amp;DATE($B$3,10,18),'Leave log'!$F$7:$F$306,"Pending")&gt;0,"P",""))))</f>
        <v/>
      </c>
      <c r="T319" s="23" t="str">
        <f>IF(A319="","",IF(IF(OR(DATE($B$3,10,19)&gt;EOMONTH(DATE($B$3,10,1),0),NETWORKDAYS.INTL(DATE($B$3,10,19),DATE($B$3,10,19),1,'Non-working days'!$A$6:$A$45)=0),"",IF(COUNTIFS('Leave log'!$A$7:$A$306,Employees!$A$12,'Leave log'!$B$7:$B$306,"&lt;="&amp;DATE($B$3,10,19),'Leave log'!$C$7:$C$306,"&gt;="&amp;DATE($B$3,10,19),'Leave log'!$F$7:$F$306,"Approved")&gt;0,"A",""))="A","A",IF(OR(DATE($B$3,10,19)&gt;EOMONTH(DATE($B$3,10,1),0),NETWORKDAYS.INTL(DATE($B$3,10,19),DATE($B$3,10,19),1,'Non-working days'!$A$6:$A$45)=0),"",IF(COUNTIFS('Leave log'!$A$7:$A$306,Employees!$A$12,'Leave log'!$B$7:$B$306,"&lt;="&amp;DATE($B$3,10,19),'Leave log'!$C$7:$C$306,"&gt;="&amp;DATE($B$3,10,19),'Leave log'!$F$7:$F$306,"Pending")&gt;0,"P",""))))</f>
        <v/>
      </c>
      <c r="U319" s="23" t="str">
        <f>IF(A319="","",IF(IF(OR(DATE($B$3,10,20)&gt;EOMONTH(DATE($B$3,10,1),0),NETWORKDAYS.INTL(DATE($B$3,10,20),DATE($B$3,10,20),1,'Non-working days'!$A$6:$A$45)=0),"",IF(COUNTIFS('Leave log'!$A$7:$A$306,Employees!$A$12,'Leave log'!$B$7:$B$306,"&lt;="&amp;DATE($B$3,10,20),'Leave log'!$C$7:$C$306,"&gt;="&amp;DATE($B$3,10,20),'Leave log'!$F$7:$F$306,"Approved")&gt;0,"A",""))="A","A",IF(OR(DATE($B$3,10,20)&gt;EOMONTH(DATE($B$3,10,1),0),NETWORKDAYS.INTL(DATE($B$3,10,20),DATE($B$3,10,20),1,'Non-working days'!$A$6:$A$45)=0),"",IF(COUNTIFS('Leave log'!$A$7:$A$306,Employees!$A$12,'Leave log'!$B$7:$B$306,"&lt;="&amp;DATE($B$3,10,20),'Leave log'!$C$7:$C$306,"&gt;="&amp;DATE($B$3,10,20),'Leave log'!$F$7:$F$306,"Pending")&gt;0,"P",""))))</f>
        <v/>
      </c>
      <c r="V319" s="23" t="str">
        <f>IF(A319="","",IF(IF(OR(DATE($B$3,10,21)&gt;EOMONTH(DATE($B$3,10,1),0),NETWORKDAYS.INTL(DATE($B$3,10,21),DATE($B$3,10,21),1,'Non-working days'!$A$6:$A$45)=0),"",IF(COUNTIFS('Leave log'!$A$7:$A$306,Employees!$A$12,'Leave log'!$B$7:$B$306,"&lt;="&amp;DATE($B$3,10,21),'Leave log'!$C$7:$C$306,"&gt;="&amp;DATE($B$3,10,21),'Leave log'!$F$7:$F$306,"Approved")&gt;0,"A",""))="A","A",IF(OR(DATE($B$3,10,21)&gt;EOMONTH(DATE($B$3,10,1),0),NETWORKDAYS.INTL(DATE($B$3,10,21),DATE($B$3,10,21),1,'Non-working days'!$A$6:$A$45)=0),"",IF(COUNTIFS('Leave log'!$A$7:$A$306,Employees!$A$12,'Leave log'!$B$7:$B$306,"&lt;="&amp;DATE($B$3,10,21),'Leave log'!$C$7:$C$306,"&gt;="&amp;DATE($B$3,10,21),'Leave log'!$F$7:$F$306,"Pending")&gt;0,"P",""))))</f>
        <v/>
      </c>
      <c r="W319" s="23" t="str">
        <f>IF(A319="","",IF(IF(OR(DATE($B$3,10,22)&gt;EOMONTH(DATE($B$3,10,1),0),NETWORKDAYS.INTL(DATE($B$3,10,22),DATE($B$3,10,22),1,'Non-working days'!$A$6:$A$45)=0),"",IF(COUNTIFS('Leave log'!$A$7:$A$306,Employees!$A$12,'Leave log'!$B$7:$B$306,"&lt;="&amp;DATE($B$3,10,22),'Leave log'!$C$7:$C$306,"&gt;="&amp;DATE($B$3,10,22),'Leave log'!$F$7:$F$306,"Approved")&gt;0,"A",""))="A","A",IF(OR(DATE($B$3,10,22)&gt;EOMONTH(DATE($B$3,10,1),0),NETWORKDAYS.INTL(DATE($B$3,10,22),DATE($B$3,10,22),1,'Non-working days'!$A$6:$A$45)=0),"",IF(COUNTIFS('Leave log'!$A$7:$A$306,Employees!$A$12,'Leave log'!$B$7:$B$306,"&lt;="&amp;DATE($B$3,10,22),'Leave log'!$C$7:$C$306,"&gt;="&amp;DATE($B$3,10,22),'Leave log'!$F$7:$F$306,"Pending")&gt;0,"P",""))))</f>
        <v/>
      </c>
      <c r="X319" s="23" t="str">
        <f>IF(A319="","",IF(IF(OR(DATE($B$3,10,23)&gt;EOMONTH(DATE($B$3,10,1),0),NETWORKDAYS.INTL(DATE($B$3,10,23),DATE($B$3,10,23),1,'Non-working days'!$A$6:$A$45)=0),"",IF(COUNTIFS('Leave log'!$A$7:$A$306,Employees!$A$12,'Leave log'!$B$7:$B$306,"&lt;="&amp;DATE($B$3,10,23),'Leave log'!$C$7:$C$306,"&gt;="&amp;DATE($B$3,10,23),'Leave log'!$F$7:$F$306,"Approved")&gt;0,"A",""))="A","A",IF(OR(DATE($B$3,10,23)&gt;EOMONTH(DATE($B$3,10,1),0),NETWORKDAYS.INTL(DATE($B$3,10,23),DATE($B$3,10,23),1,'Non-working days'!$A$6:$A$45)=0),"",IF(COUNTIFS('Leave log'!$A$7:$A$306,Employees!$A$12,'Leave log'!$B$7:$B$306,"&lt;="&amp;DATE($B$3,10,23),'Leave log'!$C$7:$C$306,"&gt;="&amp;DATE($B$3,10,23),'Leave log'!$F$7:$F$306,"Pending")&gt;0,"P",""))))</f>
        <v/>
      </c>
      <c r="Y319" s="23" t="str">
        <f>IF(A319="","",IF(IF(OR(DATE($B$3,10,24)&gt;EOMONTH(DATE($B$3,10,1),0),NETWORKDAYS.INTL(DATE($B$3,10,24),DATE($B$3,10,24),1,'Non-working days'!$A$6:$A$45)=0),"",IF(COUNTIFS('Leave log'!$A$7:$A$306,Employees!$A$12,'Leave log'!$B$7:$B$306,"&lt;="&amp;DATE($B$3,10,24),'Leave log'!$C$7:$C$306,"&gt;="&amp;DATE($B$3,10,24),'Leave log'!$F$7:$F$306,"Approved")&gt;0,"A",""))="A","A",IF(OR(DATE($B$3,10,24)&gt;EOMONTH(DATE($B$3,10,1),0),NETWORKDAYS.INTL(DATE($B$3,10,24),DATE($B$3,10,24),1,'Non-working days'!$A$6:$A$45)=0),"",IF(COUNTIFS('Leave log'!$A$7:$A$306,Employees!$A$12,'Leave log'!$B$7:$B$306,"&lt;="&amp;DATE($B$3,10,24),'Leave log'!$C$7:$C$306,"&gt;="&amp;DATE($B$3,10,24),'Leave log'!$F$7:$F$306,"Pending")&gt;0,"P",""))))</f>
        <v/>
      </c>
      <c r="Z319" s="23" t="str">
        <f>IF(A319="","",IF(IF(OR(DATE($B$3,10,25)&gt;EOMONTH(DATE($B$3,10,1),0),NETWORKDAYS.INTL(DATE($B$3,10,25),DATE($B$3,10,25),1,'Non-working days'!$A$6:$A$45)=0),"",IF(COUNTIFS('Leave log'!$A$7:$A$306,Employees!$A$12,'Leave log'!$B$7:$B$306,"&lt;="&amp;DATE($B$3,10,25),'Leave log'!$C$7:$C$306,"&gt;="&amp;DATE($B$3,10,25),'Leave log'!$F$7:$F$306,"Approved")&gt;0,"A",""))="A","A",IF(OR(DATE($B$3,10,25)&gt;EOMONTH(DATE($B$3,10,1),0),NETWORKDAYS.INTL(DATE($B$3,10,25),DATE($B$3,10,25),1,'Non-working days'!$A$6:$A$45)=0),"",IF(COUNTIFS('Leave log'!$A$7:$A$306,Employees!$A$12,'Leave log'!$B$7:$B$306,"&lt;="&amp;DATE($B$3,10,25),'Leave log'!$C$7:$C$306,"&gt;="&amp;DATE($B$3,10,25),'Leave log'!$F$7:$F$306,"Pending")&gt;0,"P",""))))</f>
        <v/>
      </c>
      <c r="AA319" s="23" t="str">
        <f>IF(A319="","",IF(IF(OR(DATE($B$3,10,26)&gt;EOMONTH(DATE($B$3,10,1),0),NETWORKDAYS.INTL(DATE($B$3,10,26),DATE($B$3,10,26),1,'Non-working days'!$A$6:$A$45)=0),"",IF(COUNTIFS('Leave log'!$A$7:$A$306,Employees!$A$12,'Leave log'!$B$7:$B$306,"&lt;="&amp;DATE($B$3,10,26),'Leave log'!$C$7:$C$306,"&gt;="&amp;DATE($B$3,10,26),'Leave log'!$F$7:$F$306,"Approved")&gt;0,"A",""))="A","A",IF(OR(DATE($B$3,10,26)&gt;EOMONTH(DATE($B$3,10,1),0),NETWORKDAYS.INTL(DATE($B$3,10,26),DATE($B$3,10,26),1,'Non-working days'!$A$6:$A$45)=0),"",IF(COUNTIFS('Leave log'!$A$7:$A$306,Employees!$A$12,'Leave log'!$B$7:$B$306,"&lt;="&amp;DATE($B$3,10,26),'Leave log'!$C$7:$C$306,"&gt;="&amp;DATE($B$3,10,26),'Leave log'!$F$7:$F$306,"Pending")&gt;0,"P",""))))</f>
        <v/>
      </c>
      <c r="AB319" s="23" t="str">
        <f>IF(A319="","",IF(IF(OR(DATE($B$3,10,27)&gt;EOMONTH(DATE($B$3,10,1),0),NETWORKDAYS.INTL(DATE($B$3,10,27),DATE($B$3,10,27),1,'Non-working days'!$A$6:$A$45)=0),"",IF(COUNTIFS('Leave log'!$A$7:$A$306,Employees!$A$12,'Leave log'!$B$7:$B$306,"&lt;="&amp;DATE($B$3,10,27),'Leave log'!$C$7:$C$306,"&gt;="&amp;DATE($B$3,10,27),'Leave log'!$F$7:$F$306,"Approved")&gt;0,"A",""))="A","A",IF(OR(DATE($B$3,10,27)&gt;EOMONTH(DATE($B$3,10,1),0),NETWORKDAYS.INTL(DATE($B$3,10,27),DATE($B$3,10,27),1,'Non-working days'!$A$6:$A$45)=0),"",IF(COUNTIFS('Leave log'!$A$7:$A$306,Employees!$A$12,'Leave log'!$B$7:$B$306,"&lt;="&amp;DATE($B$3,10,27),'Leave log'!$C$7:$C$306,"&gt;="&amp;DATE($B$3,10,27),'Leave log'!$F$7:$F$306,"Pending")&gt;0,"P",""))))</f>
        <v/>
      </c>
      <c r="AC319" s="23" t="str">
        <f>IF(A319="","",IF(IF(OR(DATE($B$3,10,28)&gt;EOMONTH(DATE($B$3,10,1),0),NETWORKDAYS.INTL(DATE($B$3,10,28),DATE($B$3,10,28),1,'Non-working days'!$A$6:$A$45)=0),"",IF(COUNTIFS('Leave log'!$A$7:$A$306,Employees!$A$12,'Leave log'!$B$7:$B$306,"&lt;="&amp;DATE($B$3,10,28),'Leave log'!$C$7:$C$306,"&gt;="&amp;DATE($B$3,10,28),'Leave log'!$F$7:$F$306,"Approved")&gt;0,"A",""))="A","A",IF(OR(DATE($B$3,10,28)&gt;EOMONTH(DATE($B$3,10,1),0),NETWORKDAYS.INTL(DATE($B$3,10,28),DATE($B$3,10,28),1,'Non-working days'!$A$6:$A$45)=0),"",IF(COUNTIFS('Leave log'!$A$7:$A$306,Employees!$A$12,'Leave log'!$B$7:$B$306,"&lt;="&amp;DATE($B$3,10,28),'Leave log'!$C$7:$C$306,"&gt;="&amp;DATE($B$3,10,28),'Leave log'!$F$7:$F$306,"Pending")&gt;0,"P",""))))</f>
        <v/>
      </c>
      <c r="AD319" s="23" t="str">
        <f>IF(A319="","",IF(IF(OR(DATE($B$3,10,29)&gt;EOMONTH(DATE($B$3,10,1),0),NETWORKDAYS.INTL(DATE($B$3,10,29),DATE($B$3,10,29),1,'Non-working days'!$A$6:$A$45)=0),"",IF(COUNTIFS('Leave log'!$A$7:$A$306,Employees!$A$12,'Leave log'!$B$7:$B$306,"&lt;="&amp;DATE($B$3,10,29),'Leave log'!$C$7:$C$306,"&gt;="&amp;DATE($B$3,10,29),'Leave log'!$F$7:$F$306,"Approved")&gt;0,"A",""))="A","A",IF(OR(DATE($B$3,10,29)&gt;EOMONTH(DATE($B$3,10,1),0),NETWORKDAYS.INTL(DATE($B$3,10,29),DATE($B$3,10,29),1,'Non-working days'!$A$6:$A$45)=0),"",IF(COUNTIFS('Leave log'!$A$7:$A$306,Employees!$A$12,'Leave log'!$B$7:$B$306,"&lt;="&amp;DATE($B$3,10,29),'Leave log'!$C$7:$C$306,"&gt;="&amp;DATE($B$3,10,29),'Leave log'!$F$7:$F$306,"Pending")&gt;0,"P",""))))</f>
        <v/>
      </c>
      <c r="AE319" s="23" t="str">
        <f>IF(A319="","",IF(IF(OR(DATE($B$3,10,30)&gt;EOMONTH(DATE($B$3,10,1),0),NETWORKDAYS.INTL(DATE($B$3,10,30),DATE($B$3,10,30),1,'Non-working days'!$A$6:$A$45)=0),"",IF(COUNTIFS('Leave log'!$A$7:$A$306,Employees!$A$12,'Leave log'!$B$7:$B$306,"&lt;="&amp;DATE($B$3,10,30),'Leave log'!$C$7:$C$306,"&gt;="&amp;DATE($B$3,10,30),'Leave log'!$F$7:$F$306,"Approved")&gt;0,"A",""))="A","A",IF(OR(DATE($B$3,10,30)&gt;EOMONTH(DATE($B$3,10,1),0),NETWORKDAYS.INTL(DATE($B$3,10,30),DATE($B$3,10,30),1,'Non-working days'!$A$6:$A$45)=0),"",IF(COUNTIFS('Leave log'!$A$7:$A$306,Employees!$A$12,'Leave log'!$B$7:$B$306,"&lt;="&amp;DATE($B$3,10,30),'Leave log'!$C$7:$C$306,"&gt;="&amp;DATE($B$3,10,30),'Leave log'!$F$7:$F$306,"Pending")&gt;0,"P",""))))</f>
        <v/>
      </c>
      <c r="AF319" s="23" t="str">
        <f>IF(A319="","",IF(IF(OR(DATE($B$3,10,31)&gt;EOMONTH(DATE($B$3,10,1),0),NETWORKDAYS.INTL(DATE($B$3,10,31),DATE($B$3,10,31),1,'Non-working days'!$A$6:$A$45)=0),"",IF(COUNTIFS('Leave log'!$A$7:$A$306,Employees!$A$12,'Leave log'!$B$7:$B$306,"&lt;="&amp;DATE($B$3,10,31),'Leave log'!$C$7:$C$306,"&gt;="&amp;DATE($B$3,10,31),'Leave log'!$F$7:$F$306,"Approved")&gt;0,"A",""))="A","A",IF(OR(DATE($B$3,10,31)&gt;EOMONTH(DATE($B$3,10,1),0),NETWORKDAYS.INTL(DATE($B$3,10,31),DATE($B$3,10,31),1,'Non-working days'!$A$6:$A$45)=0),"",IF(COUNTIFS('Leave log'!$A$7:$A$306,Employees!$A$12,'Leave log'!$B$7:$B$306,"&lt;="&amp;DATE($B$3,10,31),'Leave log'!$C$7:$C$306,"&gt;="&amp;DATE($B$3,10,31),'Leave log'!$F$7:$F$306,"Pending")&gt;0,"P",""))))</f>
        <v/>
      </c>
    </row>
    <row r="320" spans="1:32" ht="18" customHeight="1" x14ac:dyDescent="0.3">
      <c r="A320" s="22" t="str">
        <f>IF(Employees!F13="Yes",Employees!B13,"")</f>
        <v/>
      </c>
      <c r="B320" s="23" t="str">
        <f>IF(A320="","",IF(IF(OR(DATE($B$3,10,1)&gt;EOMONTH(DATE($B$3,10,1),0),NETWORKDAYS.INTL(DATE($B$3,10,1),DATE($B$3,10,1),1,'Non-working days'!$A$6:$A$45)=0),"",IF(COUNTIFS('Leave log'!$A$7:$A$306,Employees!$A$13,'Leave log'!$B$7:$B$306,"&lt;="&amp;DATE($B$3,10,1),'Leave log'!$C$7:$C$306,"&gt;="&amp;DATE($B$3,10,1),'Leave log'!$F$7:$F$306,"Approved")&gt;0,"A",""))="A","A",IF(OR(DATE($B$3,10,1)&gt;EOMONTH(DATE($B$3,10,1),0),NETWORKDAYS.INTL(DATE($B$3,10,1),DATE($B$3,10,1),1,'Non-working days'!$A$6:$A$45)=0),"",IF(COUNTIFS('Leave log'!$A$7:$A$306,Employees!$A$13,'Leave log'!$B$7:$B$306,"&lt;="&amp;DATE($B$3,10,1),'Leave log'!$C$7:$C$306,"&gt;="&amp;DATE($B$3,10,1),'Leave log'!$F$7:$F$306,"Pending")&gt;0,"P",""))))</f>
        <v/>
      </c>
      <c r="C320" s="23" t="str">
        <f>IF(A320="","",IF(IF(OR(DATE($B$3,10,2)&gt;EOMONTH(DATE($B$3,10,1),0),NETWORKDAYS.INTL(DATE($B$3,10,2),DATE($B$3,10,2),1,'Non-working days'!$A$6:$A$45)=0),"",IF(COUNTIFS('Leave log'!$A$7:$A$306,Employees!$A$13,'Leave log'!$B$7:$B$306,"&lt;="&amp;DATE($B$3,10,2),'Leave log'!$C$7:$C$306,"&gt;="&amp;DATE($B$3,10,2),'Leave log'!$F$7:$F$306,"Approved")&gt;0,"A",""))="A","A",IF(OR(DATE($B$3,10,2)&gt;EOMONTH(DATE($B$3,10,1),0),NETWORKDAYS.INTL(DATE($B$3,10,2),DATE($B$3,10,2),1,'Non-working days'!$A$6:$A$45)=0),"",IF(COUNTIFS('Leave log'!$A$7:$A$306,Employees!$A$13,'Leave log'!$B$7:$B$306,"&lt;="&amp;DATE($B$3,10,2),'Leave log'!$C$7:$C$306,"&gt;="&amp;DATE($B$3,10,2),'Leave log'!$F$7:$F$306,"Pending")&gt;0,"P",""))))</f>
        <v/>
      </c>
      <c r="D320" s="23" t="str">
        <f>IF(A320="","",IF(IF(OR(DATE($B$3,10,3)&gt;EOMONTH(DATE($B$3,10,1),0),NETWORKDAYS.INTL(DATE($B$3,10,3),DATE($B$3,10,3),1,'Non-working days'!$A$6:$A$45)=0),"",IF(COUNTIFS('Leave log'!$A$7:$A$306,Employees!$A$13,'Leave log'!$B$7:$B$306,"&lt;="&amp;DATE($B$3,10,3),'Leave log'!$C$7:$C$306,"&gt;="&amp;DATE($B$3,10,3),'Leave log'!$F$7:$F$306,"Approved")&gt;0,"A",""))="A","A",IF(OR(DATE($B$3,10,3)&gt;EOMONTH(DATE($B$3,10,1),0),NETWORKDAYS.INTL(DATE($B$3,10,3),DATE($B$3,10,3),1,'Non-working days'!$A$6:$A$45)=0),"",IF(COUNTIFS('Leave log'!$A$7:$A$306,Employees!$A$13,'Leave log'!$B$7:$B$306,"&lt;="&amp;DATE($B$3,10,3),'Leave log'!$C$7:$C$306,"&gt;="&amp;DATE($B$3,10,3),'Leave log'!$F$7:$F$306,"Pending")&gt;0,"P",""))))</f>
        <v/>
      </c>
      <c r="E320" s="23" t="str">
        <f>IF(A320="","",IF(IF(OR(DATE($B$3,10,4)&gt;EOMONTH(DATE($B$3,10,1),0),NETWORKDAYS.INTL(DATE($B$3,10,4),DATE($B$3,10,4),1,'Non-working days'!$A$6:$A$45)=0),"",IF(COUNTIFS('Leave log'!$A$7:$A$306,Employees!$A$13,'Leave log'!$B$7:$B$306,"&lt;="&amp;DATE($B$3,10,4),'Leave log'!$C$7:$C$306,"&gt;="&amp;DATE($B$3,10,4),'Leave log'!$F$7:$F$306,"Approved")&gt;0,"A",""))="A","A",IF(OR(DATE($B$3,10,4)&gt;EOMONTH(DATE($B$3,10,1),0),NETWORKDAYS.INTL(DATE($B$3,10,4),DATE($B$3,10,4),1,'Non-working days'!$A$6:$A$45)=0),"",IF(COUNTIFS('Leave log'!$A$7:$A$306,Employees!$A$13,'Leave log'!$B$7:$B$306,"&lt;="&amp;DATE($B$3,10,4),'Leave log'!$C$7:$C$306,"&gt;="&amp;DATE($B$3,10,4),'Leave log'!$F$7:$F$306,"Pending")&gt;0,"P",""))))</f>
        <v/>
      </c>
      <c r="F320" s="23" t="str">
        <f>IF(A320="","",IF(IF(OR(DATE($B$3,10,5)&gt;EOMONTH(DATE($B$3,10,1),0),NETWORKDAYS.INTL(DATE($B$3,10,5),DATE($B$3,10,5),1,'Non-working days'!$A$6:$A$45)=0),"",IF(COUNTIFS('Leave log'!$A$7:$A$306,Employees!$A$13,'Leave log'!$B$7:$B$306,"&lt;="&amp;DATE($B$3,10,5),'Leave log'!$C$7:$C$306,"&gt;="&amp;DATE($B$3,10,5),'Leave log'!$F$7:$F$306,"Approved")&gt;0,"A",""))="A","A",IF(OR(DATE($B$3,10,5)&gt;EOMONTH(DATE($B$3,10,1),0),NETWORKDAYS.INTL(DATE($B$3,10,5),DATE($B$3,10,5),1,'Non-working days'!$A$6:$A$45)=0),"",IF(COUNTIFS('Leave log'!$A$7:$A$306,Employees!$A$13,'Leave log'!$B$7:$B$306,"&lt;="&amp;DATE($B$3,10,5),'Leave log'!$C$7:$C$306,"&gt;="&amp;DATE($B$3,10,5),'Leave log'!$F$7:$F$306,"Pending")&gt;0,"P",""))))</f>
        <v/>
      </c>
      <c r="G320" s="23" t="str">
        <f>IF(A320="","",IF(IF(OR(DATE($B$3,10,6)&gt;EOMONTH(DATE($B$3,10,1),0),NETWORKDAYS.INTL(DATE($B$3,10,6),DATE($B$3,10,6),1,'Non-working days'!$A$6:$A$45)=0),"",IF(COUNTIFS('Leave log'!$A$7:$A$306,Employees!$A$13,'Leave log'!$B$7:$B$306,"&lt;="&amp;DATE($B$3,10,6),'Leave log'!$C$7:$C$306,"&gt;="&amp;DATE($B$3,10,6),'Leave log'!$F$7:$F$306,"Approved")&gt;0,"A",""))="A","A",IF(OR(DATE($B$3,10,6)&gt;EOMONTH(DATE($B$3,10,1),0),NETWORKDAYS.INTL(DATE($B$3,10,6),DATE($B$3,10,6),1,'Non-working days'!$A$6:$A$45)=0),"",IF(COUNTIFS('Leave log'!$A$7:$A$306,Employees!$A$13,'Leave log'!$B$7:$B$306,"&lt;="&amp;DATE($B$3,10,6),'Leave log'!$C$7:$C$306,"&gt;="&amp;DATE($B$3,10,6),'Leave log'!$F$7:$F$306,"Pending")&gt;0,"P",""))))</f>
        <v/>
      </c>
      <c r="H320" s="23" t="str">
        <f>IF(A320="","",IF(IF(OR(DATE($B$3,10,7)&gt;EOMONTH(DATE($B$3,10,1),0),NETWORKDAYS.INTL(DATE($B$3,10,7),DATE($B$3,10,7),1,'Non-working days'!$A$6:$A$45)=0),"",IF(COUNTIFS('Leave log'!$A$7:$A$306,Employees!$A$13,'Leave log'!$B$7:$B$306,"&lt;="&amp;DATE($B$3,10,7),'Leave log'!$C$7:$C$306,"&gt;="&amp;DATE($B$3,10,7),'Leave log'!$F$7:$F$306,"Approved")&gt;0,"A",""))="A","A",IF(OR(DATE($B$3,10,7)&gt;EOMONTH(DATE($B$3,10,1),0),NETWORKDAYS.INTL(DATE($B$3,10,7),DATE($B$3,10,7),1,'Non-working days'!$A$6:$A$45)=0),"",IF(COUNTIFS('Leave log'!$A$7:$A$306,Employees!$A$13,'Leave log'!$B$7:$B$306,"&lt;="&amp;DATE($B$3,10,7),'Leave log'!$C$7:$C$306,"&gt;="&amp;DATE($B$3,10,7),'Leave log'!$F$7:$F$306,"Pending")&gt;0,"P",""))))</f>
        <v/>
      </c>
      <c r="I320" s="23" t="str">
        <f>IF(A320="","",IF(IF(OR(DATE($B$3,10,8)&gt;EOMONTH(DATE($B$3,10,1),0),NETWORKDAYS.INTL(DATE($B$3,10,8),DATE($B$3,10,8),1,'Non-working days'!$A$6:$A$45)=0),"",IF(COUNTIFS('Leave log'!$A$7:$A$306,Employees!$A$13,'Leave log'!$B$7:$B$306,"&lt;="&amp;DATE($B$3,10,8),'Leave log'!$C$7:$C$306,"&gt;="&amp;DATE($B$3,10,8),'Leave log'!$F$7:$F$306,"Approved")&gt;0,"A",""))="A","A",IF(OR(DATE($B$3,10,8)&gt;EOMONTH(DATE($B$3,10,1),0),NETWORKDAYS.INTL(DATE($B$3,10,8),DATE($B$3,10,8),1,'Non-working days'!$A$6:$A$45)=0),"",IF(COUNTIFS('Leave log'!$A$7:$A$306,Employees!$A$13,'Leave log'!$B$7:$B$306,"&lt;="&amp;DATE($B$3,10,8),'Leave log'!$C$7:$C$306,"&gt;="&amp;DATE($B$3,10,8),'Leave log'!$F$7:$F$306,"Pending")&gt;0,"P",""))))</f>
        <v/>
      </c>
      <c r="J320" s="23" t="str">
        <f>IF(A320="","",IF(IF(OR(DATE($B$3,10,9)&gt;EOMONTH(DATE($B$3,10,1),0),NETWORKDAYS.INTL(DATE($B$3,10,9),DATE($B$3,10,9),1,'Non-working days'!$A$6:$A$45)=0),"",IF(COUNTIFS('Leave log'!$A$7:$A$306,Employees!$A$13,'Leave log'!$B$7:$B$306,"&lt;="&amp;DATE($B$3,10,9),'Leave log'!$C$7:$C$306,"&gt;="&amp;DATE($B$3,10,9),'Leave log'!$F$7:$F$306,"Approved")&gt;0,"A",""))="A","A",IF(OR(DATE($B$3,10,9)&gt;EOMONTH(DATE($B$3,10,1),0),NETWORKDAYS.INTL(DATE($B$3,10,9),DATE($B$3,10,9),1,'Non-working days'!$A$6:$A$45)=0),"",IF(COUNTIFS('Leave log'!$A$7:$A$306,Employees!$A$13,'Leave log'!$B$7:$B$306,"&lt;="&amp;DATE($B$3,10,9),'Leave log'!$C$7:$C$306,"&gt;="&amp;DATE($B$3,10,9),'Leave log'!$F$7:$F$306,"Pending")&gt;0,"P",""))))</f>
        <v/>
      </c>
      <c r="K320" s="23" t="str">
        <f>IF(A320="","",IF(IF(OR(DATE($B$3,10,10)&gt;EOMONTH(DATE($B$3,10,1),0),NETWORKDAYS.INTL(DATE($B$3,10,10),DATE($B$3,10,10),1,'Non-working days'!$A$6:$A$45)=0),"",IF(COUNTIFS('Leave log'!$A$7:$A$306,Employees!$A$13,'Leave log'!$B$7:$B$306,"&lt;="&amp;DATE($B$3,10,10),'Leave log'!$C$7:$C$306,"&gt;="&amp;DATE($B$3,10,10),'Leave log'!$F$7:$F$306,"Approved")&gt;0,"A",""))="A","A",IF(OR(DATE($B$3,10,10)&gt;EOMONTH(DATE($B$3,10,1),0),NETWORKDAYS.INTL(DATE($B$3,10,10),DATE($B$3,10,10),1,'Non-working days'!$A$6:$A$45)=0),"",IF(COUNTIFS('Leave log'!$A$7:$A$306,Employees!$A$13,'Leave log'!$B$7:$B$306,"&lt;="&amp;DATE($B$3,10,10),'Leave log'!$C$7:$C$306,"&gt;="&amp;DATE($B$3,10,10),'Leave log'!$F$7:$F$306,"Pending")&gt;0,"P",""))))</f>
        <v/>
      </c>
      <c r="L320" s="23" t="str">
        <f>IF(A320="","",IF(IF(OR(DATE($B$3,10,11)&gt;EOMONTH(DATE($B$3,10,1),0),NETWORKDAYS.INTL(DATE($B$3,10,11),DATE($B$3,10,11),1,'Non-working days'!$A$6:$A$45)=0),"",IF(COUNTIFS('Leave log'!$A$7:$A$306,Employees!$A$13,'Leave log'!$B$7:$B$306,"&lt;="&amp;DATE($B$3,10,11),'Leave log'!$C$7:$C$306,"&gt;="&amp;DATE($B$3,10,11),'Leave log'!$F$7:$F$306,"Approved")&gt;0,"A",""))="A","A",IF(OR(DATE($B$3,10,11)&gt;EOMONTH(DATE($B$3,10,1),0),NETWORKDAYS.INTL(DATE($B$3,10,11),DATE($B$3,10,11),1,'Non-working days'!$A$6:$A$45)=0),"",IF(COUNTIFS('Leave log'!$A$7:$A$306,Employees!$A$13,'Leave log'!$B$7:$B$306,"&lt;="&amp;DATE($B$3,10,11),'Leave log'!$C$7:$C$306,"&gt;="&amp;DATE($B$3,10,11),'Leave log'!$F$7:$F$306,"Pending")&gt;0,"P",""))))</f>
        <v/>
      </c>
      <c r="M320" s="23" t="str">
        <f>IF(A320="","",IF(IF(OR(DATE($B$3,10,12)&gt;EOMONTH(DATE($B$3,10,1),0),NETWORKDAYS.INTL(DATE($B$3,10,12),DATE($B$3,10,12),1,'Non-working days'!$A$6:$A$45)=0),"",IF(COUNTIFS('Leave log'!$A$7:$A$306,Employees!$A$13,'Leave log'!$B$7:$B$306,"&lt;="&amp;DATE($B$3,10,12),'Leave log'!$C$7:$C$306,"&gt;="&amp;DATE($B$3,10,12),'Leave log'!$F$7:$F$306,"Approved")&gt;0,"A",""))="A","A",IF(OR(DATE($B$3,10,12)&gt;EOMONTH(DATE($B$3,10,1),0),NETWORKDAYS.INTL(DATE($B$3,10,12),DATE($B$3,10,12),1,'Non-working days'!$A$6:$A$45)=0),"",IF(COUNTIFS('Leave log'!$A$7:$A$306,Employees!$A$13,'Leave log'!$B$7:$B$306,"&lt;="&amp;DATE($B$3,10,12),'Leave log'!$C$7:$C$306,"&gt;="&amp;DATE($B$3,10,12),'Leave log'!$F$7:$F$306,"Pending")&gt;0,"P",""))))</f>
        <v/>
      </c>
      <c r="N320" s="23" t="str">
        <f>IF(A320="","",IF(IF(OR(DATE($B$3,10,13)&gt;EOMONTH(DATE($B$3,10,1),0),NETWORKDAYS.INTL(DATE($B$3,10,13),DATE($B$3,10,13),1,'Non-working days'!$A$6:$A$45)=0),"",IF(COUNTIFS('Leave log'!$A$7:$A$306,Employees!$A$13,'Leave log'!$B$7:$B$306,"&lt;="&amp;DATE($B$3,10,13),'Leave log'!$C$7:$C$306,"&gt;="&amp;DATE($B$3,10,13),'Leave log'!$F$7:$F$306,"Approved")&gt;0,"A",""))="A","A",IF(OR(DATE($B$3,10,13)&gt;EOMONTH(DATE($B$3,10,1),0),NETWORKDAYS.INTL(DATE($B$3,10,13),DATE($B$3,10,13),1,'Non-working days'!$A$6:$A$45)=0),"",IF(COUNTIFS('Leave log'!$A$7:$A$306,Employees!$A$13,'Leave log'!$B$7:$B$306,"&lt;="&amp;DATE($B$3,10,13),'Leave log'!$C$7:$C$306,"&gt;="&amp;DATE($B$3,10,13),'Leave log'!$F$7:$F$306,"Pending")&gt;0,"P",""))))</f>
        <v/>
      </c>
      <c r="O320" s="23" t="str">
        <f>IF(A320="","",IF(IF(OR(DATE($B$3,10,14)&gt;EOMONTH(DATE($B$3,10,1),0),NETWORKDAYS.INTL(DATE($B$3,10,14),DATE($B$3,10,14),1,'Non-working days'!$A$6:$A$45)=0),"",IF(COUNTIFS('Leave log'!$A$7:$A$306,Employees!$A$13,'Leave log'!$B$7:$B$306,"&lt;="&amp;DATE($B$3,10,14),'Leave log'!$C$7:$C$306,"&gt;="&amp;DATE($B$3,10,14),'Leave log'!$F$7:$F$306,"Approved")&gt;0,"A",""))="A","A",IF(OR(DATE($B$3,10,14)&gt;EOMONTH(DATE($B$3,10,1),0),NETWORKDAYS.INTL(DATE($B$3,10,14),DATE($B$3,10,14),1,'Non-working days'!$A$6:$A$45)=0),"",IF(COUNTIFS('Leave log'!$A$7:$A$306,Employees!$A$13,'Leave log'!$B$7:$B$306,"&lt;="&amp;DATE($B$3,10,14),'Leave log'!$C$7:$C$306,"&gt;="&amp;DATE($B$3,10,14),'Leave log'!$F$7:$F$306,"Pending")&gt;0,"P",""))))</f>
        <v/>
      </c>
      <c r="P320" s="23" t="str">
        <f>IF(A320="","",IF(IF(OR(DATE($B$3,10,15)&gt;EOMONTH(DATE($B$3,10,1),0),NETWORKDAYS.INTL(DATE($B$3,10,15),DATE($B$3,10,15),1,'Non-working days'!$A$6:$A$45)=0),"",IF(COUNTIFS('Leave log'!$A$7:$A$306,Employees!$A$13,'Leave log'!$B$7:$B$306,"&lt;="&amp;DATE($B$3,10,15),'Leave log'!$C$7:$C$306,"&gt;="&amp;DATE($B$3,10,15),'Leave log'!$F$7:$F$306,"Approved")&gt;0,"A",""))="A","A",IF(OR(DATE($B$3,10,15)&gt;EOMONTH(DATE($B$3,10,1),0),NETWORKDAYS.INTL(DATE($B$3,10,15),DATE($B$3,10,15),1,'Non-working days'!$A$6:$A$45)=0),"",IF(COUNTIFS('Leave log'!$A$7:$A$306,Employees!$A$13,'Leave log'!$B$7:$B$306,"&lt;="&amp;DATE($B$3,10,15),'Leave log'!$C$7:$C$306,"&gt;="&amp;DATE($B$3,10,15),'Leave log'!$F$7:$F$306,"Pending")&gt;0,"P",""))))</f>
        <v/>
      </c>
      <c r="Q320" s="23" t="str">
        <f>IF(A320="","",IF(IF(OR(DATE($B$3,10,16)&gt;EOMONTH(DATE($B$3,10,1),0),NETWORKDAYS.INTL(DATE($B$3,10,16),DATE($B$3,10,16),1,'Non-working days'!$A$6:$A$45)=0),"",IF(COUNTIFS('Leave log'!$A$7:$A$306,Employees!$A$13,'Leave log'!$B$7:$B$306,"&lt;="&amp;DATE($B$3,10,16),'Leave log'!$C$7:$C$306,"&gt;="&amp;DATE($B$3,10,16),'Leave log'!$F$7:$F$306,"Approved")&gt;0,"A",""))="A","A",IF(OR(DATE($B$3,10,16)&gt;EOMONTH(DATE($B$3,10,1),0),NETWORKDAYS.INTL(DATE($B$3,10,16),DATE($B$3,10,16),1,'Non-working days'!$A$6:$A$45)=0),"",IF(COUNTIFS('Leave log'!$A$7:$A$306,Employees!$A$13,'Leave log'!$B$7:$B$306,"&lt;="&amp;DATE($B$3,10,16),'Leave log'!$C$7:$C$306,"&gt;="&amp;DATE($B$3,10,16),'Leave log'!$F$7:$F$306,"Pending")&gt;0,"P",""))))</f>
        <v/>
      </c>
      <c r="R320" s="23" t="str">
        <f>IF(A320="","",IF(IF(OR(DATE($B$3,10,17)&gt;EOMONTH(DATE($B$3,10,1),0),NETWORKDAYS.INTL(DATE($B$3,10,17),DATE($B$3,10,17),1,'Non-working days'!$A$6:$A$45)=0),"",IF(COUNTIFS('Leave log'!$A$7:$A$306,Employees!$A$13,'Leave log'!$B$7:$B$306,"&lt;="&amp;DATE($B$3,10,17),'Leave log'!$C$7:$C$306,"&gt;="&amp;DATE($B$3,10,17),'Leave log'!$F$7:$F$306,"Approved")&gt;0,"A",""))="A","A",IF(OR(DATE($B$3,10,17)&gt;EOMONTH(DATE($B$3,10,1),0),NETWORKDAYS.INTL(DATE($B$3,10,17),DATE($B$3,10,17),1,'Non-working days'!$A$6:$A$45)=0),"",IF(COUNTIFS('Leave log'!$A$7:$A$306,Employees!$A$13,'Leave log'!$B$7:$B$306,"&lt;="&amp;DATE($B$3,10,17),'Leave log'!$C$7:$C$306,"&gt;="&amp;DATE($B$3,10,17),'Leave log'!$F$7:$F$306,"Pending")&gt;0,"P",""))))</f>
        <v/>
      </c>
      <c r="S320" s="23" t="str">
        <f>IF(A320="","",IF(IF(OR(DATE($B$3,10,18)&gt;EOMONTH(DATE($B$3,10,1),0),NETWORKDAYS.INTL(DATE($B$3,10,18),DATE($B$3,10,18),1,'Non-working days'!$A$6:$A$45)=0),"",IF(COUNTIFS('Leave log'!$A$7:$A$306,Employees!$A$13,'Leave log'!$B$7:$B$306,"&lt;="&amp;DATE($B$3,10,18),'Leave log'!$C$7:$C$306,"&gt;="&amp;DATE($B$3,10,18),'Leave log'!$F$7:$F$306,"Approved")&gt;0,"A",""))="A","A",IF(OR(DATE($B$3,10,18)&gt;EOMONTH(DATE($B$3,10,1),0),NETWORKDAYS.INTL(DATE($B$3,10,18),DATE($B$3,10,18),1,'Non-working days'!$A$6:$A$45)=0),"",IF(COUNTIFS('Leave log'!$A$7:$A$306,Employees!$A$13,'Leave log'!$B$7:$B$306,"&lt;="&amp;DATE($B$3,10,18),'Leave log'!$C$7:$C$306,"&gt;="&amp;DATE($B$3,10,18),'Leave log'!$F$7:$F$306,"Pending")&gt;0,"P",""))))</f>
        <v/>
      </c>
      <c r="T320" s="23" t="str">
        <f>IF(A320="","",IF(IF(OR(DATE($B$3,10,19)&gt;EOMONTH(DATE($B$3,10,1),0),NETWORKDAYS.INTL(DATE($B$3,10,19),DATE($B$3,10,19),1,'Non-working days'!$A$6:$A$45)=0),"",IF(COUNTIFS('Leave log'!$A$7:$A$306,Employees!$A$13,'Leave log'!$B$7:$B$306,"&lt;="&amp;DATE($B$3,10,19),'Leave log'!$C$7:$C$306,"&gt;="&amp;DATE($B$3,10,19),'Leave log'!$F$7:$F$306,"Approved")&gt;0,"A",""))="A","A",IF(OR(DATE($B$3,10,19)&gt;EOMONTH(DATE($B$3,10,1),0),NETWORKDAYS.INTL(DATE($B$3,10,19),DATE($B$3,10,19),1,'Non-working days'!$A$6:$A$45)=0),"",IF(COUNTIFS('Leave log'!$A$7:$A$306,Employees!$A$13,'Leave log'!$B$7:$B$306,"&lt;="&amp;DATE($B$3,10,19),'Leave log'!$C$7:$C$306,"&gt;="&amp;DATE($B$3,10,19),'Leave log'!$F$7:$F$306,"Pending")&gt;0,"P",""))))</f>
        <v/>
      </c>
      <c r="U320" s="23" t="str">
        <f>IF(A320="","",IF(IF(OR(DATE($B$3,10,20)&gt;EOMONTH(DATE($B$3,10,1),0),NETWORKDAYS.INTL(DATE($B$3,10,20),DATE($B$3,10,20),1,'Non-working days'!$A$6:$A$45)=0),"",IF(COUNTIFS('Leave log'!$A$7:$A$306,Employees!$A$13,'Leave log'!$B$7:$B$306,"&lt;="&amp;DATE($B$3,10,20),'Leave log'!$C$7:$C$306,"&gt;="&amp;DATE($B$3,10,20),'Leave log'!$F$7:$F$306,"Approved")&gt;0,"A",""))="A","A",IF(OR(DATE($B$3,10,20)&gt;EOMONTH(DATE($B$3,10,1),0),NETWORKDAYS.INTL(DATE($B$3,10,20),DATE($B$3,10,20),1,'Non-working days'!$A$6:$A$45)=0),"",IF(COUNTIFS('Leave log'!$A$7:$A$306,Employees!$A$13,'Leave log'!$B$7:$B$306,"&lt;="&amp;DATE($B$3,10,20),'Leave log'!$C$7:$C$306,"&gt;="&amp;DATE($B$3,10,20),'Leave log'!$F$7:$F$306,"Pending")&gt;0,"P",""))))</f>
        <v/>
      </c>
      <c r="V320" s="23" t="str">
        <f>IF(A320="","",IF(IF(OR(DATE($B$3,10,21)&gt;EOMONTH(DATE($B$3,10,1),0),NETWORKDAYS.INTL(DATE($B$3,10,21),DATE($B$3,10,21),1,'Non-working days'!$A$6:$A$45)=0),"",IF(COUNTIFS('Leave log'!$A$7:$A$306,Employees!$A$13,'Leave log'!$B$7:$B$306,"&lt;="&amp;DATE($B$3,10,21),'Leave log'!$C$7:$C$306,"&gt;="&amp;DATE($B$3,10,21),'Leave log'!$F$7:$F$306,"Approved")&gt;0,"A",""))="A","A",IF(OR(DATE($B$3,10,21)&gt;EOMONTH(DATE($B$3,10,1),0),NETWORKDAYS.INTL(DATE($B$3,10,21),DATE($B$3,10,21),1,'Non-working days'!$A$6:$A$45)=0),"",IF(COUNTIFS('Leave log'!$A$7:$A$306,Employees!$A$13,'Leave log'!$B$7:$B$306,"&lt;="&amp;DATE($B$3,10,21),'Leave log'!$C$7:$C$306,"&gt;="&amp;DATE($B$3,10,21),'Leave log'!$F$7:$F$306,"Pending")&gt;0,"P",""))))</f>
        <v/>
      </c>
      <c r="W320" s="23" t="str">
        <f>IF(A320="","",IF(IF(OR(DATE($B$3,10,22)&gt;EOMONTH(DATE($B$3,10,1),0),NETWORKDAYS.INTL(DATE($B$3,10,22),DATE($B$3,10,22),1,'Non-working days'!$A$6:$A$45)=0),"",IF(COUNTIFS('Leave log'!$A$7:$A$306,Employees!$A$13,'Leave log'!$B$7:$B$306,"&lt;="&amp;DATE($B$3,10,22),'Leave log'!$C$7:$C$306,"&gt;="&amp;DATE($B$3,10,22),'Leave log'!$F$7:$F$306,"Approved")&gt;0,"A",""))="A","A",IF(OR(DATE($B$3,10,22)&gt;EOMONTH(DATE($B$3,10,1),0),NETWORKDAYS.INTL(DATE($B$3,10,22),DATE($B$3,10,22),1,'Non-working days'!$A$6:$A$45)=0),"",IF(COUNTIFS('Leave log'!$A$7:$A$306,Employees!$A$13,'Leave log'!$B$7:$B$306,"&lt;="&amp;DATE($B$3,10,22),'Leave log'!$C$7:$C$306,"&gt;="&amp;DATE($B$3,10,22),'Leave log'!$F$7:$F$306,"Pending")&gt;0,"P",""))))</f>
        <v/>
      </c>
      <c r="X320" s="23" t="str">
        <f>IF(A320="","",IF(IF(OR(DATE($B$3,10,23)&gt;EOMONTH(DATE($B$3,10,1),0),NETWORKDAYS.INTL(DATE($B$3,10,23),DATE($B$3,10,23),1,'Non-working days'!$A$6:$A$45)=0),"",IF(COUNTIFS('Leave log'!$A$7:$A$306,Employees!$A$13,'Leave log'!$B$7:$B$306,"&lt;="&amp;DATE($B$3,10,23),'Leave log'!$C$7:$C$306,"&gt;="&amp;DATE($B$3,10,23),'Leave log'!$F$7:$F$306,"Approved")&gt;0,"A",""))="A","A",IF(OR(DATE($B$3,10,23)&gt;EOMONTH(DATE($B$3,10,1),0),NETWORKDAYS.INTL(DATE($B$3,10,23),DATE($B$3,10,23),1,'Non-working days'!$A$6:$A$45)=0),"",IF(COUNTIFS('Leave log'!$A$7:$A$306,Employees!$A$13,'Leave log'!$B$7:$B$306,"&lt;="&amp;DATE($B$3,10,23),'Leave log'!$C$7:$C$306,"&gt;="&amp;DATE($B$3,10,23),'Leave log'!$F$7:$F$306,"Pending")&gt;0,"P",""))))</f>
        <v/>
      </c>
      <c r="Y320" s="23" t="str">
        <f>IF(A320="","",IF(IF(OR(DATE($B$3,10,24)&gt;EOMONTH(DATE($B$3,10,1),0),NETWORKDAYS.INTL(DATE($B$3,10,24),DATE($B$3,10,24),1,'Non-working days'!$A$6:$A$45)=0),"",IF(COUNTIFS('Leave log'!$A$7:$A$306,Employees!$A$13,'Leave log'!$B$7:$B$306,"&lt;="&amp;DATE($B$3,10,24),'Leave log'!$C$7:$C$306,"&gt;="&amp;DATE($B$3,10,24),'Leave log'!$F$7:$F$306,"Approved")&gt;0,"A",""))="A","A",IF(OR(DATE($B$3,10,24)&gt;EOMONTH(DATE($B$3,10,1),0),NETWORKDAYS.INTL(DATE($B$3,10,24),DATE($B$3,10,24),1,'Non-working days'!$A$6:$A$45)=0),"",IF(COUNTIFS('Leave log'!$A$7:$A$306,Employees!$A$13,'Leave log'!$B$7:$B$306,"&lt;="&amp;DATE($B$3,10,24),'Leave log'!$C$7:$C$306,"&gt;="&amp;DATE($B$3,10,24),'Leave log'!$F$7:$F$306,"Pending")&gt;0,"P",""))))</f>
        <v/>
      </c>
      <c r="Z320" s="23" t="str">
        <f>IF(A320="","",IF(IF(OR(DATE($B$3,10,25)&gt;EOMONTH(DATE($B$3,10,1),0),NETWORKDAYS.INTL(DATE($B$3,10,25),DATE($B$3,10,25),1,'Non-working days'!$A$6:$A$45)=0),"",IF(COUNTIFS('Leave log'!$A$7:$A$306,Employees!$A$13,'Leave log'!$B$7:$B$306,"&lt;="&amp;DATE($B$3,10,25),'Leave log'!$C$7:$C$306,"&gt;="&amp;DATE($B$3,10,25),'Leave log'!$F$7:$F$306,"Approved")&gt;0,"A",""))="A","A",IF(OR(DATE($B$3,10,25)&gt;EOMONTH(DATE($B$3,10,1),0),NETWORKDAYS.INTL(DATE($B$3,10,25),DATE($B$3,10,25),1,'Non-working days'!$A$6:$A$45)=0),"",IF(COUNTIFS('Leave log'!$A$7:$A$306,Employees!$A$13,'Leave log'!$B$7:$B$306,"&lt;="&amp;DATE($B$3,10,25),'Leave log'!$C$7:$C$306,"&gt;="&amp;DATE($B$3,10,25),'Leave log'!$F$7:$F$306,"Pending")&gt;0,"P",""))))</f>
        <v/>
      </c>
      <c r="AA320" s="23" t="str">
        <f>IF(A320="","",IF(IF(OR(DATE($B$3,10,26)&gt;EOMONTH(DATE($B$3,10,1),0),NETWORKDAYS.INTL(DATE($B$3,10,26),DATE($B$3,10,26),1,'Non-working days'!$A$6:$A$45)=0),"",IF(COUNTIFS('Leave log'!$A$7:$A$306,Employees!$A$13,'Leave log'!$B$7:$B$306,"&lt;="&amp;DATE($B$3,10,26),'Leave log'!$C$7:$C$306,"&gt;="&amp;DATE($B$3,10,26),'Leave log'!$F$7:$F$306,"Approved")&gt;0,"A",""))="A","A",IF(OR(DATE($B$3,10,26)&gt;EOMONTH(DATE($B$3,10,1),0),NETWORKDAYS.INTL(DATE($B$3,10,26),DATE($B$3,10,26),1,'Non-working days'!$A$6:$A$45)=0),"",IF(COUNTIFS('Leave log'!$A$7:$A$306,Employees!$A$13,'Leave log'!$B$7:$B$306,"&lt;="&amp;DATE($B$3,10,26),'Leave log'!$C$7:$C$306,"&gt;="&amp;DATE($B$3,10,26),'Leave log'!$F$7:$F$306,"Pending")&gt;0,"P",""))))</f>
        <v/>
      </c>
      <c r="AB320" s="23" t="str">
        <f>IF(A320="","",IF(IF(OR(DATE($B$3,10,27)&gt;EOMONTH(DATE($B$3,10,1),0),NETWORKDAYS.INTL(DATE($B$3,10,27),DATE($B$3,10,27),1,'Non-working days'!$A$6:$A$45)=0),"",IF(COUNTIFS('Leave log'!$A$7:$A$306,Employees!$A$13,'Leave log'!$B$7:$B$306,"&lt;="&amp;DATE($B$3,10,27),'Leave log'!$C$7:$C$306,"&gt;="&amp;DATE($B$3,10,27),'Leave log'!$F$7:$F$306,"Approved")&gt;0,"A",""))="A","A",IF(OR(DATE($B$3,10,27)&gt;EOMONTH(DATE($B$3,10,1),0),NETWORKDAYS.INTL(DATE($B$3,10,27),DATE($B$3,10,27),1,'Non-working days'!$A$6:$A$45)=0),"",IF(COUNTIFS('Leave log'!$A$7:$A$306,Employees!$A$13,'Leave log'!$B$7:$B$306,"&lt;="&amp;DATE($B$3,10,27),'Leave log'!$C$7:$C$306,"&gt;="&amp;DATE($B$3,10,27),'Leave log'!$F$7:$F$306,"Pending")&gt;0,"P",""))))</f>
        <v/>
      </c>
      <c r="AC320" s="23" t="str">
        <f>IF(A320="","",IF(IF(OR(DATE($B$3,10,28)&gt;EOMONTH(DATE($B$3,10,1),0),NETWORKDAYS.INTL(DATE($B$3,10,28),DATE($B$3,10,28),1,'Non-working days'!$A$6:$A$45)=0),"",IF(COUNTIFS('Leave log'!$A$7:$A$306,Employees!$A$13,'Leave log'!$B$7:$B$306,"&lt;="&amp;DATE($B$3,10,28),'Leave log'!$C$7:$C$306,"&gt;="&amp;DATE($B$3,10,28),'Leave log'!$F$7:$F$306,"Approved")&gt;0,"A",""))="A","A",IF(OR(DATE($B$3,10,28)&gt;EOMONTH(DATE($B$3,10,1),0),NETWORKDAYS.INTL(DATE($B$3,10,28),DATE($B$3,10,28),1,'Non-working days'!$A$6:$A$45)=0),"",IF(COUNTIFS('Leave log'!$A$7:$A$306,Employees!$A$13,'Leave log'!$B$7:$B$306,"&lt;="&amp;DATE($B$3,10,28),'Leave log'!$C$7:$C$306,"&gt;="&amp;DATE($B$3,10,28),'Leave log'!$F$7:$F$306,"Pending")&gt;0,"P",""))))</f>
        <v/>
      </c>
      <c r="AD320" s="23" t="str">
        <f>IF(A320="","",IF(IF(OR(DATE($B$3,10,29)&gt;EOMONTH(DATE($B$3,10,1),0),NETWORKDAYS.INTL(DATE($B$3,10,29),DATE($B$3,10,29),1,'Non-working days'!$A$6:$A$45)=0),"",IF(COUNTIFS('Leave log'!$A$7:$A$306,Employees!$A$13,'Leave log'!$B$7:$B$306,"&lt;="&amp;DATE($B$3,10,29),'Leave log'!$C$7:$C$306,"&gt;="&amp;DATE($B$3,10,29),'Leave log'!$F$7:$F$306,"Approved")&gt;0,"A",""))="A","A",IF(OR(DATE($B$3,10,29)&gt;EOMONTH(DATE($B$3,10,1),0),NETWORKDAYS.INTL(DATE($B$3,10,29),DATE($B$3,10,29),1,'Non-working days'!$A$6:$A$45)=0),"",IF(COUNTIFS('Leave log'!$A$7:$A$306,Employees!$A$13,'Leave log'!$B$7:$B$306,"&lt;="&amp;DATE($B$3,10,29),'Leave log'!$C$7:$C$306,"&gt;="&amp;DATE($B$3,10,29),'Leave log'!$F$7:$F$306,"Pending")&gt;0,"P",""))))</f>
        <v/>
      </c>
      <c r="AE320" s="23" t="str">
        <f>IF(A320="","",IF(IF(OR(DATE($B$3,10,30)&gt;EOMONTH(DATE($B$3,10,1),0),NETWORKDAYS.INTL(DATE($B$3,10,30),DATE($B$3,10,30),1,'Non-working days'!$A$6:$A$45)=0),"",IF(COUNTIFS('Leave log'!$A$7:$A$306,Employees!$A$13,'Leave log'!$B$7:$B$306,"&lt;="&amp;DATE($B$3,10,30),'Leave log'!$C$7:$C$306,"&gt;="&amp;DATE($B$3,10,30),'Leave log'!$F$7:$F$306,"Approved")&gt;0,"A",""))="A","A",IF(OR(DATE($B$3,10,30)&gt;EOMONTH(DATE($B$3,10,1),0),NETWORKDAYS.INTL(DATE($B$3,10,30),DATE($B$3,10,30),1,'Non-working days'!$A$6:$A$45)=0),"",IF(COUNTIFS('Leave log'!$A$7:$A$306,Employees!$A$13,'Leave log'!$B$7:$B$306,"&lt;="&amp;DATE($B$3,10,30),'Leave log'!$C$7:$C$306,"&gt;="&amp;DATE($B$3,10,30),'Leave log'!$F$7:$F$306,"Pending")&gt;0,"P",""))))</f>
        <v/>
      </c>
      <c r="AF320" s="23" t="str">
        <f>IF(A320="","",IF(IF(OR(DATE($B$3,10,31)&gt;EOMONTH(DATE($B$3,10,1),0),NETWORKDAYS.INTL(DATE($B$3,10,31),DATE($B$3,10,31),1,'Non-working days'!$A$6:$A$45)=0),"",IF(COUNTIFS('Leave log'!$A$7:$A$306,Employees!$A$13,'Leave log'!$B$7:$B$306,"&lt;="&amp;DATE($B$3,10,31),'Leave log'!$C$7:$C$306,"&gt;="&amp;DATE($B$3,10,31),'Leave log'!$F$7:$F$306,"Approved")&gt;0,"A",""))="A","A",IF(OR(DATE($B$3,10,31)&gt;EOMONTH(DATE($B$3,10,1),0),NETWORKDAYS.INTL(DATE($B$3,10,31),DATE($B$3,10,31),1,'Non-working days'!$A$6:$A$45)=0),"",IF(COUNTIFS('Leave log'!$A$7:$A$306,Employees!$A$13,'Leave log'!$B$7:$B$306,"&lt;="&amp;DATE($B$3,10,31),'Leave log'!$C$7:$C$306,"&gt;="&amp;DATE($B$3,10,31),'Leave log'!$F$7:$F$306,"Pending")&gt;0,"P",""))))</f>
        <v/>
      </c>
    </row>
    <row r="321" spans="1:32" ht="18" customHeight="1" x14ac:dyDescent="0.3">
      <c r="A321" s="22" t="str">
        <f>IF(Employees!F14="Yes",Employees!B14,"")</f>
        <v/>
      </c>
      <c r="B321" s="23" t="str">
        <f>IF(A321="","",IF(IF(OR(DATE($B$3,10,1)&gt;EOMONTH(DATE($B$3,10,1),0),NETWORKDAYS.INTL(DATE($B$3,10,1),DATE($B$3,10,1),1,'Non-working days'!$A$6:$A$45)=0),"",IF(COUNTIFS('Leave log'!$A$7:$A$306,Employees!$A$14,'Leave log'!$B$7:$B$306,"&lt;="&amp;DATE($B$3,10,1),'Leave log'!$C$7:$C$306,"&gt;="&amp;DATE($B$3,10,1),'Leave log'!$F$7:$F$306,"Approved")&gt;0,"A",""))="A","A",IF(OR(DATE($B$3,10,1)&gt;EOMONTH(DATE($B$3,10,1),0),NETWORKDAYS.INTL(DATE($B$3,10,1),DATE($B$3,10,1),1,'Non-working days'!$A$6:$A$45)=0),"",IF(COUNTIFS('Leave log'!$A$7:$A$306,Employees!$A$14,'Leave log'!$B$7:$B$306,"&lt;="&amp;DATE($B$3,10,1),'Leave log'!$C$7:$C$306,"&gt;="&amp;DATE($B$3,10,1),'Leave log'!$F$7:$F$306,"Pending")&gt;0,"P",""))))</f>
        <v/>
      </c>
      <c r="C321" s="23" t="str">
        <f>IF(A321="","",IF(IF(OR(DATE($B$3,10,2)&gt;EOMONTH(DATE($B$3,10,1),0),NETWORKDAYS.INTL(DATE($B$3,10,2),DATE($B$3,10,2),1,'Non-working days'!$A$6:$A$45)=0),"",IF(COUNTIFS('Leave log'!$A$7:$A$306,Employees!$A$14,'Leave log'!$B$7:$B$306,"&lt;="&amp;DATE($B$3,10,2),'Leave log'!$C$7:$C$306,"&gt;="&amp;DATE($B$3,10,2),'Leave log'!$F$7:$F$306,"Approved")&gt;0,"A",""))="A","A",IF(OR(DATE($B$3,10,2)&gt;EOMONTH(DATE($B$3,10,1),0),NETWORKDAYS.INTL(DATE($B$3,10,2),DATE($B$3,10,2),1,'Non-working days'!$A$6:$A$45)=0),"",IF(COUNTIFS('Leave log'!$A$7:$A$306,Employees!$A$14,'Leave log'!$B$7:$B$306,"&lt;="&amp;DATE($B$3,10,2),'Leave log'!$C$7:$C$306,"&gt;="&amp;DATE($B$3,10,2),'Leave log'!$F$7:$F$306,"Pending")&gt;0,"P",""))))</f>
        <v/>
      </c>
      <c r="D321" s="23" t="str">
        <f>IF(A321="","",IF(IF(OR(DATE($B$3,10,3)&gt;EOMONTH(DATE($B$3,10,1),0),NETWORKDAYS.INTL(DATE($B$3,10,3),DATE($B$3,10,3),1,'Non-working days'!$A$6:$A$45)=0),"",IF(COUNTIFS('Leave log'!$A$7:$A$306,Employees!$A$14,'Leave log'!$B$7:$B$306,"&lt;="&amp;DATE($B$3,10,3),'Leave log'!$C$7:$C$306,"&gt;="&amp;DATE($B$3,10,3),'Leave log'!$F$7:$F$306,"Approved")&gt;0,"A",""))="A","A",IF(OR(DATE($B$3,10,3)&gt;EOMONTH(DATE($B$3,10,1),0),NETWORKDAYS.INTL(DATE($B$3,10,3),DATE($B$3,10,3),1,'Non-working days'!$A$6:$A$45)=0),"",IF(COUNTIFS('Leave log'!$A$7:$A$306,Employees!$A$14,'Leave log'!$B$7:$B$306,"&lt;="&amp;DATE($B$3,10,3),'Leave log'!$C$7:$C$306,"&gt;="&amp;DATE($B$3,10,3),'Leave log'!$F$7:$F$306,"Pending")&gt;0,"P",""))))</f>
        <v/>
      </c>
      <c r="E321" s="23" t="str">
        <f>IF(A321="","",IF(IF(OR(DATE($B$3,10,4)&gt;EOMONTH(DATE($B$3,10,1),0),NETWORKDAYS.INTL(DATE($B$3,10,4),DATE($B$3,10,4),1,'Non-working days'!$A$6:$A$45)=0),"",IF(COUNTIFS('Leave log'!$A$7:$A$306,Employees!$A$14,'Leave log'!$B$7:$B$306,"&lt;="&amp;DATE($B$3,10,4),'Leave log'!$C$7:$C$306,"&gt;="&amp;DATE($B$3,10,4),'Leave log'!$F$7:$F$306,"Approved")&gt;0,"A",""))="A","A",IF(OR(DATE($B$3,10,4)&gt;EOMONTH(DATE($B$3,10,1),0),NETWORKDAYS.INTL(DATE($B$3,10,4),DATE($B$3,10,4),1,'Non-working days'!$A$6:$A$45)=0),"",IF(COUNTIFS('Leave log'!$A$7:$A$306,Employees!$A$14,'Leave log'!$B$7:$B$306,"&lt;="&amp;DATE($B$3,10,4),'Leave log'!$C$7:$C$306,"&gt;="&amp;DATE($B$3,10,4),'Leave log'!$F$7:$F$306,"Pending")&gt;0,"P",""))))</f>
        <v/>
      </c>
      <c r="F321" s="23" t="str">
        <f>IF(A321="","",IF(IF(OR(DATE($B$3,10,5)&gt;EOMONTH(DATE($B$3,10,1),0),NETWORKDAYS.INTL(DATE($B$3,10,5),DATE($B$3,10,5),1,'Non-working days'!$A$6:$A$45)=0),"",IF(COUNTIFS('Leave log'!$A$7:$A$306,Employees!$A$14,'Leave log'!$B$7:$B$306,"&lt;="&amp;DATE($B$3,10,5),'Leave log'!$C$7:$C$306,"&gt;="&amp;DATE($B$3,10,5),'Leave log'!$F$7:$F$306,"Approved")&gt;0,"A",""))="A","A",IF(OR(DATE($B$3,10,5)&gt;EOMONTH(DATE($B$3,10,1),0),NETWORKDAYS.INTL(DATE($B$3,10,5),DATE($B$3,10,5),1,'Non-working days'!$A$6:$A$45)=0),"",IF(COUNTIFS('Leave log'!$A$7:$A$306,Employees!$A$14,'Leave log'!$B$7:$B$306,"&lt;="&amp;DATE($B$3,10,5),'Leave log'!$C$7:$C$306,"&gt;="&amp;DATE($B$3,10,5),'Leave log'!$F$7:$F$306,"Pending")&gt;0,"P",""))))</f>
        <v/>
      </c>
      <c r="G321" s="23" t="str">
        <f>IF(A321="","",IF(IF(OR(DATE($B$3,10,6)&gt;EOMONTH(DATE($B$3,10,1),0),NETWORKDAYS.INTL(DATE($B$3,10,6),DATE($B$3,10,6),1,'Non-working days'!$A$6:$A$45)=0),"",IF(COUNTIFS('Leave log'!$A$7:$A$306,Employees!$A$14,'Leave log'!$B$7:$B$306,"&lt;="&amp;DATE($B$3,10,6),'Leave log'!$C$7:$C$306,"&gt;="&amp;DATE($B$3,10,6),'Leave log'!$F$7:$F$306,"Approved")&gt;0,"A",""))="A","A",IF(OR(DATE($B$3,10,6)&gt;EOMONTH(DATE($B$3,10,1),0),NETWORKDAYS.INTL(DATE($B$3,10,6),DATE($B$3,10,6),1,'Non-working days'!$A$6:$A$45)=0),"",IF(COUNTIFS('Leave log'!$A$7:$A$306,Employees!$A$14,'Leave log'!$B$7:$B$306,"&lt;="&amp;DATE($B$3,10,6),'Leave log'!$C$7:$C$306,"&gt;="&amp;DATE($B$3,10,6),'Leave log'!$F$7:$F$306,"Pending")&gt;0,"P",""))))</f>
        <v/>
      </c>
      <c r="H321" s="23" t="str">
        <f>IF(A321="","",IF(IF(OR(DATE($B$3,10,7)&gt;EOMONTH(DATE($B$3,10,1),0),NETWORKDAYS.INTL(DATE($B$3,10,7),DATE($B$3,10,7),1,'Non-working days'!$A$6:$A$45)=0),"",IF(COUNTIFS('Leave log'!$A$7:$A$306,Employees!$A$14,'Leave log'!$B$7:$B$306,"&lt;="&amp;DATE($B$3,10,7),'Leave log'!$C$7:$C$306,"&gt;="&amp;DATE($B$3,10,7),'Leave log'!$F$7:$F$306,"Approved")&gt;0,"A",""))="A","A",IF(OR(DATE($B$3,10,7)&gt;EOMONTH(DATE($B$3,10,1),0),NETWORKDAYS.INTL(DATE($B$3,10,7),DATE($B$3,10,7),1,'Non-working days'!$A$6:$A$45)=0),"",IF(COUNTIFS('Leave log'!$A$7:$A$306,Employees!$A$14,'Leave log'!$B$7:$B$306,"&lt;="&amp;DATE($B$3,10,7),'Leave log'!$C$7:$C$306,"&gt;="&amp;DATE($B$3,10,7),'Leave log'!$F$7:$F$306,"Pending")&gt;0,"P",""))))</f>
        <v/>
      </c>
      <c r="I321" s="23" t="str">
        <f>IF(A321="","",IF(IF(OR(DATE($B$3,10,8)&gt;EOMONTH(DATE($B$3,10,1),0),NETWORKDAYS.INTL(DATE($B$3,10,8),DATE($B$3,10,8),1,'Non-working days'!$A$6:$A$45)=0),"",IF(COUNTIFS('Leave log'!$A$7:$A$306,Employees!$A$14,'Leave log'!$B$7:$B$306,"&lt;="&amp;DATE($B$3,10,8),'Leave log'!$C$7:$C$306,"&gt;="&amp;DATE($B$3,10,8),'Leave log'!$F$7:$F$306,"Approved")&gt;0,"A",""))="A","A",IF(OR(DATE($B$3,10,8)&gt;EOMONTH(DATE($B$3,10,1),0),NETWORKDAYS.INTL(DATE($B$3,10,8),DATE($B$3,10,8),1,'Non-working days'!$A$6:$A$45)=0),"",IF(COUNTIFS('Leave log'!$A$7:$A$306,Employees!$A$14,'Leave log'!$B$7:$B$306,"&lt;="&amp;DATE($B$3,10,8),'Leave log'!$C$7:$C$306,"&gt;="&amp;DATE($B$3,10,8),'Leave log'!$F$7:$F$306,"Pending")&gt;0,"P",""))))</f>
        <v/>
      </c>
      <c r="J321" s="23" t="str">
        <f>IF(A321="","",IF(IF(OR(DATE($B$3,10,9)&gt;EOMONTH(DATE($B$3,10,1),0),NETWORKDAYS.INTL(DATE($B$3,10,9),DATE($B$3,10,9),1,'Non-working days'!$A$6:$A$45)=0),"",IF(COUNTIFS('Leave log'!$A$7:$A$306,Employees!$A$14,'Leave log'!$B$7:$B$306,"&lt;="&amp;DATE($B$3,10,9),'Leave log'!$C$7:$C$306,"&gt;="&amp;DATE($B$3,10,9),'Leave log'!$F$7:$F$306,"Approved")&gt;0,"A",""))="A","A",IF(OR(DATE($B$3,10,9)&gt;EOMONTH(DATE($B$3,10,1),0),NETWORKDAYS.INTL(DATE($B$3,10,9),DATE($B$3,10,9),1,'Non-working days'!$A$6:$A$45)=0),"",IF(COUNTIFS('Leave log'!$A$7:$A$306,Employees!$A$14,'Leave log'!$B$7:$B$306,"&lt;="&amp;DATE($B$3,10,9),'Leave log'!$C$7:$C$306,"&gt;="&amp;DATE($B$3,10,9),'Leave log'!$F$7:$F$306,"Pending")&gt;0,"P",""))))</f>
        <v/>
      </c>
      <c r="K321" s="23" t="str">
        <f>IF(A321="","",IF(IF(OR(DATE($B$3,10,10)&gt;EOMONTH(DATE($B$3,10,1),0),NETWORKDAYS.INTL(DATE($B$3,10,10),DATE($B$3,10,10),1,'Non-working days'!$A$6:$A$45)=0),"",IF(COUNTIFS('Leave log'!$A$7:$A$306,Employees!$A$14,'Leave log'!$B$7:$B$306,"&lt;="&amp;DATE($B$3,10,10),'Leave log'!$C$7:$C$306,"&gt;="&amp;DATE($B$3,10,10),'Leave log'!$F$7:$F$306,"Approved")&gt;0,"A",""))="A","A",IF(OR(DATE($B$3,10,10)&gt;EOMONTH(DATE($B$3,10,1),0),NETWORKDAYS.INTL(DATE($B$3,10,10),DATE($B$3,10,10),1,'Non-working days'!$A$6:$A$45)=0),"",IF(COUNTIFS('Leave log'!$A$7:$A$306,Employees!$A$14,'Leave log'!$B$7:$B$306,"&lt;="&amp;DATE($B$3,10,10),'Leave log'!$C$7:$C$306,"&gt;="&amp;DATE($B$3,10,10),'Leave log'!$F$7:$F$306,"Pending")&gt;0,"P",""))))</f>
        <v/>
      </c>
      <c r="L321" s="23" t="str">
        <f>IF(A321="","",IF(IF(OR(DATE($B$3,10,11)&gt;EOMONTH(DATE($B$3,10,1),0),NETWORKDAYS.INTL(DATE($B$3,10,11),DATE($B$3,10,11),1,'Non-working days'!$A$6:$A$45)=0),"",IF(COUNTIFS('Leave log'!$A$7:$A$306,Employees!$A$14,'Leave log'!$B$7:$B$306,"&lt;="&amp;DATE($B$3,10,11),'Leave log'!$C$7:$C$306,"&gt;="&amp;DATE($B$3,10,11),'Leave log'!$F$7:$F$306,"Approved")&gt;0,"A",""))="A","A",IF(OR(DATE($B$3,10,11)&gt;EOMONTH(DATE($B$3,10,1),0),NETWORKDAYS.INTL(DATE($B$3,10,11),DATE($B$3,10,11),1,'Non-working days'!$A$6:$A$45)=0),"",IF(COUNTIFS('Leave log'!$A$7:$A$306,Employees!$A$14,'Leave log'!$B$7:$B$306,"&lt;="&amp;DATE($B$3,10,11),'Leave log'!$C$7:$C$306,"&gt;="&amp;DATE($B$3,10,11),'Leave log'!$F$7:$F$306,"Pending")&gt;0,"P",""))))</f>
        <v/>
      </c>
      <c r="M321" s="23" t="str">
        <f>IF(A321="","",IF(IF(OR(DATE($B$3,10,12)&gt;EOMONTH(DATE($B$3,10,1),0),NETWORKDAYS.INTL(DATE($B$3,10,12),DATE($B$3,10,12),1,'Non-working days'!$A$6:$A$45)=0),"",IF(COUNTIFS('Leave log'!$A$7:$A$306,Employees!$A$14,'Leave log'!$B$7:$B$306,"&lt;="&amp;DATE($B$3,10,12),'Leave log'!$C$7:$C$306,"&gt;="&amp;DATE($B$3,10,12),'Leave log'!$F$7:$F$306,"Approved")&gt;0,"A",""))="A","A",IF(OR(DATE($B$3,10,12)&gt;EOMONTH(DATE($B$3,10,1),0),NETWORKDAYS.INTL(DATE($B$3,10,12),DATE($B$3,10,12),1,'Non-working days'!$A$6:$A$45)=0),"",IF(COUNTIFS('Leave log'!$A$7:$A$306,Employees!$A$14,'Leave log'!$B$7:$B$306,"&lt;="&amp;DATE($B$3,10,12),'Leave log'!$C$7:$C$306,"&gt;="&amp;DATE($B$3,10,12),'Leave log'!$F$7:$F$306,"Pending")&gt;0,"P",""))))</f>
        <v/>
      </c>
      <c r="N321" s="23" t="str">
        <f>IF(A321="","",IF(IF(OR(DATE($B$3,10,13)&gt;EOMONTH(DATE($B$3,10,1),0),NETWORKDAYS.INTL(DATE($B$3,10,13),DATE($B$3,10,13),1,'Non-working days'!$A$6:$A$45)=0),"",IF(COUNTIFS('Leave log'!$A$7:$A$306,Employees!$A$14,'Leave log'!$B$7:$B$306,"&lt;="&amp;DATE($B$3,10,13),'Leave log'!$C$7:$C$306,"&gt;="&amp;DATE($B$3,10,13),'Leave log'!$F$7:$F$306,"Approved")&gt;0,"A",""))="A","A",IF(OR(DATE($B$3,10,13)&gt;EOMONTH(DATE($B$3,10,1),0),NETWORKDAYS.INTL(DATE($B$3,10,13),DATE($B$3,10,13),1,'Non-working days'!$A$6:$A$45)=0),"",IF(COUNTIFS('Leave log'!$A$7:$A$306,Employees!$A$14,'Leave log'!$B$7:$B$306,"&lt;="&amp;DATE($B$3,10,13),'Leave log'!$C$7:$C$306,"&gt;="&amp;DATE($B$3,10,13),'Leave log'!$F$7:$F$306,"Pending")&gt;0,"P",""))))</f>
        <v/>
      </c>
      <c r="O321" s="23" t="str">
        <f>IF(A321="","",IF(IF(OR(DATE($B$3,10,14)&gt;EOMONTH(DATE($B$3,10,1),0),NETWORKDAYS.INTL(DATE($B$3,10,14),DATE($B$3,10,14),1,'Non-working days'!$A$6:$A$45)=0),"",IF(COUNTIFS('Leave log'!$A$7:$A$306,Employees!$A$14,'Leave log'!$B$7:$B$306,"&lt;="&amp;DATE($B$3,10,14),'Leave log'!$C$7:$C$306,"&gt;="&amp;DATE($B$3,10,14),'Leave log'!$F$7:$F$306,"Approved")&gt;0,"A",""))="A","A",IF(OR(DATE($B$3,10,14)&gt;EOMONTH(DATE($B$3,10,1),0),NETWORKDAYS.INTL(DATE($B$3,10,14),DATE($B$3,10,14),1,'Non-working days'!$A$6:$A$45)=0),"",IF(COUNTIFS('Leave log'!$A$7:$A$306,Employees!$A$14,'Leave log'!$B$7:$B$306,"&lt;="&amp;DATE($B$3,10,14),'Leave log'!$C$7:$C$306,"&gt;="&amp;DATE($B$3,10,14),'Leave log'!$F$7:$F$306,"Pending")&gt;0,"P",""))))</f>
        <v/>
      </c>
      <c r="P321" s="23" t="str">
        <f>IF(A321="","",IF(IF(OR(DATE($B$3,10,15)&gt;EOMONTH(DATE($B$3,10,1),0),NETWORKDAYS.INTL(DATE($B$3,10,15),DATE($B$3,10,15),1,'Non-working days'!$A$6:$A$45)=0),"",IF(COUNTIFS('Leave log'!$A$7:$A$306,Employees!$A$14,'Leave log'!$B$7:$B$306,"&lt;="&amp;DATE($B$3,10,15),'Leave log'!$C$7:$C$306,"&gt;="&amp;DATE($B$3,10,15),'Leave log'!$F$7:$F$306,"Approved")&gt;0,"A",""))="A","A",IF(OR(DATE($B$3,10,15)&gt;EOMONTH(DATE($B$3,10,1),0),NETWORKDAYS.INTL(DATE($B$3,10,15),DATE($B$3,10,15),1,'Non-working days'!$A$6:$A$45)=0),"",IF(COUNTIFS('Leave log'!$A$7:$A$306,Employees!$A$14,'Leave log'!$B$7:$B$306,"&lt;="&amp;DATE($B$3,10,15),'Leave log'!$C$7:$C$306,"&gt;="&amp;DATE($B$3,10,15),'Leave log'!$F$7:$F$306,"Pending")&gt;0,"P",""))))</f>
        <v/>
      </c>
      <c r="Q321" s="23" t="str">
        <f>IF(A321="","",IF(IF(OR(DATE($B$3,10,16)&gt;EOMONTH(DATE($B$3,10,1),0),NETWORKDAYS.INTL(DATE($B$3,10,16),DATE($B$3,10,16),1,'Non-working days'!$A$6:$A$45)=0),"",IF(COUNTIFS('Leave log'!$A$7:$A$306,Employees!$A$14,'Leave log'!$B$7:$B$306,"&lt;="&amp;DATE($B$3,10,16),'Leave log'!$C$7:$C$306,"&gt;="&amp;DATE($B$3,10,16),'Leave log'!$F$7:$F$306,"Approved")&gt;0,"A",""))="A","A",IF(OR(DATE($B$3,10,16)&gt;EOMONTH(DATE($B$3,10,1),0),NETWORKDAYS.INTL(DATE($B$3,10,16),DATE($B$3,10,16),1,'Non-working days'!$A$6:$A$45)=0),"",IF(COUNTIFS('Leave log'!$A$7:$A$306,Employees!$A$14,'Leave log'!$B$7:$B$306,"&lt;="&amp;DATE($B$3,10,16),'Leave log'!$C$7:$C$306,"&gt;="&amp;DATE($B$3,10,16),'Leave log'!$F$7:$F$306,"Pending")&gt;0,"P",""))))</f>
        <v/>
      </c>
      <c r="R321" s="23" t="str">
        <f>IF(A321="","",IF(IF(OR(DATE($B$3,10,17)&gt;EOMONTH(DATE($B$3,10,1),0),NETWORKDAYS.INTL(DATE($B$3,10,17),DATE($B$3,10,17),1,'Non-working days'!$A$6:$A$45)=0),"",IF(COUNTIFS('Leave log'!$A$7:$A$306,Employees!$A$14,'Leave log'!$B$7:$B$306,"&lt;="&amp;DATE($B$3,10,17),'Leave log'!$C$7:$C$306,"&gt;="&amp;DATE($B$3,10,17),'Leave log'!$F$7:$F$306,"Approved")&gt;0,"A",""))="A","A",IF(OR(DATE($B$3,10,17)&gt;EOMONTH(DATE($B$3,10,1),0),NETWORKDAYS.INTL(DATE($B$3,10,17),DATE($B$3,10,17),1,'Non-working days'!$A$6:$A$45)=0),"",IF(COUNTIFS('Leave log'!$A$7:$A$306,Employees!$A$14,'Leave log'!$B$7:$B$306,"&lt;="&amp;DATE($B$3,10,17),'Leave log'!$C$7:$C$306,"&gt;="&amp;DATE($B$3,10,17),'Leave log'!$F$7:$F$306,"Pending")&gt;0,"P",""))))</f>
        <v/>
      </c>
      <c r="S321" s="23" t="str">
        <f>IF(A321="","",IF(IF(OR(DATE($B$3,10,18)&gt;EOMONTH(DATE($B$3,10,1),0),NETWORKDAYS.INTL(DATE($B$3,10,18),DATE($B$3,10,18),1,'Non-working days'!$A$6:$A$45)=0),"",IF(COUNTIFS('Leave log'!$A$7:$A$306,Employees!$A$14,'Leave log'!$B$7:$B$306,"&lt;="&amp;DATE($B$3,10,18),'Leave log'!$C$7:$C$306,"&gt;="&amp;DATE($B$3,10,18),'Leave log'!$F$7:$F$306,"Approved")&gt;0,"A",""))="A","A",IF(OR(DATE($B$3,10,18)&gt;EOMONTH(DATE($B$3,10,1),0),NETWORKDAYS.INTL(DATE($B$3,10,18),DATE($B$3,10,18),1,'Non-working days'!$A$6:$A$45)=0),"",IF(COUNTIFS('Leave log'!$A$7:$A$306,Employees!$A$14,'Leave log'!$B$7:$B$306,"&lt;="&amp;DATE($B$3,10,18),'Leave log'!$C$7:$C$306,"&gt;="&amp;DATE($B$3,10,18),'Leave log'!$F$7:$F$306,"Pending")&gt;0,"P",""))))</f>
        <v/>
      </c>
      <c r="T321" s="23" t="str">
        <f>IF(A321="","",IF(IF(OR(DATE($B$3,10,19)&gt;EOMONTH(DATE($B$3,10,1),0),NETWORKDAYS.INTL(DATE($B$3,10,19),DATE($B$3,10,19),1,'Non-working days'!$A$6:$A$45)=0),"",IF(COUNTIFS('Leave log'!$A$7:$A$306,Employees!$A$14,'Leave log'!$B$7:$B$306,"&lt;="&amp;DATE($B$3,10,19),'Leave log'!$C$7:$C$306,"&gt;="&amp;DATE($B$3,10,19),'Leave log'!$F$7:$F$306,"Approved")&gt;0,"A",""))="A","A",IF(OR(DATE($B$3,10,19)&gt;EOMONTH(DATE($B$3,10,1),0),NETWORKDAYS.INTL(DATE($B$3,10,19),DATE($B$3,10,19),1,'Non-working days'!$A$6:$A$45)=0),"",IF(COUNTIFS('Leave log'!$A$7:$A$306,Employees!$A$14,'Leave log'!$B$7:$B$306,"&lt;="&amp;DATE($B$3,10,19),'Leave log'!$C$7:$C$306,"&gt;="&amp;DATE($B$3,10,19),'Leave log'!$F$7:$F$306,"Pending")&gt;0,"P",""))))</f>
        <v/>
      </c>
      <c r="U321" s="23" t="str">
        <f>IF(A321="","",IF(IF(OR(DATE($B$3,10,20)&gt;EOMONTH(DATE($B$3,10,1),0),NETWORKDAYS.INTL(DATE($B$3,10,20),DATE($B$3,10,20),1,'Non-working days'!$A$6:$A$45)=0),"",IF(COUNTIFS('Leave log'!$A$7:$A$306,Employees!$A$14,'Leave log'!$B$7:$B$306,"&lt;="&amp;DATE($B$3,10,20),'Leave log'!$C$7:$C$306,"&gt;="&amp;DATE($B$3,10,20),'Leave log'!$F$7:$F$306,"Approved")&gt;0,"A",""))="A","A",IF(OR(DATE($B$3,10,20)&gt;EOMONTH(DATE($B$3,10,1),0),NETWORKDAYS.INTL(DATE($B$3,10,20),DATE($B$3,10,20),1,'Non-working days'!$A$6:$A$45)=0),"",IF(COUNTIFS('Leave log'!$A$7:$A$306,Employees!$A$14,'Leave log'!$B$7:$B$306,"&lt;="&amp;DATE($B$3,10,20),'Leave log'!$C$7:$C$306,"&gt;="&amp;DATE($B$3,10,20),'Leave log'!$F$7:$F$306,"Pending")&gt;0,"P",""))))</f>
        <v/>
      </c>
      <c r="V321" s="23" t="str">
        <f>IF(A321="","",IF(IF(OR(DATE($B$3,10,21)&gt;EOMONTH(DATE($B$3,10,1),0),NETWORKDAYS.INTL(DATE($B$3,10,21),DATE($B$3,10,21),1,'Non-working days'!$A$6:$A$45)=0),"",IF(COUNTIFS('Leave log'!$A$7:$A$306,Employees!$A$14,'Leave log'!$B$7:$B$306,"&lt;="&amp;DATE($B$3,10,21),'Leave log'!$C$7:$C$306,"&gt;="&amp;DATE($B$3,10,21),'Leave log'!$F$7:$F$306,"Approved")&gt;0,"A",""))="A","A",IF(OR(DATE($B$3,10,21)&gt;EOMONTH(DATE($B$3,10,1),0),NETWORKDAYS.INTL(DATE($B$3,10,21),DATE($B$3,10,21),1,'Non-working days'!$A$6:$A$45)=0),"",IF(COUNTIFS('Leave log'!$A$7:$A$306,Employees!$A$14,'Leave log'!$B$7:$B$306,"&lt;="&amp;DATE($B$3,10,21),'Leave log'!$C$7:$C$306,"&gt;="&amp;DATE($B$3,10,21),'Leave log'!$F$7:$F$306,"Pending")&gt;0,"P",""))))</f>
        <v/>
      </c>
      <c r="W321" s="23" t="str">
        <f>IF(A321="","",IF(IF(OR(DATE($B$3,10,22)&gt;EOMONTH(DATE($B$3,10,1),0),NETWORKDAYS.INTL(DATE($B$3,10,22),DATE($B$3,10,22),1,'Non-working days'!$A$6:$A$45)=0),"",IF(COUNTIFS('Leave log'!$A$7:$A$306,Employees!$A$14,'Leave log'!$B$7:$B$306,"&lt;="&amp;DATE($B$3,10,22),'Leave log'!$C$7:$C$306,"&gt;="&amp;DATE($B$3,10,22),'Leave log'!$F$7:$F$306,"Approved")&gt;0,"A",""))="A","A",IF(OR(DATE($B$3,10,22)&gt;EOMONTH(DATE($B$3,10,1),0),NETWORKDAYS.INTL(DATE($B$3,10,22),DATE($B$3,10,22),1,'Non-working days'!$A$6:$A$45)=0),"",IF(COUNTIFS('Leave log'!$A$7:$A$306,Employees!$A$14,'Leave log'!$B$7:$B$306,"&lt;="&amp;DATE($B$3,10,22),'Leave log'!$C$7:$C$306,"&gt;="&amp;DATE($B$3,10,22),'Leave log'!$F$7:$F$306,"Pending")&gt;0,"P",""))))</f>
        <v/>
      </c>
      <c r="X321" s="23" t="str">
        <f>IF(A321="","",IF(IF(OR(DATE($B$3,10,23)&gt;EOMONTH(DATE($B$3,10,1),0),NETWORKDAYS.INTL(DATE($B$3,10,23),DATE($B$3,10,23),1,'Non-working days'!$A$6:$A$45)=0),"",IF(COUNTIFS('Leave log'!$A$7:$A$306,Employees!$A$14,'Leave log'!$B$7:$B$306,"&lt;="&amp;DATE($B$3,10,23),'Leave log'!$C$7:$C$306,"&gt;="&amp;DATE($B$3,10,23),'Leave log'!$F$7:$F$306,"Approved")&gt;0,"A",""))="A","A",IF(OR(DATE($B$3,10,23)&gt;EOMONTH(DATE($B$3,10,1),0),NETWORKDAYS.INTL(DATE($B$3,10,23),DATE($B$3,10,23),1,'Non-working days'!$A$6:$A$45)=0),"",IF(COUNTIFS('Leave log'!$A$7:$A$306,Employees!$A$14,'Leave log'!$B$7:$B$306,"&lt;="&amp;DATE($B$3,10,23),'Leave log'!$C$7:$C$306,"&gt;="&amp;DATE($B$3,10,23),'Leave log'!$F$7:$F$306,"Pending")&gt;0,"P",""))))</f>
        <v/>
      </c>
      <c r="Y321" s="23" t="str">
        <f>IF(A321="","",IF(IF(OR(DATE($B$3,10,24)&gt;EOMONTH(DATE($B$3,10,1),0),NETWORKDAYS.INTL(DATE($B$3,10,24),DATE($B$3,10,24),1,'Non-working days'!$A$6:$A$45)=0),"",IF(COUNTIFS('Leave log'!$A$7:$A$306,Employees!$A$14,'Leave log'!$B$7:$B$306,"&lt;="&amp;DATE($B$3,10,24),'Leave log'!$C$7:$C$306,"&gt;="&amp;DATE($B$3,10,24),'Leave log'!$F$7:$F$306,"Approved")&gt;0,"A",""))="A","A",IF(OR(DATE($B$3,10,24)&gt;EOMONTH(DATE($B$3,10,1),0),NETWORKDAYS.INTL(DATE($B$3,10,24),DATE($B$3,10,24),1,'Non-working days'!$A$6:$A$45)=0),"",IF(COUNTIFS('Leave log'!$A$7:$A$306,Employees!$A$14,'Leave log'!$B$7:$B$306,"&lt;="&amp;DATE($B$3,10,24),'Leave log'!$C$7:$C$306,"&gt;="&amp;DATE($B$3,10,24),'Leave log'!$F$7:$F$306,"Pending")&gt;0,"P",""))))</f>
        <v/>
      </c>
      <c r="Z321" s="23" t="str">
        <f>IF(A321="","",IF(IF(OR(DATE($B$3,10,25)&gt;EOMONTH(DATE($B$3,10,1),0),NETWORKDAYS.INTL(DATE($B$3,10,25),DATE($B$3,10,25),1,'Non-working days'!$A$6:$A$45)=0),"",IF(COUNTIFS('Leave log'!$A$7:$A$306,Employees!$A$14,'Leave log'!$B$7:$B$306,"&lt;="&amp;DATE($B$3,10,25),'Leave log'!$C$7:$C$306,"&gt;="&amp;DATE($B$3,10,25),'Leave log'!$F$7:$F$306,"Approved")&gt;0,"A",""))="A","A",IF(OR(DATE($B$3,10,25)&gt;EOMONTH(DATE($B$3,10,1),0),NETWORKDAYS.INTL(DATE($B$3,10,25),DATE($B$3,10,25),1,'Non-working days'!$A$6:$A$45)=0),"",IF(COUNTIFS('Leave log'!$A$7:$A$306,Employees!$A$14,'Leave log'!$B$7:$B$306,"&lt;="&amp;DATE($B$3,10,25),'Leave log'!$C$7:$C$306,"&gt;="&amp;DATE($B$3,10,25),'Leave log'!$F$7:$F$306,"Pending")&gt;0,"P",""))))</f>
        <v/>
      </c>
      <c r="AA321" s="23" t="str">
        <f>IF(A321="","",IF(IF(OR(DATE($B$3,10,26)&gt;EOMONTH(DATE($B$3,10,1),0),NETWORKDAYS.INTL(DATE($B$3,10,26),DATE($B$3,10,26),1,'Non-working days'!$A$6:$A$45)=0),"",IF(COUNTIFS('Leave log'!$A$7:$A$306,Employees!$A$14,'Leave log'!$B$7:$B$306,"&lt;="&amp;DATE($B$3,10,26),'Leave log'!$C$7:$C$306,"&gt;="&amp;DATE($B$3,10,26),'Leave log'!$F$7:$F$306,"Approved")&gt;0,"A",""))="A","A",IF(OR(DATE($B$3,10,26)&gt;EOMONTH(DATE($B$3,10,1),0),NETWORKDAYS.INTL(DATE($B$3,10,26),DATE($B$3,10,26),1,'Non-working days'!$A$6:$A$45)=0),"",IF(COUNTIFS('Leave log'!$A$7:$A$306,Employees!$A$14,'Leave log'!$B$7:$B$306,"&lt;="&amp;DATE($B$3,10,26),'Leave log'!$C$7:$C$306,"&gt;="&amp;DATE($B$3,10,26),'Leave log'!$F$7:$F$306,"Pending")&gt;0,"P",""))))</f>
        <v/>
      </c>
      <c r="AB321" s="23" t="str">
        <f>IF(A321="","",IF(IF(OR(DATE($B$3,10,27)&gt;EOMONTH(DATE($B$3,10,1),0),NETWORKDAYS.INTL(DATE($B$3,10,27),DATE($B$3,10,27),1,'Non-working days'!$A$6:$A$45)=0),"",IF(COUNTIFS('Leave log'!$A$7:$A$306,Employees!$A$14,'Leave log'!$B$7:$B$306,"&lt;="&amp;DATE($B$3,10,27),'Leave log'!$C$7:$C$306,"&gt;="&amp;DATE($B$3,10,27),'Leave log'!$F$7:$F$306,"Approved")&gt;0,"A",""))="A","A",IF(OR(DATE($B$3,10,27)&gt;EOMONTH(DATE($B$3,10,1),0),NETWORKDAYS.INTL(DATE($B$3,10,27),DATE($B$3,10,27),1,'Non-working days'!$A$6:$A$45)=0),"",IF(COUNTIFS('Leave log'!$A$7:$A$306,Employees!$A$14,'Leave log'!$B$7:$B$306,"&lt;="&amp;DATE($B$3,10,27),'Leave log'!$C$7:$C$306,"&gt;="&amp;DATE($B$3,10,27),'Leave log'!$F$7:$F$306,"Pending")&gt;0,"P",""))))</f>
        <v/>
      </c>
      <c r="AC321" s="23" t="str">
        <f>IF(A321="","",IF(IF(OR(DATE($B$3,10,28)&gt;EOMONTH(DATE($B$3,10,1),0),NETWORKDAYS.INTL(DATE($B$3,10,28),DATE($B$3,10,28),1,'Non-working days'!$A$6:$A$45)=0),"",IF(COUNTIFS('Leave log'!$A$7:$A$306,Employees!$A$14,'Leave log'!$B$7:$B$306,"&lt;="&amp;DATE($B$3,10,28),'Leave log'!$C$7:$C$306,"&gt;="&amp;DATE($B$3,10,28),'Leave log'!$F$7:$F$306,"Approved")&gt;0,"A",""))="A","A",IF(OR(DATE($B$3,10,28)&gt;EOMONTH(DATE($B$3,10,1),0),NETWORKDAYS.INTL(DATE($B$3,10,28),DATE($B$3,10,28),1,'Non-working days'!$A$6:$A$45)=0),"",IF(COUNTIFS('Leave log'!$A$7:$A$306,Employees!$A$14,'Leave log'!$B$7:$B$306,"&lt;="&amp;DATE($B$3,10,28),'Leave log'!$C$7:$C$306,"&gt;="&amp;DATE($B$3,10,28),'Leave log'!$F$7:$F$306,"Pending")&gt;0,"P",""))))</f>
        <v/>
      </c>
      <c r="AD321" s="23" t="str">
        <f>IF(A321="","",IF(IF(OR(DATE($B$3,10,29)&gt;EOMONTH(DATE($B$3,10,1),0),NETWORKDAYS.INTL(DATE($B$3,10,29),DATE($B$3,10,29),1,'Non-working days'!$A$6:$A$45)=0),"",IF(COUNTIFS('Leave log'!$A$7:$A$306,Employees!$A$14,'Leave log'!$B$7:$B$306,"&lt;="&amp;DATE($B$3,10,29),'Leave log'!$C$7:$C$306,"&gt;="&amp;DATE($B$3,10,29),'Leave log'!$F$7:$F$306,"Approved")&gt;0,"A",""))="A","A",IF(OR(DATE($B$3,10,29)&gt;EOMONTH(DATE($B$3,10,1),0),NETWORKDAYS.INTL(DATE($B$3,10,29),DATE($B$3,10,29),1,'Non-working days'!$A$6:$A$45)=0),"",IF(COUNTIFS('Leave log'!$A$7:$A$306,Employees!$A$14,'Leave log'!$B$7:$B$306,"&lt;="&amp;DATE($B$3,10,29),'Leave log'!$C$7:$C$306,"&gt;="&amp;DATE($B$3,10,29),'Leave log'!$F$7:$F$306,"Pending")&gt;0,"P",""))))</f>
        <v/>
      </c>
      <c r="AE321" s="23" t="str">
        <f>IF(A321="","",IF(IF(OR(DATE($B$3,10,30)&gt;EOMONTH(DATE($B$3,10,1),0),NETWORKDAYS.INTL(DATE($B$3,10,30),DATE($B$3,10,30),1,'Non-working days'!$A$6:$A$45)=0),"",IF(COUNTIFS('Leave log'!$A$7:$A$306,Employees!$A$14,'Leave log'!$B$7:$B$306,"&lt;="&amp;DATE($B$3,10,30),'Leave log'!$C$7:$C$306,"&gt;="&amp;DATE($B$3,10,30),'Leave log'!$F$7:$F$306,"Approved")&gt;0,"A",""))="A","A",IF(OR(DATE($B$3,10,30)&gt;EOMONTH(DATE($B$3,10,1),0),NETWORKDAYS.INTL(DATE($B$3,10,30),DATE($B$3,10,30),1,'Non-working days'!$A$6:$A$45)=0),"",IF(COUNTIFS('Leave log'!$A$7:$A$306,Employees!$A$14,'Leave log'!$B$7:$B$306,"&lt;="&amp;DATE($B$3,10,30),'Leave log'!$C$7:$C$306,"&gt;="&amp;DATE($B$3,10,30),'Leave log'!$F$7:$F$306,"Pending")&gt;0,"P",""))))</f>
        <v/>
      </c>
      <c r="AF321" s="23" t="str">
        <f>IF(A321="","",IF(IF(OR(DATE($B$3,10,31)&gt;EOMONTH(DATE($B$3,10,1),0),NETWORKDAYS.INTL(DATE($B$3,10,31),DATE($B$3,10,31),1,'Non-working days'!$A$6:$A$45)=0),"",IF(COUNTIFS('Leave log'!$A$7:$A$306,Employees!$A$14,'Leave log'!$B$7:$B$306,"&lt;="&amp;DATE($B$3,10,31),'Leave log'!$C$7:$C$306,"&gt;="&amp;DATE($B$3,10,31),'Leave log'!$F$7:$F$306,"Approved")&gt;0,"A",""))="A","A",IF(OR(DATE($B$3,10,31)&gt;EOMONTH(DATE($B$3,10,1),0),NETWORKDAYS.INTL(DATE($B$3,10,31),DATE($B$3,10,31),1,'Non-working days'!$A$6:$A$45)=0),"",IF(COUNTIFS('Leave log'!$A$7:$A$306,Employees!$A$14,'Leave log'!$B$7:$B$306,"&lt;="&amp;DATE($B$3,10,31),'Leave log'!$C$7:$C$306,"&gt;="&amp;DATE($B$3,10,31),'Leave log'!$F$7:$F$306,"Pending")&gt;0,"P",""))))</f>
        <v/>
      </c>
    </row>
    <row r="322" spans="1:32" ht="18" customHeight="1" x14ac:dyDescent="0.3">
      <c r="A322" s="22" t="str">
        <f>IF(Employees!F15="Yes",Employees!B15,"")</f>
        <v/>
      </c>
      <c r="B322" s="23" t="str">
        <f>IF(A322="","",IF(IF(OR(DATE($B$3,10,1)&gt;EOMONTH(DATE($B$3,10,1),0),NETWORKDAYS.INTL(DATE($B$3,10,1),DATE($B$3,10,1),1,'Non-working days'!$A$6:$A$45)=0),"",IF(COUNTIFS('Leave log'!$A$7:$A$306,Employees!$A$15,'Leave log'!$B$7:$B$306,"&lt;="&amp;DATE($B$3,10,1),'Leave log'!$C$7:$C$306,"&gt;="&amp;DATE($B$3,10,1),'Leave log'!$F$7:$F$306,"Approved")&gt;0,"A",""))="A","A",IF(OR(DATE($B$3,10,1)&gt;EOMONTH(DATE($B$3,10,1),0),NETWORKDAYS.INTL(DATE($B$3,10,1),DATE($B$3,10,1),1,'Non-working days'!$A$6:$A$45)=0),"",IF(COUNTIFS('Leave log'!$A$7:$A$306,Employees!$A$15,'Leave log'!$B$7:$B$306,"&lt;="&amp;DATE($B$3,10,1),'Leave log'!$C$7:$C$306,"&gt;="&amp;DATE($B$3,10,1),'Leave log'!$F$7:$F$306,"Pending")&gt;0,"P",""))))</f>
        <v/>
      </c>
      <c r="C322" s="23" t="str">
        <f>IF(A322="","",IF(IF(OR(DATE($B$3,10,2)&gt;EOMONTH(DATE($B$3,10,1),0),NETWORKDAYS.INTL(DATE($B$3,10,2),DATE($B$3,10,2),1,'Non-working days'!$A$6:$A$45)=0),"",IF(COUNTIFS('Leave log'!$A$7:$A$306,Employees!$A$15,'Leave log'!$B$7:$B$306,"&lt;="&amp;DATE($B$3,10,2),'Leave log'!$C$7:$C$306,"&gt;="&amp;DATE($B$3,10,2),'Leave log'!$F$7:$F$306,"Approved")&gt;0,"A",""))="A","A",IF(OR(DATE($B$3,10,2)&gt;EOMONTH(DATE($B$3,10,1),0),NETWORKDAYS.INTL(DATE($B$3,10,2),DATE($B$3,10,2),1,'Non-working days'!$A$6:$A$45)=0),"",IF(COUNTIFS('Leave log'!$A$7:$A$306,Employees!$A$15,'Leave log'!$B$7:$B$306,"&lt;="&amp;DATE($B$3,10,2),'Leave log'!$C$7:$C$306,"&gt;="&amp;DATE($B$3,10,2),'Leave log'!$F$7:$F$306,"Pending")&gt;0,"P",""))))</f>
        <v/>
      </c>
      <c r="D322" s="23" t="str">
        <f>IF(A322="","",IF(IF(OR(DATE($B$3,10,3)&gt;EOMONTH(DATE($B$3,10,1),0),NETWORKDAYS.INTL(DATE($B$3,10,3),DATE($B$3,10,3),1,'Non-working days'!$A$6:$A$45)=0),"",IF(COUNTIFS('Leave log'!$A$7:$A$306,Employees!$A$15,'Leave log'!$B$7:$B$306,"&lt;="&amp;DATE($B$3,10,3),'Leave log'!$C$7:$C$306,"&gt;="&amp;DATE($B$3,10,3),'Leave log'!$F$7:$F$306,"Approved")&gt;0,"A",""))="A","A",IF(OR(DATE($B$3,10,3)&gt;EOMONTH(DATE($B$3,10,1),0),NETWORKDAYS.INTL(DATE($B$3,10,3),DATE($B$3,10,3),1,'Non-working days'!$A$6:$A$45)=0),"",IF(COUNTIFS('Leave log'!$A$7:$A$306,Employees!$A$15,'Leave log'!$B$7:$B$306,"&lt;="&amp;DATE($B$3,10,3),'Leave log'!$C$7:$C$306,"&gt;="&amp;DATE($B$3,10,3),'Leave log'!$F$7:$F$306,"Pending")&gt;0,"P",""))))</f>
        <v/>
      </c>
      <c r="E322" s="23" t="str">
        <f>IF(A322="","",IF(IF(OR(DATE($B$3,10,4)&gt;EOMONTH(DATE($B$3,10,1),0),NETWORKDAYS.INTL(DATE($B$3,10,4),DATE($B$3,10,4),1,'Non-working days'!$A$6:$A$45)=0),"",IF(COUNTIFS('Leave log'!$A$7:$A$306,Employees!$A$15,'Leave log'!$B$7:$B$306,"&lt;="&amp;DATE($B$3,10,4),'Leave log'!$C$7:$C$306,"&gt;="&amp;DATE($B$3,10,4),'Leave log'!$F$7:$F$306,"Approved")&gt;0,"A",""))="A","A",IF(OR(DATE($B$3,10,4)&gt;EOMONTH(DATE($B$3,10,1),0),NETWORKDAYS.INTL(DATE($B$3,10,4),DATE($B$3,10,4),1,'Non-working days'!$A$6:$A$45)=0),"",IF(COUNTIFS('Leave log'!$A$7:$A$306,Employees!$A$15,'Leave log'!$B$7:$B$306,"&lt;="&amp;DATE($B$3,10,4),'Leave log'!$C$7:$C$306,"&gt;="&amp;DATE($B$3,10,4),'Leave log'!$F$7:$F$306,"Pending")&gt;0,"P",""))))</f>
        <v/>
      </c>
      <c r="F322" s="23" t="str">
        <f>IF(A322="","",IF(IF(OR(DATE($B$3,10,5)&gt;EOMONTH(DATE($B$3,10,1),0),NETWORKDAYS.INTL(DATE($B$3,10,5),DATE($B$3,10,5),1,'Non-working days'!$A$6:$A$45)=0),"",IF(COUNTIFS('Leave log'!$A$7:$A$306,Employees!$A$15,'Leave log'!$B$7:$B$306,"&lt;="&amp;DATE($B$3,10,5),'Leave log'!$C$7:$C$306,"&gt;="&amp;DATE($B$3,10,5),'Leave log'!$F$7:$F$306,"Approved")&gt;0,"A",""))="A","A",IF(OR(DATE($B$3,10,5)&gt;EOMONTH(DATE($B$3,10,1),0),NETWORKDAYS.INTL(DATE($B$3,10,5),DATE($B$3,10,5),1,'Non-working days'!$A$6:$A$45)=0),"",IF(COUNTIFS('Leave log'!$A$7:$A$306,Employees!$A$15,'Leave log'!$B$7:$B$306,"&lt;="&amp;DATE($B$3,10,5),'Leave log'!$C$7:$C$306,"&gt;="&amp;DATE($B$3,10,5),'Leave log'!$F$7:$F$306,"Pending")&gt;0,"P",""))))</f>
        <v/>
      </c>
      <c r="G322" s="23" t="str">
        <f>IF(A322="","",IF(IF(OR(DATE($B$3,10,6)&gt;EOMONTH(DATE($B$3,10,1),0),NETWORKDAYS.INTL(DATE($B$3,10,6),DATE($B$3,10,6),1,'Non-working days'!$A$6:$A$45)=0),"",IF(COUNTIFS('Leave log'!$A$7:$A$306,Employees!$A$15,'Leave log'!$B$7:$B$306,"&lt;="&amp;DATE($B$3,10,6),'Leave log'!$C$7:$C$306,"&gt;="&amp;DATE($B$3,10,6),'Leave log'!$F$7:$F$306,"Approved")&gt;0,"A",""))="A","A",IF(OR(DATE($B$3,10,6)&gt;EOMONTH(DATE($B$3,10,1),0),NETWORKDAYS.INTL(DATE($B$3,10,6),DATE($B$3,10,6),1,'Non-working days'!$A$6:$A$45)=0),"",IF(COUNTIFS('Leave log'!$A$7:$A$306,Employees!$A$15,'Leave log'!$B$7:$B$306,"&lt;="&amp;DATE($B$3,10,6),'Leave log'!$C$7:$C$306,"&gt;="&amp;DATE($B$3,10,6),'Leave log'!$F$7:$F$306,"Pending")&gt;0,"P",""))))</f>
        <v/>
      </c>
      <c r="H322" s="23" t="str">
        <f>IF(A322="","",IF(IF(OR(DATE($B$3,10,7)&gt;EOMONTH(DATE($B$3,10,1),0),NETWORKDAYS.INTL(DATE($B$3,10,7),DATE($B$3,10,7),1,'Non-working days'!$A$6:$A$45)=0),"",IF(COUNTIFS('Leave log'!$A$7:$A$306,Employees!$A$15,'Leave log'!$B$7:$B$306,"&lt;="&amp;DATE($B$3,10,7),'Leave log'!$C$7:$C$306,"&gt;="&amp;DATE($B$3,10,7),'Leave log'!$F$7:$F$306,"Approved")&gt;0,"A",""))="A","A",IF(OR(DATE($B$3,10,7)&gt;EOMONTH(DATE($B$3,10,1),0),NETWORKDAYS.INTL(DATE($B$3,10,7),DATE($B$3,10,7),1,'Non-working days'!$A$6:$A$45)=0),"",IF(COUNTIFS('Leave log'!$A$7:$A$306,Employees!$A$15,'Leave log'!$B$7:$B$306,"&lt;="&amp;DATE($B$3,10,7),'Leave log'!$C$7:$C$306,"&gt;="&amp;DATE($B$3,10,7),'Leave log'!$F$7:$F$306,"Pending")&gt;0,"P",""))))</f>
        <v/>
      </c>
      <c r="I322" s="23" t="str">
        <f>IF(A322="","",IF(IF(OR(DATE($B$3,10,8)&gt;EOMONTH(DATE($B$3,10,1),0),NETWORKDAYS.INTL(DATE($B$3,10,8),DATE($B$3,10,8),1,'Non-working days'!$A$6:$A$45)=0),"",IF(COUNTIFS('Leave log'!$A$7:$A$306,Employees!$A$15,'Leave log'!$B$7:$B$306,"&lt;="&amp;DATE($B$3,10,8),'Leave log'!$C$7:$C$306,"&gt;="&amp;DATE($B$3,10,8),'Leave log'!$F$7:$F$306,"Approved")&gt;0,"A",""))="A","A",IF(OR(DATE($B$3,10,8)&gt;EOMONTH(DATE($B$3,10,1),0),NETWORKDAYS.INTL(DATE($B$3,10,8),DATE($B$3,10,8),1,'Non-working days'!$A$6:$A$45)=0),"",IF(COUNTIFS('Leave log'!$A$7:$A$306,Employees!$A$15,'Leave log'!$B$7:$B$306,"&lt;="&amp;DATE($B$3,10,8),'Leave log'!$C$7:$C$306,"&gt;="&amp;DATE($B$3,10,8),'Leave log'!$F$7:$F$306,"Pending")&gt;0,"P",""))))</f>
        <v/>
      </c>
      <c r="J322" s="23" t="str">
        <f>IF(A322="","",IF(IF(OR(DATE($B$3,10,9)&gt;EOMONTH(DATE($B$3,10,1),0),NETWORKDAYS.INTL(DATE($B$3,10,9),DATE($B$3,10,9),1,'Non-working days'!$A$6:$A$45)=0),"",IF(COUNTIFS('Leave log'!$A$7:$A$306,Employees!$A$15,'Leave log'!$B$7:$B$306,"&lt;="&amp;DATE($B$3,10,9),'Leave log'!$C$7:$C$306,"&gt;="&amp;DATE($B$3,10,9),'Leave log'!$F$7:$F$306,"Approved")&gt;0,"A",""))="A","A",IF(OR(DATE($B$3,10,9)&gt;EOMONTH(DATE($B$3,10,1),0),NETWORKDAYS.INTL(DATE($B$3,10,9),DATE($B$3,10,9),1,'Non-working days'!$A$6:$A$45)=0),"",IF(COUNTIFS('Leave log'!$A$7:$A$306,Employees!$A$15,'Leave log'!$B$7:$B$306,"&lt;="&amp;DATE($B$3,10,9),'Leave log'!$C$7:$C$306,"&gt;="&amp;DATE($B$3,10,9),'Leave log'!$F$7:$F$306,"Pending")&gt;0,"P",""))))</f>
        <v/>
      </c>
      <c r="K322" s="23" t="str">
        <f>IF(A322="","",IF(IF(OR(DATE($B$3,10,10)&gt;EOMONTH(DATE($B$3,10,1),0),NETWORKDAYS.INTL(DATE($B$3,10,10),DATE($B$3,10,10),1,'Non-working days'!$A$6:$A$45)=0),"",IF(COUNTIFS('Leave log'!$A$7:$A$306,Employees!$A$15,'Leave log'!$B$7:$B$306,"&lt;="&amp;DATE($B$3,10,10),'Leave log'!$C$7:$C$306,"&gt;="&amp;DATE($B$3,10,10),'Leave log'!$F$7:$F$306,"Approved")&gt;0,"A",""))="A","A",IF(OR(DATE($B$3,10,10)&gt;EOMONTH(DATE($B$3,10,1),0),NETWORKDAYS.INTL(DATE($B$3,10,10),DATE($B$3,10,10),1,'Non-working days'!$A$6:$A$45)=0),"",IF(COUNTIFS('Leave log'!$A$7:$A$306,Employees!$A$15,'Leave log'!$B$7:$B$306,"&lt;="&amp;DATE($B$3,10,10),'Leave log'!$C$7:$C$306,"&gt;="&amp;DATE($B$3,10,10),'Leave log'!$F$7:$F$306,"Pending")&gt;0,"P",""))))</f>
        <v/>
      </c>
      <c r="L322" s="23" t="str">
        <f>IF(A322="","",IF(IF(OR(DATE($B$3,10,11)&gt;EOMONTH(DATE($B$3,10,1),0),NETWORKDAYS.INTL(DATE($B$3,10,11),DATE($B$3,10,11),1,'Non-working days'!$A$6:$A$45)=0),"",IF(COUNTIFS('Leave log'!$A$7:$A$306,Employees!$A$15,'Leave log'!$B$7:$B$306,"&lt;="&amp;DATE($B$3,10,11),'Leave log'!$C$7:$C$306,"&gt;="&amp;DATE($B$3,10,11),'Leave log'!$F$7:$F$306,"Approved")&gt;0,"A",""))="A","A",IF(OR(DATE($B$3,10,11)&gt;EOMONTH(DATE($B$3,10,1),0),NETWORKDAYS.INTL(DATE($B$3,10,11),DATE($B$3,10,11),1,'Non-working days'!$A$6:$A$45)=0),"",IF(COUNTIFS('Leave log'!$A$7:$A$306,Employees!$A$15,'Leave log'!$B$7:$B$306,"&lt;="&amp;DATE($B$3,10,11),'Leave log'!$C$7:$C$306,"&gt;="&amp;DATE($B$3,10,11),'Leave log'!$F$7:$F$306,"Pending")&gt;0,"P",""))))</f>
        <v/>
      </c>
      <c r="M322" s="23" t="str">
        <f>IF(A322="","",IF(IF(OR(DATE($B$3,10,12)&gt;EOMONTH(DATE($B$3,10,1),0),NETWORKDAYS.INTL(DATE($B$3,10,12),DATE($B$3,10,12),1,'Non-working days'!$A$6:$A$45)=0),"",IF(COUNTIFS('Leave log'!$A$7:$A$306,Employees!$A$15,'Leave log'!$B$7:$B$306,"&lt;="&amp;DATE($B$3,10,12),'Leave log'!$C$7:$C$306,"&gt;="&amp;DATE($B$3,10,12),'Leave log'!$F$7:$F$306,"Approved")&gt;0,"A",""))="A","A",IF(OR(DATE($B$3,10,12)&gt;EOMONTH(DATE($B$3,10,1),0),NETWORKDAYS.INTL(DATE($B$3,10,12),DATE($B$3,10,12),1,'Non-working days'!$A$6:$A$45)=0),"",IF(COUNTIFS('Leave log'!$A$7:$A$306,Employees!$A$15,'Leave log'!$B$7:$B$306,"&lt;="&amp;DATE($B$3,10,12),'Leave log'!$C$7:$C$306,"&gt;="&amp;DATE($B$3,10,12),'Leave log'!$F$7:$F$306,"Pending")&gt;0,"P",""))))</f>
        <v/>
      </c>
      <c r="N322" s="23" t="str">
        <f>IF(A322="","",IF(IF(OR(DATE($B$3,10,13)&gt;EOMONTH(DATE($B$3,10,1),0),NETWORKDAYS.INTL(DATE($B$3,10,13),DATE($B$3,10,13),1,'Non-working days'!$A$6:$A$45)=0),"",IF(COUNTIFS('Leave log'!$A$7:$A$306,Employees!$A$15,'Leave log'!$B$7:$B$306,"&lt;="&amp;DATE($B$3,10,13),'Leave log'!$C$7:$C$306,"&gt;="&amp;DATE($B$3,10,13),'Leave log'!$F$7:$F$306,"Approved")&gt;0,"A",""))="A","A",IF(OR(DATE($B$3,10,13)&gt;EOMONTH(DATE($B$3,10,1),0),NETWORKDAYS.INTL(DATE($B$3,10,13),DATE($B$3,10,13),1,'Non-working days'!$A$6:$A$45)=0),"",IF(COUNTIFS('Leave log'!$A$7:$A$306,Employees!$A$15,'Leave log'!$B$7:$B$306,"&lt;="&amp;DATE($B$3,10,13),'Leave log'!$C$7:$C$306,"&gt;="&amp;DATE($B$3,10,13),'Leave log'!$F$7:$F$306,"Pending")&gt;0,"P",""))))</f>
        <v/>
      </c>
      <c r="O322" s="23" t="str">
        <f>IF(A322="","",IF(IF(OR(DATE($B$3,10,14)&gt;EOMONTH(DATE($B$3,10,1),0),NETWORKDAYS.INTL(DATE($B$3,10,14),DATE($B$3,10,14),1,'Non-working days'!$A$6:$A$45)=0),"",IF(COUNTIFS('Leave log'!$A$7:$A$306,Employees!$A$15,'Leave log'!$B$7:$B$306,"&lt;="&amp;DATE($B$3,10,14),'Leave log'!$C$7:$C$306,"&gt;="&amp;DATE($B$3,10,14),'Leave log'!$F$7:$F$306,"Approved")&gt;0,"A",""))="A","A",IF(OR(DATE($B$3,10,14)&gt;EOMONTH(DATE($B$3,10,1),0),NETWORKDAYS.INTL(DATE($B$3,10,14),DATE($B$3,10,14),1,'Non-working days'!$A$6:$A$45)=0),"",IF(COUNTIFS('Leave log'!$A$7:$A$306,Employees!$A$15,'Leave log'!$B$7:$B$306,"&lt;="&amp;DATE($B$3,10,14),'Leave log'!$C$7:$C$306,"&gt;="&amp;DATE($B$3,10,14),'Leave log'!$F$7:$F$306,"Pending")&gt;0,"P",""))))</f>
        <v/>
      </c>
      <c r="P322" s="23" t="str">
        <f>IF(A322="","",IF(IF(OR(DATE($B$3,10,15)&gt;EOMONTH(DATE($B$3,10,1),0),NETWORKDAYS.INTL(DATE($B$3,10,15),DATE($B$3,10,15),1,'Non-working days'!$A$6:$A$45)=0),"",IF(COUNTIFS('Leave log'!$A$7:$A$306,Employees!$A$15,'Leave log'!$B$7:$B$306,"&lt;="&amp;DATE($B$3,10,15),'Leave log'!$C$7:$C$306,"&gt;="&amp;DATE($B$3,10,15),'Leave log'!$F$7:$F$306,"Approved")&gt;0,"A",""))="A","A",IF(OR(DATE($B$3,10,15)&gt;EOMONTH(DATE($B$3,10,1),0),NETWORKDAYS.INTL(DATE($B$3,10,15),DATE($B$3,10,15),1,'Non-working days'!$A$6:$A$45)=0),"",IF(COUNTIFS('Leave log'!$A$7:$A$306,Employees!$A$15,'Leave log'!$B$7:$B$306,"&lt;="&amp;DATE($B$3,10,15),'Leave log'!$C$7:$C$306,"&gt;="&amp;DATE($B$3,10,15),'Leave log'!$F$7:$F$306,"Pending")&gt;0,"P",""))))</f>
        <v/>
      </c>
      <c r="Q322" s="23" t="str">
        <f>IF(A322="","",IF(IF(OR(DATE($B$3,10,16)&gt;EOMONTH(DATE($B$3,10,1),0),NETWORKDAYS.INTL(DATE($B$3,10,16),DATE($B$3,10,16),1,'Non-working days'!$A$6:$A$45)=0),"",IF(COUNTIFS('Leave log'!$A$7:$A$306,Employees!$A$15,'Leave log'!$B$7:$B$306,"&lt;="&amp;DATE($B$3,10,16),'Leave log'!$C$7:$C$306,"&gt;="&amp;DATE($B$3,10,16),'Leave log'!$F$7:$F$306,"Approved")&gt;0,"A",""))="A","A",IF(OR(DATE($B$3,10,16)&gt;EOMONTH(DATE($B$3,10,1),0),NETWORKDAYS.INTL(DATE($B$3,10,16),DATE($B$3,10,16),1,'Non-working days'!$A$6:$A$45)=0),"",IF(COUNTIFS('Leave log'!$A$7:$A$306,Employees!$A$15,'Leave log'!$B$7:$B$306,"&lt;="&amp;DATE($B$3,10,16),'Leave log'!$C$7:$C$306,"&gt;="&amp;DATE($B$3,10,16),'Leave log'!$F$7:$F$306,"Pending")&gt;0,"P",""))))</f>
        <v/>
      </c>
      <c r="R322" s="23" t="str">
        <f>IF(A322="","",IF(IF(OR(DATE($B$3,10,17)&gt;EOMONTH(DATE($B$3,10,1),0),NETWORKDAYS.INTL(DATE($B$3,10,17),DATE($B$3,10,17),1,'Non-working days'!$A$6:$A$45)=0),"",IF(COUNTIFS('Leave log'!$A$7:$A$306,Employees!$A$15,'Leave log'!$B$7:$B$306,"&lt;="&amp;DATE($B$3,10,17),'Leave log'!$C$7:$C$306,"&gt;="&amp;DATE($B$3,10,17),'Leave log'!$F$7:$F$306,"Approved")&gt;0,"A",""))="A","A",IF(OR(DATE($B$3,10,17)&gt;EOMONTH(DATE($B$3,10,1),0),NETWORKDAYS.INTL(DATE($B$3,10,17),DATE($B$3,10,17),1,'Non-working days'!$A$6:$A$45)=0),"",IF(COUNTIFS('Leave log'!$A$7:$A$306,Employees!$A$15,'Leave log'!$B$7:$B$306,"&lt;="&amp;DATE($B$3,10,17),'Leave log'!$C$7:$C$306,"&gt;="&amp;DATE($B$3,10,17),'Leave log'!$F$7:$F$306,"Pending")&gt;0,"P",""))))</f>
        <v/>
      </c>
      <c r="S322" s="23" t="str">
        <f>IF(A322="","",IF(IF(OR(DATE($B$3,10,18)&gt;EOMONTH(DATE($B$3,10,1),0),NETWORKDAYS.INTL(DATE($B$3,10,18),DATE($B$3,10,18),1,'Non-working days'!$A$6:$A$45)=0),"",IF(COUNTIFS('Leave log'!$A$7:$A$306,Employees!$A$15,'Leave log'!$B$7:$B$306,"&lt;="&amp;DATE($B$3,10,18),'Leave log'!$C$7:$C$306,"&gt;="&amp;DATE($B$3,10,18),'Leave log'!$F$7:$F$306,"Approved")&gt;0,"A",""))="A","A",IF(OR(DATE($B$3,10,18)&gt;EOMONTH(DATE($B$3,10,1),0),NETWORKDAYS.INTL(DATE($B$3,10,18),DATE($B$3,10,18),1,'Non-working days'!$A$6:$A$45)=0),"",IF(COUNTIFS('Leave log'!$A$7:$A$306,Employees!$A$15,'Leave log'!$B$7:$B$306,"&lt;="&amp;DATE($B$3,10,18),'Leave log'!$C$7:$C$306,"&gt;="&amp;DATE($B$3,10,18),'Leave log'!$F$7:$F$306,"Pending")&gt;0,"P",""))))</f>
        <v/>
      </c>
      <c r="T322" s="23" t="str">
        <f>IF(A322="","",IF(IF(OR(DATE($B$3,10,19)&gt;EOMONTH(DATE($B$3,10,1),0),NETWORKDAYS.INTL(DATE($B$3,10,19),DATE($B$3,10,19),1,'Non-working days'!$A$6:$A$45)=0),"",IF(COUNTIFS('Leave log'!$A$7:$A$306,Employees!$A$15,'Leave log'!$B$7:$B$306,"&lt;="&amp;DATE($B$3,10,19),'Leave log'!$C$7:$C$306,"&gt;="&amp;DATE($B$3,10,19),'Leave log'!$F$7:$F$306,"Approved")&gt;0,"A",""))="A","A",IF(OR(DATE($B$3,10,19)&gt;EOMONTH(DATE($B$3,10,1),0),NETWORKDAYS.INTL(DATE($B$3,10,19),DATE($B$3,10,19),1,'Non-working days'!$A$6:$A$45)=0),"",IF(COUNTIFS('Leave log'!$A$7:$A$306,Employees!$A$15,'Leave log'!$B$7:$B$306,"&lt;="&amp;DATE($B$3,10,19),'Leave log'!$C$7:$C$306,"&gt;="&amp;DATE($B$3,10,19),'Leave log'!$F$7:$F$306,"Pending")&gt;0,"P",""))))</f>
        <v/>
      </c>
      <c r="U322" s="23" t="str">
        <f>IF(A322="","",IF(IF(OR(DATE($B$3,10,20)&gt;EOMONTH(DATE($B$3,10,1),0),NETWORKDAYS.INTL(DATE($B$3,10,20),DATE($B$3,10,20),1,'Non-working days'!$A$6:$A$45)=0),"",IF(COUNTIFS('Leave log'!$A$7:$A$306,Employees!$A$15,'Leave log'!$B$7:$B$306,"&lt;="&amp;DATE($B$3,10,20),'Leave log'!$C$7:$C$306,"&gt;="&amp;DATE($B$3,10,20),'Leave log'!$F$7:$F$306,"Approved")&gt;0,"A",""))="A","A",IF(OR(DATE($B$3,10,20)&gt;EOMONTH(DATE($B$3,10,1),0),NETWORKDAYS.INTL(DATE($B$3,10,20),DATE($B$3,10,20),1,'Non-working days'!$A$6:$A$45)=0),"",IF(COUNTIFS('Leave log'!$A$7:$A$306,Employees!$A$15,'Leave log'!$B$7:$B$306,"&lt;="&amp;DATE($B$3,10,20),'Leave log'!$C$7:$C$306,"&gt;="&amp;DATE($B$3,10,20),'Leave log'!$F$7:$F$306,"Pending")&gt;0,"P",""))))</f>
        <v/>
      </c>
      <c r="V322" s="23" t="str">
        <f>IF(A322="","",IF(IF(OR(DATE($B$3,10,21)&gt;EOMONTH(DATE($B$3,10,1),0),NETWORKDAYS.INTL(DATE($B$3,10,21),DATE($B$3,10,21),1,'Non-working days'!$A$6:$A$45)=0),"",IF(COUNTIFS('Leave log'!$A$7:$A$306,Employees!$A$15,'Leave log'!$B$7:$B$306,"&lt;="&amp;DATE($B$3,10,21),'Leave log'!$C$7:$C$306,"&gt;="&amp;DATE($B$3,10,21),'Leave log'!$F$7:$F$306,"Approved")&gt;0,"A",""))="A","A",IF(OR(DATE($B$3,10,21)&gt;EOMONTH(DATE($B$3,10,1),0),NETWORKDAYS.INTL(DATE($B$3,10,21),DATE($B$3,10,21),1,'Non-working days'!$A$6:$A$45)=0),"",IF(COUNTIFS('Leave log'!$A$7:$A$306,Employees!$A$15,'Leave log'!$B$7:$B$306,"&lt;="&amp;DATE($B$3,10,21),'Leave log'!$C$7:$C$306,"&gt;="&amp;DATE($B$3,10,21),'Leave log'!$F$7:$F$306,"Pending")&gt;0,"P",""))))</f>
        <v/>
      </c>
      <c r="W322" s="23" t="str">
        <f>IF(A322="","",IF(IF(OR(DATE($B$3,10,22)&gt;EOMONTH(DATE($B$3,10,1),0),NETWORKDAYS.INTL(DATE($B$3,10,22),DATE($B$3,10,22),1,'Non-working days'!$A$6:$A$45)=0),"",IF(COUNTIFS('Leave log'!$A$7:$A$306,Employees!$A$15,'Leave log'!$B$7:$B$306,"&lt;="&amp;DATE($B$3,10,22),'Leave log'!$C$7:$C$306,"&gt;="&amp;DATE($B$3,10,22),'Leave log'!$F$7:$F$306,"Approved")&gt;0,"A",""))="A","A",IF(OR(DATE($B$3,10,22)&gt;EOMONTH(DATE($B$3,10,1),0),NETWORKDAYS.INTL(DATE($B$3,10,22),DATE($B$3,10,22),1,'Non-working days'!$A$6:$A$45)=0),"",IF(COUNTIFS('Leave log'!$A$7:$A$306,Employees!$A$15,'Leave log'!$B$7:$B$306,"&lt;="&amp;DATE($B$3,10,22),'Leave log'!$C$7:$C$306,"&gt;="&amp;DATE($B$3,10,22),'Leave log'!$F$7:$F$306,"Pending")&gt;0,"P",""))))</f>
        <v/>
      </c>
      <c r="X322" s="23" t="str">
        <f>IF(A322="","",IF(IF(OR(DATE($B$3,10,23)&gt;EOMONTH(DATE($B$3,10,1),0),NETWORKDAYS.INTL(DATE($B$3,10,23),DATE($B$3,10,23),1,'Non-working days'!$A$6:$A$45)=0),"",IF(COUNTIFS('Leave log'!$A$7:$A$306,Employees!$A$15,'Leave log'!$B$7:$B$306,"&lt;="&amp;DATE($B$3,10,23),'Leave log'!$C$7:$C$306,"&gt;="&amp;DATE($B$3,10,23),'Leave log'!$F$7:$F$306,"Approved")&gt;0,"A",""))="A","A",IF(OR(DATE($B$3,10,23)&gt;EOMONTH(DATE($B$3,10,1),0),NETWORKDAYS.INTL(DATE($B$3,10,23),DATE($B$3,10,23),1,'Non-working days'!$A$6:$A$45)=0),"",IF(COUNTIFS('Leave log'!$A$7:$A$306,Employees!$A$15,'Leave log'!$B$7:$B$306,"&lt;="&amp;DATE($B$3,10,23),'Leave log'!$C$7:$C$306,"&gt;="&amp;DATE($B$3,10,23),'Leave log'!$F$7:$F$306,"Pending")&gt;0,"P",""))))</f>
        <v/>
      </c>
      <c r="Y322" s="23" t="str">
        <f>IF(A322="","",IF(IF(OR(DATE($B$3,10,24)&gt;EOMONTH(DATE($B$3,10,1),0),NETWORKDAYS.INTL(DATE($B$3,10,24),DATE($B$3,10,24),1,'Non-working days'!$A$6:$A$45)=0),"",IF(COUNTIFS('Leave log'!$A$7:$A$306,Employees!$A$15,'Leave log'!$B$7:$B$306,"&lt;="&amp;DATE($B$3,10,24),'Leave log'!$C$7:$C$306,"&gt;="&amp;DATE($B$3,10,24),'Leave log'!$F$7:$F$306,"Approved")&gt;0,"A",""))="A","A",IF(OR(DATE($B$3,10,24)&gt;EOMONTH(DATE($B$3,10,1),0),NETWORKDAYS.INTL(DATE($B$3,10,24),DATE($B$3,10,24),1,'Non-working days'!$A$6:$A$45)=0),"",IF(COUNTIFS('Leave log'!$A$7:$A$306,Employees!$A$15,'Leave log'!$B$7:$B$306,"&lt;="&amp;DATE($B$3,10,24),'Leave log'!$C$7:$C$306,"&gt;="&amp;DATE($B$3,10,24),'Leave log'!$F$7:$F$306,"Pending")&gt;0,"P",""))))</f>
        <v/>
      </c>
      <c r="Z322" s="23" t="str">
        <f>IF(A322="","",IF(IF(OR(DATE($B$3,10,25)&gt;EOMONTH(DATE($B$3,10,1),0),NETWORKDAYS.INTL(DATE($B$3,10,25),DATE($B$3,10,25),1,'Non-working days'!$A$6:$A$45)=0),"",IF(COUNTIFS('Leave log'!$A$7:$A$306,Employees!$A$15,'Leave log'!$B$7:$B$306,"&lt;="&amp;DATE($B$3,10,25),'Leave log'!$C$7:$C$306,"&gt;="&amp;DATE($B$3,10,25),'Leave log'!$F$7:$F$306,"Approved")&gt;0,"A",""))="A","A",IF(OR(DATE($B$3,10,25)&gt;EOMONTH(DATE($B$3,10,1),0),NETWORKDAYS.INTL(DATE($B$3,10,25),DATE($B$3,10,25),1,'Non-working days'!$A$6:$A$45)=0),"",IF(COUNTIFS('Leave log'!$A$7:$A$306,Employees!$A$15,'Leave log'!$B$7:$B$306,"&lt;="&amp;DATE($B$3,10,25),'Leave log'!$C$7:$C$306,"&gt;="&amp;DATE($B$3,10,25),'Leave log'!$F$7:$F$306,"Pending")&gt;0,"P",""))))</f>
        <v/>
      </c>
      <c r="AA322" s="23" t="str">
        <f>IF(A322="","",IF(IF(OR(DATE($B$3,10,26)&gt;EOMONTH(DATE($B$3,10,1),0),NETWORKDAYS.INTL(DATE($B$3,10,26),DATE($B$3,10,26),1,'Non-working days'!$A$6:$A$45)=0),"",IF(COUNTIFS('Leave log'!$A$7:$A$306,Employees!$A$15,'Leave log'!$B$7:$B$306,"&lt;="&amp;DATE($B$3,10,26),'Leave log'!$C$7:$C$306,"&gt;="&amp;DATE($B$3,10,26),'Leave log'!$F$7:$F$306,"Approved")&gt;0,"A",""))="A","A",IF(OR(DATE($B$3,10,26)&gt;EOMONTH(DATE($B$3,10,1),0),NETWORKDAYS.INTL(DATE($B$3,10,26),DATE($B$3,10,26),1,'Non-working days'!$A$6:$A$45)=0),"",IF(COUNTIFS('Leave log'!$A$7:$A$306,Employees!$A$15,'Leave log'!$B$7:$B$306,"&lt;="&amp;DATE($B$3,10,26),'Leave log'!$C$7:$C$306,"&gt;="&amp;DATE($B$3,10,26),'Leave log'!$F$7:$F$306,"Pending")&gt;0,"P",""))))</f>
        <v/>
      </c>
      <c r="AB322" s="23" t="str">
        <f>IF(A322="","",IF(IF(OR(DATE($B$3,10,27)&gt;EOMONTH(DATE($B$3,10,1),0),NETWORKDAYS.INTL(DATE($B$3,10,27),DATE($B$3,10,27),1,'Non-working days'!$A$6:$A$45)=0),"",IF(COUNTIFS('Leave log'!$A$7:$A$306,Employees!$A$15,'Leave log'!$B$7:$B$306,"&lt;="&amp;DATE($B$3,10,27),'Leave log'!$C$7:$C$306,"&gt;="&amp;DATE($B$3,10,27),'Leave log'!$F$7:$F$306,"Approved")&gt;0,"A",""))="A","A",IF(OR(DATE($B$3,10,27)&gt;EOMONTH(DATE($B$3,10,1),0),NETWORKDAYS.INTL(DATE($B$3,10,27),DATE($B$3,10,27),1,'Non-working days'!$A$6:$A$45)=0),"",IF(COUNTIFS('Leave log'!$A$7:$A$306,Employees!$A$15,'Leave log'!$B$7:$B$306,"&lt;="&amp;DATE($B$3,10,27),'Leave log'!$C$7:$C$306,"&gt;="&amp;DATE($B$3,10,27),'Leave log'!$F$7:$F$306,"Pending")&gt;0,"P",""))))</f>
        <v/>
      </c>
      <c r="AC322" s="23" t="str">
        <f>IF(A322="","",IF(IF(OR(DATE($B$3,10,28)&gt;EOMONTH(DATE($B$3,10,1),0),NETWORKDAYS.INTL(DATE($B$3,10,28),DATE($B$3,10,28),1,'Non-working days'!$A$6:$A$45)=0),"",IF(COUNTIFS('Leave log'!$A$7:$A$306,Employees!$A$15,'Leave log'!$B$7:$B$306,"&lt;="&amp;DATE($B$3,10,28),'Leave log'!$C$7:$C$306,"&gt;="&amp;DATE($B$3,10,28),'Leave log'!$F$7:$F$306,"Approved")&gt;0,"A",""))="A","A",IF(OR(DATE($B$3,10,28)&gt;EOMONTH(DATE($B$3,10,1),0),NETWORKDAYS.INTL(DATE($B$3,10,28),DATE($B$3,10,28),1,'Non-working days'!$A$6:$A$45)=0),"",IF(COUNTIFS('Leave log'!$A$7:$A$306,Employees!$A$15,'Leave log'!$B$7:$B$306,"&lt;="&amp;DATE($B$3,10,28),'Leave log'!$C$7:$C$306,"&gt;="&amp;DATE($B$3,10,28),'Leave log'!$F$7:$F$306,"Pending")&gt;0,"P",""))))</f>
        <v/>
      </c>
      <c r="AD322" s="23" t="str">
        <f>IF(A322="","",IF(IF(OR(DATE($B$3,10,29)&gt;EOMONTH(DATE($B$3,10,1),0),NETWORKDAYS.INTL(DATE($B$3,10,29),DATE($B$3,10,29),1,'Non-working days'!$A$6:$A$45)=0),"",IF(COUNTIFS('Leave log'!$A$7:$A$306,Employees!$A$15,'Leave log'!$B$7:$B$306,"&lt;="&amp;DATE($B$3,10,29),'Leave log'!$C$7:$C$306,"&gt;="&amp;DATE($B$3,10,29),'Leave log'!$F$7:$F$306,"Approved")&gt;0,"A",""))="A","A",IF(OR(DATE($B$3,10,29)&gt;EOMONTH(DATE($B$3,10,1),0),NETWORKDAYS.INTL(DATE($B$3,10,29),DATE($B$3,10,29),1,'Non-working days'!$A$6:$A$45)=0),"",IF(COUNTIFS('Leave log'!$A$7:$A$306,Employees!$A$15,'Leave log'!$B$7:$B$306,"&lt;="&amp;DATE($B$3,10,29),'Leave log'!$C$7:$C$306,"&gt;="&amp;DATE($B$3,10,29),'Leave log'!$F$7:$F$306,"Pending")&gt;0,"P",""))))</f>
        <v/>
      </c>
      <c r="AE322" s="23" t="str">
        <f>IF(A322="","",IF(IF(OR(DATE($B$3,10,30)&gt;EOMONTH(DATE($B$3,10,1),0),NETWORKDAYS.INTL(DATE($B$3,10,30),DATE($B$3,10,30),1,'Non-working days'!$A$6:$A$45)=0),"",IF(COUNTIFS('Leave log'!$A$7:$A$306,Employees!$A$15,'Leave log'!$B$7:$B$306,"&lt;="&amp;DATE($B$3,10,30),'Leave log'!$C$7:$C$306,"&gt;="&amp;DATE($B$3,10,30),'Leave log'!$F$7:$F$306,"Approved")&gt;0,"A",""))="A","A",IF(OR(DATE($B$3,10,30)&gt;EOMONTH(DATE($B$3,10,1),0),NETWORKDAYS.INTL(DATE($B$3,10,30),DATE($B$3,10,30),1,'Non-working days'!$A$6:$A$45)=0),"",IF(COUNTIFS('Leave log'!$A$7:$A$306,Employees!$A$15,'Leave log'!$B$7:$B$306,"&lt;="&amp;DATE($B$3,10,30),'Leave log'!$C$7:$C$306,"&gt;="&amp;DATE($B$3,10,30),'Leave log'!$F$7:$F$306,"Pending")&gt;0,"P",""))))</f>
        <v/>
      </c>
      <c r="AF322" s="23" t="str">
        <f>IF(A322="","",IF(IF(OR(DATE($B$3,10,31)&gt;EOMONTH(DATE($B$3,10,1),0),NETWORKDAYS.INTL(DATE($B$3,10,31),DATE($B$3,10,31),1,'Non-working days'!$A$6:$A$45)=0),"",IF(COUNTIFS('Leave log'!$A$7:$A$306,Employees!$A$15,'Leave log'!$B$7:$B$306,"&lt;="&amp;DATE($B$3,10,31),'Leave log'!$C$7:$C$306,"&gt;="&amp;DATE($B$3,10,31),'Leave log'!$F$7:$F$306,"Approved")&gt;0,"A",""))="A","A",IF(OR(DATE($B$3,10,31)&gt;EOMONTH(DATE($B$3,10,1),0),NETWORKDAYS.INTL(DATE($B$3,10,31),DATE($B$3,10,31),1,'Non-working days'!$A$6:$A$45)=0),"",IF(COUNTIFS('Leave log'!$A$7:$A$306,Employees!$A$15,'Leave log'!$B$7:$B$306,"&lt;="&amp;DATE($B$3,10,31),'Leave log'!$C$7:$C$306,"&gt;="&amp;DATE($B$3,10,31),'Leave log'!$F$7:$F$306,"Pending")&gt;0,"P",""))))</f>
        <v/>
      </c>
    </row>
    <row r="323" spans="1:32" ht="18" customHeight="1" x14ac:dyDescent="0.3">
      <c r="A323" s="22" t="str">
        <f>IF(Employees!F16="Yes",Employees!B16,"")</f>
        <v/>
      </c>
      <c r="B323" s="23" t="str">
        <f>IF(A323="","",IF(IF(OR(DATE($B$3,10,1)&gt;EOMONTH(DATE($B$3,10,1),0),NETWORKDAYS.INTL(DATE($B$3,10,1),DATE($B$3,10,1),1,'Non-working days'!$A$6:$A$45)=0),"",IF(COUNTIFS('Leave log'!$A$7:$A$306,Employees!$A$16,'Leave log'!$B$7:$B$306,"&lt;="&amp;DATE($B$3,10,1),'Leave log'!$C$7:$C$306,"&gt;="&amp;DATE($B$3,10,1),'Leave log'!$F$7:$F$306,"Approved")&gt;0,"A",""))="A","A",IF(OR(DATE($B$3,10,1)&gt;EOMONTH(DATE($B$3,10,1),0),NETWORKDAYS.INTL(DATE($B$3,10,1),DATE($B$3,10,1),1,'Non-working days'!$A$6:$A$45)=0),"",IF(COUNTIFS('Leave log'!$A$7:$A$306,Employees!$A$16,'Leave log'!$B$7:$B$306,"&lt;="&amp;DATE($B$3,10,1),'Leave log'!$C$7:$C$306,"&gt;="&amp;DATE($B$3,10,1),'Leave log'!$F$7:$F$306,"Pending")&gt;0,"P",""))))</f>
        <v/>
      </c>
      <c r="C323" s="23" t="str">
        <f>IF(A323="","",IF(IF(OR(DATE($B$3,10,2)&gt;EOMONTH(DATE($B$3,10,1),0),NETWORKDAYS.INTL(DATE($B$3,10,2),DATE($B$3,10,2),1,'Non-working days'!$A$6:$A$45)=0),"",IF(COUNTIFS('Leave log'!$A$7:$A$306,Employees!$A$16,'Leave log'!$B$7:$B$306,"&lt;="&amp;DATE($B$3,10,2),'Leave log'!$C$7:$C$306,"&gt;="&amp;DATE($B$3,10,2),'Leave log'!$F$7:$F$306,"Approved")&gt;0,"A",""))="A","A",IF(OR(DATE($B$3,10,2)&gt;EOMONTH(DATE($B$3,10,1),0),NETWORKDAYS.INTL(DATE($B$3,10,2),DATE($B$3,10,2),1,'Non-working days'!$A$6:$A$45)=0),"",IF(COUNTIFS('Leave log'!$A$7:$A$306,Employees!$A$16,'Leave log'!$B$7:$B$306,"&lt;="&amp;DATE($B$3,10,2),'Leave log'!$C$7:$C$306,"&gt;="&amp;DATE($B$3,10,2),'Leave log'!$F$7:$F$306,"Pending")&gt;0,"P",""))))</f>
        <v/>
      </c>
      <c r="D323" s="23" t="str">
        <f>IF(A323="","",IF(IF(OR(DATE($B$3,10,3)&gt;EOMONTH(DATE($B$3,10,1),0),NETWORKDAYS.INTL(DATE($B$3,10,3),DATE($B$3,10,3),1,'Non-working days'!$A$6:$A$45)=0),"",IF(COUNTIFS('Leave log'!$A$7:$A$306,Employees!$A$16,'Leave log'!$B$7:$B$306,"&lt;="&amp;DATE($B$3,10,3),'Leave log'!$C$7:$C$306,"&gt;="&amp;DATE($B$3,10,3),'Leave log'!$F$7:$F$306,"Approved")&gt;0,"A",""))="A","A",IF(OR(DATE($B$3,10,3)&gt;EOMONTH(DATE($B$3,10,1),0),NETWORKDAYS.INTL(DATE($B$3,10,3),DATE($B$3,10,3),1,'Non-working days'!$A$6:$A$45)=0),"",IF(COUNTIFS('Leave log'!$A$7:$A$306,Employees!$A$16,'Leave log'!$B$7:$B$306,"&lt;="&amp;DATE($B$3,10,3),'Leave log'!$C$7:$C$306,"&gt;="&amp;DATE($B$3,10,3),'Leave log'!$F$7:$F$306,"Pending")&gt;0,"P",""))))</f>
        <v/>
      </c>
      <c r="E323" s="23" t="str">
        <f>IF(A323="","",IF(IF(OR(DATE($B$3,10,4)&gt;EOMONTH(DATE($B$3,10,1),0),NETWORKDAYS.INTL(DATE($B$3,10,4),DATE($B$3,10,4),1,'Non-working days'!$A$6:$A$45)=0),"",IF(COUNTIFS('Leave log'!$A$7:$A$306,Employees!$A$16,'Leave log'!$B$7:$B$306,"&lt;="&amp;DATE($B$3,10,4),'Leave log'!$C$7:$C$306,"&gt;="&amp;DATE($B$3,10,4),'Leave log'!$F$7:$F$306,"Approved")&gt;0,"A",""))="A","A",IF(OR(DATE($B$3,10,4)&gt;EOMONTH(DATE($B$3,10,1),0),NETWORKDAYS.INTL(DATE($B$3,10,4),DATE($B$3,10,4),1,'Non-working days'!$A$6:$A$45)=0),"",IF(COUNTIFS('Leave log'!$A$7:$A$306,Employees!$A$16,'Leave log'!$B$7:$B$306,"&lt;="&amp;DATE($B$3,10,4),'Leave log'!$C$7:$C$306,"&gt;="&amp;DATE($B$3,10,4),'Leave log'!$F$7:$F$306,"Pending")&gt;0,"P",""))))</f>
        <v/>
      </c>
      <c r="F323" s="23" t="str">
        <f>IF(A323="","",IF(IF(OR(DATE($B$3,10,5)&gt;EOMONTH(DATE($B$3,10,1),0),NETWORKDAYS.INTL(DATE($B$3,10,5),DATE($B$3,10,5),1,'Non-working days'!$A$6:$A$45)=0),"",IF(COUNTIFS('Leave log'!$A$7:$A$306,Employees!$A$16,'Leave log'!$B$7:$B$306,"&lt;="&amp;DATE($B$3,10,5),'Leave log'!$C$7:$C$306,"&gt;="&amp;DATE($B$3,10,5),'Leave log'!$F$7:$F$306,"Approved")&gt;0,"A",""))="A","A",IF(OR(DATE($B$3,10,5)&gt;EOMONTH(DATE($B$3,10,1),0),NETWORKDAYS.INTL(DATE($B$3,10,5),DATE($B$3,10,5),1,'Non-working days'!$A$6:$A$45)=0),"",IF(COUNTIFS('Leave log'!$A$7:$A$306,Employees!$A$16,'Leave log'!$B$7:$B$306,"&lt;="&amp;DATE($B$3,10,5),'Leave log'!$C$7:$C$306,"&gt;="&amp;DATE($B$3,10,5),'Leave log'!$F$7:$F$306,"Pending")&gt;0,"P",""))))</f>
        <v/>
      </c>
      <c r="G323" s="23" t="str">
        <f>IF(A323="","",IF(IF(OR(DATE($B$3,10,6)&gt;EOMONTH(DATE($B$3,10,1),0),NETWORKDAYS.INTL(DATE($B$3,10,6),DATE($B$3,10,6),1,'Non-working days'!$A$6:$A$45)=0),"",IF(COUNTIFS('Leave log'!$A$7:$A$306,Employees!$A$16,'Leave log'!$B$7:$B$306,"&lt;="&amp;DATE($B$3,10,6),'Leave log'!$C$7:$C$306,"&gt;="&amp;DATE($B$3,10,6),'Leave log'!$F$7:$F$306,"Approved")&gt;0,"A",""))="A","A",IF(OR(DATE($B$3,10,6)&gt;EOMONTH(DATE($B$3,10,1),0),NETWORKDAYS.INTL(DATE($B$3,10,6),DATE($B$3,10,6),1,'Non-working days'!$A$6:$A$45)=0),"",IF(COUNTIFS('Leave log'!$A$7:$A$306,Employees!$A$16,'Leave log'!$B$7:$B$306,"&lt;="&amp;DATE($B$3,10,6),'Leave log'!$C$7:$C$306,"&gt;="&amp;DATE($B$3,10,6),'Leave log'!$F$7:$F$306,"Pending")&gt;0,"P",""))))</f>
        <v/>
      </c>
      <c r="H323" s="23" t="str">
        <f>IF(A323="","",IF(IF(OR(DATE($B$3,10,7)&gt;EOMONTH(DATE($B$3,10,1),0),NETWORKDAYS.INTL(DATE($B$3,10,7),DATE($B$3,10,7),1,'Non-working days'!$A$6:$A$45)=0),"",IF(COUNTIFS('Leave log'!$A$7:$A$306,Employees!$A$16,'Leave log'!$B$7:$B$306,"&lt;="&amp;DATE($B$3,10,7),'Leave log'!$C$7:$C$306,"&gt;="&amp;DATE($B$3,10,7),'Leave log'!$F$7:$F$306,"Approved")&gt;0,"A",""))="A","A",IF(OR(DATE($B$3,10,7)&gt;EOMONTH(DATE($B$3,10,1),0),NETWORKDAYS.INTL(DATE($B$3,10,7),DATE($B$3,10,7),1,'Non-working days'!$A$6:$A$45)=0),"",IF(COUNTIFS('Leave log'!$A$7:$A$306,Employees!$A$16,'Leave log'!$B$7:$B$306,"&lt;="&amp;DATE($B$3,10,7),'Leave log'!$C$7:$C$306,"&gt;="&amp;DATE($B$3,10,7),'Leave log'!$F$7:$F$306,"Pending")&gt;0,"P",""))))</f>
        <v/>
      </c>
      <c r="I323" s="23" t="str">
        <f>IF(A323="","",IF(IF(OR(DATE($B$3,10,8)&gt;EOMONTH(DATE($B$3,10,1),0),NETWORKDAYS.INTL(DATE($B$3,10,8),DATE($B$3,10,8),1,'Non-working days'!$A$6:$A$45)=0),"",IF(COUNTIFS('Leave log'!$A$7:$A$306,Employees!$A$16,'Leave log'!$B$7:$B$306,"&lt;="&amp;DATE($B$3,10,8),'Leave log'!$C$7:$C$306,"&gt;="&amp;DATE($B$3,10,8),'Leave log'!$F$7:$F$306,"Approved")&gt;0,"A",""))="A","A",IF(OR(DATE($B$3,10,8)&gt;EOMONTH(DATE($B$3,10,1),0),NETWORKDAYS.INTL(DATE($B$3,10,8),DATE($B$3,10,8),1,'Non-working days'!$A$6:$A$45)=0),"",IF(COUNTIFS('Leave log'!$A$7:$A$306,Employees!$A$16,'Leave log'!$B$7:$B$306,"&lt;="&amp;DATE($B$3,10,8),'Leave log'!$C$7:$C$306,"&gt;="&amp;DATE($B$3,10,8),'Leave log'!$F$7:$F$306,"Pending")&gt;0,"P",""))))</f>
        <v/>
      </c>
      <c r="J323" s="23" t="str">
        <f>IF(A323="","",IF(IF(OR(DATE($B$3,10,9)&gt;EOMONTH(DATE($B$3,10,1),0),NETWORKDAYS.INTL(DATE($B$3,10,9),DATE($B$3,10,9),1,'Non-working days'!$A$6:$A$45)=0),"",IF(COUNTIFS('Leave log'!$A$7:$A$306,Employees!$A$16,'Leave log'!$B$7:$B$306,"&lt;="&amp;DATE($B$3,10,9),'Leave log'!$C$7:$C$306,"&gt;="&amp;DATE($B$3,10,9),'Leave log'!$F$7:$F$306,"Approved")&gt;0,"A",""))="A","A",IF(OR(DATE($B$3,10,9)&gt;EOMONTH(DATE($B$3,10,1),0),NETWORKDAYS.INTL(DATE($B$3,10,9),DATE($B$3,10,9),1,'Non-working days'!$A$6:$A$45)=0),"",IF(COUNTIFS('Leave log'!$A$7:$A$306,Employees!$A$16,'Leave log'!$B$7:$B$306,"&lt;="&amp;DATE($B$3,10,9),'Leave log'!$C$7:$C$306,"&gt;="&amp;DATE($B$3,10,9),'Leave log'!$F$7:$F$306,"Pending")&gt;0,"P",""))))</f>
        <v/>
      </c>
      <c r="K323" s="23" t="str">
        <f>IF(A323="","",IF(IF(OR(DATE($B$3,10,10)&gt;EOMONTH(DATE($B$3,10,1),0),NETWORKDAYS.INTL(DATE($B$3,10,10),DATE($B$3,10,10),1,'Non-working days'!$A$6:$A$45)=0),"",IF(COUNTIFS('Leave log'!$A$7:$A$306,Employees!$A$16,'Leave log'!$B$7:$B$306,"&lt;="&amp;DATE($B$3,10,10),'Leave log'!$C$7:$C$306,"&gt;="&amp;DATE($B$3,10,10),'Leave log'!$F$7:$F$306,"Approved")&gt;0,"A",""))="A","A",IF(OR(DATE($B$3,10,10)&gt;EOMONTH(DATE($B$3,10,1),0),NETWORKDAYS.INTL(DATE($B$3,10,10),DATE($B$3,10,10),1,'Non-working days'!$A$6:$A$45)=0),"",IF(COUNTIFS('Leave log'!$A$7:$A$306,Employees!$A$16,'Leave log'!$B$7:$B$306,"&lt;="&amp;DATE($B$3,10,10),'Leave log'!$C$7:$C$306,"&gt;="&amp;DATE($B$3,10,10),'Leave log'!$F$7:$F$306,"Pending")&gt;0,"P",""))))</f>
        <v/>
      </c>
      <c r="L323" s="23" t="str">
        <f>IF(A323="","",IF(IF(OR(DATE($B$3,10,11)&gt;EOMONTH(DATE($B$3,10,1),0),NETWORKDAYS.INTL(DATE($B$3,10,11),DATE($B$3,10,11),1,'Non-working days'!$A$6:$A$45)=0),"",IF(COUNTIFS('Leave log'!$A$7:$A$306,Employees!$A$16,'Leave log'!$B$7:$B$306,"&lt;="&amp;DATE($B$3,10,11),'Leave log'!$C$7:$C$306,"&gt;="&amp;DATE($B$3,10,11),'Leave log'!$F$7:$F$306,"Approved")&gt;0,"A",""))="A","A",IF(OR(DATE($B$3,10,11)&gt;EOMONTH(DATE($B$3,10,1),0),NETWORKDAYS.INTL(DATE($B$3,10,11),DATE($B$3,10,11),1,'Non-working days'!$A$6:$A$45)=0),"",IF(COUNTIFS('Leave log'!$A$7:$A$306,Employees!$A$16,'Leave log'!$B$7:$B$306,"&lt;="&amp;DATE($B$3,10,11),'Leave log'!$C$7:$C$306,"&gt;="&amp;DATE($B$3,10,11),'Leave log'!$F$7:$F$306,"Pending")&gt;0,"P",""))))</f>
        <v/>
      </c>
      <c r="M323" s="23" t="str">
        <f>IF(A323="","",IF(IF(OR(DATE($B$3,10,12)&gt;EOMONTH(DATE($B$3,10,1),0),NETWORKDAYS.INTL(DATE($B$3,10,12),DATE($B$3,10,12),1,'Non-working days'!$A$6:$A$45)=0),"",IF(COUNTIFS('Leave log'!$A$7:$A$306,Employees!$A$16,'Leave log'!$B$7:$B$306,"&lt;="&amp;DATE($B$3,10,12),'Leave log'!$C$7:$C$306,"&gt;="&amp;DATE($B$3,10,12),'Leave log'!$F$7:$F$306,"Approved")&gt;0,"A",""))="A","A",IF(OR(DATE($B$3,10,12)&gt;EOMONTH(DATE($B$3,10,1),0),NETWORKDAYS.INTL(DATE($B$3,10,12),DATE($B$3,10,12),1,'Non-working days'!$A$6:$A$45)=0),"",IF(COUNTIFS('Leave log'!$A$7:$A$306,Employees!$A$16,'Leave log'!$B$7:$B$306,"&lt;="&amp;DATE($B$3,10,12),'Leave log'!$C$7:$C$306,"&gt;="&amp;DATE($B$3,10,12),'Leave log'!$F$7:$F$306,"Pending")&gt;0,"P",""))))</f>
        <v/>
      </c>
      <c r="N323" s="23" t="str">
        <f>IF(A323="","",IF(IF(OR(DATE($B$3,10,13)&gt;EOMONTH(DATE($B$3,10,1),0),NETWORKDAYS.INTL(DATE($B$3,10,13),DATE($B$3,10,13),1,'Non-working days'!$A$6:$A$45)=0),"",IF(COUNTIFS('Leave log'!$A$7:$A$306,Employees!$A$16,'Leave log'!$B$7:$B$306,"&lt;="&amp;DATE($B$3,10,13),'Leave log'!$C$7:$C$306,"&gt;="&amp;DATE($B$3,10,13),'Leave log'!$F$7:$F$306,"Approved")&gt;0,"A",""))="A","A",IF(OR(DATE($B$3,10,13)&gt;EOMONTH(DATE($B$3,10,1),0),NETWORKDAYS.INTL(DATE($B$3,10,13),DATE($B$3,10,13),1,'Non-working days'!$A$6:$A$45)=0),"",IF(COUNTIFS('Leave log'!$A$7:$A$306,Employees!$A$16,'Leave log'!$B$7:$B$306,"&lt;="&amp;DATE($B$3,10,13),'Leave log'!$C$7:$C$306,"&gt;="&amp;DATE($B$3,10,13),'Leave log'!$F$7:$F$306,"Pending")&gt;0,"P",""))))</f>
        <v/>
      </c>
      <c r="O323" s="23" t="str">
        <f>IF(A323="","",IF(IF(OR(DATE($B$3,10,14)&gt;EOMONTH(DATE($B$3,10,1),0),NETWORKDAYS.INTL(DATE($B$3,10,14),DATE($B$3,10,14),1,'Non-working days'!$A$6:$A$45)=0),"",IF(COUNTIFS('Leave log'!$A$7:$A$306,Employees!$A$16,'Leave log'!$B$7:$B$306,"&lt;="&amp;DATE($B$3,10,14),'Leave log'!$C$7:$C$306,"&gt;="&amp;DATE($B$3,10,14),'Leave log'!$F$7:$F$306,"Approved")&gt;0,"A",""))="A","A",IF(OR(DATE($B$3,10,14)&gt;EOMONTH(DATE($B$3,10,1),0),NETWORKDAYS.INTL(DATE($B$3,10,14),DATE($B$3,10,14),1,'Non-working days'!$A$6:$A$45)=0),"",IF(COUNTIFS('Leave log'!$A$7:$A$306,Employees!$A$16,'Leave log'!$B$7:$B$306,"&lt;="&amp;DATE($B$3,10,14),'Leave log'!$C$7:$C$306,"&gt;="&amp;DATE($B$3,10,14),'Leave log'!$F$7:$F$306,"Pending")&gt;0,"P",""))))</f>
        <v/>
      </c>
      <c r="P323" s="23" t="str">
        <f>IF(A323="","",IF(IF(OR(DATE($B$3,10,15)&gt;EOMONTH(DATE($B$3,10,1),0),NETWORKDAYS.INTL(DATE($B$3,10,15),DATE($B$3,10,15),1,'Non-working days'!$A$6:$A$45)=0),"",IF(COUNTIFS('Leave log'!$A$7:$A$306,Employees!$A$16,'Leave log'!$B$7:$B$306,"&lt;="&amp;DATE($B$3,10,15),'Leave log'!$C$7:$C$306,"&gt;="&amp;DATE($B$3,10,15),'Leave log'!$F$7:$F$306,"Approved")&gt;0,"A",""))="A","A",IF(OR(DATE($B$3,10,15)&gt;EOMONTH(DATE($B$3,10,1),0),NETWORKDAYS.INTL(DATE($B$3,10,15),DATE($B$3,10,15),1,'Non-working days'!$A$6:$A$45)=0),"",IF(COUNTIFS('Leave log'!$A$7:$A$306,Employees!$A$16,'Leave log'!$B$7:$B$306,"&lt;="&amp;DATE($B$3,10,15),'Leave log'!$C$7:$C$306,"&gt;="&amp;DATE($B$3,10,15),'Leave log'!$F$7:$F$306,"Pending")&gt;0,"P",""))))</f>
        <v/>
      </c>
      <c r="Q323" s="23" t="str">
        <f>IF(A323="","",IF(IF(OR(DATE($B$3,10,16)&gt;EOMONTH(DATE($B$3,10,1),0),NETWORKDAYS.INTL(DATE($B$3,10,16),DATE($B$3,10,16),1,'Non-working days'!$A$6:$A$45)=0),"",IF(COUNTIFS('Leave log'!$A$7:$A$306,Employees!$A$16,'Leave log'!$B$7:$B$306,"&lt;="&amp;DATE($B$3,10,16),'Leave log'!$C$7:$C$306,"&gt;="&amp;DATE($B$3,10,16),'Leave log'!$F$7:$F$306,"Approved")&gt;0,"A",""))="A","A",IF(OR(DATE($B$3,10,16)&gt;EOMONTH(DATE($B$3,10,1),0),NETWORKDAYS.INTL(DATE($B$3,10,16),DATE($B$3,10,16),1,'Non-working days'!$A$6:$A$45)=0),"",IF(COUNTIFS('Leave log'!$A$7:$A$306,Employees!$A$16,'Leave log'!$B$7:$B$306,"&lt;="&amp;DATE($B$3,10,16),'Leave log'!$C$7:$C$306,"&gt;="&amp;DATE($B$3,10,16),'Leave log'!$F$7:$F$306,"Pending")&gt;0,"P",""))))</f>
        <v/>
      </c>
      <c r="R323" s="23" t="str">
        <f>IF(A323="","",IF(IF(OR(DATE($B$3,10,17)&gt;EOMONTH(DATE($B$3,10,1),0),NETWORKDAYS.INTL(DATE($B$3,10,17),DATE($B$3,10,17),1,'Non-working days'!$A$6:$A$45)=0),"",IF(COUNTIFS('Leave log'!$A$7:$A$306,Employees!$A$16,'Leave log'!$B$7:$B$306,"&lt;="&amp;DATE($B$3,10,17),'Leave log'!$C$7:$C$306,"&gt;="&amp;DATE($B$3,10,17),'Leave log'!$F$7:$F$306,"Approved")&gt;0,"A",""))="A","A",IF(OR(DATE($B$3,10,17)&gt;EOMONTH(DATE($B$3,10,1),0),NETWORKDAYS.INTL(DATE($B$3,10,17),DATE($B$3,10,17),1,'Non-working days'!$A$6:$A$45)=0),"",IF(COUNTIFS('Leave log'!$A$7:$A$306,Employees!$A$16,'Leave log'!$B$7:$B$306,"&lt;="&amp;DATE($B$3,10,17),'Leave log'!$C$7:$C$306,"&gt;="&amp;DATE($B$3,10,17),'Leave log'!$F$7:$F$306,"Pending")&gt;0,"P",""))))</f>
        <v/>
      </c>
      <c r="S323" s="23" t="str">
        <f>IF(A323="","",IF(IF(OR(DATE($B$3,10,18)&gt;EOMONTH(DATE($B$3,10,1),0),NETWORKDAYS.INTL(DATE($B$3,10,18),DATE($B$3,10,18),1,'Non-working days'!$A$6:$A$45)=0),"",IF(COUNTIFS('Leave log'!$A$7:$A$306,Employees!$A$16,'Leave log'!$B$7:$B$306,"&lt;="&amp;DATE($B$3,10,18),'Leave log'!$C$7:$C$306,"&gt;="&amp;DATE($B$3,10,18),'Leave log'!$F$7:$F$306,"Approved")&gt;0,"A",""))="A","A",IF(OR(DATE($B$3,10,18)&gt;EOMONTH(DATE($B$3,10,1),0),NETWORKDAYS.INTL(DATE($B$3,10,18),DATE($B$3,10,18),1,'Non-working days'!$A$6:$A$45)=0),"",IF(COUNTIFS('Leave log'!$A$7:$A$306,Employees!$A$16,'Leave log'!$B$7:$B$306,"&lt;="&amp;DATE($B$3,10,18),'Leave log'!$C$7:$C$306,"&gt;="&amp;DATE($B$3,10,18),'Leave log'!$F$7:$F$306,"Pending")&gt;0,"P",""))))</f>
        <v/>
      </c>
      <c r="T323" s="23" t="str">
        <f>IF(A323="","",IF(IF(OR(DATE($B$3,10,19)&gt;EOMONTH(DATE($B$3,10,1),0),NETWORKDAYS.INTL(DATE($B$3,10,19),DATE($B$3,10,19),1,'Non-working days'!$A$6:$A$45)=0),"",IF(COUNTIFS('Leave log'!$A$7:$A$306,Employees!$A$16,'Leave log'!$B$7:$B$306,"&lt;="&amp;DATE($B$3,10,19),'Leave log'!$C$7:$C$306,"&gt;="&amp;DATE($B$3,10,19),'Leave log'!$F$7:$F$306,"Approved")&gt;0,"A",""))="A","A",IF(OR(DATE($B$3,10,19)&gt;EOMONTH(DATE($B$3,10,1),0),NETWORKDAYS.INTL(DATE($B$3,10,19),DATE($B$3,10,19),1,'Non-working days'!$A$6:$A$45)=0),"",IF(COUNTIFS('Leave log'!$A$7:$A$306,Employees!$A$16,'Leave log'!$B$7:$B$306,"&lt;="&amp;DATE($B$3,10,19),'Leave log'!$C$7:$C$306,"&gt;="&amp;DATE($B$3,10,19),'Leave log'!$F$7:$F$306,"Pending")&gt;0,"P",""))))</f>
        <v/>
      </c>
      <c r="U323" s="23" t="str">
        <f>IF(A323="","",IF(IF(OR(DATE($B$3,10,20)&gt;EOMONTH(DATE($B$3,10,1),0),NETWORKDAYS.INTL(DATE($B$3,10,20),DATE($B$3,10,20),1,'Non-working days'!$A$6:$A$45)=0),"",IF(COUNTIFS('Leave log'!$A$7:$A$306,Employees!$A$16,'Leave log'!$B$7:$B$306,"&lt;="&amp;DATE($B$3,10,20),'Leave log'!$C$7:$C$306,"&gt;="&amp;DATE($B$3,10,20),'Leave log'!$F$7:$F$306,"Approved")&gt;0,"A",""))="A","A",IF(OR(DATE($B$3,10,20)&gt;EOMONTH(DATE($B$3,10,1),0),NETWORKDAYS.INTL(DATE($B$3,10,20),DATE($B$3,10,20),1,'Non-working days'!$A$6:$A$45)=0),"",IF(COUNTIFS('Leave log'!$A$7:$A$306,Employees!$A$16,'Leave log'!$B$7:$B$306,"&lt;="&amp;DATE($B$3,10,20),'Leave log'!$C$7:$C$306,"&gt;="&amp;DATE($B$3,10,20),'Leave log'!$F$7:$F$306,"Pending")&gt;0,"P",""))))</f>
        <v/>
      </c>
      <c r="V323" s="23" t="str">
        <f>IF(A323="","",IF(IF(OR(DATE($B$3,10,21)&gt;EOMONTH(DATE($B$3,10,1),0),NETWORKDAYS.INTL(DATE($B$3,10,21),DATE($B$3,10,21),1,'Non-working days'!$A$6:$A$45)=0),"",IF(COUNTIFS('Leave log'!$A$7:$A$306,Employees!$A$16,'Leave log'!$B$7:$B$306,"&lt;="&amp;DATE($B$3,10,21),'Leave log'!$C$7:$C$306,"&gt;="&amp;DATE($B$3,10,21),'Leave log'!$F$7:$F$306,"Approved")&gt;0,"A",""))="A","A",IF(OR(DATE($B$3,10,21)&gt;EOMONTH(DATE($B$3,10,1),0),NETWORKDAYS.INTL(DATE($B$3,10,21),DATE($B$3,10,21),1,'Non-working days'!$A$6:$A$45)=0),"",IF(COUNTIFS('Leave log'!$A$7:$A$306,Employees!$A$16,'Leave log'!$B$7:$B$306,"&lt;="&amp;DATE($B$3,10,21),'Leave log'!$C$7:$C$306,"&gt;="&amp;DATE($B$3,10,21),'Leave log'!$F$7:$F$306,"Pending")&gt;0,"P",""))))</f>
        <v/>
      </c>
      <c r="W323" s="23" t="str">
        <f>IF(A323="","",IF(IF(OR(DATE($B$3,10,22)&gt;EOMONTH(DATE($B$3,10,1),0),NETWORKDAYS.INTL(DATE($B$3,10,22),DATE($B$3,10,22),1,'Non-working days'!$A$6:$A$45)=0),"",IF(COUNTIFS('Leave log'!$A$7:$A$306,Employees!$A$16,'Leave log'!$B$7:$B$306,"&lt;="&amp;DATE($B$3,10,22),'Leave log'!$C$7:$C$306,"&gt;="&amp;DATE($B$3,10,22),'Leave log'!$F$7:$F$306,"Approved")&gt;0,"A",""))="A","A",IF(OR(DATE($B$3,10,22)&gt;EOMONTH(DATE($B$3,10,1),0),NETWORKDAYS.INTL(DATE($B$3,10,22),DATE($B$3,10,22),1,'Non-working days'!$A$6:$A$45)=0),"",IF(COUNTIFS('Leave log'!$A$7:$A$306,Employees!$A$16,'Leave log'!$B$7:$B$306,"&lt;="&amp;DATE($B$3,10,22),'Leave log'!$C$7:$C$306,"&gt;="&amp;DATE($B$3,10,22),'Leave log'!$F$7:$F$306,"Pending")&gt;0,"P",""))))</f>
        <v/>
      </c>
      <c r="X323" s="23" t="str">
        <f>IF(A323="","",IF(IF(OR(DATE($B$3,10,23)&gt;EOMONTH(DATE($B$3,10,1),0),NETWORKDAYS.INTL(DATE($B$3,10,23),DATE($B$3,10,23),1,'Non-working days'!$A$6:$A$45)=0),"",IF(COUNTIFS('Leave log'!$A$7:$A$306,Employees!$A$16,'Leave log'!$B$7:$B$306,"&lt;="&amp;DATE($B$3,10,23),'Leave log'!$C$7:$C$306,"&gt;="&amp;DATE($B$3,10,23),'Leave log'!$F$7:$F$306,"Approved")&gt;0,"A",""))="A","A",IF(OR(DATE($B$3,10,23)&gt;EOMONTH(DATE($B$3,10,1),0),NETWORKDAYS.INTL(DATE($B$3,10,23),DATE($B$3,10,23),1,'Non-working days'!$A$6:$A$45)=0),"",IF(COUNTIFS('Leave log'!$A$7:$A$306,Employees!$A$16,'Leave log'!$B$7:$B$306,"&lt;="&amp;DATE($B$3,10,23),'Leave log'!$C$7:$C$306,"&gt;="&amp;DATE($B$3,10,23),'Leave log'!$F$7:$F$306,"Pending")&gt;0,"P",""))))</f>
        <v/>
      </c>
      <c r="Y323" s="23" t="str">
        <f>IF(A323="","",IF(IF(OR(DATE($B$3,10,24)&gt;EOMONTH(DATE($B$3,10,1),0),NETWORKDAYS.INTL(DATE($B$3,10,24),DATE($B$3,10,24),1,'Non-working days'!$A$6:$A$45)=0),"",IF(COUNTIFS('Leave log'!$A$7:$A$306,Employees!$A$16,'Leave log'!$B$7:$B$306,"&lt;="&amp;DATE($B$3,10,24),'Leave log'!$C$7:$C$306,"&gt;="&amp;DATE($B$3,10,24),'Leave log'!$F$7:$F$306,"Approved")&gt;0,"A",""))="A","A",IF(OR(DATE($B$3,10,24)&gt;EOMONTH(DATE($B$3,10,1),0),NETWORKDAYS.INTL(DATE($B$3,10,24),DATE($B$3,10,24),1,'Non-working days'!$A$6:$A$45)=0),"",IF(COUNTIFS('Leave log'!$A$7:$A$306,Employees!$A$16,'Leave log'!$B$7:$B$306,"&lt;="&amp;DATE($B$3,10,24),'Leave log'!$C$7:$C$306,"&gt;="&amp;DATE($B$3,10,24),'Leave log'!$F$7:$F$306,"Pending")&gt;0,"P",""))))</f>
        <v/>
      </c>
      <c r="Z323" s="23" t="str">
        <f>IF(A323="","",IF(IF(OR(DATE($B$3,10,25)&gt;EOMONTH(DATE($B$3,10,1),0),NETWORKDAYS.INTL(DATE($B$3,10,25),DATE($B$3,10,25),1,'Non-working days'!$A$6:$A$45)=0),"",IF(COUNTIFS('Leave log'!$A$7:$A$306,Employees!$A$16,'Leave log'!$B$7:$B$306,"&lt;="&amp;DATE($B$3,10,25),'Leave log'!$C$7:$C$306,"&gt;="&amp;DATE($B$3,10,25),'Leave log'!$F$7:$F$306,"Approved")&gt;0,"A",""))="A","A",IF(OR(DATE($B$3,10,25)&gt;EOMONTH(DATE($B$3,10,1),0),NETWORKDAYS.INTL(DATE($B$3,10,25),DATE($B$3,10,25),1,'Non-working days'!$A$6:$A$45)=0),"",IF(COUNTIFS('Leave log'!$A$7:$A$306,Employees!$A$16,'Leave log'!$B$7:$B$306,"&lt;="&amp;DATE($B$3,10,25),'Leave log'!$C$7:$C$306,"&gt;="&amp;DATE($B$3,10,25),'Leave log'!$F$7:$F$306,"Pending")&gt;0,"P",""))))</f>
        <v/>
      </c>
      <c r="AA323" s="23" t="str">
        <f>IF(A323="","",IF(IF(OR(DATE($B$3,10,26)&gt;EOMONTH(DATE($B$3,10,1),0),NETWORKDAYS.INTL(DATE($B$3,10,26),DATE($B$3,10,26),1,'Non-working days'!$A$6:$A$45)=0),"",IF(COUNTIFS('Leave log'!$A$7:$A$306,Employees!$A$16,'Leave log'!$B$7:$B$306,"&lt;="&amp;DATE($B$3,10,26),'Leave log'!$C$7:$C$306,"&gt;="&amp;DATE($B$3,10,26),'Leave log'!$F$7:$F$306,"Approved")&gt;0,"A",""))="A","A",IF(OR(DATE($B$3,10,26)&gt;EOMONTH(DATE($B$3,10,1),0),NETWORKDAYS.INTL(DATE($B$3,10,26),DATE($B$3,10,26),1,'Non-working days'!$A$6:$A$45)=0),"",IF(COUNTIFS('Leave log'!$A$7:$A$306,Employees!$A$16,'Leave log'!$B$7:$B$306,"&lt;="&amp;DATE($B$3,10,26),'Leave log'!$C$7:$C$306,"&gt;="&amp;DATE($B$3,10,26),'Leave log'!$F$7:$F$306,"Pending")&gt;0,"P",""))))</f>
        <v/>
      </c>
      <c r="AB323" s="23" t="str">
        <f>IF(A323="","",IF(IF(OR(DATE($B$3,10,27)&gt;EOMONTH(DATE($B$3,10,1),0),NETWORKDAYS.INTL(DATE($B$3,10,27),DATE($B$3,10,27),1,'Non-working days'!$A$6:$A$45)=0),"",IF(COUNTIFS('Leave log'!$A$7:$A$306,Employees!$A$16,'Leave log'!$B$7:$B$306,"&lt;="&amp;DATE($B$3,10,27),'Leave log'!$C$7:$C$306,"&gt;="&amp;DATE($B$3,10,27),'Leave log'!$F$7:$F$306,"Approved")&gt;0,"A",""))="A","A",IF(OR(DATE($B$3,10,27)&gt;EOMONTH(DATE($B$3,10,1),0),NETWORKDAYS.INTL(DATE($B$3,10,27),DATE($B$3,10,27),1,'Non-working days'!$A$6:$A$45)=0),"",IF(COUNTIFS('Leave log'!$A$7:$A$306,Employees!$A$16,'Leave log'!$B$7:$B$306,"&lt;="&amp;DATE($B$3,10,27),'Leave log'!$C$7:$C$306,"&gt;="&amp;DATE($B$3,10,27),'Leave log'!$F$7:$F$306,"Pending")&gt;0,"P",""))))</f>
        <v/>
      </c>
      <c r="AC323" s="23" t="str">
        <f>IF(A323="","",IF(IF(OR(DATE($B$3,10,28)&gt;EOMONTH(DATE($B$3,10,1),0),NETWORKDAYS.INTL(DATE($B$3,10,28),DATE($B$3,10,28),1,'Non-working days'!$A$6:$A$45)=0),"",IF(COUNTIFS('Leave log'!$A$7:$A$306,Employees!$A$16,'Leave log'!$B$7:$B$306,"&lt;="&amp;DATE($B$3,10,28),'Leave log'!$C$7:$C$306,"&gt;="&amp;DATE($B$3,10,28),'Leave log'!$F$7:$F$306,"Approved")&gt;0,"A",""))="A","A",IF(OR(DATE($B$3,10,28)&gt;EOMONTH(DATE($B$3,10,1),0),NETWORKDAYS.INTL(DATE($B$3,10,28),DATE($B$3,10,28),1,'Non-working days'!$A$6:$A$45)=0),"",IF(COUNTIFS('Leave log'!$A$7:$A$306,Employees!$A$16,'Leave log'!$B$7:$B$306,"&lt;="&amp;DATE($B$3,10,28),'Leave log'!$C$7:$C$306,"&gt;="&amp;DATE($B$3,10,28),'Leave log'!$F$7:$F$306,"Pending")&gt;0,"P",""))))</f>
        <v/>
      </c>
      <c r="AD323" s="23" t="str">
        <f>IF(A323="","",IF(IF(OR(DATE($B$3,10,29)&gt;EOMONTH(DATE($B$3,10,1),0),NETWORKDAYS.INTL(DATE($B$3,10,29),DATE($B$3,10,29),1,'Non-working days'!$A$6:$A$45)=0),"",IF(COUNTIFS('Leave log'!$A$7:$A$306,Employees!$A$16,'Leave log'!$B$7:$B$306,"&lt;="&amp;DATE($B$3,10,29),'Leave log'!$C$7:$C$306,"&gt;="&amp;DATE($B$3,10,29),'Leave log'!$F$7:$F$306,"Approved")&gt;0,"A",""))="A","A",IF(OR(DATE($B$3,10,29)&gt;EOMONTH(DATE($B$3,10,1),0),NETWORKDAYS.INTL(DATE($B$3,10,29),DATE($B$3,10,29),1,'Non-working days'!$A$6:$A$45)=0),"",IF(COUNTIFS('Leave log'!$A$7:$A$306,Employees!$A$16,'Leave log'!$B$7:$B$306,"&lt;="&amp;DATE($B$3,10,29),'Leave log'!$C$7:$C$306,"&gt;="&amp;DATE($B$3,10,29),'Leave log'!$F$7:$F$306,"Pending")&gt;0,"P",""))))</f>
        <v/>
      </c>
      <c r="AE323" s="23" t="str">
        <f>IF(A323="","",IF(IF(OR(DATE($B$3,10,30)&gt;EOMONTH(DATE($B$3,10,1),0),NETWORKDAYS.INTL(DATE($B$3,10,30),DATE($B$3,10,30),1,'Non-working days'!$A$6:$A$45)=0),"",IF(COUNTIFS('Leave log'!$A$7:$A$306,Employees!$A$16,'Leave log'!$B$7:$B$306,"&lt;="&amp;DATE($B$3,10,30),'Leave log'!$C$7:$C$306,"&gt;="&amp;DATE($B$3,10,30),'Leave log'!$F$7:$F$306,"Approved")&gt;0,"A",""))="A","A",IF(OR(DATE($B$3,10,30)&gt;EOMONTH(DATE($B$3,10,1),0),NETWORKDAYS.INTL(DATE($B$3,10,30),DATE($B$3,10,30),1,'Non-working days'!$A$6:$A$45)=0),"",IF(COUNTIFS('Leave log'!$A$7:$A$306,Employees!$A$16,'Leave log'!$B$7:$B$306,"&lt;="&amp;DATE($B$3,10,30),'Leave log'!$C$7:$C$306,"&gt;="&amp;DATE($B$3,10,30),'Leave log'!$F$7:$F$306,"Pending")&gt;0,"P",""))))</f>
        <v/>
      </c>
      <c r="AF323" s="23" t="str">
        <f>IF(A323="","",IF(IF(OR(DATE($B$3,10,31)&gt;EOMONTH(DATE($B$3,10,1),0),NETWORKDAYS.INTL(DATE($B$3,10,31),DATE($B$3,10,31),1,'Non-working days'!$A$6:$A$45)=0),"",IF(COUNTIFS('Leave log'!$A$7:$A$306,Employees!$A$16,'Leave log'!$B$7:$B$306,"&lt;="&amp;DATE($B$3,10,31),'Leave log'!$C$7:$C$306,"&gt;="&amp;DATE($B$3,10,31),'Leave log'!$F$7:$F$306,"Approved")&gt;0,"A",""))="A","A",IF(OR(DATE($B$3,10,31)&gt;EOMONTH(DATE($B$3,10,1),0),NETWORKDAYS.INTL(DATE($B$3,10,31),DATE($B$3,10,31),1,'Non-working days'!$A$6:$A$45)=0),"",IF(COUNTIFS('Leave log'!$A$7:$A$306,Employees!$A$16,'Leave log'!$B$7:$B$306,"&lt;="&amp;DATE($B$3,10,31),'Leave log'!$C$7:$C$306,"&gt;="&amp;DATE($B$3,10,31),'Leave log'!$F$7:$F$306,"Pending")&gt;0,"P",""))))</f>
        <v/>
      </c>
    </row>
    <row r="324" spans="1:32" ht="18" customHeight="1" x14ac:dyDescent="0.3">
      <c r="A324" s="22" t="str">
        <f>IF(Employees!F17="Yes",Employees!B17,"")</f>
        <v/>
      </c>
      <c r="B324" s="23" t="str">
        <f>IF(A324="","",IF(IF(OR(DATE($B$3,10,1)&gt;EOMONTH(DATE($B$3,10,1),0),NETWORKDAYS.INTL(DATE($B$3,10,1),DATE($B$3,10,1),1,'Non-working days'!$A$6:$A$45)=0),"",IF(COUNTIFS('Leave log'!$A$7:$A$306,Employees!$A$17,'Leave log'!$B$7:$B$306,"&lt;="&amp;DATE($B$3,10,1),'Leave log'!$C$7:$C$306,"&gt;="&amp;DATE($B$3,10,1),'Leave log'!$F$7:$F$306,"Approved")&gt;0,"A",""))="A","A",IF(OR(DATE($B$3,10,1)&gt;EOMONTH(DATE($B$3,10,1),0),NETWORKDAYS.INTL(DATE($B$3,10,1),DATE($B$3,10,1),1,'Non-working days'!$A$6:$A$45)=0),"",IF(COUNTIFS('Leave log'!$A$7:$A$306,Employees!$A$17,'Leave log'!$B$7:$B$306,"&lt;="&amp;DATE($B$3,10,1),'Leave log'!$C$7:$C$306,"&gt;="&amp;DATE($B$3,10,1),'Leave log'!$F$7:$F$306,"Pending")&gt;0,"P",""))))</f>
        <v/>
      </c>
      <c r="C324" s="23" t="str">
        <f>IF(A324="","",IF(IF(OR(DATE($B$3,10,2)&gt;EOMONTH(DATE($B$3,10,1),0),NETWORKDAYS.INTL(DATE($B$3,10,2),DATE($B$3,10,2),1,'Non-working days'!$A$6:$A$45)=0),"",IF(COUNTIFS('Leave log'!$A$7:$A$306,Employees!$A$17,'Leave log'!$B$7:$B$306,"&lt;="&amp;DATE($B$3,10,2),'Leave log'!$C$7:$C$306,"&gt;="&amp;DATE($B$3,10,2),'Leave log'!$F$7:$F$306,"Approved")&gt;0,"A",""))="A","A",IF(OR(DATE($B$3,10,2)&gt;EOMONTH(DATE($B$3,10,1),0),NETWORKDAYS.INTL(DATE($B$3,10,2),DATE($B$3,10,2),1,'Non-working days'!$A$6:$A$45)=0),"",IF(COUNTIFS('Leave log'!$A$7:$A$306,Employees!$A$17,'Leave log'!$B$7:$B$306,"&lt;="&amp;DATE($B$3,10,2),'Leave log'!$C$7:$C$306,"&gt;="&amp;DATE($B$3,10,2),'Leave log'!$F$7:$F$306,"Pending")&gt;0,"P",""))))</f>
        <v/>
      </c>
      <c r="D324" s="23" t="str">
        <f>IF(A324="","",IF(IF(OR(DATE($B$3,10,3)&gt;EOMONTH(DATE($B$3,10,1),0),NETWORKDAYS.INTL(DATE($B$3,10,3),DATE($B$3,10,3),1,'Non-working days'!$A$6:$A$45)=0),"",IF(COUNTIFS('Leave log'!$A$7:$A$306,Employees!$A$17,'Leave log'!$B$7:$B$306,"&lt;="&amp;DATE($B$3,10,3),'Leave log'!$C$7:$C$306,"&gt;="&amp;DATE($B$3,10,3),'Leave log'!$F$7:$F$306,"Approved")&gt;0,"A",""))="A","A",IF(OR(DATE($B$3,10,3)&gt;EOMONTH(DATE($B$3,10,1),0),NETWORKDAYS.INTL(DATE($B$3,10,3),DATE($B$3,10,3),1,'Non-working days'!$A$6:$A$45)=0),"",IF(COUNTIFS('Leave log'!$A$7:$A$306,Employees!$A$17,'Leave log'!$B$7:$B$306,"&lt;="&amp;DATE($B$3,10,3),'Leave log'!$C$7:$C$306,"&gt;="&amp;DATE($B$3,10,3),'Leave log'!$F$7:$F$306,"Pending")&gt;0,"P",""))))</f>
        <v/>
      </c>
      <c r="E324" s="23" t="str">
        <f>IF(A324="","",IF(IF(OR(DATE($B$3,10,4)&gt;EOMONTH(DATE($B$3,10,1),0),NETWORKDAYS.INTL(DATE($B$3,10,4),DATE($B$3,10,4),1,'Non-working days'!$A$6:$A$45)=0),"",IF(COUNTIFS('Leave log'!$A$7:$A$306,Employees!$A$17,'Leave log'!$B$7:$B$306,"&lt;="&amp;DATE($B$3,10,4),'Leave log'!$C$7:$C$306,"&gt;="&amp;DATE($B$3,10,4),'Leave log'!$F$7:$F$306,"Approved")&gt;0,"A",""))="A","A",IF(OR(DATE($B$3,10,4)&gt;EOMONTH(DATE($B$3,10,1),0),NETWORKDAYS.INTL(DATE($B$3,10,4),DATE($B$3,10,4),1,'Non-working days'!$A$6:$A$45)=0),"",IF(COUNTIFS('Leave log'!$A$7:$A$306,Employees!$A$17,'Leave log'!$B$7:$B$306,"&lt;="&amp;DATE($B$3,10,4),'Leave log'!$C$7:$C$306,"&gt;="&amp;DATE($B$3,10,4),'Leave log'!$F$7:$F$306,"Pending")&gt;0,"P",""))))</f>
        <v/>
      </c>
      <c r="F324" s="23" t="str">
        <f>IF(A324="","",IF(IF(OR(DATE($B$3,10,5)&gt;EOMONTH(DATE($B$3,10,1),0),NETWORKDAYS.INTL(DATE($B$3,10,5),DATE($B$3,10,5),1,'Non-working days'!$A$6:$A$45)=0),"",IF(COUNTIFS('Leave log'!$A$7:$A$306,Employees!$A$17,'Leave log'!$B$7:$B$306,"&lt;="&amp;DATE($B$3,10,5),'Leave log'!$C$7:$C$306,"&gt;="&amp;DATE($B$3,10,5),'Leave log'!$F$7:$F$306,"Approved")&gt;0,"A",""))="A","A",IF(OR(DATE($B$3,10,5)&gt;EOMONTH(DATE($B$3,10,1),0),NETWORKDAYS.INTL(DATE($B$3,10,5),DATE($B$3,10,5),1,'Non-working days'!$A$6:$A$45)=0),"",IF(COUNTIFS('Leave log'!$A$7:$A$306,Employees!$A$17,'Leave log'!$B$7:$B$306,"&lt;="&amp;DATE($B$3,10,5),'Leave log'!$C$7:$C$306,"&gt;="&amp;DATE($B$3,10,5),'Leave log'!$F$7:$F$306,"Pending")&gt;0,"P",""))))</f>
        <v/>
      </c>
      <c r="G324" s="23" t="str">
        <f>IF(A324="","",IF(IF(OR(DATE($B$3,10,6)&gt;EOMONTH(DATE($B$3,10,1),0),NETWORKDAYS.INTL(DATE($B$3,10,6),DATE($B$3,10,6),1,'Non-working days'!$A$6:$A$45)=0),"",IF(COUNTIFS('Leave log'!$A$7:$A$306,Employees!$A$17,'Leave log'!$B$7:$B$306,"&lt;="&amp;DATE($B$3,10,6),'Leave log'!$C$7:$C$306,"&gt;="&amp;DATE($B$3,10,6),'Leave log'!$F$7:$F$306,"Approved")&gt;0,"A",""))="A","A",IF(OR(DATE($B$3,10,6)&gt;EOMONTH(DATE($B$3,10,1),0),NETWORKDAYS.INTL(DATE($B$3,10,6),DATE($B$3,10,6),1,'Non-working days'!$A$6:$A$45)=0),"",IF(COUNTIFS('Leave log'!$A$7:$A$306,Employees!$A$17,'Leave log'!$B$7:$B$306,"&lt;="&amp;DATE($B$3,10,6),'Leave log'!$C$7:$C$306,"&gt;="&amp;DATE($B$3,10,6),'Leave log'!$F$7:$F$306,"Pending")&gt;0,"P",""))))</f>
        <v/>
      </c>
      <c r="H324" s="23" t="str">
        <f>IF(A324="","",IF(IF(OR(DATE($B$3,10,7)&gt;EOMONTH(DATE($B$3,10,1),0),NETWORKDAYS.INTL(DATE($B$3,10,7),DATE($B$3,10,7),1,'Non-working days'!$A$6:$A$45)=0),"",IF(COUNTIFS('Leave log'!$A$7:$A$306,Employees!$A$17,'Leave log'!$B$7:$B$306,"&lt;="&amp;DATE($B$3,10,7),'Leave log'!$C$7:$C$306,"&gt;="&amp;DATE($B$3,10,7),'Leave log'!$F$7:$F$306,"Approved")&gt;0,"A",""))="A","A",IF(OR(DATE($B$3,10,7)&gt;EOMONTH(DATE($B$3,10,1),0),NETWORKDAYS.INTL(DATE($B$3,10,7),DATE($B$3,10,7),1,'Non-working days'!$A$6:$A$45)=0),"",IF(COUNTIFS('Leave log'!$A$7:$A$306,Employees!$A$17,'Leave log'!$B$7:$B$306,"&lt;="&amp;DATE($B$3,10,7),'Leave log'!$C$7:$C$306,"&gt;="&amp;DATE($B$3,10,7),'Leave log'!$F$7:$F$306,"Pending")&gt;0,"P",""))))</f>
        <v/>
      </c>
      <c r="I324" s="23" t="str">
        <f>IF(A324="","",IF(IF(OR(DATE($B$3,10,8)&gt;EOMONTH(DATE($B$3,10,1),0),NETWORKDAYS.INTL(DATE($B$3,10,8),DATE($B$3,10,8),1,'Non-working days'!$A$6:$A$45)=0),"",IF(COUNTIFS('Leave log'!$A$7:$A$306,Employees!$A$17,'Leave log'!$B$7:$B$306,"&lt;="&amp;DATE($B$3,10,8),'Leave log'!$C$7:$C$306,"&gt;="&amp;DATE($B$3,10,8),'Leave log'!$F$7:$F$306,"Approved")&gt;0,"A",""))="A","A",IF(OR(DATE($B$3,10,8)&gt;EOMONTH(DATE($B$3,10,1),0),NETWORKDAYS.INTL(DATE($B$3,10,8),DATE($B$3,10,8),1,'Non-working days'!$A$6:$A$45)=0),"",IF(COUNTIFS('Leave log'!$A$7:$A$306,Employees!$A$17,'Leave log'!$B$7:$B$306,"&lt;="&amp;DATE($B$3,10,8),'Leave log'!$C$7:$C$306,"&gt;="&amp;DATE($B$3,10,8),'Leave log'!$F$7:$F$306,"Pending")&gt;0,"P",""))))</f>
        <v/>
      </c>
      <c r="J324" s="23" t="str">
        <f>IF(A324="","",IF(IF(OR(DATE($B$3,10,9)&gt;EOMONTH(DATE($B$3,10,1),0),NETWORKDAYS.INTL(DATE($B$3,10,9),DATE($B$3,10,9),1,'Non-working days'!$A$6:$A$45)=0),"",IF(COUNTIFS('Leave log'!$A$7:$A$306,Employees!$A$17,'Leave log'!$B$7:$B$306,"&lt;="&amp;DATE($B$3,10,9),'Leave log'!$C$7:$C$306,"&gt;="&amp;DATE($B$3,10,9),'Leave log'!$F$7:$F$306,"Approved")&gt;0,"A",""))="A","A",IF(OR(DATE($B$3,10,9)&gt;EOMONTH(DATE($B$3,10,1),0),NETWORKDAYS.INTL(DATE($B$3,10,9),DATE($B$3,10,9),1,'Non-working days'!$A$6:$A$45)=0),"",IF(COUNTIFS('Leave log'!$A$7:$A$306,Employees!$A$17,'Leave log'!$B$7:$B$306,"&lt;="&amp;DATE($B$3,10,9),'Leave log'!$C$7:$C$306,"&gt;="&amp;DATE($B$3,10,9),'Leave log'!$F$7:$F$306,"Pending")&gt;0,"P",""))))</f>
        <v/>
      </c>
      <c r="K324" s="23" t="str">
        <f>IF(A324="","",IF(IF(OR(DATE($B$3,10,10)&gt;EOMONTH(DATE($B$3,10,1),0),NETWORKDAYS.INTL(DATE($B$3,10,10),DATE($B$3,10,10),1,'Non-working days'!$A$6:$A$45)=0),"",IF(COUNTIFS('Leave log'!$A$7:$A$306,Employees!$A$17,'Leave log'!$B$7:$B$306,"&lt;="&amp;DATE($B$3,10,10),'Leave log'!$C$7:$C$306,"&gt;="&amp;DATE($B$3,10,10),'Leave log'!$F$7:$F$306,"Approved")&gt;0,"A",""))="A","A",IF(OR(DATE($B$3,10,10)&gt;EOMONTH(DATE($B$3,10,1),0),NETWORKDAYS.INTL(DATE($B$3,10,10),DATE($B$3,10,10),1,'Non-working days'!$A$6:$A$45)=0),"",IF(COUNTIFS('Leave log'!$A$7:$A$306,Employees!$A$17,'Leave log'!$B$7:$B$306,"&lt;="&amp;DATE($B$3,10,10),'Leave log'!$C$7:$C$306,"&gt;="&amp;DATE($B$3,10,10),'Leave log'!$F$7:$F$306,"Pending")&gt;0,"P",""))))</f>
        <v/>
      </c>
      <c r="L324" s="23" t="str">
        <f>IF(A324="","",IF(IF(OR(DATE($B$3,10,11)&gt;EOMONTH(DATE($B$3,10,1),0),NETWORKDAYS.INTL(DATE($B$3,10,11),DATE($B$3,10,11),1,'Non-working days'!$A$6:$A$45)=0),"",IF(COUNTIFS('Leave log'!$A$7:$A$306,Employees!$A$17,'Leave log'!$B$7:$B$306,"&lt;="&amp;DATE($B$3,10,11),'Leave log'!$C$7:$C$306,"&gt;="&amp;DATE($B$3,10,11),'Leave log'!$F$7:$F$306,"Approved")&gt;0,"A",""))="A","A",IF(OR(DATE($B$3,10,11)&gt;EOMONTH(DATE($B$3,10,1),0),NETWORKDAYS.INTL(DATE($B$3,10,11),DATE($B$3,10,11),1,'Non-working days'!$A$6:$A$45)=0),"",IF(COUNTIFS('Leave log'!$A$7:$A$306,Employees!$A$17,'Leave log'!$B$7:$B$306,"&lt;="&amp;DATE($B$3,10,11),'Leave log'!$C$7:$C$306,"&gt;="&amp;DATE($B$3,10,11),'Leave log'!$F$7:$F$306,"Pending")&gt;0,"P",""))))</f>
        <v/>
      </c>
      <c r="M324" s="23" t="str">
        <f>IF(A324="","",IF(IF(OR(DATE($B$3,10,12)&gt;EOMONTH(DATE($B$3,10,1),0),NETWORKDAYS.INTL(DATE($B$3,10,12),DATE($B$3,10,12),1,'Non-working days'!$A$6:$A$45)=0),"",IF(COUNTIFS('Leave log'!$A$7:$A$306,Employees!$A$17,'Leave log'!$B$7:$B$306,"&lt;="&amp;DATE($B$3,10,12),'Leave log'!$C$7:$C$306,"&gt;="&amp;DATE($B$3,10,12),'Leave log'!$F$7:$F$306,"Approved")&gt;0,"A",""))="A","A",IF(OR(DATE($B$3,10,12)&gt;EOMONTH(DATE($B$3,10,1),0),NETWORKDAYS.INTL(DATE($B$3,10,12),DATE($B$3,10,12),1,'Non-working days'!$A$6:$A$45)=0),"",IF(COUNTIFS('Leave log'!$A$7:$A$306,Employees!$A$17,'Leave log'!$B$7:$B$306,"&lt;="&amp;DATE($B$3,10,12),'Leave log'!$C$7:$C$306,"&gt;="&amp;DATE($B$3,10,12),'Leave log'!$F$7:$F$306,"Pending")&gt;0,"P",""))))</f>
        <v/>
      </c>
      <c r="N324" s="23" t="str">
        <f>IF(A324="","",IF(IF(OR(DATE($B$3,10,13)&gt;EOMONTH(DATE($B$3,10,1),0),NETWORKDAYS.INTL(DATE($B$3,10,13),DATE($B$3,10,13),1,'Non-working days'!$A$6:$A$45)=0),"",IF(COUNTIFS('Leave log'!$A$7:$A$306,Employees!$A$17,'Leave log'!$B$7:$B$306,"&lt;="&amp;DATE($B$3,10,13),'Leave log'!$C$7:$C$306,"&gt;="&amp;DATE($B$3,10,13),'Leave log'!$F$7:$F$306,"Approved")&gt;0,"A",""))="A","A",IF(OR(DATE($B$3,10,13)&gt;EOMONTH(DATE($B$3,10,1),0),NETWORKDAYS.INTL(DATE($B$3,10,13),DATE($B$3,10,13),1,'Non-working days'!$A$6:$A$45)=0),"",IF(COUNTIFS('Leave log'!$A$7:$A$306,Employees!$A$17,'Leave log'!$B$7:$B$306,"&lt;="&amp;DATE($B$3,10,13),'Leave log'!$C$7:$C$306,"&gt;="&amp;DATE($B$3,10,13),'Leave log'!$F$7:$F$306,"Pending")&gt;0,"P",""))))</f>
        <v/>
      </c>
      <c r="O324" s="23" t="str">
        <f>IF(A324="","",IF(IF(OR(DATE($B$3,10,14)&gt;EOMONTH(DATE($B$3,10,1),0),NETWORKDAYS.INTL(DATE($B$3,10,14),DATE($B$3,10,14),1,'Non-working days'!$A$6:$A$45)=0),"",IF(COUNTIFS('Leave log'!$A$7:$A$306,Employees!$A$17,'Leave log'!$B$7:$B$306,"&lt;="&amp;DATE($B$3,10,14),'Leave log'!$C$7:$C$306,"&gt;="&amp;DATE($B$3,10,14),'Leave log'!$F$7:$F$306,"Approved")&gt;0,"A",""))="A","A",IF(OR(DATE($B$3,10,14)&gt;EOMONTH(DATE($B$3,10,1),0),NETWORKDAYS.INTL(DATE($B$3,10,14),DATE($B$3,10,14),1,'Non-working days'!$A$6:$A$45)=0),"",IF(COUNTIFS('Leave log'!$A$7:$A$306,Employees!$A$17,'Leave log'!$B$7:$B$306,"&lt;="&amp;DATE($B$3,10,14),'Leave log'!$C$7:$C$306,"&gt;="&amp;DATE($B$3,10,14),'Leave log'!$F$7:$F$306,"Pending")&gt;0,"P",""))))</f>
        <v/>
      </c>
      <c r="P324" s="23" t="str">
        <f>IF(A324="","",IF(IF(OR(DATE($B$3,10,15)&gt;EOMONTH(DATE($B$3,10,1),0),NETWORKDAYS.INTL(DATE($B$3,10,15),DATE($B$3,10,15),1,'Non-working days'!$A$6:$A$45)=0),"",IF(COUNTIFS('Leave log'!$A$7:$A$306,Employees!$A$17,'Leave log'!$B$7:$B$306,"&lt;="&amp;DATE($B$3,10,15),'Leave log'!$C$7:$C$306,"&gt;="&amp;DATE($B$3,10,15),'Leave log'!$F$7:$F$306,"Approved")&gt;0,"A",""))="A","A",IF(OR(DATE($B$3,10,15)&gt;EOMONTH(DATE($B$3,10,1),0),NETWORKDAYS.INTL(DATE($B$3,10,15),DATE($B$3,10,15),1,'Non-working days'!$A$6:$A$45)=0),"",IF(COUNTIFS('Leave log'!$A$7:$A$306,Employees!$A$17,'Leave log'!$B$7:$B$306,"&lt;="&amp;DATE($B$3,10,15),'Leave log'!$C$7:$C$306,"&gt;="&amp;DATE($B$3,10,15),'Leave log'!$F$7:$F$306,"Pending")&gt;0,"P",""))))</f>
        <v/>
      </c>
      <c r="Q324" s="23" t="str">
        <f>IF(A324="","",IF(IF(OR(DATE($B$3,10,16)&gt;EOMONTH(DATE($B$3,10,1),0),NETWORKDAYS.INTL(DATE($B$3,10,16),DATE($B$3,10,16),1,'Non-working days'!$A$6:$A$45)=0),"",IF(COUNTIFS('Leave log'!$A$7:$A$306,Employees!$A$17,'Leave log'!$B$7:$B$306,"&lt;="&amp;DATE($B$3,10,16),'Leave log'!$C$7:$C$306,"&gt;="&amp;DATE($B$3,10,16),'Leave log'!$F$7:$F$306,"Approved")&gt;0,"A",""))="A","A",IF(OR(DATE($B$3,10,16)&gt;EOMONTH(DATE($B$3,10,1),0),NETWORKDAYS.INTL(DATE($B$3,10,16),DATE($B$3,10,16),1,'Non-working days'!$A$6:$A$45)=0),"",IF(COUNTIFS('Leave log'!$A$7:$A$306,Employees!$A$17,'Leave log'!$B$7:$B$306,"&lt;="&amp;DATE($B$3,10,16),'Leave log'!$C$7:$C$306,"&gt;="&amp;DATE($B$3,10,16),'Leave log'!$F$7:$F$306,"Pending")&gt;0,"P",""))))</f>
        <v/>
      </c>
      <c r="R324" s="23" t="str">
        <f>IF(A324="","",IF(IF(OR(DATE($B$3,10,17)&gt;EOMONTH(DATE($B$3,10,1),0),NETWORKDAYS.INTL(DATE($B$3,10,17),DATE($B$3,10,17),1,'Non-working days'!$A$6:$A$45)=0),"",IF(COUNTIFS('Leave log'!$A$7:$A$306,Employees!$A$17,'Leave log'!$B$7:$B$306,"&lt;="&amp;DATE($B$3,10,17),'Leave log'!$C$7:$C$306,"&gt;="&amp;DATE($B$3,10,17),'Leave log'!$F$7:$F$306,"Approved")&gt;0,"A",""))="A","A",IF(OR(DATE($B$3,10,17)&gt;EOMONTH(DATE($B$3,10,1),0),NETWORKDAYS.INTL(DATE($B$3,10,17),DATE($B$3,10,17),1,'Non-working days'!$A$6:$A$45)=0),"",IF(COUNTIFS('Leave log'!$A$7:$A$306,Employees!$A$17,'Leave log'!$B$7:$B$306,"&lt;="&amp;DATE($B$3,10,17),'Leave log'!$C$7:$C$306,"&gt;="&amp;DATE($B$3,10,17),'Leave log'!$F$7:$F$306,"Pending")&gt;0,"P",""))))</f>
        <v/>
      </c>
      <c r="S324" s="23" t="str">
        <f>IF(A324="","",IF(IF(OR(DATE($B$3,10,18)&gt;EOMONTH(DATE($B$3,10,1),0),NETWORKDAYS.INTL(DATE($B$3,10,18),DATE($B$3,10,18),1,'Non-working days'!$A$6:$A$45)=0),"",IF(COUNTIFS('Leave log'!$A$7:$A$306,Employees!$A$17,'Leave log'!$B$7:$B$306,"&lt;="&amp;DATE($B$3,10,18),'Leave log'!$C$7:$C$306,"&gt;="&amp;DATE($B$3,10,18),'Leave log'!$F$7:$F$306,"Approved")&gt;0,"A",""))="A","A",IF(OR(DATE($B$3,10,18)&gt;EOMONTH(DATE($B$3,10,1),0),NETWORKDAYS.INTL(DATE($B$3,10,18),DATE($B$3,10,18),1,'Non-working days'!$A$6:$A$45)=0),"",IF(COUNTIFS('Leave log'!$A$7:$A$306,Employees!$A$17,'Leave log'!$B$7:$B$306,"&lt;="&amp;DATE($B$3,10,18),'Leave log'!$C$7:$C$306,"&gt;="&amp;DATE($B$3,10,18),'Leave log'!$F$7:$F$306,"Pending")&gt;0,"P",""))))</f>
        <v/>
      </c>
      <c r="T324" s="23" t="str">
        <f>IF(A324="","",IF(IF(OR(DATE($B$3,10,19)&gt;EOMONTH(DATE($B$3,10,1),0),NETWORKDAYS.INTL(DATE($B$3,10,19),DATE($B$3,10,19),1,'Non-working days'!$A$6:$A$45)=0),"",IF(COUNTIFS('Leave log'!$A$7:$A$306,Employees!$A$17,'Leave log'!$B$7:$B$306,"&lt;="&amp;DATE($B$3,10,19),'Leave log'!$C$7:$C$306,"&gt;="&amp;DATE($B$3,10,19),'Leave log'!$F$7:$F$306,"Approved")&gt;0,"A",""))="A","A",IF(OR(DATE($B$3,10,19)&gt;EOMONTH(DATE($B$3,10,1),0),NETWORKDAYS.INTL(DATE($B$3,10,19),DATE($B$3,10,19),1,'Non-working days'!$A$6:$A$45)=0),"",IF(COUNTIFS('Leave log'!$A$7:$A$306,Employees!$A$17,'Leave log'!$B$7:$B$306,"&lt;="&amp;DATE($B$3,10,19),'Leave log'!$C$7:$C$306,"&gt;="&amp;DATE($B$3,10,19),'Leave log'!$F$7:$F$306,"Pending")&gt;0,"P",""))))</f>
        <v/>
      </c>
      <c r="U324" s="23" t="str">
        <f>IF(A324="","",IF(IF(OR(DATE($B$3,10,20)&gt;EOMONTH(DATE($B$3,10,1),0),NETWORKDAYS.INTL(DATE($B$3,10,20),DATE($B$3,10,20),1,'Non-working days'!$A$6:$A$45)=0),"",IF(COUNTIFS('Leave log'!$A$7:$A$306,Employees!$A$17,'Leave log'!$B$7:$B$306,"&lt;="&amp;DATE($B$3,10,20),'Leave log'!$C$7:$C$306,"&gt;="&amp;DATE($B$3,10,20),'Leave log'!$F$7:$F$306,"Approved")&gt;0,"A",""))="A","A",IF(OR(DATE($B$3,10,20)&gt;EOMONTH(DATE($B$3,10,1),0),NETWORKDAYS.INTL(DATE($B$3,10,20),DATE($B$3,10,20),1,'Non-working days'!$A$6:$A$45)=0),"",IF(COUNTIFS('Leave log'!$A$7:$A$306,Employees!$A$17,'Leave log'!$B$7:$B$306,"&lt;="&amp;DATE($B$3,10,20),'Leave log'!$C$7:$C$306,"&gt;="&amp;DATE($B$3,10,20),'Leave log'!$F$7:$F$306,"Pending")&gt;0,"P",""))))</f>
        <v/>
      </c>
      <c r="V324" s="23" t="str">
        <f>IF(A324="","",IF(IF(OR(DATE($B$3,10,21)&gt;EOMONTH(DATE($B$3,10,1),0),NETWORKDAYS.INTL(DATE($B$3,10,21),DATE($B$3,10,21),1,'Non-working days'!$A$6:$A$45)=0),"",IF(COUNTIFS('Leave log'!$A$7:$A$306,Employees!$A$17,'Leave log'!$B$7:$B$306,"&lt;="&amp;DATE($B$3,10,21),'Leave log'!$C$7:$C$306,"&gt;="&amp;DATE($B$3,10,21),'Leave log'!$F$7:$F$306,"Approved")&gt;0,"A",""))="A","A",IF(OR(DATE($B$3,10,21)&gt;EOMONTH(DATE($B$3,10,1),0),NETWORKDAYS.INTL(DATE($B$3,10,21),DATE($B$3,10,21),1,'Non-working days'!$A$6:$A$45)=0),"",IF(COUNTIFS('Leave log'!$A$7:$A$306,Employees!$A$17,'Leave log'!$B$7:$B$306,"&lt;="&amp;DATE($B$3,10,21),'Leave log'!$C$7:$C$306,"&gt;="&amp;DATE($B$3,10,21),'Leave log'!$F$7:$F$306,"Pending")&gt;0,"P",""))))</f>
        <v/>
      </c>
      <c r="W324" s="23" t="str">
        <f>IF(A324="","",IF(IF(OR(DATE($B$3,10,22)&gt;EOMONTH(DATE($B$3,10,1),0),NETWORKDAYS.INTL(DATE($B$3,10,22),DATE($B$3,10,22),1,'Non-working days'!$A$6:$A$45)=0),"",IF(COUNTIFS('Leave log'!$A$7:$A$306,Employees!$A$17,'Leave log'!$B$7:$B$306,"&lt;="&amp;DATE($B$3,10,22),'Leave log'!$C$7:$C$306,"&gt;="&amp;DATE($B$3,10,22),'Leave log'!$F$7:$F$306,"Approved")&gt;0,"A",""))="A","A",IF(OR(DATE($B$3,10,22)&gt;EOMONTH(DATE($B$3,10,1),0),NETWORKDAYS.INTL(DATE($B$3,10,22),DATE($B$3,10,22),1,'Non-working days'!$A$6:$A$45)=0),"",IF(COUNTIFS('Leave log'!$A$7:$A$306,Employees!$A$17,'Leave log'!$B$7:$B$306,"&lt;="&amp;DATE($B$3,10,22),'Leave log'!$C$7:$C$306,"&gt;="&amp;DATE($B$3,10,22),'Leave log'!$F$7:$F$306,"Pending")&gt;0,"P",""))))</f>
        <v/>
      </c>
      <c r="X324" s="23" t="str">
        <f>IF(A324="","",IF(IF(OR(DATE($B$3,10,23)&gt;EOMONTH(DATE($B$3,10,1),0),NETWORKDAYS.INTL(DATE($B$3,10,23),DATE($B$3,10,23),1,'Non-working days'!$A$6:$A$45)=0),"",IF(COUNTIFS('Leave log'!$A$7:$A$306,Employees!$A$17,'Leave log'!$B$7:$B$306,"&lt;="&amp;DATE($B$3,10,23),'Leave log'!$C$7:$C$306,"&gt;="&amp;DATE($B$3,10,23),'Leave log'!$F$7:$F$306,"Approved")&gt;0,"A",""))="A","A",IF(OR(DATE($B$3,10,23)&gt;EOMONTH(DATE($B$3,10,1),0),NETWORKDAYS.INTL(DATE($B$3,10,23),DATE($B$3,10,23),1,'Non-working days'!$A$6:$A$45)=0),"",IF(COUNTIFS('Leave log'!$A$7:$A$306,Employees!$A$17,'Leave log'!$B$7:$B$306,"&lt;="&amp;DATE($B$3,10,23),'Leave log'!$C$7:$C$306,"&gt;="&amp;DATE($B$3,10,23),'Leave log'!$F$7:$F$306,"Pending")&gt;0,"P",""))))</f>
        <v/>
      </c>
      <c r="Y324" s="23" t="str">
        <f>IF(A324="","",IF(IF(OR(DATE($B$3,10,24)&gt;EOMONTH(DATE($B$3,10,1),0),NETWORKDAYS.INTL(DATE($B$3,10,24),DATE($B$3,10,24),1,'Non-working days'!$A$6:$A$45)=0),"",IF(COUNTIFS('Leave log'!$A$7:$A$306,Employees!$A$17,'Leave log'!$B$7:$B$306,"&lt;="&amp;DATE($B$3,10,24),'Leave log'!$C$7:$C$306,"&gt;="&amp;DATE($B$3,10,24),'Leave log'!$F$7:$F$306,"Approved")&gt;0,"A",""))="A","A",IF(OR(DATE($B$3,10,24)&gt;EOMONTH(DATE($B$3,10,1),0),NETWORKDAYS.INTL(DATE($B$3,10,24),DATE($B$3,10,24),1,'Non-working days'!$A$6:$A$45)=0),"",IF(COUNTIFS('Leave log'!$A$7:$A$306,Employees!$A$17,'Leave log'!$B$7:$B$306,"&lt;="&amp;DATE($B$3,10,24),'Leave log'!$C$7:$C$306,"&gt;="&amp;DATE($B$3,10,24),'Leave log'!$F$7:$F$306,"Pending")&gt;0,"P",""))))</f>
        <v/>
      </c>
      <c r="Z324" s="23" t="str">
        <f>IF(A324="","",IF(IF(OR(DATE($B$3,10,25)&gt;EOMONTH(DATE($B$3,10,1),0),NETWORKDAYS.INTL(DATE($B$3,10,25),DATE($B$3,10,25),1,'Non-working days'!$A$6:$A$45)=0),"",IF(COUNTIFS('Leave log'!$A$7:$A$306,Employees!$A$17,'Leave log'!$B$7:$B$306,"&lt;="&amp;DATE($B$3,10,25),'Leave log'!$C$7:$C$306,"&gt;="&amp;DATE($B$3,10,25),'Leave log'!$F$7:$F$306,"Approved")&gt;0,"A",""))="A","A",IF(OR(DATE($B$3,10,25)&gt;EOMONTH(DATE($B$3,10,1),0),NETWORKDAYS.INTL(DATE($B$3,10,25),DATE($B$3,10,25),1,'Non-working days'!$A$6:$A$45)=0),"",IF(COUNTIFS('Leave log'!$A$7:$A$306,Employees!$A$17,'Leave log'!$B$7:$B$306,"&lt;="&amp;DATE($B$3,10,25),'Leave log'!$C$7:$C$306,"&gt;="&amp;DATE($B$3,10,25),'Leave log'!$F$7:$F$306,"Pending")&gt;0,"P",""))))</f>
        <v/>
      </c>
      <c r="AA324" s="23" t="str">
        <f>IF(A324="","",IF(IF(OR(DATE($B$3,10,26)&gt;EOMONTH(DATE($B$3,10,1),0),NETWORKDAYS.INTL(DATE($B$3,10,26),DATE($B$3,10,26),1,'Non-working days'!$A$6:$A$45)=0),"",IF(COUNTIFS('Leave log'!$A$7:$A$306,Employees!$A$17,'Leave log'!$B$7:$B$306,"&lt;="&amp;DATE($B$3,10,26),'Leave log'!$C$7:$C$306,"&gt;="&amp;DATE($B$3,10,26),'Leave log'!$F$7:$F$306,"Approved")&gt;0,"A",""))="A","A",IF(OR(DATE($B$3,10,26)&gt;EOMONTH(DATE($B$3,10,1),0),NETWORKDAYS.INTL(DATE($B$3,10,26),DATE($B$3,10,26),1,'Non-working days'!$A$6:$A$45)=0),"",IF(COUNTIFS('Leave log'!$A$7:$A$306,Employees!$A$17,'Leave log'!$B$7:$B$306,"&lt;="&amp;DATE($B$3,10,26),'Leave log'!$C$7:$C$306,"&gt;="&amp;DATE($B$3,10,26),'Leave log'!$F$7:$F$306,"Pending")&gt;0,"P",""))))</f>
        <v/>
      </c>
      <c r="AB324" s="23" t="str">
        <f>IF(A324="","",IF(IF(OR(DATE($B$3,10,27)&gt;EOMONTH(DATE($B$3,10,1),0),NETWORKDAYS.INTL(DATE($B$3,10,27),DATE($B$3,10,27),1,'Non-working days'!$A$6:$A$45)=0),"",IF(COUNTIFS('Leave log'!$A$7:$A$306,Employees!$A$17,'Leave log'!$B$7:$B$306,"&lt;="&amp;DATE($B$3,10,27),'Leave log'!$C$7:$C$306,"&gt;="&amp;DATE($B$3,10,27),'Leave log'!$F$7:$F$306,"Approved")&gt;0,"A",""))="A","A",IF(OR(DATE($B$3,10,27)&gt;EOMONTH(DATE($B$3,10,1),0),NETWORKDAYS.INTL(DATE($B$3,10,27),DATE($B$3,10,27),1,'Non-working days'!$A$6:$A$45)=0),"",IF(COUNTIFS('Leave log'!$A$7:$A$306,Employees!$A$17,'Leave log'!$B$7:$B$306,"&lt;="&amp;DATE($B$3,10,27),'Leave log'!$C$7:$C$306,"&gt;="&amp;DATE($B$3,10,27),'Leave log'!$F$7:$F$306,"Pending")&gt;0,"P",""))))</f>
        <v/>
      </c>
      <c r="AC324" s="23" t="str">
        <f>IF(A324="","",IF(IF(OR(DATE($B$3,10,28)&gt;EOMONTH(DATE($B$3,10,1),0),NETWORKDAYS.INTL(DATE($B$3,10,28),DATE($B$3,10,28),1,'Non-working days'!$A$6:$A$45)=0),"",IF(COUNTIFS('Leave log'!$A$7:$A$306,Employees!$A$17,'Leave log'!$B$7:$B$306,"&lt;="&amp;DATE($B$3,10,28),'Leave log'!$C$7:$C$306,"&gt;="&amp;DATE($B$3,10,28),'Leave log'!$F$7:$F$306,"Approved")&gt;0,"A",""))="A","A",IF(OR(DATE($B$3,10,28)&gt;EOMONTH(DATE($B$3,10,1),0),NETWORKDAYS.INTL(DATE($B$3,10,28),DATE($B$3,10,28),1,'Non-working days'!$A$6:$A$45)=0),"",IF(COUNTIFS('Leave log'!$A$7:$A$306,Employees!$A$17,'Leave log'!$B$7:$B$306,"&lt;="&amp;DATE($B$3,10,28),'Leave log'!$C$7:$C$306,"&gt;="&amp;DATE($B$3,10,28),'Leave log'!$F$7:$F$306,"Pending")&gt;0,"P",""))))</f>
        <v/>
      </c>
      <c r="AD324" s="23" t="str">
        <f>IF(A324="","",IF(IF(OR(DATE($B$3,10,29)&gt;EOMONTH(DATE($B$3,10,1),0),NETWORKDAYS.INTL(DATE($B$3,10,29),DATE($B$3,10,29),1,'Non-working days'!$A$6:$A$45)=0),"",IF(COUNTIFS('Leave log'!$A$7:$A$306,Employees!$A$17,'Leave log'!$B$7:$B$306,"&lt;="&amp;DATE($B$3,10,29),'Leave log'!$C$7:$C$306,"&gt;="&amp;DATE($B$3,10,29),'Leave log'!$F$7:$F$306,"Approved")&gt;0,"A",""))="A","A",IF(OR(DATE($B$3,10,29)&gt;EOMONTH(DATE($B$3,10,1),0),NETWORKDAYS.INTL(DATE($B$3,10,29),DATE($B$3,10,29),1,'Non-working days'!$A$6:$A$45)=0),"",IF(COUNTIFS('Leave log'!$A$7:$A$306,Employees!$A$17,'Leave log'!$B$7:$B$306,"&lt;="&amp;DATE($B$3,10,29),'Leave log'!$C$7:$C$306,"&gt;="&amp;DATE($B$3,10,29),'Leave log'!$F$7:$F$306,"Pending")&gt;0,"P",""))))</f>
        <v/>
      </c>
      <c r="AE324" s="23" t="str">
        <f>IF(A324="","",IF(IF(OR(DATE($B$3,10,30)&gt;EOMONTH(DATE($B$3,10,1),0),NETWORKDAYS.INTL(DATE($B$3,10,30),DATE($B$3,10,30),1,'Non-working days'!$A$6:$A$45)=0),"",IF(COUNTIFS('Leave log'!$A$7:$A$306,Employees!$A$17,'Leave log'!$B$7:$B$306,"&lt;="&amp;DATE($B$3,10,30),'Leave log'!$C$7:$C$306,"&gt;="&amp;DATE($B$3,10,30),'Leave log'!$F$7:$F$306,"Approved")&gt;0,"A",""))="A","A",IF(OR(DATE($B$3,10,30)&gt;EOMONTH(DATE($B$3,10,1),0),NETWORKDAYS.INTL(DATE($B$3,10,30),DATE($B$3,10,30),1,'Non-working days'!$A$6:$A$45)=0),"",IF(COUNTIFS('Leave log'!$A$7:$A$306,Employees!$A$17,'Leave log'!$B$7:$B$306,"&lt;="&amp;DATE($B$3,10,30),'Leave log'!$C$7:$C$306,"&gt;="&amp;DATE($B$3,10,30),'Leave log'!$F$7:$F$306,"Pending")&gt;0,"P",""))))</f>
        <v/>
      </c>
      <c r="AF324" s="23" t="str">
        <f>IF(A324="","",IF(IF(OR(DATE($B$3,10,31)&gt;EOMONTH(DATE($B$3,10,1),0),NETWORKDAYS.INTL(DATE($B$3,10,31),DATE($B$3,10,31),1,'Non-working days'!$A$6:$A$45)=0),"",IF(COUNTIFS('Leave log'!$A$7:$A$306,Employees!$A$17,'Leave log'!$B$7:$B$306,"&lt;="&amp;DATE($B$3,10,31),'Leave log'!$C$7:$C$306,"&gt;="&amp;DATE($B$3,10,31),'Leave log'!$F$7:$F$306,"Approved")&gt;0,"A",""))="A","A",IF(OR(DATE($B$3,10,31)&gt;EOMONTH(DATE($B$3,10,1),0),NETWORKDAYS.INTL(DATE($B$3,10,31),DATE($B$3,10,31),1,'Non-working days'!$A$6:$A$45)=0),"",IF(COUNTIFS('Leave log'!$A$7:$A$306,Employees!$A$17,'Leave log'!$B$7:$B$306,"&lt;="&amp;DATE($B$3,10,31),'Leave log'!$C$7:$C$306,"&gt;="&amp;DATE($B$3,10,31),'Leave log'!$F$7:$F$306,"Pending")&gt;0,"P",""))))</f>
        <v/>
      </c>
    </row>
    <row r="325" spans="1:32" ht="18" customHeight="1" x14ac:dyDescent="0.3">
      <c r="A325" s="22" t="str">
        <f>IF(Employees!F18="Yes",Employees!B18,"")</f>
        <v/>
      </c>
      <c r="B325" s="23" t="str">
        <f>IF(A325="","",IF(IF(OR(DATE($B$3,10,1)&gt;EOMONTH(DATE($B$3,10,1),0),NETWORKDAYS.INTL(DATE($B$3,10,1),DATE($B$3,10,1),1,'Non-working days'!$A$6:$A$45)=0),"",IF(COUNTIFS('Leave log'!$A$7:$A$306,Employees!$A$18,'Leave log'!$B$7:$B$306,"&lt;="&amp;DATE($B$3,10,1),'Leave log'!$C$7:$C$306,"&gt;="&amp;DATE($B$3,10,1),'Leave log'!$F$7:$F$306,"Approved")&gt;0,"A",""))="A","A",IF(OR(DATE($B$3,10,1)&gt;EOMONTH(DATE($B$3,10,1),0),NETWORKDAYS.INTL(DATE($B$3,10,1),DATE($B$3,10,1),1,'Non-working days'!$A$6:$A$45)=0),"",IF(COUNTIFS('Leave log'!$A$7:$A$306,Employees!$A$18,'Leave log'!$B$7:$B$306,"&lt;="&amp;DATE($B$3,10,1),'Leave log'!$C$7:$C$306,"&gt;="&amp;DATE($B$3,10,1),'Leave log'!$F$7:$F$306,"Pending")&gt;0,"P",""))))</f>
        <v/>
      </c>
      <c r="C325" s="23" t="str">
        <f>IF(A325="","",IF(IF(OR(DATE($B$3,10,2)&gt;EOMONTH(DATE($B$3,10,1),0),NETWORKDAYS.INTL(DATE($B$3,10,2),DATE($B$3,10,2),1,'Non-working days'!$A$6:$A$45)=0),"",IF(COUNTIFS('Leave log'!$A$7:$A$306,Employees!$A$18,'Leave log'!$B$7:$B$306,"&lt;="&amp;DATE($B$3,10,2),'Leave log'!$C$7:$C$306,"&gt;="&amp;DATE($B$3,10,2),'Leave log'!$F$7:$F$306,"Approved")&gt;0,"A",""))="A","A",IF(OR(DATE($B$3,10,2)&gt;EOMONTH(DATE($B$3,10,1),0),NETWORKDAYS.INTL(DATE($B$3,10,2),DATE($B$3,10,2),1,'Non-working days'!$A$6:$A$45)=0),"",IF(COUNTIFS('Leave log'!$A$7:$A$306,Employees!$A$18,'Leave log'!$B$7:$B$306,"&lt;="&amp;DATE($B$3,10,2),'Leave log'!$C$7:$C$306,"&gt;="&amp;DATE($B$3,10,2),'Leave log'!$F$7:$F$306,"Pending")&gt;0,"P",""))))</f>
        <v/>
      </c>
      <c r="D325" s="23" t="str">
        <f>IF(A325="","",IF(IF(OR(DATE($B$3,10,3)&gt;EOMONTH(DATE($B$3,10,1),0),NETWORKDAYS.INTL(DATE($B$3,10,3),DATE($B$3,10,3),1,'Non-working days'!$A$6:$A$45)=0),"",IF(COUNTIFS('Leave log'!$A$7:$A$306,Employees!$A$18,'Leave log'!$B$7:$B$306,"&lt;="&amp;DATE($B$3,10,3),'Leave log'!$C$7:$C$306,"&gt;="&amp;DATE($B$3,10,3),'Leave log'!$F$7:$F$306,"Approved")&gt;0,"A",""))="A","A",IF(OR(DATE($B$3,10,3)&gt;EOMONTH(DATE($B$3,10,1),0),NETWORKDAYS.INTL(DATE($B$3,10,3),DATE($B$3,10,3),1,'Non-working days'!$A$6:$A$45)=0),"",IF(COUNTIFS('Leave log'!$A$7:$A$306,Employees!$A$18,'Leave log'!$B$7:$B$306,"&lt;="&amp;DATE($B$3,10,3),'Leave log'!$C$7:$C$306,"&gt;="&amp;DATE($B$3,10,3),'Leave log'!$F$7:$F$306,"Pending")&gt;0,"P",""))))</f>
        <v/>
      </c>
      <c r="E325" s="23" t="str">
        <f>IF(A325="","",IF(IF(OR(DATE($B$3,10,4)&gt;EOMONTH(DATE($B$3,10,1),0),NETWORKDAYS.INTL(DATE($B$3,10,4),DATE($B$3,10,4),1,'Non-working days'!$A$6:$A$45)=0),"",IF(COUNTIFS('Leave log'!$A$7:$A$306,Employees!$A$18,'Leave log'!$B$7:$B$306,"&lt;="&amp;DATE($B$3,10,4),'Leave log'!$C$7:$C$306,"&gt;="&amp;DATE($B$3,10,4),'Leave log'!$F$7:$F$306,"Approved")&gt;0,"A",""))="A","A",IF(OR(DATE($B$3,10,4)&gt;EOMONTH(DATE($B$3,10,1),0),NETWORKDAYS.INTL(DATE($B$3,10,4),DATE($B$3,10,4),1,'Non-working days'!$A$6:$A$45)=0),"",IF(COUNTIFS('Leave log'!$A$7:$A$306,Employees!$A$18,'Leave log'!$B$7:$B$306,"&lt;="&amp;DATE($B$3,10,4),'Leave log'!$C$7:$C$306,"&gt;="&amp;DATE($B$3,10,4),'Leave log'!$F$7:$F$306,"Pending")&gt;0,"P",""))))</f>
        <v/>
      </c>
      <c r="F325" s="23" t="str">
        <f>IF(A325="","",IF(IF(OR(DATE($B$3,10,5)&gt;EOMONTH(DATE($B$3,10,1),0),NETWORKDAYS.INTL(DATE($B$3,10,5),DATE($B$3,10,5),1,'Non-working days'!$A$6:$A$45)=0),"",IF(COUNTIFS('Leave log'!$A$7:$A$306,Employees!$A$18,'Leave log'!$B$7:$B$306,"&lt;="&amp;DATE($B$3,10,5),'Leave log'!$C$7:$C$306,"&gt;="&amp;DATE($B$3,10,5),'Leave log'!$F$7:$F$306,"Approved")&gt;0,"A",""))="A","A",IF(OR(DATE($B$3,10,5)&gt;EOMONTH(DATE($B$3,10,1),0),NETWORKDAYS.INTL(DATE($B$3,10,5),DATE($B$3,10,5),1,'Non-working days'!$A$6:$A$45)=0),"",IF(COUNTIFS('Leave log'!$A$7:$A$306,Employees!$A$18,'Leave log'!$B$7:$B$306,"&lt;="&amp;DATE($B$3,10,5),'Leave log'!$C$7:$C$306,"&gt;="&amp;DATE($B$3,10,5),'Leave log'!$F$7:$F$306,"Pending")&gt;0,"P",""))))</f>
        <v/>
      </c>
      <c r="G325" s="23" t="str">
        <f>IF(A325="","",IF(IF(OR(DATE($B$3,10,6)&gt;EOMONTH(DATE($B$3,10,1),0),NETWORKDAYS.INTL(DATE($B$3,10,6),DATE($B$3,10,6),1,'Non-working days'!$A$6:$A$45)=0),"",IF(COUNTIFS('Leave log'!$A$7:$A$306,Employees!$A$18,'Leave log'!$B$7:$B$306,"&lt;="&amp;DATE($B$3,10,6),'Leave log'!$C$7:$C$306,"&gt;="&amp;DATE($B$3,10,6),'Leave log'!$F$7:$F$306,"Approved")&gt;0,"A",""))="A","A",IF(OR(DATE($B$3,10,6)&gt;EOMONTH(DATE($B$3,10,1),0),NETWORKDAYS.INTL(DATE($B$3,10,6),DATE($B$3,10,6),1,'Non-working days'!$A$6:$A$45)=0),"",IF(COUNTIFS('Leave log'!$A$7:$A$306,Employees!$A$18,'Leave log'!$B$7:$B$306,"&lt;="&amp;DATE($B$3,10,6),'Leave log'!$C$7:$C$306,"&gt;="&amp;DATE($B$3,10,6),'Leave log'!$F$7:$F$306,"Pending")&gt;0,"P",""))))</f>
        <v/>
      </c>
      <c r="H325" s="23" t="str">
        <f>IF(A325="","",IF(IF(OR(DATE($B$3,10,7)&gt;EOMONTH(DATE($B$3,10,1),0),NETWORKDAYS.INTL(DATE($B$3,10,7),DATE($B$3,10,7),1,'Non-working days'!$A$6:$A$45)=0),"",IF(COUNTIFS('Leave log'!$A$7:$A$306,Employees!$A$18,'Leave log'!$B$7:$B$306,"&lt;="&amp;DATE($B$3,10,7),'Leave log'!$C$7:$C$306,"&gt;="&amp;DATE($B$3,10,7),'Leave log'!$F$7:$F$306,"Approved")&gt;0,"A",""))="A","A",IF(OR(DATE($B$3,10,7)&gt;EOMONTH(DATE($B$3,10,1),0),NETWORKDAYS.INTL(DATE($B$3,10,7),DATE($B$3,10,7),1,'Non-working days'!$A$6:$A$45)=0),"",IF(COUNTIFS('Leave log'!$A$7:$A$306,Employees!$A$18,'Leave log'!$B$7:$B$306,"&lt;="&amp;DATE($B$3,10,7),'Leave log'!$C$7:$C$306,"&gt;="&amp;DATE($B$3,10,7),'Leave log'!$F$7:$F$306,"Pending")&gt;0,"P",""))))</f>
        <v/>
      </c>
      <c r="I325" s="23" t="str">
        <f>IF(A325="","",IF(IF(OR(DATE($B$3,10,8)&gt;EOMONTH(DATE($B$3,10,1),0),NETWORKDAYS.INTL(DATE($B$3,10,8),DATE($B$3,10,8),1,'Non-working days'!$A$6:$A$45)=0),"",IF(COUNTIFS('Leave log'!$A$7:$A$306,Employees!$A$18,'Leave log'!$B$7:$B$306,"&lt;="&amp;DATE($B$3,10,8),'Leave log'!$C$7:$C$306,"&gt;="&amp;DATE($B$3,10,8),'Leave log'!$F$7:$F$306,"Approved")&gt;0,"A",""))="A","A",IF(OR(DATE($B$3,10,8)&gt;EOMONTH(DATE($B$3,10,1),0),NETWORKDAYS.INTL(DATE($B$3,10,8),DATE($B$3,10,8),1,'Non-working days'!$A$6:$A$45)=0),"",IF(COUNTIFS('Leave log'!$A$7:$A$306,Employees!$A$18,'Leave log'!$B$7:$B$306,"&lt;="&amp;DATE($B$3,10,8),'Leave log'!$C$7:$C$306,"&gt;="&amp;DATE($B$3,10,8),'Leave log'!$F$7:$F$306,"Pending")&gt;0,"P",""))))</f>
        <v/>
      </c>
      <c r="J325" s="23" t="str">
        <f>IF(A325="","",IF(IF(OR(DATE($B$3,10,9)&gt;EOMONTH(DATE($B$3,10,1),0),NETWORKDAYS.INTL(DATE($B$3,10,9),DATE($B$3,10,9),1,'Non-working days'!$A$6:$A$45)=0),"",IF(COUNTIFS('Leave log'!$A$7:$A$306,Employees!$A$18,'Leave log'!$B$7:$B$306,"&lt;="&amp;DATE($B$3,10,9),'Leave log'!$C$7:$C$306,"&gt;="&amp;DATE($B$3,10,9),'Leave log'!$F$7:$F$306,"Approved")&gt;0,"A",""))="A","A",IF(OR(DATE($B$3,10,9)&gt;EOMONTH(DATE($B$3,10,1),0),NETWORKDAYS.INTL(DATE($B$3,10,9),DATE($B$3,10,9),1,'Non-working days'!$A$6:$A$45)=0),"",IF(COUNTIFS('Leave log'!$A$7:$A$306,Employees!$A$18,'Leave log'!$B$7:$B$306,"&lt;="&amp;DATE($B$3,10,9),'Leave log'!$C$7:$C$306,"&gt;="&amp;DATE($B$3,10,9),'Leave log'!$F$7:$F$306,"Pending")&gt;0,"P",""))))</f>
        <v/>
      </c>
      <c r="K325" s="23" t="str">
        <f>IF(A325="","",IF(IF(OR(DATE($B$3,10,10)&gt;EOMONTH(DATE($B$3,10,1),0),NETWORKDAYS.INTL(DATE($B$3,10,10),DATE($B$3,10,10),1,'Non-working days'!$A$6:$A$45)=0),"",IF(COUNTIFS('Leave log'!$A$7:$A$306,Employees!$A$18,'Leave log'!$B$7:$B$306,"&lt;="&amp;DATE($B$3,10,10),'Leave log'!$C$7:$C$306,"&gt;="&amp;DATE($B$3,10,10),'Leave log'!$F$7:$F$306,"Approved")&gt;0,"A",""))="A","A",IF(OR(DATE($B$3,10,10)&gt;EOMONTH(DATE($B$3,10,1),0),NETWORKDAYS.INTL(DATE($B$3,10,10),DATE($B$3,10,10),1,'Non-working days'!$A$6:$A$45)=0),"",IF(COUNTIFS('Leave log'!$A$7:$A$306,Employees!$A$18,'Leave log'!$B$7:$B$306,"&lt;="&amp;DATE($B$3,10,10),'Leave log'!$C$7:$C$306,"&gt;="&amp;DATE($B$3,10,10),'Leave log'!$F$7:$F$306,"Pending")&gt;0,"P",""))))</f>
        <v/>
      </c>
      <c r="L325" s="23" t="str">
        <f>IF(A325="","",IF(IF(OR(DATE($B$3,10,11)&gt;EOMONTH(DATE($B$3,10,1),0),NETWORKDAYS.INTL(DATE($B$3,10,11),DATE($B$3,10,11),1,'Non-working days'!$A$6:$A$45)=0),"",IF(COUNTIFS('Leave log'!$A$7:$A$306,Employees!$A$18,'Leave log'!$B$7:$B$306,"&lt;="&amp;DATE($B$3,10,11),'Leave log'!$C$7:$C$306,"&gt;="&amp;DATE($B$3,10,11),'Leave log'!$F$7:$F$306,"Approved")&gt;0,"A",""))="A","A",IF(OR(DATE($B$3,10,11)&gt;EOMONTH(DATE($B$3,10,1),0),NETWORKDAYS.INTL(DATE($B$3,10,11),DATE($B$3,10,11),1,'Non-working days'!$A$6:$A$45)=0),"",IF(COUNTIFS('Leave log'!$A$7:$A$306,Employees!$A$18,'Leave log'!$B$7:$B$306,"&lt;="&amp;DATE($B$3,10,11),'Leave log'!$C$7:$C$306,"&gt;="&amp;DATE($B$3,10,11),'Leave log'!$F$7:$F$306,"Pending")&gt;0,"P",""))))</f>
        <v/>
      </c>
      <c r="M325" s="23" t="str">
        <f>IF(A325="","",IF(IF(OR(DATE($B$3,10,12)&gt;EOMONTH(DATE($B$3,10,1),0),NETWORKDAYS.INTL(DATE($B$3,10,12),DATE($B$3,10,12),1,'Non-working days'!$A$6:$A$45)=0),"",IF(COUNTIFS('Leave log'!$A$7:$A$306,Employees!$A$18,'Leave log'!$B$7:$B$306,"&lt;="&amp;DATE($B$3,10,12),'Leave log'!$C$7:$C$306,"&gt;="&amp;DATE($B$3,10,12),'Leave log'!$F$7:$F$306,"Approved")&gt;0,"A",""))="A","A",IF(OR(DATE($B$3,10,12)&gt;EOMONTH(DATE($B$3,10,1),0),NETWORKDAYS.INTL(DATE($B$3,10,12),DATE($B$3,10,12),1,'Non-working days'!$A$6:$A$45)=0),"",IF(COUNTIFS('Leave log'!$A$7:$A$306,Employees!$A$18,'Leave log'!$B$7:$B$306,"&lt;="&amp;DATE($B$3,10,12),'Leave log'!$C$7:$C$306,"&gt;="&amp;DATE($B$3,10,12),'Leave log'!$F$7:$F$306,"Pending")&gt;0,"P",""))))</f>
        <v/>
      </c>
      <c r="N325" s="23" t="str">
        <f>IF(A325="","",IF(IF(OR(DATE($B$3,10,13)&gt;EOMONTH(DATE($B$3,10,1),0),NETWORKDAYS.INTL(DATE($B$3,10,13),DATE($B$3,10,13),1,'Non-working days'!$A$6:$A$45)=0),"",IF(COUNTIFS('Leave log'!$A$7:$A$306,Employees!$A$18,'Leave log'!$B$7:$B$306,"&lt;="&amp;DATE($B$3,10,13),'Leave log'!$C$7:$C$306,"&gt;="&amp;DATE($B$3,10,13),'Leave log'!$F$7:$F$306,"Approved")&gt;0,"A",""))="A","A",IF(OR(DATE($B$3,10,13)&gt;EOMONTH(DATE($B$3,10,1),0),NETWORKDAYS.INTL(DATE($B$3,10,13),DATE($B$3,10,13),1,'Non-working days'!$A$6:$A$45)=0),"",IF(COUNTIFS('Leave log'!$A$7:$A$306,Employees!$A$18,'Leave log'!$B$7:$B$306,"&lt;="&amp;DATE($B$3,10,13),'Leave log'!$C$7:$C$306,"&gt;="&amp;DATE($B$3,10,13),'Leave log'!$F$7:$F$306,"Pending")&gt;0,"P",""))))</f>
        <v/>
      </c>
      <c r="O325" s="23" t="str">
        <f>IF(A325="","",IF(IF(OR(DATE($B$3,10,14)&gt;EOMONTH(DATE($B$3,10,1),0),NETWORKDAYS.INTL(DATE($B$3,10,14),DATE($B$3,10,14),1,'Non-working days'!$A$6:$A$45)=0),"",IF(COUNTIFS('Leave log'!$A$7:$A$306,Employees!$A$18,'Leave log'!$B$7:$B$306,"&lt;="&amp;DATE($B$3,10,14),'Leave log'!$C$7:$C$306,"&gt;="&amp;DATE($B$3,10,14),'Leave log'!$F$7:$F$306,"Approved")&gt;0,"A",""))="A","A",IF(OR(DATE($B$3,10,14)&gt;EOMONTH(DATE($B$3,10,1),0),NETWORKDAYS.INTL(DATE($B$3,10,14),DATE($B$3,10,14),1,'Non-working days'!$A$6:$A$45)=0),"",IF(COUNTIFS('Leave log'!$A$7:$A$306,Employees!$A$18,'Leave log'!$B$7:$B$306,"&lt;="&amp;DATE($B$3,10,14),'Leave log'!$C$7:$C$306,"&gt;="&amp;DATE($B$3,10,14),'Leave log'!$F$7:$F$306,"Pending")&gt;0,"P",""))))</f>
        <v/>
      </c>
      <c r="P325" s="23" t="str">
        <f>IF(A325="","",IF(IF(OR(DATE($B$3,10,15)&gt;EOMONTH(DATE($B$3,10,1),0),NETWORKDAYS.INTL(DATE($B$3,10,15),DATE($B$3,10,15),1,'Non-working days'!$A$6:$A$45)=0),"",IF(COUNTIFS('Leave log'!$A$7:$A$306,Employees!$A$18,'Leave log'!$B$7:$B$306,"&lt;="&amp;DATE($B$3,10,15),'Leave log'!$C$7:$C$306,"&gt;="&amp;DATE($B$3,10,15),'Leave log'!$F$7:$F$306,"Approved")&gt;0,"A",""))="A","A",IF(OR(DATE($B$3,10,15)&gt;EOMONTH(DATE($B$3,10,1),0),NETWORKDAYS.INTL(DATE($B$3,10,15),DATE($B$3,10,15),1,'Non-working days'!$A$6:$A$45)=0),"",IF(COUNTIFS('Leave log'!$A$7:$A$306,Employees!$A$18,'Leave log'!$B$7:$B$306,"&lt;="&amp;DATE($B$3,10,15),'Leave log'!$C$7:$C$306,"&gt;="&amp;DATE($B$3,10,15),'Leave log'!$F$7:$F$306,"Pending")&gt;0,"P",""))))</f>
        <v/>
      </c>
      <c r="Q325" s="23" t="str">
        <f>IF(A325="","",IF(IF(OR(DATE($B$3,10,16)&gt;EOMONTH(DATE($B$3,10,1),0),NETWORKDAYS.INTL(DATE($B$3,10,16),DATE($B$3,10,16),1,'Non-working days'!$A$6:$A$45)=0),"",IF(COUNTIFS('Leave log'!$A$7:$A$306,Employees!$A$18,'Leave log'!$B$7:$B$306,"&lt;="&amp;DATE($B$3,10,16),'Leave log'!$C$7:$C$306,"&gt;="&amp;DATE($B$3,10,16),'Leave log'!$F$7:$F$306,"Approved")&gt;0,"A",""))="A","A",IF(OR(DATE($B$3,10,16)&gt;EOMONTH(DATE($B$3,10,1),0),NETWORKDAYS.INTL(DATE($B$3,10,16),DATE($B$3,10,16),1,'Non-working days'!$A$6:$A$45)=0),"",IF(COUNTIFS('Leave log'!$A$7:$A$306,Employees!$A$18,'Leave log'!$B$7:$B$306,"&lt;="&amp;DATE($B$3,10,16),'Leave log'!$C$7:$C$306,"&gt;="&amp;DATE($B$3,10,16),'Leave log'!$F$7:$F$306,"Pending")&gt;0,"P",""))))</f>
        <v/>
      </c>
      <c r="R325" s="23" t="str">
        <f>IF(A325="","",IF(IF(OR(DATE($B$3,10,17)&gt;EOMONTH(DATE($B$3,10,1),0),NETWORKDAYS.INTL(DATE($B$3,10,17),DATE($B$3,10,17),1,'Non-working days'!$A$6:$A$45)=0),"",IF(COUNTIFS('Leave log'!$A$7:$A$306,Employees!$A$18,'Leave log'!$B$7:$B$306,"&lt;="&amp;DATE($B$3,10,17),'Leave log'!$C$7:$C$306,"&gt;="&amp;DATE($B$3,10,17),'Leave log'!$F$7:$F$306,"Approved")&gt;0,"A",""))="A","A",IF(OR(DATE($B$3,10,17)&gt;EOMONTH(DATE($B$3,10,1),0),NETWORKDAYS.INTL(DATE($B$3,10,17),DATE($B$3,10,17),1,'Non-working days'!$A$6:$A$45)=0),"",IF(COUNTIFS('Leave log'!$A$7:$A$306,Employees!$A$18,'Leave log'!$B$7:$B$306,"&lt;="&amp;DATE($B$3,10,17),'Leave log'!$C$7:$C$306,"&gt;="&amp;DATE($B$3,10,17),'Leave log'!$F$7:$F$306,"Pending")&gt;0,"P",""))))</f>
        <v/>
      </c>
      <c r="S325" s="23" t="str">
        <f>IF(A325="","",IF(IF(OR(DATE($B$3,10,18)&gt;EOMONTH(DATE($B$3,10,1),0),NETWORKDAYS.INTL(DATE($B$3,10,18),DATE($B$3,10,18),1,'Non-working days'!$A$6:$A$45)=0),"",IF(COUNTIFS('Leave log'!$A$7:$A$306,Employees!$A$18,'Leave log'!$B$7:$B$306,"&lt;="&amp;DATE($B$3,10,18),'Leave log'!$C$7:$C$306,"&gt;="&amp;DATE($B$3,10,18),'Leave log'!$F$7:$F$306,"Approved")&gt;0,"A",""))="A","A",IF(OR(DATE($B$3,10,18)&gt;EOMONTH(DATE($B$3,10,1),0),NETWORKDAYS.INTL(DATE($B$3,10,18),DATE($B$3,10,18),1,'Non-working days'!$A$6:$A$45)=0),"",IF(COUNTIFS('Leave log'!$A$7:$A$306,Employees!$A$18,'Leave log'!$B$7:$B$306,"&lt;="&amp;DATE($B$3,10,18),'Leave log'!$C$7:$C$306,"&gt;="&amp;DATE($B$3,10,18),'Leave log'!$F$7:$F$306,"Pending")&gt;0,"P",""))))</f>
        <v/>
      </c>
      <c r="T325" s="23" t="str">
        <f>IF(A325="","",IF(IF(OR(DATE($B$3,10,19)&gt;EOMONTH(DATE($B$3,10,1),0),NETWORKDAYS.INTL(DATE($B$3,10,19),DATE($B$3,10,19),1,'Non-working days'!$A$6:$A$45)=0),"",IF(COUNTIFS('Leave log'!$A$7:$A$306,Employees!$A$18,'Leave log'!$B$7:$B$306,"&lt;="&amp;DATE($B$3,10,19),'Leave log'!$C$7:$C$306,"&gt;="&amp;DATE($B$3,10,19),'Leave log'!$F$7:$F$306,"Approved")&gt;0,"A",""))="A","A",IF(OR(DATE($B$3,10,19)&gt;EOMONTH(DATE($B$3,10,1),0),NETWORKDAYS.INTL(DATE($B$3,10,19),DATE($B$3,10,19),1,'Non-working days'!$A$6:$A$45)=0),"",IF(COUNTIFS('Leave log'!$A$7:$A$306,Employees!$A$18,'Leave log'!$B$7:$B$306,"&lt;="&amp;DATE($B$3,10,19),'Leave log'!$C$7:$C$306,"&gt;="&amp;DATE($B$3,10,19),'Leave log'!$F$7:$F$306,"Pending")&gt;0,"P",""))))</f>
        <v/>
      </c>
      <c r="U325" s="23" t="str">
        <f>IF(A325="","",IF(IF(OR(DATE($B$3,10,20)&gt;EOMONTH(DATE($B$3,10,1),0),NETWORKDAYS.INTL(DATE($B$3,10,20),DATE($B$3,10,20),1,'Non-working days'!$A$6:$A$45)=0),"",IF(COUNTIFS('Leave log'!$A$7:$A$306,Employees!$A$18,'Leave log'!$B$7:$B$306,"&lt;="&amp;DATE($B$3,10,20),'Leave log'!$C$7:$C$306,"&gt;="&amp;DATE($B$3,10,20),'Leave log'!$F$7:$F$306,"Approved")&gt;0,"A",""))="A","A",IF(OR(DATE($B$3,10,20)&gt;EOMONTH(DATE($B$3,10,1),0),NETWORKDAYS.INTL(DATE($B$3,10,20),DATE($B$3,10,20),1,'Non-working days'!$A$6:$A$45)=0),"",IF(COUNTIFS('Leave log'!$A$7:$A$306,Employees!$A$18,'Leave log'!$B$7:$B$306,"&lt;="&amp;DATE($B$3,10,20),'Leave log'!$C$7:$C$306,"&gt;="&amp;DATE($B$3,10,20),'Leave log'!$F$7:$F$306,"Pending")&gt;0,"P",""))))</f>
        <v/>
      </c>
      <c r="V325" s="23" t="str">
        <f>IF(A325="","",IF(IF(OR(DATE($B$3,10,21)&gt;EOMONTH(DATE($B$3,10,1),0),NETWORKDAYS.INTL(DATE($B$3,10,21),DATE($B$3,10,21),1,'Non-working days'!$A$6:$A$45)=0),"",IF(COUNTIFS('Leave log'!$A$7:$A$306,Employees!$A$18,'Leave log'!$B$7:$B$306,"&lt;="&amp;DATE($B$3,10,21),'Leave log'!$C$7:$C$306,"&gt;="&amp;DATE($B$3,10,21),'Leave log'!$F$7:$F$306,"Approved")&gt;0,"A",""))="A","A",IF(OR(DATE($B$3,10,21)&gt;EOMONTH(DATE($B$3,10,1),0),NETWORKDAYS.INTL(DATE($B$3,10,21),DATE($B$3,10,21),1,'Non-working days'!$A$6:$A$45)=0),"",IF(COUNTIFS('Leave log'!$A$7:$A$306,Employees!$A$18,'Leave log'!$B$7:$B$306,"&lt;="&amp;DATE($B$3,10,21),'Leave log'!$C$7:$C$306,"&gt;="&amp;DATE($B$3,10,21),'Leave log'!$F$7:$F$306,"Pending")&gt;0,"P",""))))</f>
        <v/>
      </c>
      <c r="W325" s="23" t="str">
        <f>IF(A325="","",IF(IF(OR(DATE($B$3,10,22)&gt;EOMONTH(DATE($B$3,10,1),0),NETWORKDAYS.INTL(DATE($B$3,10,22),DATE($B$3,10,22),1,'Non-working days'!$A$6:$A$45)=0),"",IF(COUNTIFS('Leave log'!$A$7:$A$306,Employees!$A$18,'Leave log'!$B$7:$B$306,"&lt;="&amp;DATE($B$3,10,22),'Leave log'!$C$7:$C$306,"&gt;="&amp;DATE($B$3,10,22),'Leave log'!$F$7:$F$306,"Approved")&gt;0,"A",""))="A","A",IF(OR(DATE($B$3,10,22)&gt;EOMONTH(DATE($B$3,10,1),0),NETWORKDAYS.INTL(DATE($B$3,10,22),DATE($B$3,10,22),1,'Non-working days'!$A$6:$A$45)=0),"",IF(COUNTIFS('Leave log'!$A$7:$A$306,Employees!$A$18,'Leave log'!$B$7:$B$306,"&lt;="&amp;DATE($B$3,10,22),'Leave log'!$C$7:$C$306,"&gt;="&amp;DATE($B$3,10,22),'Leave log'!$F$7:$F$306,"Pending")&gt;0,"P",""))))</f>
        <v/>
      </c>
      <c r="X325" s="23" t="str">
        <f>IF(A325="","",IF(IF(OR(DATE($B$3,10,23)&gt;EOMONTH(DATE($B$3,10,1),0),NETWORKDAYS.INTL(DATE($B$3,10,23),DATE($B$3,10,23),1,'Non-working days'!$A$6:$A$45)=0),"",IF(COUNTIFS('Leave log'!$A$7:$A$306,Employees!$A$18,'Leave log'!$B$7:$B$306,"&lt;="&amp;DATE($B$3,10,23),'Leave log'!$C$7:$C$306,"&gt;="&amp;DATE($B$3,10,23),'Leave log'!$F$7:$F$306,"Approved")&gt;0,"A",""))="A","A",IF(OR(DATE($B$3,10,23)&gt;EOMONTH(DATE($B$3,10,1),0),NETWORKDAYS.INTL(DATE($B$3,10,23),DATE($B$3,10,23),1,'Non-working days'!$A$6:$A$45)=0),"",IF(COUNTIFS('Leave log'!$A$7:$A$306,Employees!$A$18,'Leave log'!$B$7:$B$306,"&lt;="&amp;DATE($B$3,10,23),'Leave log'!$C$7:$C$306,"&gt;="&amp;DATE($B$3,10,23),'Leave log'!$F$7:$F$306,"Pending")&gt;0,"P",""))))</f>
        <v/>
      </c>
      <c r="Y325" s="23" t="str">
        <f>IF(A325="","",IF(IF(OR(DATE($B$3,10,24)&gt;EOMONTH(DATE($B$3,10,1),0),NETWORKDAYS.INTL(DATE($B$3,10,24),DATE($B$3,10,24),1,'Non-working days'!$A$6:$A$45)=0),"",IF(COUNTIFS('Leave log'!$A$7:$A$306,Employees!$A$18,'Leave log'!$B$7:$B$306,"&lt;="&amp;DATE($B$3,10,24),'Leave log'!$C$7:$C$306,"&gt;="&amp;DATE($B$3,10,24),'Leave log'!$F$7:$F$306,"Approved")&gt;0,"A",""))="A","A",IF(OR(DATE($B$3,10,24)&gt;EOMONTH(DATE($B$3,10,1),0),NETWORKDAYS.INTL(DATE($B$3,10,24),DATE($B$3,10,24),1,'Non-working days'!$A$6:$A$45)=0),"",IF(COUNTIFS('Leave log'!$A$7:$A$306,Employees!$A$18,'Leave log'!$B$7:$B$306,"&lt;="&amp;DATE($B$3,10,24),'Leave log'!$C$7:$C$306,"&gt;="&amp;DATE($B$3,10,24),'Leave log'!$F$7:$F$306,"Pending")&gt;0,"P",""))))</f>
        <v/>
      </c>
      <c r="Z325" s="23" t="str">
        <f>IF(A325="","",IF(IF(OR(DATE($B$3,10,25)&gt;EOMONTH(DATE($B$3,10,1),0),NETWORKDAYS.INTL(DATE($B$3,10,25),DATE($B$3,10,25),1,'Non-working days'!$A$6:$A$45)=0),"",IF(COUNTIFS('Leave log'!$A$7:$A$306,Employees!$A$18,'Leave log'!$B$7:$B$306,"&lt;="&amp;DATE($B$3,10,25),'Leave log'!$C$7:$C$306,"&gt;="&amp;DATE($B$3,10,25),'Leave log'!$F$7:$F$306,"Approved")&gt;0,"A",""))="A","A",IF(OR(DATE($B$3,10,25)&gt;EOMONTH(DATE($B$3,10,1),0),NETWORKDAYS.INTL(DATE($B$3,10,25),DATE($B$3,10,25),1,'Non-working days'!$A$6:$A$45)=0),"",IF(COUNTIFS('Leave log'!$A$7:$A$306,Employees!$A$18,'Leave log'!$B$7:$B$306,"&lt;="&amp;DATE($B$3,10,25),'Leave log'!$C$7:$C$306,"&gt;="&amp;DATE($B$3,10,25),'Leave log'!$F$7:$F$306,"Pending")&gt;0,"P",""))))</f>
        <v/>
      </c>
      <c r="AA325" s="23" t="str">
        <f>IF(A325="","",IF(IF(OR(DATE($B$3,10,26)&gt;EOMONTH(DATE($B$3,10,1),0),NETWORKDAYS.INTL(DATE($B$3,10,26),DATE($B$3,10,26),1,'Non-working days'!$A$6:$A$45)=0),"",IF(COUNTIFS('Leave log'!$A$7:$A$306,Employees!$A$18,'Leave log'!$B$7:$B$306,"&lt;="&amp;DATE($B$3,10,26),'Leave log'!$C$7:$C$306,"&gt;="&amp;DATE($B$3,10,26),'Leave log'!$F$7:$F$306,"Approved")&gt;0,"A",""))="A","A",IF(OR(DATE($B$3,10,26)&gt;EOMONTH(DATE($B$3,10,1),0),NETWORKDAYS.INTL(DATE($B$3,10,26),DATE($B$3,10,26),1,'Non-working days'!$A$6:$A$45)=0),"",IF(COUNTIFS('Leave log'!$A$7:$A$306,Employees!$A$18,'Leave log'!$B$7:$B$306,"&lt;="&amp;DATE($B$3,10,26),'Leave log'!$C$7:$C$306,"&gt;="&amp;DATE($B$3,10,26),'Leave log'!$F$7:$F$306,"Pending")&gt;0,"P",""))))</f>
        <v/>
      </c>
      <c r="AB325" s="23" t="str">
        <f>IF(A325="","",IF(IF(OR(DATE($B$3,10,27)&gt;EOMONTH(DATE($B$3,10,1),0),NETWORKDAYS.INTL(DATE($B$3,10,27),DATE($B$3,10,27),1,'Non-working days'!$A$6:$A$45)=0),"",IF(COUNTIFS('Leave log'!$A$7:$A$306,Employees!$A$18,'Leave log'!$B$7:$B$306,"&lt;="&amp;DATE($B$3,10,27),'Leave log'!$C$7:$C$306,"&gt;="&amp;DATE($B$3,10,27),'Leave log'!$F$7:$F$306,"Approved")&gt;0,"A",""))="A","A",IF(OR(DATE($B$3,10,27)&gt;EOMONTH(DATE($B$3,10,1),0),NETWORKDAYS.INTL(DATE($B$3,10,27),DATE($B$3,10,27),1,'Non-working days'!$A$6:$A$45)=0),"",IF(COUNTIFS('Leave log'!$A$7:$A$306,Employees!$A$18,'Leave log'!$B$7:$B$306,"&lt;="&amp;DATE($B$3,10,27),'Leave log'!$C$7:$C$306,"&gt;="&amp;DATE($B$3,10,27),'Leave log'!$F$7:$F$306,"Pending")&gt;0,"P",""))))</f>
        <v/>
      </c>
      <c r="AC325" s="23" t="str">
        <f>IF(A325="","",IF(IF(OR(DATE($B$3,10,28)&gt;EOMONTH(DATE($B$3,10,1),0),NETWORKDAYS.INTL(DATE($B$3,10,28),DATE($B$3,10,28),1,'Non-working days'!$A$6:$A$45)=0),"",IF(COUNTIFS('Leave log'!$A$7:$A$306,Employees!$A$18,'Leave log'!$B$7:$B$306,"&lt;="&amp;DATE($B$3,10,28),'Leave log'!$C$7:$C$306,"&gt;="&amp;DATE($B$3,10,28),'Leave log'!$F$7:$F$306,"Approved")&gt;0,"A",""))="A","A",IF(OR(DATE($B$3,10,28)&gt;EOMONTH(DATE($B$3,10,1),0),NETWORKDAYS.INTL(DATE($B$3,10,28),DATE($B$3,10,28),1,'Non-working days'!$A$6:$A$45)=0),"",IF(COUNTIFS('Leave log'!$A$7:$A$306,Employees!$A$18,'Leave log'!$B$7:$B$306,"&lt;="&amp;DATE($B$3,10,28),'Leave log'!$C$7:$C$306,"&gt;="&amp;DATE($B$3,10,28),'Leave log'!$F$7:$F$306,"Pending")&gt;0,"P",""))))</f>
        <v/>
      </c>
      <c r="AD325" s="23" t="str">
        <f>IF(A325="","",IF(IF(OR(DATE($B$3,10,29)&gt;EOMONTH(DATE($B$3,10,1),0),NETWORKDAYS.INTL(DATE($B$3,10,29),DATE($B$3,10,29),1,'Non-working days'!$A$6:$A$45)=0),"",IF(COUNTIFS('Leave log'!$A$7:$A$306,Employees!$A$18,'Leave log'!$B$7:$B$306,"&lt;="&amp;DATE($B$3,10,29),'Leave log'!$C$7:$C$306,"&gt;="&amp;DATE($B$3,10,29),'Leave log'!$F$7:$F$306,"Approved")&gt;0,"A",""))="A","A",IF(OR(DATE($B$3,10,29)&gt;EOMONTH(DATE($B$3,10,1),0),NETWORKDAYS.INTL(DATE($B$3,10,29),DATE($B$3,10,29),1,'Non-working days'!$A$6:$A$45)=0),"",IF(COUNTIFS('Leave log'!$A$7:$A$306,Employees!$A$18,'Leave log'!$B$7:$B$306,"&lt;="&amp;DATE($B$3,10,29),'Leave log'!$C$7:$C$306,"&gt;="&amp;DATE($B$3,10,29),'Leave log'!$F$7:$F$306,"Pending")&gt;0,"P",""))))</f>
        <v/>
      </c>
      <c r="AE325" s="23" t="str">
        <f>IF(A325="","",IF(IF(OR(DATE($B$3,10,30)&gt;EOMONTH(DATE($B$3,10,1),0),NETWORKDAYS.INTL(DATE($B$3,10,30),DATE($B$3,10,30),1,'Non-working days'!$A$6:$A$45)=0),"",IF(COUNTIFS('Leave log'!$A$7:$A$306,Employees!$A$18,'Leave log'!$B$7:$B$306,"&lt;="&amp;DATE($B$3,10,30),'Leave log'!$C$7:$C$306,"&gt;="&amp;DATE($B$3,10,30),'Leave log'!$F$7:$F$306,"Approved")&gt;0,"A",""))="A","A",IF(OR(DATE($B$3,10,30)&gt;EOMONTH(DATE($B$3,10,1),0),NETWORKDAYS.INTL(DATE($B$3,10,30),DATE($B$3,10,30),1,'Non-working days'!$A$6:$A$45)=0),"",IF(COUNTIFS('Leave log'!$A$7:$A$306,Employees!$A$18,'Leave log'!$B$7:$B$306,"&lt;="&amp;DATE($B$3,10,30),'Leave log'!$C$7:$C$306,"&gt;="&amp;DATE($B$3,10,30),'Leave log'!$F$7:$F$306,"Pending")&gt;0,"P",""))))</f>
        <v/>
      </c>
      <c r="AF325" s="23" t="str">
        <f>IF(A325="","",IF(IF(OR(DATE($B$3,10,31)&gt;EOMONTH(DATE($B$3,10,1),0),NETWORKDAYS.INTL(DATE($B$3,10,31),DATE($B$3,10,31),1,'Non-working days'!$A$6:$A$45)=0),"",IF(COUNTIFS('Leave log'!$A$7:$A$306,Employees!$A$18,'Leave log'!$B$7:$B$306,"&lt;="&amp;DATE($B$3,10,31),'Leave log'!$C$7:$C$306,"&gt;="&amp;DATE($B$3,10,31),'Leave log'!$F$7:$F$306,"Approved")&gt;0,"A",""))="A","A",IF(OR(DATE($B$3,10,31)&gt;EOMONTH(DATE($B$3,10,1),0),NETWORKDAYS.INTL(DATE($B$3,10,31),DATE($B$3,10,31),1,'Non-working days'!$A$6:$A$45)=0),"",IF(COUNTIFS('Leave log'!$A$7:$A$306,Employees!$A$18,'Leave log'!$B$7:$B$306,"&lt;="&amp;DATE($B$3,10,31),'Leave log'!$C$7:$C$306,"&gt;="&amp;DATE($B$3,10,31),'Leave log'!$F$7:$F$306,"Pending")&gt;0,"P",""))))</f>
        <v/>
      </c>
    </row>
    <row r="326" spans="1:32" ht="18" customHeight="1" x14ac:dyDescent="0.3">
      <c r="A326" s="22" t="str">
        <f>IF(Employees!F19="Yes",Employees!B19,"")</f>
        <v/>
      </c>
      <c r="B326" s="23" t="str">
        <f>IF(A326="","",IF(IF(OR(DATE($B$3,10,1)&gt;EOMONTH(DATE($B$3,10,1),0),NETWORKDAYS.INTL(DATE($B$3,10,1),DATE($B$3,10,1),1,'Non-working days'!$A$6:$A$45)=0),"",IF(COUNTIFS('Leave log'!$A$7:$A$306,Employees!$A$19,'Leave log'!$B$7:$B$306,"&lt;="&amp;DATE($B$3,10,1),'Leave log'!$C$7:$C$306,"&gt;="&amp;DATE($B$3,10,1),'Leave log'!$F$7:$F$306,"Approved")&gt;0,"A",""))="A","A",IF(OR(DATE($B$3,10,1)&gt;EOMONTH(DATE($B$3,10,1),0),NETWORKDAYS.INTL(DATE($B$3,10,1),DATE($B$3,10,1),1,'Non-working days'!$A$6:$A$45)=0),"",IF(COUNTIFS('Leave log'!$A$7:$A$306,Employees!$A$19,'Leave log'!$B$7:$B$306,"&lt;="&amp;DATE($B$3,10,1),'Leave log'!$C$7:$C$306,"&gt;="&amp;DATE($B$3,10,1),'Leave log'!$F$7:$F$306,"Pending")&gt;0,"P",""))))</f>
        <v/>
      </c>
      <c r="C326" s="23" t="str">
        <f>IF(A326="","",IF(IF(OR(DATE($B$3,10,2)&gt;EOMONTH(DATE($B$3,10,1),0),NETWORKDAYS.INTL(DATE($B$3,10,2),DATE($B$3,10,2),1,'Non-working days'!$A$6:$A$45)=0),"",IF(COUNTIFS('Leave log'!$A$7:$A$306,Employees!$A$19,'Leave log'!$B$7:$B$306,"&lt;="&amp;DATE($B$3,10,2),'Leave log'!$C$7:$C$306,"&gt;="&amp;DATE($B$3,10,2),'Leave log'!$F$7:$F$306,"Approved")&gt;0,"A",""))="A","A",IF(OR(DATE($B$3,10,2)&gt;EOMONTH(DATE($B$3,10,1),0),NETWORKDAYS.INTL(DATE($B$3,10,2),DATE($B$3,10,2),1,'Non-working days'!$A$6:$A$45)=0),"",IF(COUNTIFS('Leave log'!$A$7:$A$306,Employees!$A$19,'Leave log'!$B$7:$B$306,"&lt;="&amp;DATE($B$3,10,2),'Leave log'!$C$7:$C$306,"&gt;="&amp;DATE($B$3,10,2),'Leave log'!$F$7:$F$306,"Pending")&gt;0,"P",""))))</f>
        <v/>
      </c>
      <c r="D326" s="23" t="str">
        <f>IF(A326="","",IF(IF(OR(DATE($B$3,10,3)&gt;EOMONTH(DATE($B$3,10,1),0),NETWORKDAYS.INTL(DATE($B$3,10,3),DATE($B$3,10,3),1,'Non-working days'!$A$6:$A$45)=0),"",IF(COUNTIFS('Leave log'!$A$7:$A$306,Employees!$A$19,'Leave log'!$B$7:$B$306,"&lt;="&amp;DATE($B$3,10,3),'Leave log'!$C$7:$C$306,"&gt;="&amp;DATE($B$3,10,3),'Leave log'!$F$7:$F$306,"Approved")&gt;0,"A",""))="A","A",IF(OR(DATE($B$3,10,3)&gt;EOMONTH(DATE($B$3,10,1),0),NETWORKDAYS.INTL(DATE($B$3,10,3),DATE($B$3,10,3),1,'Non-working days'!$A$6:$A$45)=0),"",IF(COUNTIFS('Leave log'!$A$7:$A$306,Employees!$A$19,'Leave log'!$B$7:$B$306,"&lt;="&amp;DATE($B$3,10,3),'Leave log'!$C$7:$C$306,"&gt;="&amp;DATE($B$3,10,3),'Leave log'!$F$7:$F$306,"Pending")&gt;0,"P",""))))</f>
        <v/>
      </c>
      <c r="E326" s="23" t="str">
        <f>IF(A326="","",IF(IF(OR(DATE($B$3,10,4)&gt;EOMONTH(DATE($B$3,10,1),0),NETWORKDAYS.INTL(DATE($B$3,10,4),DATE($B$3,10,4),1,'Non-working days'!$A$6:$A$45)=0),"",IF(COUNTIFS('Leave log'!$A$7:$A$306,Employees!$A$19,'Leave log'!$B$7:$B$306,"&lt;="&amp;DATE($B$3,10,4),'Leave log'!$C$7:$C$306,"&gt;="&amp;DATE($B$3,10,4),'Leave log'!$F$7:$F$306,"Approved")&gt;0,"A",""))="A","A",IF(OR(DATE($B$3,10,4)&gt;EOMONTH(DATE($B$3,10,1),0),NETWORKDAYS.INTL(DATE($B$3,10,4),DATE($B$3,10,4),1,'Non-working days'!$A$6:$A$45)=0),"",IF(COUNTIFS('Leave log'!$A$7:$A$306,Employees!$A$19,'Leave log'!$B$7:$B$306,"&lt;="&amp;DATE($B$3,10,4),'Leave log'!$C$7:$C$306,"&gt;="&amp;DATE($B$3,10,4),'Leave log'!$F$7:$F$306,"Pending")&gt;0,"P",""))))</f>
        <v/>
      </c>
      <c r="F326" s="23" t="str">
        <f>IF(A326="","",IF(IF(OR(DATE($B$3,10,5)&gt;EOMONTH(DATE($B$3,10,1),0),NETWORKDAYS.INTL(DATE($B$3,10,5),DATE($B$3,10,5),1,'Non-working days'!$A$6:$A$45)=0),"",IF(COUNTIFS('Leave log'!$A$7:$A$306,Employees!$A$19,'Leave log'!$B$7:$B$306,"&lt;="&amp;DATE($B$3,10,5),'Leave log'!$C$7:$C$306,"&gt;="&amp;DATE($B$3,10,5),'Leave log'!$F$7:$F$306,"Approved")&gt;0,"A",""))="A","A",IF(OR(DATE($B$3,10,5)&gt;EOMONTH(DATE($B$3,10,1),0),NETWORKDAYS.INTL(DATE($B$3,10,5),DATE($B$3,10,5),1,'Non-working days'!$A$6:$A$45)=0),"",IF(COUNTIFS('Leave log'!$A$7:$A$306,Employees!$A$19,'Leave log'!$B$7:$B$306,"&lt;="&amp;DATE($B$3,10,5),'Leave log'!$C$7:$C$306,"&gt;="&amp;DATE($B$3,10,5),'Leave log'!$F$7:$F$306,"Pending")&gt;0,"P",""))))</f>
        <v/>
      </c>
      <c r="G326" s="23" t="str">
        <f>IF(A326="","",IF(IF(OR(DATE($B$3,10,6)&gt;EOMONTH(DATE($B$3,10,1),0),NETWORKDAYS.INTL(DATE($B$3,10,6),DATE($B$3,10,6),1,'Non-working days'!$A$6:$A$45)=0),"",IF(COUNTIFS('Leave log'!$A$7:$A$306,Employees!$A$19,'Leave log'!$B$7:$B$306,"&lt;="&amp;DATE($B$3,10,6),'Leave log'!$C$7:$C$306,"&gt;="&amp;DATE($B$3,10,6),'Leave log'!$F$7:$F$306,"Approved")&gt;0,"A",""))="A","A",IF(OR(DATE($B$3,10,6)&gt;EOMONTH(DATE($B$3,10,1),0),NETWORKDAYS.INTL(DATE($B$3,10,6),DATE($B$3,10,6),1,'Non-working days'!$A$6:$A$45)=0),"",IF(COUNTIFS('Leave log'!$A$7:$A$306,Employees!$A$19,'Leave log'!$B$7:$B$306,"&lt;="&amp;DATE($B$3,10,6),'Leave log'!$C$7:$C$306,"&gt;="&amp;DATE($B$3,10,6),'Leave log'!$F$7:$F$306,"Pending")&gt;0,"P",""))))</f>
        <v/>
      </c>
      <c r="H326" s="23" t="str">
        <f>IF(A326="","",IF(IF(OR(DATE($B$3,10,7)&gt;EOMONTH(DATE($B$3,10,1),0),NETWORKDAYS.INTL(DATE($B$3,10,7),DATE($B$3,10,7),1,'Non-working days'!$A$6:$A$45)=0),"",IF(COUNTIFS('Leave log'!$A$7:$A$306,Employees!$A$19,'Leave log'!$B$7:$B$306,"&lt;="&amp;DATE($B$3,10,7),'Leave log'!$C$7:$C$306,"&gt;="&amp;DATE($B$3,10,7),'Leave log'!$F$7:$F$306,"Approved")&gt;0,"A",""))="A","A",IF(OR(DATE($B$3,10,7)&gt;EOMONTH(DATE($B$3,10,1),0),NETWORKDAYS.INTL(DATE($B$3,10,7),DATE($B$3,10,7),1,'Non-working days'!$A$6:$A$45)=0),"",IF(COUNTIFS('Leave log'!$A$7:$A$306,Employees!$A$19,'Leave log'!$B$7:$B$306,"&lt;="&amp;DATE($B$3,10,7),'Leave log'!$C$7:$C$306,"&gt;="&amp;DATE($B$3,10,7),'Leave log'!$F$7:$F$306,"Pending")&gt;0,"P",""))))</f>
        <v/>
      </c>
      <c r="I326" s="23" t="str">
        <f>IF(A326="","",IF(IF(OR(DATE($B$3,10,8)&gt;EOMONTH(DATE($B$3,10,1),0),NETWORKDAYS.INTL(DATE($B$3,10,8),DATE($B$3,10,8),1,'Non-working days'!$A$6:$A$45)=0),"",IF(COUNTIFS('Leave log'!$A$7:$A$306,Employees!$A$19,'Leave log'!$B$7:$B$306,"&lt;="&amp;DATE($B$3,10,8),'Leave log'!$C$7:$C$306,"&gt;="&amp;DATE($B$3,10,8),'Leave log'!$F$7:$F$306,"Approved")&gt;0,"A",""))="A","A",IF(OR(DATE($B$3,10,8)&gt;EOMONTH(DATE($B$3,10,1),0),NETWORKDAYS.INTL(DATE($B$3,10,8),DATE($B$3,10,8),1,'Non-working days'!$A$6:$A$45)=0),"",IF(COUNTIFS('Leave log'!$A$7:$A$306,Employees!$A$19,'Leave log'!$B$7:$B$306,"&lt;="&amp;DATE($B$3,10,8),'Leave log'!$C$7:$C$306,"&gt;="&amp;DATE($B$3,10,8),'Leave log'!$F$7:$F$306,"Pending")&gt;0,"P",""))))</f>
        <v/>
      </c>
      <c r="J326" s="23" t="str">
        <f>IF(A326="","",IF(IF(OR(DATE($B$3,10,9)&gt;EOMONTH(DATE($B$3,10,1),0),NETWORKDAYS.INTL(DATE($B$3,10,9),DATE($B$3,10,9),1,'Non-working days'!$A$6:$A$45)=0),"",IF(COUNTIFS('Leave log'!$A$7:$A$306,Employees!$A$19,'Leave log'!$B$7:$B$306,"&lt;="&amp;DATE($B$3,10,9),'Leave log'!$C$7:$C$306,"&gt;="&amp;DATE($B$3,10,9),'Leave log'!$F$7:$F$306,"Approved")&gt;0,"A",""))="A","A",IF(OR(DATE($B$3,10,9)&gt;EOMONTH(DATE($B$3,10,1),0),NETWORKDAYS.INTL(DATE($B$3,10,9),DATE($B$3,10,9),1,'Non-working days'!$A$6:$A$45)=0),"",IF(COUNTIFS('Leave log'!$A$7:$A$306,Employees!$A$19,'Leave log'!$B$7:$B$306,"&lt;="&amp;DATE($B$3,10,9),'Leave log'!$C$7:$C$306,"&gt;="&amp;DATE($B$3,10,9),'Leave log'!$F$7:$F$306,"Pending")&gt;0,"P",""))))</f>
        <v/>
      </c>
      <c r="K326" s="23" t="str">
        <f>IF(A326="","",IF(IF(OR(DATE($B$3,10,10)&gt;EOMONTH(DATE($B$3,10,1),0),NETWORKDAYS.INTL(DATE($B$3,10,10),DATE($B$3,10,10),1,'Non-working days'!$A$6:$A$45)=0),"",IF(COUNTIFS('Leave log'!$A$7:$A$306,Employees!$A$19,'Leave log'!$B$7:$B$306,"&lt;="&amp;DATE($B$3,10,10),'Leave log'!$C$7:$C$306,"&gt;="&amp;DATE($B$3,10,10),'Leave log'!$F$7:$F$306,"Approved")&gt;0,"A",""))="A","A",IF(OR(DATE($B$3,10,10)&gt;EOMONTH(DATE($B$3,10,1),0),NETWORKDAYS.INTL(DATE($B$3,10,10),DATE($B$3,10,10),1,'Non-working days'!$A$6:$A$45)=0),"",IF(COUNTIFS('Leave log'!$A$7:$A$306,Employees!$A$19,'Leave log'!$B$7:$B$306,"&lt;="&amp;DATE($B$3,10,10),'Leave log'!$C$7:$C$306,"&gt;="&amp;DATE($B$3,10,10),'Leave log'!$F$7:$F$306,"Pending")&gt;0,"P",""))))</f>
        <v/>
      </c>
      <c r="L326" s="23" t="str">
        <f>IF(A326="","",IF(IF(OR(DATE($B$3,10,11)&gt;EOMONTH(DATE($B$3,10,1),0),NETWORKDAYS.INTL(DATE($B$3,10,11),DATE($B$3,10,11),1,'Non-working days'!$A$6:$A$45)=0),"",IF(COUNTIFS('Leave log'!$A$7:$A$306,Employees!$A$19,'Leave log'!$B$7:$B$306,"&lt;="&amp;DATE($B$3,10,11),'Leave log'!$C$7:$C$306,"&gt;="&amp;DATE($B$3,10,11),'Leave log'!$F$7:$F$306,"Approved")&gt;0,"A",""))="A","A",IF(OR(DATE($B$3,10,11)&gt;EOMONTH(DATE($B$3,10,1),0),NETWORKDAYS.INTL(DATE($B$3,10,11),DATE($B$3,10,11),1,'Non-working days'!$A$6:$A$45)=0),"",IF(COUNTIFS('Leave log'!$A$7:$A$306,Employees!$A$19,'Leave log'!$B$7:$B$306,"&lt;="&amp;DATE($B$3,10,11),'Leave log'!$C$7:$C$306,"&gt;="&amp;DATE($B$3,10,11),'Leave log'!$F$7:$F$306,"Pending")&gt;0,"P",""))))</f>
        <v/>
      </c>
      <c r="M326" s="23" t="str">
        <f>IF(A326="","",IF(IF(OR(DATE($B$3,10,12)&gt;EOMONTH(DATE($B$3,10,1),0),NETWORKDAYS.INTL(DATE($B$3,10,12),DATE($B$3,10,12),1,'Non-working days'!$A$6:$A$45)=0),"",IF(COUNTIFS('Leave log'!$A$7:$A$306,Employees!$A$19,'Leave log'!$B$7:$B$306,"&lt;="&amp;DATE($B$3,10,12),'Leave log'!$C$7:$C$306,"&gt;="&amp;DATE($B$3,10,12),'Leave log'!$F$7:$F$306,"Approved")&gt;0,"A",""))="A","A",IF(OR(DATE($B$3,10,12)&gt;EOMONTH(DATE($B$3,10,1),0),NETWORKDAYS.INTL(DATE($B$3,10,12),DATE($B$3,10,12),1,'Non-working days'!$A$6:$A$45)=0),"",IF(COUNTIFS('Leave log'!$A$7:$A$306,Employees!$A$19,'Leave log'!$B$7:$B$306,"&lt;="&amp;DATE($B$3,10,12),'Leave log'!$C$7:$C$306,"&gt;="&amp;DATE($B$3,10,12),'Leave log'!$F$7:$F$306,"Pending")&gt;0,"P",""))))</f>
        <v/>
      </c>
      <c r="N326" s="23" t="str">
        <f>IF(A326="","",IF(IF(OR(DATE($B$3,10,13)&gt;EOMONTH(DATE($B$3,10,1),0),NETWORKDAYS.INTL(DATE($B$3,10,13),DATE($B$3,10,13),1,'Non-working days'!$A$6:$A$45)=0),"",IF(COUNTIFS('Leave log'!$A$7:$A$306,Employees!$A$19,'Leave log'!$B$7:$B$306,"&lt;="&amp;DATE($B$3,10,13),'Leave log'!$C$7:$C$306,"&gt;="&amp;DATE($B$3,10,13),'Leave log'!$F$7:$F$306,"Approved")&gt;0,"A",""))="A","A",IF(OR(DATE($B$3,10,13)&gt;EOMONTH(DATE($B$3,10,1),0),NETWORKDAYS.INTL(DATE($B$3,10,13),DATE($B$3,10,13),1,'Non-working days'!$A$6:$A$45)=0),"",IF(COUNTIFS('Leave log'!$A$7:$A$306,Employees!$A$19,'Leave log'!$B$7:$B$306,"&lt;="&amp;DATE($B$3,10,13),'Leave log'!$C$7:$C$306,"&gt;="&amp;DATE($B$3,10,13),'Leave log'!$F$7:$F$306,"Pending")&gt;0,"P",""))))</f>
        <v/>
      </c>
      <c r="O326" s="23" t="str">
        <f>IF(A326="","",IF(IF(OR(DATE($B$3,10,14)&gt;EOMONTH(DATE($B$3,10,1),0),NETWORKDAYS.INTL(DATE($B$3,10,14),DATE($B$3,10,14),1,'Non-working days'!$A$6:$A$45)=0),"",IF(COUNTIFS('Leave log'!$A$7:$A$306,Employees!$A$19,'Leave log'!$B$7:$B$306,"&lt;="&amp;DATE($B$3,10,14),'Leave log'!$C$7:$C$306,"&gt;="&amp;DATE($B$3,10,14),'Leave log'!$F$7:$F$306,"Approved")&gt;0,"A",""))="A","A",IF(OR(DATE($B$3,10,14)&gt;EOMONTH(DATE($B$3,10,1),0),NETWORKDAYS.INTL(DATE($B$3,10,14),DATE($B$3,10,14),1,'Non-working days'!$A$6:$A$45)=0),"",IF(COUNTIFS('Leave log'!$A$7:$A$306,Employees!$A$19,'Leave log'!$B$7:$B$306,"&lt;="&amp;DATE($B$3,10,14),'Leave log'!$C$7:$C$306,"&gt;="&amp;DATE($B$3,10,14),'Leave log'!$F$7:$F$306,"Pending")&gt;0,"P",""))))</f>
        <v/>
      </c>
      <c r="P326" s="23" t="str">
        <f>IF(A326="","",IF(IF(OR(DATE($B$3,10,15)&gt;EOMONTH(DATE($B$3,10,1),0),NETWORKDAYS.INTL(DATE($B$3,10,15),DATE($B$3,10,15),1,'Non-working days'!$A$6:$A$45)=0),"",IF(COUNTIFS('Leave log'!$A$7:$A$306,Employees!$A$19,'Leave log'!$B$7:$B$306,"&lt;="&amp;DATE($B$3,10,15),'Leave log'!$C$7:$C$306,"&gt;="&amp;DATE($B$3,10,15),'Leave log'!$F$7:$F$306,"Approved")&gt;0,"A",""))="A","A",IF(OR(DATE($B$3,10,15)&gt;EOMONTH(DATE($B$3,10,1),0),NETWORKDAYS.INTL(DATE($B$3,10,15),DATE($B$3,10,15),1,'Non-working days'!$A$6:$A$45)=0),"",IF(COUNTIFS('Leave log'!$A$7:$A$306,Employees!$A$19,'Leave log'!$B$7:$B$306,"&lt;="&amp;DATE($B$3,10,15),'Leave log'!$C$7:$C$306,"&gt;="&amp;DATE($B$3,10,15),'Leave log'!$F$7:$F$306,"Pending")&gt;0,"P",""))))</f>
        <v/>
      </c>
      <c r="Q326" s="23" t="str">
        <f>IF(A326="","",IF(IF(OR(DATE($B$3,10,16)&gt;EOMONTH(DATE($B$3,10,1),0),NETWORKDAYS.INTL(DATE($B$3,10,16),DATE($B$3,10,16),1,'Non-working days'!$A$6:$A$45)=0),"",IF(COUNTIFS('Leave log'!$A$7:$A$306,Employees!$A$19,'Leave log'!$B$7:$B$306,"&lt;="&amp;DATE($B$3,10,16),'Leave log'!$C$7:$C$306,"&gt;="&amp;DATE($B$3,10,16),'Leave log'!$F$7:$F$306,"Approved")&gt;0,"A",""))="A","A",IF(OR(DATE($B$3,10,16)&gt;EOMONTH(DATE($B$3,10,1),0),NETWORKDAYS.INTL(DATE($B$3,10,16),DATE($B$3,10,16),1,'Non-working days'!$A$6:$A$45)=0),"",IF(COUNTIFS('Leave log'!$A$7:$A$306,Employees!$A$19,'Leave log'!$B$7:$B$306,"&lt;="&amp;DATE($B$3,10,16),'Leave log'!$C$7:$C$306,"&gt;="&amp;DATE($B$3,10,16),'Leave log'!$F$7:$F$306,"Pending")&gt;0,"P",""))))</f>
        <v/>
      </c>
      <c r="R326" s="23" t="str">
        <f>IF(A326="","",IF(IF(OR(DATE($B$3,10,17)&gt;EOMONTH(DATE($B$3,10,1),0),NETWORKDAYS.INTL(DATE($B$3,10,17),DATE($B$3,10,17),1,'Non-working days'!$A$6:$A$45)=0),"",IF(COUNTIFS('Leave log'!$A$7:$A$306,Employees!$A$19,'Leave log'!$B$7:$B$306,"&lt;="&amp;DATE($B$3,10,17),'Leave log'!$C$7:$C$306,"&gt;="&amp;DATE($B$3,10,17),'Leave log'!$F$7:$F$306,"Approved")&gt;0,"A",""))="A","A",IF(OR(DATE($B$3,10,17)&gt;EOMONTH(DATE($B$3,10,1),0),NETWORKDAYS.INTL(DATE($B$3,10,17),DATE($B$3,10,17),1,'Non-working days'!$A$6:$A$45)=0),"",IF(COUNTIFS('Leave log'!$A$7:$A$306,Employees!$A$19,'Leave log'!$B$7:$B$306,"&lt;="&amp;DATE($B$3,10,17),'Leave log'!$C$7:$C$306,"&gt;="&amp;DATE($B$3,10,17),'Leave log'!$F$7:$F$306,"Pending")&gt;0,"P",""))))</f>
        <v/>
      </c>
      <c r="S326" s="23" t="str">
        <f>IF(A326="","",IF(IF(OR(DATE($B$3,10,18)&gt;EOMONTH(DATE($B$3,10,1),0),NETWORKDAYS.INTL(DATE($B$3,10,18),DATE($B$3,10,18),1,'Non-working days'!$A$6:$A$45)=0),"",IF(COUNTIFS('Leave log'!$A$7:$A$306,Employees!$A$19,'Leave log'!$B$7:$B$306,"&lt;="&amp;DATE($B$3,10,18),'Leave log'!$C$7:$C$306,"&gt;="&amp;DATE($B$3,10,18),'Leave log'!$F$7:$F$306,"Approved")&gt;0,"A",""))="A","A",IF(OR(DATE($B$3,10,18)&gt;EOMONTH(DATE($B$3,10,1),0),NETWORKDAYS.INTL(DATE($B$3,10,18),DATE($B$3,10,18),1,'Non-working days'!$A$6:$A$45)=0),"",IF(COUNTIFS('Leave log'!$A$7:$A$306,Employees!$A$19,'Leave log'!$B$7:$B$306,"&lt;="&amp;DATE($B$3,10,18),'Leave log'!$C$7:$C$306,"&gt;="&amp;DATE($B$3,10,18),'Leave log'!$F$7:$F$306,"Pending")&gt;0,"P",""))))</f>
        <v/>
      </c>
      <c r="T326" s="23" t="str">
        <f>IF(A326="","",IF(IF(OR(DATE($B$3,10,19)&gt;EOMONTH(DATE($B$3,10,1),0),NETWORKDAYS.INTL(DATE($B$3,10,19),DATE($B$3,10,19),1,'Non-working days'!$A$6:$A$45)=0),"",IF(COUNTIFS('Leave log'!$A$7:$A$306,Employees!$A$19,'Leave log'!$B$7:$B$306,"&lt;="&amp;DATE($B$3,10,19),'Leave log'!$C$7:$C$306,"&gt;="&amp;DATE($B$3,10,19),'Leave log'!$F$7:$F$306,"Approved")&gt;0,"A",""))="A","A",IF(OR(DATE($B$3,10,19)&gt;EOMONTH(DATE($B$3,10,1),0),NETWORKDAYS.INTL(DATE($B$3,10,19),DATE($B$3,10,19),1,'Non-working days'!$A$6:$A$45)=0),"",IF(COUNTIFS('Leave log'!$A$7:$A$306,Employees!$A$19,'Leave log'!$B$7:$B$306,"&lt;="&amp;DATE($B$3,10,19),'Leave log'!$C$7:$C$306,"&gt;="&amp;DATE($B$3,10,19),'Leave log'!$F$7:$F$306,"Pending")&gt;0,"P",""))))</f>
        <v/>
      </c>
      <c r="U326" s="23" t="str">
        <f>IF(A326="","",IF(IF(OR(DATE($B$3,10,20)&gt;EOMONTH(DATE($B$3,10,1),0),NETWORKDAYS.INTL(DATE($B$3,10,20),DATE($B$3,10,20),1,'Non-working days'!$A$6:$A$45)=0),"",IF(COUNTIFS('Leave log'!$A$7:$A$306,Employees!$A$19,'Leave log'!$B$7:$B$306,"&lt;="&amp;DATE($B$3,10,20),'Leave log'!$C$7:$C$306,"&gt;="&amp;DATE($B$3,10,20),'Leave log'!$F$7:$F$306,"Approved")&gt;0,"A",""))="A","A",IF(OR(DATE($B$3,10,20)&gt;EOMONTH(DATE($B$3,10,1),0),NETWORKDAYS.INTL(DATE($B$3,10,20),DATE($B$3,10,20),1,'Non-working days'!$A$6:$A$45)=0),"",IF(COUNTIFS('Leave log'!$A$7:$A$306,Employees!$A$19,'Leave log'!$B$7:$B$306,"&lt;="&amp;DATE($B$3,10,20),'Leave log'!$C$7:$C$306,"&gt;="&amp;DATE($B$3,10,20),'Leave log'!$F$7:$F$306,"Pending")&gt;0,"P",""))))</f>
        <v/>
      </c>
      <c r="V326" s="23" t="str">
        <f>IF(A326="","",IF(IF(OR(DATE($B$3,10,21)&gt;EOMONTH(DATE($B$3,10,1),0),NETWORKDAYS.INTL(DATE($B$3,10,21),DATE($B$3,10,21),1,'Non-working days'!$A$6:$A$45)=0),"",IF(COUNTIFS('Leave log'!$A$7:$A$306,Employees!$A$19,'Leave log'!$B$7:$B$306,"&lt;="&amp;DATE($B$3,10,21),'Leave log'!$C$7:$C$306,"&gt;="&amp;DATE($B$3,10,21),'Leave log'!$F$7:$F$306,"Approved")&gt;0,"A",""))="A","A",IF(OR(DATE($B$3,10,21)&gt;EOMONTH(DATE($B$3,10,1),0),NETWORKDAYS.INTL(DATE($B$3,10,21),DATE($B$3,10,21),1,'Non-working days'!$A$6:$A$45)=0),"",IF(COUNTIFS('Leave log'!$A$7:$A$306,Employees!$A$19,'Leave log'!$B$7:$B$306,"&lt;="&amp;DATE($B$3,10,21),'Leave log'!$C$7:$C$306,"&gt;="&amp;DATE($B$3,10,21),'Leave log'!$F$7:$F$306,"Pending")&gt;0,"P",""))))</f>
        <v/>
      </c>
      <c r="W326" s="23" t="str">
        <f>IF(A326="","",IF(IF(OR(DATE($B$3,10,22)&gt;EOMONTH(DATE($B$3,10,1),0),NETWORKDAYS.INTL(DATE($B$3,10,22),DATE($B$3,10,22),1,'Non-working days'!$A$6:$A$45)=0),"",IF(COUNTIFS('Leave log'!$A$7:$A$306,Employees!$A$19,'Leave log'!$B$7:$B$306,"&lt;="&amp;DATE($B$3,10,22),'Leave log'!$C$7:$C$306,"&gt;="&amp;DATE($B$3,10,22),'Leave log'!$F$7:$F$306,"Approved")&gt;0,"A",""))="A","A",IF(OR(DATE($B$3,10,22)&gt;EOMONTH(DATE($B$3,10,1),0),NETWORKDAYS.INTL(DATE($B$3,10,22),DATE($B$3,10,22),1,'Non-working days'!$A$6:$A$45)=0),"",IF(COUNTIFS('Leave log'!$A$7:$A$306,Employees!$A$19,'Leave log'!$B$7:$B$306,"&lt;="&amp;DATE($B$3,10,22),'Leave log'!$C$7:$C$306,"&gt;="&amp;DATE($B$3,10,22),'Leave log'!$F$7:$F$306,"Pending")&gt;0,"P",""))))</f>
        <v/>
      </c>
      <c r="X326" s="23" t="str">
        <f>IF(A326="","",IF(IF(OR(DATE($B$3,10,23)&gt;EOMONTH(DATE($B$3,10,1),0),NETWORKDAYS.INTL(DATE($B$3,10,23),DATE($B$3,10,23),1,'Non-working days'!$A$6:$A$45)=0),"",IF(COUNTIFS('Leave log'!$A$7:$A$306,Employees!$A$19,'Leave log'!$B$7:$B$306,"&lt;="&amp;DATE($B$3,10,23),'Leave log'!$C$7:$C$306,"&gt;="&amp;DATE($B$3,10,23),'Leave log'!$F$7:$F$306,"Approved")&gt;0,"A",""))="A","A",IF(OR(DATE($B$3,10,23)&gt;EOMONTH(DATE($B$3,10,1),0),NETWORKDAYS.INTL(DATE($B$3,10,23),DATE($B$3,10,23),1,'Non-working days'!$A$6:$A$45)=0),"",IF(COUNTIFS('Leave log'!$A$7:$A$306,Employees!$A$19,'Leave log'!$B$7:$B$306,"&lt;="&amp;DATE($B$3,10,23),'Leave log'!$C$7:$C$306,"&gt;="&amp;DATE($B$3,10,23),'Leave log'!$F$7:$F$306,"Pending")&gt;0,"P",""))))</f>
        <v/>
      </c>
      <c r="Y326" s="23" t="str">
        <f>IF(A326="","",IF(IF(OR(DATE($B$3,10,24)&gt;EOMONTH(DATE($B$3,10,1),0),NETWORKDAYS.INTL(DATE($B$3,10,24),DATE($B$3,10,24),1,'Non-working days'!$A$6:$A$45)=0),"",IF(COUNTIFS('Leave log'!$A$7:$A$306,Employees!$A$19,'Leave log'!$B$7:$B$306,"&lt;="&amp;DATE($B$3,10,24),'Leave log'!$C$7:$C$306,"&gt;="&amp;DATE($B$3,10,24),'Leave log'!$F$7:$F$306,"Approved")&gt;0,"A",""))="A","A",IF(OR(DATE($B$3,10,24)&gt;EOMONTH(DATE($B$3,10,1),0),NETWORKDAYS.INTL(DATE($B$3,10,24),DATE($B$3,10,24),1,'Non-working days'!$A$6:$A$45)=0),"",IF(COUNTIFS('Leave log'!$A$7:$A$306,Employees!$A$19,'Leave log'!$B$7:$B$306,"&lt;="&amp;DATE($B$3,10,24),'Leave log'!$C$7:$C$306,"&gt;="&amp;DATE($B$3,10,24),'Leave log'!$F$7:$F$306,"Pending")&gt;0,"P",""))))</f>
        <v/>
      </c>
      <c r="Z326" s="23" t="str">
        <f>IF(A326="","",IF(IF(OR(DATE($B$3,10,25)&gt;EOMONTH(DATE($B$3,10,1),0),NETWORKDAYS.INTL(DATE($B$3,10,25),DATE($B$3,10,25),1,'Non-working days'!$A$6:$A$45)=0),"",IF(COUNTIFS('Leave log'!$A$7:$A$306,Employees!$A$19,'Leave log'!$B$7:$B$306,"&lt;="&amp;DATE($B$3,10,25),'Leave log'!$C$7:$C$306,"&gt;="&amp;DATE($B$3,10,25),'Leave log'!$F$7:$F$306,"Approved")&gt;0,"A",""))="A","A",IF(OR(DATE($B$3,10,25)&gt;EOMONTH(DATE($B$3,10,1),0),NETWORKDAYS.INTL(DATE($B$3,10,25),DATE($B$3,10,25),1,'Non-working days'!$A$6:$A$45)=0),"",IF(COUNTIFS('Leave log'!$A$7:$A$306,Employees!$A$19,'Leave log'!$B$7:$B$306,"&lt;="&amp;DATE($B$3,10,25),'Leave log'!$C$7:$C$306,"&gt;="&amp;DATE($B$3,10,25),'Leave log'!$F$7:$F$306,"Pending")&gt;0,"P",""))))</f>
        <v/>
      </c>
      <c r="AA326" s="23" t="str">
        <f>IF(A326="","",IF(IF(OR(DATE($B$3,10,26)&gt;EOMONTH(DATE($B$3,10,1),0),NETWORKDAYS.INTL(DATE($B$3,10,26),DATE($B$3,10,26),1,'Non-working days'!$A$6:$A$45)=0),"",IF(COUNTIFS('Leave log'!$A$7:$A$306,Employees!$A$19,'Leave log'!$B$7:$B$306,"&lt;="&amp;DATE($B$3,10,26),'Leave log'!$C$7:$C$306,"&gt;="&amp;DATE($B$3,10,26),'Leave log'!$F$7:$F$306,"Approved")&gt;0,"A",""))="A","A",IF(OR(DATE($B$3,10,26)&gt;EOMONTH(DATE($B$3,10,1),0),NETWORKDAYS.INTL(DATE($B$3,10,26),DATE($B$3,10,26),1,'Non-working days'!$A$6:$A$45)=0),"",IF(COUNTIFS('Leave log'!$A$7:$A$306,Employees!$A$19,'Leave log'!$B$7:$B$306,"&lt;="&amp;DATE($B$3,10,26),'Leave log'!$C$7:$C$306,"&gt;="&amp;DATE($B$3,10,26),'Leave log'!$F$7:$F$306,"Pending")&gt;0,"P",""))))</f>
        <v/>
      </c>
      <c r="AB326" s="23" t="str">
        <f>IF(A326="","",IF(IF(OR(DATE($B$3,10,27)&gt;EOMONTH(DATE($B$3,10,1),0),NETWORKDAYS.INTL(DATE($B$3,10,27),DATE($B$3,10,27),1,'Non-working days'!$A$6:$A$45)=0),"",IF(COUNTIFS('Leave log'!$A$7:$A$306,Employees!$A$19,'Leave log'!$B$7:$B$306,"&lt;="&amp;DATE($B$3,10,27),'Leave log'!$C$7:$C$306,"&gt;="&amp;DATE($B$3,10,27),'Leave log'!$F$7:$F$306,"Approved")&gt;0,"A",""))="A","A",IF(OR(DATE($B$3,10,27)&gt;EOMONTH(DATE($B$3,10,1),0),NETWORKDAYS.INTL(DATE($B$3,10,27),DATE($B$3,10,27),1,'Non-working days'!$A$6:$A$45)=0),"",IF(COUNTIFS('Leave log'!$A$7:$A$306,Employees!$A$19,'Leave log'!$B$7:$B$306,"&lt;="&amp;DATE($B$3,10,27),'Leave log'!$C$7:$C$306,"&gt;="&amp;DATE($B$3,10,27),'Leave log'!$F$7:$F$306,"Pending")&gt;0,"P",""))))</f>
        <v/>
      </c>
      <c r="AC326" s="23" t="str">
        <f>IF(A326="","",IF(IF(OR(DATE($B$3,10,28)&gt;EOMONTH(DATE($B$3,10,1),0),NETWORKDAYS.INTL(DATE($B$3,10,28),DATE($B$3,10,28),1,'Non-working days'!$A$6:$A$45)=0),"",IF(COUNTIFS('Leave log'!$A$7:$A$306,Employees!$A$19,'Leave log'!$B$7:$B$306,"&lt;="&amp;DATE($B$3,10,28),'Leave log'!$C$7:$C$306,"&gt;="&amp;DATE($B$3,10,28),'Leave log'!$F$7:$F$306,"Approved")&gt;0,"A",""))="A","A",IF(OR(DATE($B$3,10,28)&gt;EOMONTH(DATE($B$3,10,1),0),NETWORKDAYS.INTL(DATE($B$3,10,28),DATE($B$3,10,28),1,'Non-working days'!$A$6:$A$45)=0),"",IF(COUNTIFS('Leave log'!$A$7:$A$306,Employees!$A$19,'Leave log'!$B$7:$B$306,"&lt;="&amp;DATE($B$3,10,28),'Leave log'!$C$7:$C$306,"&gt;="&amp;DATE($B$3,10,28),'Leave log'!$F$7:$F$306,"Pending")&gt;0,"P",""))))</f>
        <v/>
      </c>
      <c r="AD326" s="23" t="str">
        <f>IF(A326="","",IF(IF(OR(DATE($B$3,10,29)&gt;EOMONTH(DATE($B$3,10,1),0),NETWORKDAYS.INTL(DATE($B$3,10,29),DATE($B$3,10,29),1,'Non-working days'!$A$6:$A$45)=0),"",IF(COUNTIFS('Leave log'!$A$7:$A$306,Employees!$A$19,'Leave log'!$B$7:$B$306,"&lt;="&amp;DATE($B$3,10,29),'Leave log'!$C$7:$C$306,"&gt;="&amp;DATE($B$3,10,29),'Leave log'!$F$7:$F$306,"Approved")&gt;0,"A",""))="A","A",IF(OR(DATE($B$3,10,29)&gt;EOMONTH(DATE($B$3,10,1),0),NETWORKDAYS.INTL(DATE($B$3,10,29),DATE($B$3,10,29),1,'Non-working days'!$A$6:$A$45)=0),"",IF(COUNTIFS('Leave log'!$A$7:$A$306,Employees!$A$19,'Leave log'!$B$7:$B$306,"&lt;="&amp;DATE($B$3,10,29),'Leave log'!$C$7:$C$306,"&gt;="&amp;DATE($B$3,10,29),'Leave log'!$F$7:$F$306,"Pending")&gt;0,"P",""))))</f>
        <v/>
      </c>
      <c r="AE326" s="23" t="str">
        <f>IF(A326="","",IF(IF(OR(DATE($B$3,10,30)&gt;EOMONTH(DATE($B$3,10,1),0),NETWORKDAYS.INTL(DATE($B$3,10,30),DATE($B$3,10,30),1,'Non-working days'!$A$6:$A$45)=0),"",IF(COUNTIFS('Leave log'!$A$7:$A$306,Employees!$A$19,'Leave log'!$B$7:$B$306,"&lt;="&amp;DATE($B$3,10,30),'Leave log'!$C$7:$C$306,"&gt;="&amp;DATE($B$3,10,30),'Leave log'!$F$7:$F$306,"Approved")&gt;0,"A",""))="A","A",IF(OR(DATE($B$3,10,30)&gt;EOMONTH(DATE($B$3,10,1),0),NETWORKDAYS.INTL(DATE($B$3,10,30),DATE($B$3,10,30),1,'Non-working days'!$A$6:$A$45)=0),"",IF(COUNTIFS('Leave log'!$A$7:$A$306,Employees!$A$19,'Leave log'!$B$7:$B$306,"&lt;="&amp;DATE($B$3,10,30),'Leave log'!$C$7:$C$306,"&gt;="&amp;DATE($B$3,10,30),'Leave log'!$F$7:$F$306,"Pending")&gt;0,"P",""))))</f>
        <v/>
      </c>
      <c r="AF326" s="23" t="str">
        <f>IF(A326="","",IF(IF(OR(DATE($B$3,10,31)&gt;EOMONTH(DATE($B$3,10,1),0),NETWORKDAYS.INTL(DATE($B$3,10,31),DATE($B$3,10,31),1,'Non-working days'!$A$6:$A$45)=0),"",IF(COUNTIFS('Leave log'!$A$7:$A$306,Employees!$A$19,'Leave log'!$B$7:$B$306,"&lt;="&amp;DATE($B$3,10,31),'Leave log'!$C$7:$C$306,"&gt;="&amp;DATE($B$3,10,31),'Leave log'!$F$7:$F$306,"Approved")&gt;0,"A",""))="A","A",IF(OR(DATE($B$3,10,31)&gt;EOMONTH(DATE($B$3,10,1),0),NETWORKDAYS.INTL(DATE($B$3,10,31),DATE($B$3,10,31),1,'Non-working days'!$A$6:$A$45)=0),"",IF(COUNTIFS('Leave log'!$A$7:$A$306,Employees!$A$19,'Leave log'!$B$7:$B$306,"&lt;="&amp;DATE($B$3,10,31),'Leave log'!$C$7:$C$306,"&gt;="&amp;DATE($B$3,10,31),'Leave log'!$F$7:$F$306,"Pending")&gt;0,"P",""))))</f>
        <v/>
      </c>
    </row>
    <row r="327" spans="1:32" ht="18" customHeight="1" x14ac:dyDescent="0.3">
      <c r="A327" s="22" t="str">
        <f>IF(Employees!F20="Yes",Employees!B20,"")</f>
        <v/>
      </c>
      <c r="B327" s="23" t="str">
        <f>IF(A327="","",IF(IF(OR(DATE($B$3,10,1)&gt;EOMONTH(DATE($B$3,10,1),0),NETWORKDAYS.INTL(DATE($B$3,10,1),DATE($B$3,10,1),1,'Non-working days'!$A$6:$A$45)=0),"",IF(COUNTIFS('Leave log'!$A$7:$A$306,Employees!$A$20,'Leave log'!$B$7:$B$306,"&lt;="&amp;DATE($B$3,10,1),'Leave log'!$C$7:$C$306,"&gt;="&amp;DATE($B$3,10,1),'Leave log'!$F$7:$F$306,"Approved")&gt;0,"A",""))="A","A",IF(OR(DATE($B$3,10,1)&gt;EOMONTH(DATE($B$3,10,1),0),NETWORKDAYS.INTL(DATE($B$3,10,1),DATE($B$3,10,1),1,'Non-working days'!$A$6:$A$45)=0),"",IF(COUNTIFS('Leave log'!$A$7:$A$306,Employees!$A$20,'Leave log'!$B$7:$B$306,"&lt;="&amp;DATE($B$3,10,1),'Leave log'!$C$7:$C$306,"&gt;="&amp;DATE($B$3,10,1),'Leave log'!$F$7:$F$306,"Pending")&gt;0,"P",""))))</f>
        <v/>
      </c>
      <c r="C327" s="23" t="str">
        <f>IF(A327="","",IF(IF(OR(DATE($B$3,10,2)&gt;EOMONTH(DATE($B$3,10,1),0),NETWORKDAYS.INTL(DATE($B$3,10,2),DATE($B$3,10,2),1,'Non-working days'!$A$6:$A$45)=0),"",IF(COUNTIFS('Leave log'!$A$7:$A$306,Employees!$A$20,'Leave log'!$B$7:$B$306,"&lt;="&amp;DATE($B$3,10,2),'Leave log'!$C$7:$C$306,"&gt;="&amp;DATE($B$3,10,2),'Leave log'!$F$7:$F$306,"Approved")&gt;0,"A",""))="A","A",IF(OR(DATE($B$3,10,2)&gt;EOMONTH(DATE($B$3,10,1),0),NETWORKDAYS.INTL(DATE($B$3,10,2),DATE($B$3,10,2),1,'Non-working days'!$A$6:$A$45)=0),"",IF(COUNTIFS('Leave log'!$A$7:$A$306,Employees!$A$20,'Leave log'!$B$7:$B$306,"&lt;="&amp;DATE($B$3,10,2),'Leave log'!$C$7:$C$306,"&gt;="&amp;DATE($B$3,10,2),'Leave log'!$F$7:$F$306,"Pending")&gt;0,"P",""))))</f>
        <v/>
      </c>
      <c r="D327" s="23" t="str">
        <f>IF(A327="","",IF(IF(OR(DATE($B$3,10,3)&gt;EOMONTH(DATE($B$3,10,1),0),NETWORKDAYS.INTL(DATE($B$3,10,3),DATE($B$3,10,3),1,'Non-working days'!$A$6:$A$45)=0),"",IF(COUNTIFS('Leave log'!$A$7:$A$306,Employees!$A$20,'Leave log'!$B$7:$B$306,"&lt;="&amp;DATE($B$3,10,3),'Leave log'!$C$7:$C$306,"&gt;="&amp;DATE($B$3,10,3),'Leave log'!$F$7:$F$306,"Approved")&gt;0,"A",""))="A","A",IF(OR(DATE($B$3,10,3)&gt;EOMONTH(DATE($B$3,10,1),0),NETWORKDAYS.INTL(DATE($B$3,10,3),DATE($B$3,10,3),1,'Non-working days'!$A$6:$A$45)=0),"",IF(COUNTIFS('Leave log'!$A$7:$A$306,Employees!$A$20,'Leave log'!$B$7:$B$306,"&lt;="&amp;DATE($B$3,10,3),'Leave log'!$C$7:$C$306,"&gt;="&amp;DATE($B$3,10,3),'Leave log'!$F$7:$F$306,"Pending")&gt;0,"P",""))))</f>
        <v/>
      </c>
      <c r="E327" s="23" t="str">
        <f>IF(A327="","",IF(IF(OR(DATE($B$3,10,4)&gt;EOMONTH(DATE($B$3,10,1),0),NETWORKDAYS.INTL(DATE($B$3,10,4),DATE($B$3,10,4),1,'Non-working days'!$A$6:$A$45)=0),"",IF(COUNTIFS('Leave log'!$A$7:$A$306,Employees!$A$20,'Leave log'!$B$7:$B$306,"&lt;="&amp;DATE($B$3,10,4),'Leave log'!$C$7:$C$306,"&gt;="&amp;DATE($B$3,10,4),'Leave log'!$F$7:$F$306,"Approved")&gt;0,"A",""))="A","A",IF(OR(DATE($B$3,10,4)&gt;EOMONTH(DATE($B$3,10,1),0),NETWORKDAYS.INTL(DATE($B$3,10,4),DATE($B$3,10,4),1,'Non-working days'!$A$6:$A$45)=0),"",IF(COUNTIFS('Leave log'!$A$7:$A$306,Employees!$A$20,'Leave log'!$B$7:$B$306,"&lt;="&amp;DATE($B$3,10,4),'Leave log'!$C$7:$C$306,"&gt;="&amp;DATE($B$3,10,4),'Leave log'!$F$7:$F$306,"Pending")&gt;0,"P",""))))</f>
        <v/>
      </c>
      <c r="F327" s="23" t="str">
        <f>IF(A327="","",IF(IF(OR(DATE($B$3,10,5)&gt;EOMONTH(DATE($B$3,10,1),0),NETWORKDAYS.INTL(DATE($B$3,10,5),DATE($B$3,10,5),1,'Non-working days'!$A$6:$A$45)=0),"",IF(COUNTIFS('Leave log'!$A$7:$A$306,Employees!$A$20,'Leave log'!$B$7:$B$306,"&lt;="&amp;DATE($B$3,10,5),'Leave log'!$C$7:$C$306,"&gt;="&amp;DATE($B$3,10,5),'Leave log'!$F$7:$F$306,"Approved")&gt;0,"A",""))="A","A",IF(OR(DATE($B$3,10,5)&gt;EOMONTH(DATE($B$3,10,1),0),NETWORKDAYS.INTL(DATE($B$3,10,5),DATE($B$3,10,5),1,'Non-working days'!$A$6:$A$45)=0),"",IF(COUNTIFS('Leave log'!$A$7:$A$306,Employees!$A$20,'Leave log'!$B$7:$B$306,"&lt;="&amp;DATE($B$3,10,5),'Leave log'!$C$7:$C$306,"&gt;="&amp;DATE($B$3,10,5),'Leave log'!$F$7:$F$306,"Pending")&gt;0,"P",""))))</f>
        <v/>
      </c>
      <c r="G327" s="23" t="str">
        <f>IF(A327="","",IF(IF(OR(DATE($B$3,10,6)&gt;EOMONTH(DATE($B$3,10,1),0),NETWORKDAYS.INTL(DATE($B$3,10,6),DATE($B$3,10,6),1,'Non-working days'!$A$6:$A$45)=0),"",IF(COUNTIFS('Leave log'!$A$7:$A$306,Employees!$A$20,'Leave log'!$B$7:$B$306,"&lt;="&amp;DATE($B$3,10,6),'Leave log'!$C$7:$C$306,"&gt;="&amp;DATE($B$3,10,6),'Leave log'!$F$7:$F$306,"Approved")&gt;0,"A",""))="A","A",IF(OR(DATE($B$3,10,6)&gt;EOMONTH(DATE($B$3,10,1),0),NETWORKDAYS.INTL(DATE($B$3,10,6),DATE($B$3,10,6),1,'Non-working days'!$A$6:$A$45)=0),"",IF(COUNTIFS('Leave log'!$A$7:$A$306,Employees!$A$20,'Leave log'!$B$7:$B$306,"&lt;="&amp;DATE($B$3,10,6),'Leave log'!$C$7:$C$306,"&gt;="&amp;DATE($B$3,10,6),'Leave log'!$F$7:$F$306,"Pending")&gt;0,"P",""))))</f>
        <v/>
      </c>
      <c r="H327" s="23" t="str">
        <f>IF(A327="","",IF(IF(OR(DATE($B$3,10,7)&gt;EOMONTH(DATE($B$3,10,1),0),NETWORKDAYS.INTL(DATE($B$3,10,7),DATE($B$3,10,7),1,'Non-working days'!$A$6:$A$45)=0),"",IF(COUNTIFS('Leave log'!$A$7:$A$306,Employees!$A$20,'Leave log'!$B$7:$B$306,"&lt;="&amp;DATE($B$3,10,7),'Leave log'!$C$7:$C$306,"&gt;="&amp;DATE($B$3,10,7),'Leave log'!$F$7:$F$306,"Approved")&gt;0,"A",""))="A","A",IF(OR(DATE($B$3,10,7)&gt;EOMONTH(DATE($B$3,10,1),0),NETWORKDAYS.INTL(DATE($B$3,10,7),DATE($B$3,10,7),1,'Non-working days'!$A$6:$A$45)=0),"",IF(COUNTIFS('Leave log'!$A$7:$A$306,Employees!$A$20,'Leave log'!$B$7:$B$306,"&lt;="&amp;DATE($B$3,10,7),'Leave log'!$C$7:$C$306,"&gt;="&amp;DATE($B$3,10,7),'Leave log'!$F$7:$F$306,"Pending")&gt;0,"P",""))))</f>
        <v/>
      </c>
      <c r="I327" s="23" t="str">
        <f>IF(A327="","",IF(IF(OR(DATE($B$3,10,8)&gt;EOMONTH(DATE($B$3,10,1),0),NETWORKDAYS.INTL(DATE($B$3,10,8),DATE($B$3,10,8),1,'Non-working days'!$A$6:$A$45)=0),"",IF(COUNTIFS('Leave log'!$A$7:$A$306,Employees!$A$20,'Leave log'!$B$7:$B$306,"&lt;="&amp;DATE($B$3,10,8),'Leave log'!$C$7:$C$306,"&gt;="&amp;DATE($B$3,10,8),'Leave log'!$F$7:$F$306,"Approved")&gt;0,"A",""))="A","A",IF(OR(DATE($B$3,10,8)&gt;EOMONTH(DATE($B$3,10,1),0),NETWORKDAYS.INTL(DATE($B$3,10,8),DATE($B$3,10,8),1,'Non-working days'!$A$6:$A$45)=0),"",IF(COUNTIFS('Leave log'!$A$7:$A$306,Employees!$A$20,'Leave log'!$B$7:$B$306,"&lt;="&amp;DATE($B$3,10,8),'Leave log'!$C$7:$C$306,"&gt;="&amp;DATE($B$3,10,8),'Leave log'!$F$7:$F$306,"Pending")&gt;0,"P",""))))</f>
        <v/>
      </c>
      <c r="J327" s="23" t="str">
        <f>IF(A327="","",IF(IF(OR(DATE($B$3,10,9)&gt;EOMONTH(DATE($B$3,10,1),0),NETWORKDAYS.INTL(DATE($B$3,10,9),DATE($B$3,10,9),1,'Non-working days'!$A$6:$A$45)=0),"",IF(COUNTIFS('Leave log'!$A$7:$A$306,Employees!$A$20,'Leave log'!$B$7:$B$306,"&lt;="&amp;DATE($B$3,10,9),'Leave log'!$C$7:$C$306,"&gt;="&amp;DATE($B$3,10,9),'Leave log'!$F$7:$F$306,"Approved")&gt;0,"A",""))="A","A",IF(OR(DATE($B$3,10,9)&gt;EOMONTH(DATE($B$3,10,1),0),NETWORKDAYS.INTL(DATE($B$3,10,9),DATE($B$3,10,9),1,'Non-working days'!$A$6:$A$45)=0),"",IF(COUNTIFS('Leave log'!$A$7:$A$306,Employees!$A$20,'Leave log'!$B$7:$B$306,"&lt;="&amp;DATE($B$3,10,9),'Leave log'!$C$7:$C$306,"&gt;="&amp;DATE($B$3,10,9),'Leave log'!$F$7:$F$306,"Pending")&gt;0,"P",""))))</f>
        <v/>
      </c>
      <c r="K327" s="23" t="str">
        <f>IF(A327="","",IF(IF(OR(DATE($B$3,10,10)&gt;EOMONTH(DATE($B$3,10,1),0),NETWORKDAYS.INTL(DATE($B$3,10,10),DATE($B$3,10,10),1,'Non-working days'!$A$6:$A$45)=0),"",IF(COUNTIFS('Leave log'!$A$7:$A$306,Employees!$A$20,'Leave log'!$B$7:$B$306,"&lt;="&amp;DATE($B$3,10,10),'Leave log'!$C$7:$C$306,"&gt;="&amp;DATE($B$3,10,10),'Leave log'!$F$7:$F$306,"Approved")&gt;0,"A",""))="A","A",IF(OR(DATE($B$3,10,10)&gt;EOMONTH(DATE($B$3,10,1),0),NETWORKDAYS.INTL(DATE($B$3,10,10),DATE($B$3,10,10),1,'Non-working days'!$A$6:$A$45)=0),"",IF(COUNTIFS('Leave log'!$A$7:$A$306,Employees!$A$20,'Leave log'!$B$7:$B$306,"&lt;="&amp;DATE($B$3,10,10),'Leave log'!$C$7:$C$306,"&gt;="&amp;DATE($B$3,10,10),'Leave log'!$F$7:$F$306,"Pending")&gt;0,"P",""))))</f>
        <v/>
      </c>
      <c r="L327" s="23" t="str">
        <f>IF(A327="","",IF(IF(OR(DATE($B$3,10,11)&gt;EOMONTH(DATE($B$3,10,1),0),NETWORKDAYS.INTL(DATE($B$3,10,11),DATE($B$3,10,11),1,'Non-working days'!$A$6:$A$45)=0),"",IF(COUNTIFS('Leave log'!$A$7:$A$306,Employees!$A$20,'Leave log'!$B$7:$B$306,"&lt;="&amp;DATE($B$3,10,11),'Leave log'!$C$7:$C$306,"&gt;="&amp;DATE($B$3,10,11),'Leave log'!$F$7:$F$306,"Approved")&gt;0,"A",""))="A","A",IF(OR(DATE($B$3,10,11)&gt;EOMONTH(DATE($B$3,10,1),0),NETWORKDAYS.INTL(DATE($B$3,10,11),DATE($B$3,10,11),1,'Non-working days'!$A$6:$A$45)=0),"",IF(COUNTIFS('Leave log'!$A$7:$A$306,Employees!$A$20,'Leave log'!$B$7:$B$306,"&lt;="&amp;DATE($B$3,10,11),'Leave log'!$C$7:$C$306,"&gt;="&amp;DATE($B$3,10,11),'Leave log'!$F$7:$F$306,"Pending")&gt;0,"P",""))))</f>
        <v/>
      </c>
      <c r="M327" s="23" t="str">
        <f>IF(A327="","",IF(IF(OR(DATE($B$3,10,12)&gt;EOMONTH(DATE($B$3,10,1),0),NETWORKDAYS.INTL(DATE($B$3,10,12),DATE($B$3,10,12),1,'Non-working days'!$A$6:$A$45)=0),"",IF(COUNTIFS('Leave log'!$A$7:$A$306,Employees!$A$20,'Leave log'!$B$7:$B$306,"&lt;="&amp;DATE($B$3,10,12),'Leave log'!$C$7:$C$306,"&gt;="&amp;DATE($B$3,10,12),'Leave log'!$F$7:$F$306,"Approved")&gt;0,"A",""))="A","A",IF(OR(DATE($B$3,10,12)&gt;EOMONTH(DATE($B$3,10,1),0),NETWORKDAYS.INTL(DATE($B$3,10,12),DATE($B$3,10,12),1,'Non-working days'!$A$6:$A$45)=0),"",IF(COUNTIFS('Leave log'!$A$7:$A$306,Employees!$A$20,'Leave log'!$B$7:$B$306,"&lt;="&amp;DATE($B$3,10,12),'Leave log'!$C$7:$C$306,"&gt;="&amp;DATE($B$3,10,12),'Leave log'!$F$7:$F$306,"Pending")&gt;0,"P",""))))</f>
        <v/>
      </c>
      <c r="N327" s="23" t="str">
        <f>IF(A327="","",IF(IF(OR(DATE($B$3,10,13)&gt;EOMONTH(DATE($B$3,10,1),0),NETWORKDAYS.INTL(DATE($B$3,10,13),DATE($B$3,10,13),1,'Non-working days'!$A$6:$A$45)=0),"",IF(COUNTIFS('Leave log'!$A$7:$A$306,Employees!$A$20,'Leave log'!$B$7:$B$306,"&lt;="&amp;DATE($B$3,10,13),'Leave log'!$C$7:$C$306,"&gt;="&amp;DATE($B$3,10,13),'Leave log'!$F$7:$F$306,"Approved")&gt;0,"A",""))="A","A",IF(OR(DATE($B$3,10,13)&gt;EOMONTH(DATE($B$3,10,1),0),NETWORKDAYS.INTL(DATE($B$3,10,13),DATE($B$3,10,13),1,'Non-working days'!$A$6:$A$45)=0),"",IF(COUNTIFS('Leave log'!$A$7:$A$306,Employees!$A$20,'Leave log'!$B$7:$B$306,"&lt;="&amp;DATE($B$3,10,13),'Leave log'!$C$7:$C$306,"&gt;="&amp;DATE($B$3,10,13),'Leave log'!$F$7:$F$306,"Pending")&gt;0,"P",""))))</f>
        <v/>
      </c>
      <c r="O327" s="23" t="str">
        <f>IF(A327="","",IF(IF(OR(DATE($B$3,10,14)&gt;EOMONTH(DATE($B$3,10,1),0),NETWORKDAYS.INTL(DATE($B$3,10,14),DATE($B$3,10,14),1,'Non-working days'!$A$6:$A$45)=0),"",IF(COUNTIFS('Leave log'!$A$7:$A$306,Employees!$A$20,'Leave log'!$B$7:$B$306,"&lt;="&amp;DATE($B$3,10,14),'Leave log'!$C$7:$C$306,"&gt;="&amp;DATE($B$3,10,14),'Leave log'!$F$7:$F$306,"Approved")&gt;0,"A",""))="A","A",IF(OR(DATE($B$3,10,14)&gt;EOMONTH(DATE($B$3,10,1),0),NETWORKDAYS.INTL(DATE($B$3,10,14),DATE($B$3,10,14),1,'Non-working days'!$A$6:$A$45)=0),"",IF(COUNTIFS('Leave log'!$A$7:$A$306,Employees!$A$20,'Leave log'!$B$7:$B$306,"&lt;="&amp;DATE($B$3,10,14),'Leave log'!$C$7:$C$306,"&gt;="&amp;DATE($B$3,10,14),'Leave log'!$F$7:$F$306,"Pending")&gt;0,"P",""))))</f>
        <v/>
      </c>
      <c r="P327" s="23" t="str">
        <f>IF(A327="","",IF(IF(OR(DATE($B$3,10,15)&gt;EOMONTH(DATE($B$3,10,1),0),NETWORKDAYS.INTL(DATE($B$3,10,15),DATE($B$3,10,15),1,'Non-working days'!$A$6:$A$45)=0),"",IF(COUNTIFS('Leave log'!$A$7:$A$306,Employees!$A$20,'Leave log'!$B$7:$B$306,"&lt;="&amp;DATE($B$3,10,15),'Leave log'!$C$7:$C$306,"&gt;="&amp;DATE($B$3,10,15),'Leave log'!$F$7:$F$306,"Approved")&gt;0,"A",""))="A","A",IF(OR(DATE($B$3,10,15)&gt;EOMONTH(DATE($B$3,10,1),0),NETWORKDAYS.INTL(DATE($B$3,10,15),DATE($B$3,10,15),1,'Non-working days'!$A$6:$A$45)=0),"",IF(COUNTIFS('Leave log'!$A$7:$A$306,Employees!$A$20,'Leave log'!$B$7:$B$306,"&lt;="&amp;DATE($B$3,10,15),'Leave log'!$C$7:$C$306,"&gt;="&amp;DATE($B$3,10,15),'Leave log'!$F$7:$F$306,"Pending")&gt;0,"P",""))))</f>
        <v/>
      </c>
      <c r="Q327" s="23" t="str">
        <f>IF(A327="","",IF(IF(OR(DATE($B$3,10,16)&gt;EOMONTH(DATE($B$3,10,1),0),NETWORKDAYS.INTL(DATE($B$3,10,16),DATE($B$3,10,16),1,'Non-working days'!$A$6:$A$45)=0),"",IF(COUNTIFS('Leave log'!$A$7:$A$306,Employees!$A$20,'Leave log'!$B$7:$B$306,"&lt;="&amp;DATE($B$3,10,16),'Leave log'!$C$7:$C$306,"&gt;="&amp;DATE($B$3,10,16),'Leave log'!$F$7:$F$306,"Approved")&gt;0,"A",""))="A","A",IF(OR(DATE($B$3,10,16)&gt;EOMONTH(DATE($B$3,10,1),0),NETWORKDAYS.INTL(DATE($B$3,10,16),DATE($B$3,10,16),1,'Non-working days'!$A$6:$A$45)=0),"",IF(COUNTIFS('Leave log'!$A$7:$A$306,Employees!$A$20,'Leave log'!$B$7:$B$306,"&lt;="&amp;DATE($B$3,10,16),'Leave log'!$C$7:$C$306,"&gt;="&amp;DATE($B$3,10,16),'Leave log'!$F$7:$F$306,"Pending")&gt;0,"P",""))))</f>
        <v/>
      </c>
      <c r="R327" s="23" t="str">
        <f>IF(A327="","",IF(IF(OR(DATE($B$3,10,17)&gt;EOMONTH(DATE($B$3,10,1),0),NETWORKDAYS.INTL(DATE($B$3,10,17),DATE($B$3,10,17),1,'Non-working days'!$A$6:$A$45)=0),"",IF(COUNTIFS('Leave log'!$A$7:$A$306,Employees!$A$20,'Leave log'!$B$7:$B$306,"&lt;="&amp;DATE($B$3,10,17),'Leave log'!$C$7:$C$306,"&gt;="&amp;DATE($B$3,10,17),'Leave log'!$F$7:$F$306,"Approved")&gt;0,"A",""))="A","A",IF(OR(DATE($B$3,10,17)&gt;EOMONTH(DATE($B$3,10,1),0),NETWORKDAYS.INTL(DATE($B$3,10,17),DATE($B$3,10,17),1,'Non-working days'!$A$6:$A$45)=0),"",IF(COUNTIFS('Leave log'!$A$7:$A$306,Employees!$A$20,'Leave log'!$B$7:$B$306,"&lt;="&amp;DATE($B$3,10,17),'Leave log'!$C$7:$C$306,"&gt;="&amp;DATE($B$3,10,17),'Leave log'!$F$7:$F$306,"Pending")&gt;0,"P",""))))</f>
        <v/>
      </c>
      <c r="S327" s="23" t="str">
        <f>IF(A327="","",IF(IF(OR(DATE($B$3,10,18)&gt;EOMONTH(DATE($B$3,10,1),0),NETWORKDAYS.INTL(DATE($B$3,10,18),DATE($B$3,10,18),1,'Non-working days'!$A$6:$A$45)=0),"",IF(COUNTIFS('Leave log'!$A$7:$A$306,Employees!$A$20,'Leave log'!$B$7:$B$306,"&lt;="&amp;DATE($B$3,10,18),'Leave log'!$C$7:$C$306,"&gt;="&amp;DATE($B$3,10,18),'Leave log'!$F$7:$F$306,"Approved")&gt;0,"A",""))="A","A",IF(OR(DATE($B$3,10,18)&gt;EOMONTH(DATE($B$3,10,1),0),NETWORKDAYS.INTL(DATE($B$3,10,18),DATE($B$3,10,18),1,'Non-working days'!$A$6:$A$45)=0),"",IF(COUNTIFS('Leave log'!$A$7:$A$306,Employees!$A$20,'Leave log'!$B$7:$B$306,"&lt;="&amp;DATE($B$3,10,18),'Leave log'!$C$7:$C$306,"&gt;="&amp;DATE($B$3,10,18),'Leave log'!$F$7:$F$306,"Pending")&gt;0,"P",""))))</f>
        <v/>
      </c>
      <c r="T327" s="23" t="str">
        <f>IF(A327="","",IF(IF(OR(DATE($B$3,10,19)&gt;EOMONTH(DATE($B$3,10,1),0),NETWORKDAYS.INTL(DATE($B$3,10,19),DATE($B$3,10,19),1,'Non-working days'!$A$6:$A$45)=0),"",IF(COUNTIFS('Leave log'!$A$7:$A$306,Employees!$A$20,'Leave log'!$B$7:$B$306,"&lt;="&amp;DATE($B$3,10,19),'Leave log'!$C$7:$C$306,"&gt;="&amp;DATE($B$3,10,19),'Leave log'!$F$7:$F$306,"Approved")&gt;0,"A",""))="A","A",IF(OR(DATE($B$3,10,19)&gt;EOMONTH(DATE($B$3,10,1),0),NETWORKDAYS.INTL(DATE($B$3,10,19),DATE($B$3,10,19),1,'Non-working days'!$A$6:$A$45)=0),"",IF(COUNTIFS('Leave log'!$A$7:$A$306,Employees!$A$20,'Leave log'!$B$7:$B$306,"&lt;="&amp;DATE($B$3,10,19),'Leave log'!$C$7:$C$306,"&gt;="&amp;DATE($B$3,10,19),'Leave log'!$F$7:$F$306,"Pending")&gt;0,"P",""))))</f>
        <v/>
      </c>
      <c r="U327" s="23" t="str">
        <f>IF(A327="","",IF(IF(OR(DATE($B$3,10,20)&gt;EOMONTH(DATE($B$3,10,1),0),NETWORKDAYS.INTL(DATE($B$3,10,20),DATE($B$3,10,20),1,'Non-working days'!$A$6:$A$45)=0),"",IF(COUNTIFS('Leave log'!$A$7:$A$306,Employees!$A$20,'Leave log'!$B$7:$B$306,"&lt;="&amp;DATE($B$3,10,20),'Leave log'!$C$7:$C$306,"&gt;="&amp;DATE($B$3,10,20),'Leave log'!$F$7:$F$306,"Approved")&gt;0,"A",""))="A","A",IF(OR(DATE($B$3,10,20)&gt;EOMONTH(DATE($B$3,10,1),0),NETWORKDAYS.INTL(DATE($B$3,10,20),DATE($B$3,10,20),1,'Non-working days'!$A$6:$A$45)=0),"",IF(COUNTIFS('Leave log'!$A$7:$A$306,Employees!$A$20,'Leave log'!$B$7:$B$306,"&lt;="&amp;DATE($B$3,10,20),'Leave log'!$C$7:$C$306,"&gt;="&amp;DATE($B$3,10,20),'Leave log'!$F$7:$F$306,"Pending")&gt;0,"P",""))))</f>
        <v/>
      </c>
      <c r="V327" s="23" t="str">
        <f>IF(A327="","",IF(IF(OR(DATE($B$3,10,21)&gt;EOMONTH(DATE($B$3,10,1),0),NETWORKDAYS.INTL(DATE($B$3,10,21),DATE($B$3,10,21),1,'Non-working days'!$A$6:$A$45)=0),"",IF(COUNTIFS('Leave log'!$A$7:$A$306,Employees!$A$20,'Leave log'!$B$7:$B$306,"&lt;="&amp;DATE($B$3,10,21),'Leave log'!$C$7:$C$306,"&gt;="&amp;DATE($B$3,10,21),'Leave log'!$F$7:$F$306,"Approved")&gt;0,"A",""))="A","A",IF(OR(DATE($B$3,10,21)&gt;EOMONTH(DATE($B$3,10,1),0),NETWORKDAYS.INTL(DATE($B$3,10,21),DATE($B$3,10,21),1,'Non-working days'!$A$6:$A$45)=0),"",IF(COUNTIFS('Leave log'!$A$7:$A$306,Employees!$A$20,'Leave log'!$B$7:$B$306,"&lt;="&amp;DATE($B$3,10,21),'Leave log'!$C$7:$C$306,"&gt;="&amp;DATE($B$3,10,21),'Leave log'!$F$7:$F$306,"Pending")&gt;0,"P",""))))</f>
        <v/>
      </c>
      <c r="W327" s="23" t="str">
        <f>IF(A327="","",IF(IF(OR(DATE($B$3,10,22)&gt;EOMONTH(DATE($B$3,10,1),0),NETWORKDAYS.INTL(DATE($B$3,10,22),DATE($B$3,10,22),1,'Non-working days'!$A$6:$A$45)=0),"",IF(COUNTIFS('Leave log'!$A$7:$A$306,Employees!$A$20,'Leave log'!$B$7:$B$306,"&lt;="&amp;DATE($B$3,10,22),'Leave log'!$C$7:$C$306,"&gt;="&amp;DATE($B$3,10,22),'Leave log'!$F$7:$F$306,"Approved")&gt;0,"A",""))="A","A",IF(OR(DATE($B$3,10,22)&gt;EOMONTH(DATE($B$3,10,1),0),NETWORKDAYS.INTL(DATE($B$3,10,22),DATE($B$3,10,22),1,'Non-working days'!$A$6:$A$45)=0),"",IF(COUNTIFS('Leave log'!$A$7:$A$306,Employees!$A$20,'Leave log'!$B$7:$B$306,"&lt;="&amp;DATE($B$3,10,22),'Leave log'!$C$7:$C$306,"&gt;="&amp;DATE($B$3,10,22),'Leave log'!$F$7:$F$306,"Pending")&gt;0,"P",""))))</f>
        <v/>
      </c>
      <c r="X327" s="23" t="str">
        <f>IF(A327="","",IF(IF(OR(DATE($B$3,10,23)&gt;EOMONTH(DATE($B$3,10,1),0),NETWORKDAYS.INTL(DATE($B$3,10,23),DATE($B$3,10,23),1,'Non-working days'!$A$6:$A$45)=0),"",IF(COUNTIFS('Leave log'!$A$7:$A$306,Employees!$A$20,'Leave log'!$B$7:$B$306,"&lt;="&amp;DATE($B$3,10,23),'Leave log'!$C$7:$C$306,"&gt;="&amp;DATE($B$3,10,23),'Leave log'!$F$7:$F$306,"Approved")&gt;0,"A",""))="A","A",IF(OR(DATE($B$3,10,23)&gt;EOMONTH(DATE($B$3,10,1),0),NETWORKDAYS.INTL(DATE($B$3,10,23),DATE($B$3,10,23),1,'Non-working days'!$A$6:$A$45)=0),"",IF(COUNTIFS('Leave log'!$A$7:$A$306,Employees!$A$20,'Leave log'!$B$7:$B$306,"&lt;="&amp;DATE($B$3,10,23),'Leave log'!$C$7:$C$306,"&gt;="&amp;DATE($B$3,10,23),'Leave log'!$F$7:$F$306,"Pending")&gt;0,"P",""))))</f>
        <v/>
      </c>
      <c r="Y327" s="23" t="str">
        <f>IF(A327="","",IF(IF(OR(DATE($B$3,10,24)&gt;EOMONTH(DATE($B$3,10,1),0),NETWORKDAYS.INTL(DATE($B$3,10,24),DATE($B$3,10,24),1,'Non-working days'!$A$6:$A$45)=0),"",IF(COUNTIFS('Leave log'!$A$7:$A$306,Employees!$A$20,'Leave log'!$B$7:$B$306,"&lt;="&amp;DATE($B$3,10,24),'Leave log'!$C$7:$C$306,"&gt;="&amp;DATE($B$3,10,24),'Leave log'!$F$7:$F$306,"Approved")&gt;0,"A",""))="A","A",IF(OR(DATE($B$3,10,24)&gt;EOMONTH(DATE($B$3,10,1),0),NETWORKDAYS.INTL(DATE($B$3,10,24),DATE($B$3,10,24),1,'Non-working days'!$A$6:$A$45)=0),"",IF(COUNTIFS('Leave log'!$A$7:$A$306,Employees!$A$20,'Leave log'!$B$7:$B$306,"&lt;="&amp;DATE($B$3,10,24),'Leave log'!$C$7:$C$306,"&gt;="&amp;DATE($B$3,10,24),'Leave log'!$F$7:$F$306,"Pending")&gt;0,"P",""))))</f>
        <v/>
      </c>
      <c r="Z327" s="23" t="str">
        <f>IF(A327="","",IF(IF(OR(DATE($B$3,10,25)&gt;EOMONTH(DATE($B$3,10,1),0),NETWORKDAYS.INTL(DATE($B$3,10,25),DATE($B$3,10,25),1,'Non-working days'!$A$6:$A$45)=0),"",IF(COUNTIFS('Leave log'!$A$7:$A$306,Employees!$A$20,'Leave log'!$B$7:$B$306,"&lt;="&amp;DATE($B$3,10,25),'Leave log'!$C$7:$C$306,"&gt;="&amp;DATE($B$3,10,25),'Leave log'!$F$7:$F$306,"Approved")&gt;0,"A",""))="A","A",IF(OR(DATE($B$3,10,25)&gt;EOMONTH(DATE($B$3,10,1),0),NETWORKDAYS.INTL(DATE($B$3,10,25),DATE($B$3,10,25),1,'Non-working days'!$A$6:$A$45)=0),"",IF(COUNTIFS('Leave log'!$A$7:$A$306,Employees!$A$20,'Leave log'!$B$7:$B$306,"&lt;="&amp;DATE($B$3,10,25),'Leave log'!$C$7:$C$306,"&gt;="&amp;DATE($B$3,10,25),'Leave log'!$F$7:$F$306,"Pending")&gt;0,"P",""))))</f>
        <v/>
      </c>
      <c r="AA327" s="23" t="str">
        <f>IF(A327="","",IF(IF(OR(DATE($B$3,10,26)&gt;EOMONTH(DATE($B$3,10,1),0),NETWORKDAYS.INTL(DATE($B$3,10,26),DATE($B$3,10,26),1,'Non-working days'!$A$6:$A$45)=0),"",IF(COUNTIFS('Leave log'!$A$7:$A$306,Employees!$A$20,'Leave log'!$B$7:$B$306,"&lt;="&amp;DATE($B$3,10,26),'Leave log'!$C$7:$C$306,"&gt;="&amp;DATE($B$3,10,26),'Leave log'!$F$7:$F$306,"Approved")&gt;0,"A",""))="A","A",IF(OR(DATE($B$3,10,26)&gt;EOMONTH(DATE($B$3,10,1),0),NETWORKDAYS.INTL(DATE($B$3,10,26),DATE($B$3,10,26),1,'Non-working days'!$A$6:$A$45)=0),"",IF(COUNTIFS('Leave log'!$A$7:$A$306,Employees!$A$20,'Leave log'!$B$7:$B$306,"&lt;="&amp;DATE($B$3,10,26),'Leave log'!$C$7:$C$306,"&gt;="&amp;DATE($B$3,10,26),'Leave log'!$F$7:$F$306,"Pending")&gt;0,"P",""))))</f>
        <v/>
      </c>
      <c r="AB327" s="23" t="str">
        <f>IF(A327="","",IF(IF(OR(DATE($B$3,10,27)&gt;EOMONTH(DATE($B$3,10,1),0),NETWORKDAYS.INTL(DATE($B$3,10,27),DATE($B$3,10,27),1,'Non-working days'!$A$6:$A$45)=0),"",IF(COUNTIFS('Leave log'!$A$7:$A$306,Employees!$A$20,'Leave log'!$B$7:$B$306,"&lt;="&amp;DATE($B$3,10,27),'Leave log'!$C$7:$C$306,"&gt;="&amp;DATE($B$3,10,27),'Leave log'!$F$7:$F$306,"Approved")&gt;0,"A",""))="A","A",IF(OR(DATE($B$3,10,27)&gt;EOMONTH(DATE($B$3,10,1),0),NETWORKDAYS.INTL(DATE($B$3,10,27),DATE($B$3,10,27),1,'Non-working days'!$A$6:$A$45)=0),"",IF(COUNTIFS('Leave log'!$A$7:$A$306,Employees!$A$20,'Leave log'!$B$7:$B$306,"&lt;="&amp;DATE($B$3,10,27),'Leave log'!$C$7:$C$306,"&gt;="&amp;DATE($B$3,10,27),'Leave log'!$F$7:$F$306,"Pending")&gt;0,"P",""))))</f>
        <v/>
      </c>
      <c r="AC327" s="23" t="str">
        <f>IF(A327="","",IF(IF(OR(DATE($B$3,10,28)&gt;EOMONTH(DATE($B$3,10,1),0),NETWORKDAYS.INTL(DATE($B$3,10,28),DATE($B$3,10,28),1,'Non-working days'!$A$6:$A$45)=0),"",IF(COUNTIFS('Leave log'!$A$7:$A$306,Employees!$A$20,'Leave log'!$B$7:$B$306,"&lt;="&amp;DATE($B$3,10,28),'Leave log'!$C$7:$C$306,"&gt;="&amp;DATE($B$3,10,28),'Leave log'!$F$7:$F$306,"Approved")&gt;0,"A",""))="A","A",IF(OR(DATE($B$3,10,28)&gt;EOMONTH(DATE($B$3,10,1),0),NETWORKDAYS.INTL(DATE($B$3,10,28),DATE($B$3,10,28),1,'Non-working days'!$A$6:$A$45)=0),"",IF(COUNTIFS('Leave log'!$A$7:$A$306,Employees!$A$20,'Leave log'!$B$7:$B$306,"&lt;="&amp;DATE($B$3,10,28),'Leave log'!$C$7:$C$306,"&gt;="&amp;DATE($B$3,10,28),'Leave log'!$F$7:$F$306,"Pending")&gt;0,"P",""))))</f>
        <v/>
      </c>
      <c r="AD327" s="23" t="str">
        <f>IF(A327="","",IF(IF(OR(DATE($B$3,10,29)&gt;EOMONTH(DATE($B$3,10,1),0),NETWORKDAYS.INTL(DATE($B$3,10,29),DATE($B$3,10,29),1,'Non-working days'!$A$6:$A$45)=0),"",IF(COUNTIFS('Leave log'!$A$7:$A$306,Employees!$A$20,'Leave log'!$B$7:$B$306,"&lt;="&amp;DATE($B$3,10,29),'Leave log'!$C$7:$C$306,"&gt;="&amp;DATE($B$3,10,29),'Leave log'!$F$7:$F$306,"Approved")&gt;0,"A",""))="A","A",IF(OR(DATE($B$3,10,29)&gt;EOMONTH(DATE($B$3,10,1),0),NETWORKDAYS.INTL(DATE($B$3,10,29),DATE($B$3,10,29),1,'Non-working days'!$A$6:$A$45)=0),"",IF(COUNTIFS('Leave log'!$A$7:$A$306,Employees!$A$20,'Leave log'!$B$7:$B$306,"&lt;="&amp;DATE($B$3,10,29),'Leave log'!$C$7:$C$306,"&gt;="&amp;DATE($B$3,10,29),'Leave log'!$F$7:$F$306,"Pending")&gt;0,"P",""))))</f>
        <v/>
      </c>
      <c r="AE327" s="23" t="str">
        <f>IF(A327="","",IF(IF(OR(DATE($B$3,10,30)&gt;EOMONTH(DATE($B$3,10,1),0),NETWORKDAYS.INTL(DATE($B$3,10,30),DATE($B$3,10,30),1,'Non-working days'!$A$6:$A$45)=0),"",IF(COUNTIFS('Leave log'!$A$7:$A$306,Employees!$A$20,'Leave log'!$B$7:$B$306,"&lt;="&amp;DATE($B$3,10,30),'Leave log'!$C$7:$C$306,"&gt;="&amp;DATE($B$3,10,30),'Leave log'!$F$7:$F$306,"Approved")&gt;0,"A",""))="A","A",IF(OR(DATE($B$3,10,30)&gt;EOMONTH(DATE($B$3,10,1),0),NETWORKDAYS.INTL(DATE($B$3,10,30),DATE($B$3,10,30),1,'Non-working days'!$A$6:$A$45)=0),"",IF(COUNTIFS('Leave log'!$A$7:$A$306,Employees!$A$20,'Leave log'!$B$7:$B$306,"&lt;="&amp;DATE($B$3,10,30),'Leave log'!$C$7:$C$306,"&gt;="&amp;DATE($B$3,10,30),'Leave log'!$F$7:$F$306,"Pending")&gt;0,"P",""))))</f>
        <v/>
      </c>
      <c r="AF327" s="23" t="str">
        <f>IF(A327="","",IF(IF(OR(DATE($B$3,10,31)&gt;EOMONTH(DATE($B$3,10,1),0),NETWORKDAYS.INTL(DATE($B$3,10,31),DATE($B$3,10,31),1,'Non-working days'!$A$6:$A$45)=0),"",IF(COUNTIFS('Leave log'!$A$7:$A$306,Employees!$A$20,'Leave log'!$B$7:$B$306,"&lt;="&amp;DATE($B$3,10,31),'Leave log'!$C$7:$C$306,"&gt;="&amp;DATE($B$3,10,31),'Leave log'!$F$7:$F$306,"Approved")&gt;0,"A",""))="A","A",IF(OR(DATE($B$3,10,31)&gt;EOMONTH(DATE($B$3,10,1),0),NETWORKDAYS.INTL(DATE($B$3,10,31),DATE($B$3,10,31),1,'Non-working days'!$A$6:$A$45)=0),"",IF(COUNTIFS('Leave log'!$A$7:$A$306,Employees!$A$20,'Leave log'!$B$7:$B$306,"&lt;="&amp;DATE($B$3,10,31),'Leave log'!$C$7:$C$306,"&gt;="&amp;DATE($B$3,10,31),'Leave log'!$F$7:$F$306,"Pending")&gt;0,"P",""))))</f>
        <v/>
      </c>
    </row>
    <row r="328" spans="1:32" ht="18" customHeight="1" x14ac:dyDescent="0.3">
      <c r="A328" s="22" t="str">
        <f>IF(Employees!F21="Yes",Employees!B21,"")</f>
        <v/>
      </c>
      <c r="B328" s="23" t="str">
        <f>IF(A328="","",IF(IF(OR(DATE($B$3,10,1)&gt;EOMONTH(DATE($B$3,10,1),0),NETWORKDAYS.INTL(DATE($B$3,10,1),DATE($B$3,10,1),1,'Non-working days'!$A$6:$A$45)=0),"",IF(COUNTIFS('Leave log'!$A$7:$A$306,Employees!$A$21,'Leave log'!$B$7:$B$306,"&lt;="&amp;DATE($B$3,10,1),'Leave log'!$C$7:$C$306,"&gt;="&amp;DATE($B$3,10,1),'Leave log'!$F$7:$F$306,"Approved")&gt;0,"A",""))="A","A",IF(OR(DATE($B$3,10,1)&gt;EOMONTH(DATE($B$3,10,1),0),NETWORKDAYS.INTL(DATE($B$3,10,1),DATE($B$3,10,1),1,'Non-working days'!$A$6:$A$45)=0),"",IF(COUNTIFS('Leave log'!$A$7:$A$306,Employees!$A$21,'Leave log'!$B$7:$B$306,"&lt;="&amp;DATE($B$3,10,1),'Leave log'!$C$7:$C$306,"&gt;="&amp;DATE($B$3,10,1),'Leave log'!$F$7:$F$306,"Pending")&gt;0,"P",""))))</f>
        <v/>
      </c>
      <c r="C328" s="23" t="str">
        <f>IF(A328="","",IF(IF(OR(DATE($B$3,10,2)&gt;EOMONTH(DATE($B$3,10,1),0),NETWORKDAYS.INTL(DATE($B$3,10,2),DATE($B$3,10,2),1,'Non-working days'!$A$6:$A$45)=0),"",IF(COUNTIFS('Leave log'!$A$7:$A$306,Employees!$A$21,'Leave log'!$B$7:$B$306,"&lt;="&amp;DATE($B$3,10,2),'Leave log'!$C$7:$C$306,"&gt;="&amp;DATE($B$3,10,2),'Leave log'!$F$7:$F$306,"Approved")&gt;0,"A",""))="A","A",IF(OR(DATE($B$3,10,2)&gt;EOMONTH(DATE($B$3,10,1),0),NETWORKDAYS.INTL(DATE($B$3,10,2),DATE($B$3,10,2),1,'Non-working days'!$A$6:$A$45)=0),"",IF(COUNTIFS('Leave log'!$A$7:$A$306,Employees!$A$21,'Leave log'!$B$7:$B$306,"&lt;="&amp;DATE($B$3,10,2),'Leave log'!$C$7:$C$306,"&gt;="&amp;DATE($B$3,10,2),'Leave log'!$F$7:$F$306,"Pending")&gt;0,"P",""))))</f>
        <v/>
      </c>
      <c r="D328" s="23" t="str">
        <f>IF(A328="","",IF(IF(OR(DATE($B$3,10,3)&gt;EOMONTH(DATE($B$3,10,1),0),NETWORKDAYS.INTL(DATE($B$3,10,3),DATE($B$3,10,3),1,'Non-working days'!$A$6:$A$45)=0),"",IF(COUNTIFS('Leave log'!$A$7:$A$306,Employees!$A$21,'Leave log'!$B$7:$B$306,"&lt;="&amp;DATE($B$3,10,3),'Leave log'!$C$7:$C$306,"&gt;="&amp;DATE($B$3,10,3),'Leave log'!$F$7:$F$306,"Approved")&gt;0,"A",""))="A","A",IF(OR(DATE($B$3,10,3)&gt;EOMONTH(DATE($B$3,10,1),0),NETWORKDAYS.INTL(DATE($B$3,10,3),DATE($B$3,10,3),1,'Non-working days'!$A$6:$A$45)=0),"",IF(COUNTIFS('Leave log'!$A$7:$A$306,Employees!$A$21,'Leave log'!$B$7:$B$306,"&lt;="&amp;DATE($B$3,10,3),'Leave log'!$C$7:$C$306,"&gt;="&amp;DATE($B$3,10,3),'Leave log'!$F$7:$F$306,"Pending")&gt;0,"P",""))))</f>
        <v/>
      </c>
      <c r="E328" s="23" t="str">
        <f>IF(A328="","",IF(IF(OR(DATE($B$3,10,4)&gt;EOMONTH(DATE($B$3,10,1),0),NETWORKDAYS.INTL(DATE($B$3,10,4),DATE($B$3,10,4),1,'Non-working days'!$A$6:$A$45)=0),"",IF(COUNTIFS('Leave log'!$A$7:$A$306,Employees!$A$21,'Leave log'!$B$7:$B$306,"&lt;="&amp;DATE($B$3,10,4),'Leave log'!$C$7:$C$306,"&gt;="&amp;DATE($B$3,10,4),'Leave log'!$F$7:$F$306,"Approved")&gt;0,"A",""))="A","A",IF(OR(DATE($B$3,10,4)&gt;EOMONTH(DATE($B$3,10,1),0),NETWORKDAYS.INTL(DATE($B$3,10,4),DATE($B$3,10,4),1,'Non-working days'!$A$6:$A$45)=0),"",IF(COUNTIFS('Leave log'!$A$7:$A$306,Employees!$A$21,'Leave log'!$B$7:$B$306,"&lt;="&amp;DATE($B$3,10,4),'Leave log'!$C$7:$C$306,"&gt;="&amp;DATE($B$3,10,4),'Leave log'!$F$7:$F$306,"Pending")&gt;0,"P",""))))</f>
        <v/>
      </c>
      <c r="F328" s="23" t="str">
        <f>IF(A328="","",IF(IF(OR(DATE($B$3,10,5)&gt;EOMONTH(DATE($B$3,10,1),0),NETWORKDAYS.INTL(DATE($B$3,10,5),DATE($B$3,10,5),1,'Non-working days'!$A$6:$A$45)=0),"",IF(COUNTIFS('Leave log'!$A$7:$A$306,Employees!$A$21,'Leave log'!$B$7:$B$306,"&lt;="&amp;DATE($B$3,10,5),'Leave log'!$C$7:$C$306,"&gt;="&amp;DATE($B$3,10,5),'Leave log'!$F$7:$F$306,"Approved")&gt;0,"A",""))="A","A",IF(OR(DATE($B$3,10,5)&gt;EOMONTH(DATE($B$3,10,1),0),NETWORKDAYS.INTL(DATE($B$3,10,5),DATE($B$3,10,5),1,'Non-working days'!$A$6:$A$45)=0),"",IF(COUNTIFS('Leave log'!$A$7:$A$306,Employees!$A$21,'Leave log'!$B$7:$B$306,"&lt;="&amp;DATE($B$3,10,5),'Leave log'!$C$7:$C$306,"&gt;="&amp;DATE($B$3,10,5),'Leave log'!$F$7:$F$306,"Pending")&gt;0,"P",""))))</f>
        <v/>
      </c>
      <c r="G328" s="23" t="str">
        <f>IF(A328="","",IF(IF(OR(DATE($B$3,10,6)&gt;EOMONTH(DATE($B$3,10,1),0),NETWORKDAYS.INTL(DATE($B$3,10,6),DATE($B$3,10,6),1,'Non-working days'!$A$6:$A$45)=0),"",IF(COUNTIFS('Leave log'!$A$7:$A$306,Employees!$A$21,'Leave log'!$B$7:$B$306,"&lt;="&amp;DATE($B$3,10,6),'Leave log'!$C$7:$C$306,"&gt;="&amp;DATE($B$3,10,6),'Leave log'!$F$7:$F$306,"Approved")&gt;0,"A",""))="A","A",IF(OR(DATE($B$3,10,6)&gt;EOMONTH(DATE($B$3,10,1),0),NETWORKDAYS.INTL(DATE($B$3,10,6),DATE($B$3,10,6),1,'Non-working days'!$A$6:$A$45)=0),"",IF(COUNTIFS('Leave log'!$A$7:$A$306,Employees!$A$21,'Leave log'!$B$7:$B$306,"&lt;="&amp;DATE($B$3,10,6),'Leave log'!$C$7:$C$306,"&gt;="&amp;DATE($B$3,10,6),'Leave log'!$F$7:$F$306,"Pending")&gt;0,"P",""))))</f>
        <v/>
      </c>
      <c r="H328" s="23" t="str">
        <f>IF(A328="","",IF(IF(OR(DATE($B$3,10,7)&gt;EOMONTH(DATE($B$3,10,1),0),NETWORKDAYS.INTL(DATE($B$3,10,7),DATE($B$3,10,7),1,'Non-working days'!$A$6:$A$45)=0),"",IF(COUNTIFS('Leave log'!$A$7:$A$306,Employees!$A$21,'Leave log'!$B$7:$B$306,"&lt;="&amp;DATE($B$3,10,7),'Leave log'!$C$7:$C$306,"&gt;="&amp;DATE($B$3,10,7),'Leave log'!$F$7:$F$306,"Approved")&gt;0,"A",""))="A","A",IF(OR(DATE($B$3,10,7)&gt;EOMONTH(DATE($B$3,10,1),0),NETWORKDAYS.INTL(DATE($B$3,10,7),DATE($B$3,10,7),1,'Non-working days'!$A$6:$A$45)=0),"",IF(COUNTIFS('Leave log'!$A$7:$A$306,Employees!$A$21,'Leave log'!$B$7:$B$306,"&lt;="&amp;DATE($B$3,10,7),'Leave log'!$C$7:$C$306,"&gt;="&amp;DATE($B$3,10,7),'Leave log'!$F$7:$F$306,"Pending")&gt;0,"P",""))))</f>
        <v/>
      </c>
      <c r="I328" s="23" t="str">
        <f>IF(A328="","",IF(IF(OR(DATE($B$3,10,8)&gt;EOMONTH(DATE($B$3,10,1),0),NETWORKDAYS.INTL(DATE($B$3,10,8),DATE($B$3,10,8),1,'Non-working days'!$A$6:$A$45)=0),"",IF(COUNTIFS('Leave log'!$A$7:$A$306,Employees!$A$21,'Leave log'!$B$7:$B$306,"&lt;="&amp;DATE($B$3,10,8),'Leave log'!$C$7:$C$306,"&gt;="&amp;DATE($B$3,10,8),'Leave log'!$F$7:$F$306,"Approved")&gt;0,"A",""))="A","A",IF(OR(DATE($B$3,10,8)&gt;EOMONTH(DATE($B$3,10,1),0),NETWORKDAYS.INTL(DATE($B$3,10,8),DATE($B$3,10,8),1,'Non-working days'!$A$6:$A$45)=0),"",IF(COUNTIFS('Leave log'!$A$7:$A$306,Employees!$A$21,'Leave log'!$B$7:$B$306,"&lt;="&amp;DATE($B$3,10,8),'Leave log'!$C$7:$C$306,"&gt;="&amp;DATE($B$3,10,8),'Leave log'!$F$7:$F$306,"Pending")&gt;0,"P",""))))</f>
        <v/>
      </c>
      <c r="J328" s="23" t="str">
        <f>IF(A328="","",IF(IF(OR(DATE($B$3,10,9)&gt;EOMONTH(DATE($B$3,10,1),0),NETWORKDAYS.INTL(DATE($B$3,10,9),DATE($B$3,10,9),1,'Non-working days'!$A$6:$A$45)=0),"",IF(COUNTIFS('Leave log'!$A$7:$A$306,Employees!$A$21,'Leave log'!$B$7:$B$306,"&lt;="&amp;DATE($B$3,10,9),'Leave log'!$C$7:$C$306,"&gt;="&amp;DATE($B$3,10,9),'Leave log'!$F$7:$F$306,"Approved")&gt;0,"A",""))="A","A",IF(OR(DATE($B$3,10,9)&gt;EOMONTH(DATE($B$3,10,1),0),NETWORKDAYS.INTL(DATE($B$3,10,9),DATE($B$3,10,9),1,'Non-working days'!$A$6:$A$45)=0),"",IF(COUNTIFS('Leave log'!$A$7:$A$306,Employees!$A$21,'Leave log'!$B$7:$B$306,"&lt;="&amp;DATE($B$3,10,9),'Leave log'!$C$7:$C$306,"&gt;="&amp;DATE($B$3,10,9),'Leave log'!$F$7:$F$306,"Pending")&gt;0,"P",""))))</f>
        <v/>
      </c>
      <c r="K328" s="23" t="str">
        <f>IF(A328="","",IF(IF(OR(DATE($B$3,10,10)&gt;EOMONTH(DATE($B$3,10,1),0),NETWORKDAYS.INTL(DATE($B$3,10,10),DATE($B$3,10,10),1,'Non-working days'!$A$6:$A$45)=0),"",IF(COUNTIFS('Leave log'!$A$7:$A$306,Employees!$A$21,'Leave log'!$B$7:$B$306,"&lt;="&amp;DATE($B$3,10,10),'Leave log'!$C$7:$C$306,"&gt;="&amp;DATE($B$3,10,10),'Leave log'!$F$7:$F$306,"Approved")&gt;0,"A",""))="A","A",IF(OR(DATE($B$3,10,10)&gt;EOMONTH(DATE($B$3,10,1),0),NETWORKDAYS.INTL(DATE($B$3,10,10),DATE($B$3,10,10),1,'Non-working days'!$A$6:$A$45)=0),"",IF(COUNTIFS('Leave log'!$A$7:$A$306,Employees!$A$21,'Leave log'!$B$7:$B$306,"&lt;="&amp;DATE($B$3,10,10),'Leave log'!$C$7:$C$306,"&gt;="&amp;DATE($B$3,10,10),'Leave log'!$F$7:$F$306,"Pending")&gt;0,"P",""))))</f>
        <v/>
      </c>
      <c r="L328" s="23" t="str">
        <f>IF(A328="","",IF(IF(OR(DATE($B$3,10,11)&gt;EOMONTH(DATE($B$3,10,1),0),NETWORKDAYS.INTL(DATE($B$3,10,11),DATE($B$3,10,11),1,'Non-working days'!$A$6:$A$45)=0),"",IF(COUNTIFS('Leave log'!$A$7:$A$306,Employees!$A$21,'Leave log'!$B$7:$B$306,"&lt;="&amp;DATE($B$3,10,11),'Leave log'!$C$7:$C$306,"&gt;="&amp;DATE($B$3,10,11),'Leave log'!$F$7:$F$306,"Approved")&gt;0,"A",""))="A","A",IF(OR(DATE($B$3,10,11)&gt;EOMONTH(DATE($B$3,10,1),0),NETWORKDAYS.INTL(DATE($B$3,10,11),DATE($B$3,10,11),1,'Non-working days'!$A$6:$A$45)=0),"",IF(COUNTIFS('Leave log'!$A$7:$A$306,Employees!$A$21,'Leave log'!$B$7:$B$306,"&lt;="&amp;DATE($B$3,10,11),'Leave log'!$C$7:$C$306,"&gt;="&amp;DATE($B$3,10,11),'Leave log'!$F$7:$F$306,"Pending")&gt;0,"P",""))))</f>
        <v/>
      </c>
      <c r="M328" s="23" t="str">
        <f>IF(A328="","",IF(IF(OR(DATE($B$3,10,12)&gt;EOMONTH(DATE($B$3,10,1),0),NETWORKDAYS.INTL(DATE($B$3,10,12),DATE($B$3,10,12),1,'Non-working days'!$A$6:$A$45)=0),"",IF(COUNTIFS('Leave log'!$A$7:$A$306,Employees!$A$21,'Leave log'!$B$7:$B$306,"&lt;="&amp;DATE($B$3,10,12),'Leave log'!$C$7:$C$306,"&gt;="&amp;DATE($B$3,10,12),'Leave log'!$F$7:$F$306,"Approved")&gt;0,"A",""))="A","A",IF(OR(DATE($B$3,10,12)&gt;EOMONTH(DATE($B$3,10,1),0),NETWORKDAYS.INTL(DATE($B$3,10,12),DATE($B$3,10,12),1,'Non-working days'!$A$6:$A$45)=0),"",IF(COUNTIFS('Leave log'!$A$7:$A$306,Employees!$A$21,'Leave log'!$B$7:$B$306,"&lt;="&amp;DATE($B$3,10,12),'Leave log'!$C$7:$C$306,"&gt;="&amp;DATE($B$3,10,12),'Leave log'!$F$7:$F$306,"Pending")&gt;0,"P",""))))</f>
        <v/>
      </c>
      <c r="N328" s="23" t="str">
        <f>IF(A328="","",IF(IF(OR(DATE($B$3,10,13)&gt;EOMONTH(DATE($B$3,10,1),0),NETWORKDAYS.INTL(DATE($B$3,10,13),DATE($B$3,10,13),1,'Non-working days'!$A$6:$A$45)=0),"",IF(COUNTIFS('Leave log'!$A$7:$A$306,Employees!$A$21,'Leave log'!$B$7:$B$306,"&lt;="&amp;DATE($B$3,10,13),'Leave log'!$C$7:$C$306,"&gt;="&amp;DATE($B$3,10,13),'Leave log'!$F$7:$F$306,"Approved")&gt;0,"A",""))="A","A",IF(OR(DATE($B$3,10,13)&gt;EOMONTH(DATE($B$3,10,1),0),NETWORKDAYS.INTL(DATE($B$3,10,13),DATE($B$3,10,13),1,'Non-working days'!$A$6:$A$45)=0),"",IF(COUNTIFS('Leave log'!$A$7:$A$306,Employees!$A$21,'Leave log'!$B$7:$B$306,"&lt;="&amp;DATE($B$3,10,13),'Leave log'!$C$7:$C$306,"&gt;="&amp;DATE($B$3,10,13),'Leave log'!$F$7:$F$306,"Pending")&gt;0,"P",""))))</f>
        <v/>
      </c>
      <c r="O328" s="23" t="str">
        <f>IF(A328="","",IF(IF(OR(DATE($B$3,10,14)&gt;EOMONTH(DATE($B$3,10,1),0),NETWORKDAYS.INTL(DATE($B$3,10,14),DATE($B$3,10,14),1,'Non-working days'!$A$6:$A$45)=0),"",IF(COUNTIFS('Leave log'!$A$7:$A$306,Employees!$A$21,'Leave log'!$B$7:$B$306,"&lt;="&amp;DATE($B$3,10,14),'Leave log'!$C$7:$C$306,"&gt;="&amp;DATE($B$3,10,14),'Leave log'!$F$7:$F$306,"Approved")&gt;0,"A",""))="A","A",IF(OR(DATE($B$3,10,14)&gt;EOMONTH(DATE($B$3,10,1),0),NETWORKDAYS.INTL(DATE($B$3,10,14),DATE($B$3,10,14),1,'Non-working days'!$A$6:$A$45)=0),"",IF(COUNTIFS('Leave log'!$A$7:$A$306,Employees!$A$21,'Leave log'!$B$7:$B$306,"&lt;="&amp;DATE($B$3,10,14),'Leave log'!$C$7:$C$306,"&gt;="&amp;DATE($B$3,10,14),'Leave log'!$F$7:$F$306,"Pending")&gt;0,"P",""))))</f>
        <v/>
      </c>
      <c r="P328" s="23" t="str">
        <f>IF(A328="","",IF(IF(OR(DATE($B$3,10,15)&gt;EOMONTH(DATE($B$3,10,1),0),NETWORKDAYS.INTL(DATE($B$3,10,15),DATE($B$3,10,15),1,'Non-working days'!$A$6:$A$45)=0),"",IF(COUNTIFS('Leave log'!$A$7:$A$306,Employees!$A$21,'Leave log'!$B$7:$B$306,"&lt;="&amp;DATE($B$3,10,15),'Leave log'!$C$7:$C$306,"&gt;="&amp;DATE($B$3,10,15),'Leave log'!$F$7:$F$306,"Approved")&gt;0,"A",""))="A","A",IF(OR(DATE($B$3,10,15)&gt;EOMONTH(DATE($B$3,10,1),0),NETWORKDAYS.INTL(DATE($B$3,10,15),DATE($B$3,10,15),1,'Non-working days'!$A$6:$A$45)=0),"",IF(COUNTIFS('Leave log'!$A$7:$A$306,Employees!$A$21,'Leave log'!$B$7:$B$306,"&lt;="&amp;DATE($B$3,10,15),'Leave log'!$C$7:$C$306,"&gt;="&amp;DATE($B$3,10,15),'Leave log'!$F$7:$F$306,"Pending")&gt;0,"P",""))))</f>
        <v/>
      </c>
      <c r="Q328" s="23" t="str">
        <f>IF(A328="","",IF(IF(OR(DATE($B$3,10,16)&gt;EOMONTH(DATE($B$3,10,1),0),NETWORKDAYS.INTL(DATE($B$3,10,16),DATE($B$3,10,16),1,'Non-working days'!$A$6:$A$45)=0),"",IF(COUNTIFS('Leave log'!$A$7:$A$306,Employees!$A$21,'Leave log'!$B$7:$B$306,"&lt;="&amp;DATE($B$3,10,16),'Leave log'!$C$7:$C$306,"&gt;="&amp;DATE($B$3,10,16),'Leave log'!$F$7:$F$306,"Approved")&gt;0,"A",""))="A","A",IF(OR(DATE($B$3,10,16)&gt;EOMONTH(DATE($B$3,10,1),0),NETWORKDAYS.INTL(DATE($B$3,10,16),DATE($B$3,10,16),1,'Non-working days'!$A$6:$A$45)=0),"",IF(COUNTIFS('Leave log'!$A$7:$A$306,Employees!$A$21,'Leave log'!$B$7:$B$306,"&lt;="&amp;DATE($B$3,10,16),'Leave log'!$C$7:$C$306,"&gt;="&amp;DATE($B$3,10,16),'Leave log'!$F$7:$F$306,"Pending")&gt;0,"P",""))))</f>
        <v/>
      </c>
      <c r="R328" s="23" t="str">
        <f>IF(A328="","",IF(IF(OR(DATE($B$3,10,17)&gt;EOMONTH(DATE($B$3,10,1),0),NETWORKDAYS.INTL(DATE($B$3,10,17),DATE($B$3,10,17),1,'Non-working days'!$A$6:$A$45)=0),"",IF(COUNTIFS('Leave log'!$A$7:$A$306,Employees!$A$21,'Leave log'!$B$7:$B$306,"&lt;="&amp;DATE($B$3,10,17),'Leave log'!$C$7:$C$306,"&gt;="&amp;DATE($B$3,10,17),'Leave log'!$F$7:$F$306,"Approved")&gt;0,"A",""))="A","A",IF(OR(DATE($B$3,10,17)&gt;EOMONTH(DATE($B$3,10,1),0),NETWORKDAYS.INTL(DATE($B$3,10,17),DATE($B$3,10,17),1,'Non-working days'!$A$6:$A$45)=0),"",IF(COUNTIFS('Leave log'!$A$7:$A$306,Employees!$A$21,'Leave log'!$B$7:$B$306,"&lt;="&amp;DATE($B$3,10,17),'Leave log'!$C$7:$C$306,"&gt;="&amp;DATE($B$3,10,17),'Leave log'!$F$7:$F$306,"Pending")&gt;0,"P",""))))</f>
        <v/>
      </c>
      <c r="S328" s="23" t="str">
        <f>IF(A328="","",IF(IF(OR(DATE($B$3,10,18)&gt;EOMONTH(DATE($B$3,10,1),0),NETWORKDAYS.INTL(DATE($B$3,10,18),DATE($B$3,10,18),1,'Non-working days'!$A$6:$A$45)=0),"",IF(COUNTIFS('Leave log'!$A$7:$A$306,Employees!$A$21,'Leave log'!$B$7:$B$306,"&lt;="&amp;DATE($B$3,10,18),'Leave log'!$C$7:$C$306,"&gt;="&amp;DATE($B$3,10,18),'Leave log'!$F$7:$F$306,"Approved")&gt;0,"A",""))="A","A",IF(OR(DATE($B$3,10,18)&gt;EOMONTH(DATE($B$3,10,1),0),NETWORKDAYS.INTL(DATE($B$3,10,18),DATE($B$3,10,18),1,'Non-working days'!$A$6:$A$45)=0),"",IF(COUNTIFS('Leave log'!$A$7:$A$306,Employees!$A$21,'Leave log'!$B$7:$B$306,"&lt;="&amp;DATE($B$3,10,18),'Leave log'!$C$7:$C$306,"&gt;="&amp;DATE($B$3,10,18),'Leave log'!$F$7:$F$306,"Pending")&gt;0,"P",""))))</f>
        <v/>
      </c>
      <c r="T328" s="23" t="str">
        <f>IF(A328="","",IF(IF(OR(DATE($B$3,10,19)&gt;EOMONTH(DATE($B$3,10,1),0),NETWORKDAYS.INTL(DATE($B$3,10,19),DATE($B$3,10,19),1,'Non-working days'!$A$6:$A$45)=0),"",IF(COUNTIFS('Leave log'!$A$7:$A$306,Employees!$A$21,'Leave log'!$B$7:$B$306,"&lt;="&amp;DATE($B$3,10,19),'Leave log'!$C$7:$C$306,"&gt;="&amp;DATE($B$3,10,19),'Leave log'!$F$7:$F$306,"Approved")&gt;0,"A",""))="A","A",IF(OR(DATE($B$3,10,19)&gt;EOMONTH(DATE($B$3,10,1),0),NETWORKDAYS.INTL(DATE($B$3,10,19),DATE($B$3,10,19),1,'Non-working days'!$A$6:$A$45)=0),"",IF(COUNTIFS('Leave log'!$A$7:$A$306,Employees!$A$21,'Leave log'!$B$7:$B$306,"&lt;="&amp;DATE($B$3,10,19),'Leave log'!$C$7:$C$306,"&gt;="&amp;DATE($B$3,10,19),'Leave log'!$F$7:$F$306,"Pending")&gt;0,"P",""))))</f>
        <v/>
      </c>
      <c r="U328" s="23" t="str">
        <f>IF(A328="","",IF(IF(OR(DATE($B$3,10,20)&gt;EOMONTH(DATE($B$3,10,1),0),NETWORKDAYS.INTL(DATE($B$3,10,20),DATE($B$3,10,20),1,'Non-working days'!$A$6:$A$45)=0),"",IF(COUNTIFS('Leave log'!$A$7:$A$306,Employees!$A$21,'Leave log'!$B$7:$B$306,"&lt;="&amp;DATE($B$3,10,20),'Leave log'!$C$7:$C$306,"&gt;="&amp;DATE($B$3,10,20),'Leave log'!$F$7:$F$306,"Approved")&gt;0,"A",""))="A","A",IF(OR(DATE($B$3,10,20)&gt;EOMONTH(DATE($B$3,10,1),0),NETWORKDAYS.INTL(DATE($B$3,10,20),DATE($B$3,10,20),1,'Non-working days'!$A$6:$A$45)=0),"",IF(COUNTIFS('Leave log'!$A$7:$A$306,Employees!$A$21,'Leave log'!$B$7:$B$306,"&lt;="&amp;DATE($B$3,10,20),'Leave log'!$C$7:$C$306,"&gt;="&amp;DATE($B$3,10,20),'Leave log'!$F$7:$F$306,"Pending")&gt;0,"P",""))))</f>
        <v/>
      </c>
      <c r="V328" s="23" t="str">
        <f>IF(A328="","",IF(IF(OR(DATE($B$3,10,21)&gt;EOMONTH(DATE($B$3,10,1),0),NETWORKDAYS.INTL(DATE($B$3,10,21),DATE($B$3,10,21),1,'Non-working days'!$A$6:$A$45)=0),"",IF(COUNTIFS('Leave log'!$A$7:$A$306,Employees!$A$21,'Leave log'!$B$7:$B$306,"&lt;="&amp;DATE($B$3,10,21),'Leave log'!$C$7:$C$306,"&gt;="&amp;DATE($B$3,10,21),'Leave log'!$F$7:$F$306,"Approved")&gt;0,"A",""))="A","A",IF(OR(DATE($B$3,10,21)&gt;EOMONTH(DATE($B$3,10,1),0),NETWORKDAYS.INTL(DATE($B$3,10,21),DATE($B$3,10,21),1,'Non-working days'!$A$6:$A$45)=0),"",IF(COUNTIFS('Leave log'!$A$7:$A$306,Employees!$A$21,'Leave log'!$B$7:$B$306,"&lt;="&amp;DATE($B$3,10,21),'Leave log'!$C$7:$C$306,"&gt;="&amp;DATE($B$3,10,21),'Leave log'!$F$7:$F$306,"Pending")&gt;0,"P",""))))</f>
        <v/>
      </c>
      <c r="W328" s="23" t="str">
        <f>IF(A328="","",IF(IF(OR(DATE($B$3,10,22)&gt;EOMONTH(DATE($B$3,10,1),0),NETWORKDAYS.INTL(DATE($B$3,10,22),DATE($B$3,10,22),1,'Non-working days'!$A$6:$A$45)=0),"",IF(COUNTIFS('Leave log'!$A$7:$A$306,Employees!$A$21,'Leave log'!$B$7:$B$306,"&lt;="&amp;DATE($B$3,10,22),'Leave log'!$C$7:$C$306,"&gt;="&amp;DATE($B$3,10,22),'Leave log'!$F$7:$F$306,"Approved")&gt;0,"A",""))="A","A",IF(OR(DATE($B$3,10,22)&gt;EOMONTH(DATE($B$3,10,1),0),NETWORKDAYS.INTL(DATE($B$3,10,22),DATE($B$3,10,22),1,'Non-working days'!$A$6:$A$45)=0),"",IF(COUNTIFS('Leave log'!$A$7:$A$306,Employees!$A$21,'Leave log'!$B$7:$B$306,"&lt;="&amp;DATE($B$3,10,22),'Leave log'!$C$7:$C$306,"&gt;="&amp;DATE($B$3,10,22),'Leave log'!$F$7:$F$306,"Pending")&gt;0,"P",""))))</f>
        <v/>
      </c>
      <c r="X328" s="23" t="str">
        <f>IF(A328="","",IF(IF(OR(DATE($B$3,10,23)&gt;EOMONTH(DATE($B$3,10,1),0),NETWORKDAYS.INTL(DATE($B$3,10,23),DATE($B$3,10,23),1,'Non-working days'!$A$6:$A$45)=0),"",IF(COUNTIFS('Leave log'!$A$7:$A$306,Employees!$A$21,'Leave log'!$B$7:$B$306,"&lt;="&amp;DATE($B$3,10,23),'Leave log'!$C$7:$C$306,"&gt;="&amp;DATE($B$3,10,23),'Leave log'!$F$7:$F$306,"Approved")&gt;0,"A",""))="A","A",IF(OR(DATE($B$3,10,23)&gt;EOMONTH(DATE($B$3,10,1),0),NETWORKDAYS.INTL(DATE($B$3,10,23),DATE($B$3,10,23),1,'Non-working days'!$A$6:$A$45)=0),"",IF(COUNTIFS('Leave log'!$A$7:$A$306,Employees!$A$21,'Leave log'!$B$7:$B$306,"&lt;="&amp;DATE($B$3,10,23),'Leave log'!$C$7:$C$306,"&gt;="&amp;DATE($B$3,10,23),'Leave log'!$F$7:$F$306,"Pending")&gt;0,"P",""))))</f>
        <v/>
      </c>
      <c r="Y328" s="23" t="str">
        <f>IF(A328="","",IF(IF(OR(DATE($B$3,10,24)&gt;EOMONTH(DATE($B$3,10,1),0),NETWORKDAYS.INTL(DATE($B$3,10,24),DATE($B$3,10,24),1,'Non-working days'!$A$6:$A$45)=0),"",IF(COUNTIFS('Leave log'!$A$7:$A$306,Employees!$A$21,'Leave log'!$B$7:$B$306,"&lt;="&amp;DATE($B$3,10,24),'Leave log'!$C$7:$C$306,"&gt;="&amp;DATE($B$3,10,24),'Leave log'!$F$7:$F$306,"Approved")&gt;0,"A",""))="A","A",IF(OR(DATE($B$3,10,24)&gt;EOMONTH(DATE($B$3,10,1),0),NETWORKDAYS.INTL(DATE($B$3,10,24),DATE($B$3,10,24),1,'Non-working days'!$A$6:$A$45)=0),"",IF(COUNTIFS('Leave log'!$A$7:$A$306,Employees!$A$21,'Leave log'!$B$7:$B$306,"&lt;="&amp;DATE($B$3,10,24),'Leave log'!$C$7:$C$306,"&gt;="&amp;DATE($B$3,10,24),'Leave log'!$F$7:$F$306,"Pending")&gt;0,"P",""))))</f>
        <v/>
      </c>
      <c r="Z328" s="23" t="str">
        <f>IF(A328="","",IF(IF(OR(DATE($B$3,10,25)&gt;EOMONTH(DATE($B$3,10,1),0),NETWORKDAYS.INTL(DATE($B$3,10,25),DATE($B$3,10,25),1,'Non-working days'!$A$6:$A$45)=0),"",IF(COUNTIFS('Leave log'!$A$7:$A$306,Employees!$A$21,'Leave log'!$B$7:$B$306,"&lt;="&amp;DATE($B$3,10,25),'Leave log'!$C$7:$C$306,"&gt;="&amp;DATE($B$3,10,25),'Leave log'!$F$7:$F$306,"Approved")&gt;0,"A",""))="A","A",IF(OR(DATE($B$3,10,25)&gt;EOMONTH(DATE($B$3,10,1),0),NETWORKDAYS.INTL(DATE($B$3,10,25),DATE($B$3,10,25),1,'Non-working days'!$A$6:$A$45)=0),"",IF(COUNTIFS('Leave log'!$A$7:$A$306,Employees!$A$21,'Leave log'!$B$7:$B$306,"&lt;="&amp;DATE($B$3,10,25),'Leave log'!$C$7:$C$306,"&gt;="&amp;DATE($B$3,10,25),'Leave log'!$F$7:$F$306,"Pending")&gt;0,"P",""))))</f>
        <v/>
      </c>
      <c r="AA328" s="23" t="str">
        <f>IF(A328="","",IF(IF(OR(DATE($B$3,10,26)&gt;EOMONTH(DATE($B$3,10,1),0),NETWORKDAYS.INTL(DATE($B$3,10,26),DATE($B$3,10,26),1,'Non-working days'!$A$6:$A$45)=0),"",IF(COUNTIFS('Leave log'!$A$7:$A$306,Employees!$A$21,'Leave log'!$B$7:$B$306,"&lt;="&amp;DATE($B$3,10,26),'Leave log'!$C$7:$C$306,"&gt;="&amp;DATE($B$3,10,26),'Leave log'!$F$7:$F$306,"Approved")&gt;0,"A",""))="A","A",IF(OR(DATE($B$3,10,26)&gt;EOMONTH(DATE($B$3,10,1),0),NETWORKDAYS.INTL(DATE($B$3,10,26),DATE($B$3,10,26),1,'Non-working days'!$A$6:$A$45)=0),"",IF(COUNTIFS('Leave log'!$A$7:$A$306,Employees!$A$21,'Leave log'!$B$7:$B$306,"&lt;="&amp;DATE($B$3,10,26),'Leave log'!$C$7:$C$306,"&gt;="&amp;DATE($B$3,10,26),'Leave log'!$F$7:$F$306,"Pending")&gt;0,"P",""))))</f>
        <v/>
      </c>
      <c r="AB328" s="23" t="str">
        <f>IF(A328="","",IF(IF(OR(DATE($B$3,10,27)&gt;EOMONTH(DATE($B$3,10,1),0),NETWORKDAYS.INTL(DATE($B$3,10,27),DATE($B$3,10,27),1,'Non-working days'!$A$6:$A$45)=0),"",IF(COUNTIFS('Leave log'!$A$7:$A$306,Employees!$A$21,'Leave log'!$B$7:$B$306,"&lt;="&amp;DATE($B$3,10,27),'Leave log'!$C$7:$C$306,"&gt;="&amp;DATE($B$3,10,27),'Leave log'!$F$7:$F$306,"Approved")&gt;0,"A",""))="A","A",IF(OR(DATE($B$3,10,27)&gt;EOMONTH(DATE($B$3,10,1),0),NETWORKDAYS.INTL(DATE($B$3,10,27),DATE($B$3,10,27),1,'Non-working days'!$A$6:$A$45)=0),"",IF(COUNTIFS('Leave log'!$A$7:$A$306,Employees!$A$21,'Leave log'!$B$7:$B$306,"&lt;="&amp;DATE($B$3,10,27),'Leave log'!$C$7:$C$306,"&gt;="&amp;DATE($B$3,10,27),'Leave log'!$F$7:$F$306,"Pending")&gt;0,"P",""))))</f>
        <v/>
      </c>
      <c r="AC328" s="23" t="str">
        <f>IF(A328="","",IF(IF(OR(DATE($B$3,10,28)&gt;EOMONTH(DATE($B$3,10,1),0),NETWORKDAYS.INTL(DATE($B$3,10,28),DATE($B$3,10,28),1,'Non-working days'!$A$6:$A$45)=0),"",IF(COUNTIFS('Leave log'!$A$7:$A$306,Employees!$A$21,'Leave log'!$B$7:$B$306,"&lt;="&amp;DATE($B$3,10,28),'Leave log'!$C$7:$C$306,"&gt;="&amp;DATE($B$3,10,28),'Leave log'!$F$7:$F$306,"Approved")&gt;0,"A",""))="A","A",IF(OR(DATE($B$3,10,28)&gt;EOMONTH(DATE($B$3,10,1),0),NETWORKDAYS.INTL(DATE($B$3,10,28),DATE($B$3,10,28),1,'Non-working days'!$A$6:$A$45)=0),"",IF(COUNTIFS('Leave log'!$A$7:$A$306,Employees!$A$21,'Leave log'!$B$7:$B$306,"&lt;="&amp;DATE($B$3,10,28),'Leave log'!$C$7:$C$306,"&gt;="&amp;DATE($B$3,10,28),'Leave log'!$F$7:$F$306,"Pending")&gt;0,"P",""))))</f>
        <v/>
      </c>
      <c r="AD328" s="23" t="str">
        <f>IF(A328="","",IF(IF(OR(DATE($B$3,10,29)&gt;EOMONTH(DATE($B$3,10,1),0),NETWORKDAYS.INTL(DATE($B$3,10,29),DATE($B$3,10,29),1,'Non-working days'!$A$6:$A$45)=0),"",IF(COUNTIFS('Leave log'!$A$7:$A$306,Employees!$A$21,'Leave log'!$B$7:$B$306,"&lt;="&amp;DATE($B$3,10,29),'Leave log'!$C$7:$C$306,"&gt;="&amp;DATE($B$3,10,29),'Leave log'!$F$7:$F$306,"Approved")&gt;0,"A",""))="A","A",IF(OR(DATE($B$3,10,29)&gt;EOMONTH(DATE($B$3,10,1),0),NETWORKDAYS.INTL(DATE($B$3,10,29),DATE($B$3,10,29),1,'Non-working days'!$A$6:$A$45)=0),"",IF(COUNTIFS('Leave log'!$A$7:$A$306,Employees!$A$21,'Leave log'!$B$7:$B$306,"&lt;="&amp;DATE($B$3,10,29),'Leave log'!$C$7:$C$306,"&gt;="&amp;DATE($B$3,10,29),'Leave log'!$F$7:$F$306,"Pending")&gt;0,"P",""))))</f>
        <v/>
      </c>
      <c r="AE328" s="23" t="str">
        <f>IF(A328="","",IF(IF(OR(DATE($B$3,10,30)&gt;EOMONTH(DATE($B$3,10,1),0),NETWORKDAYS.INTL(DATE($B$3,10,30),DATE($B$3,10,30),1,'Non-working days'!$A$6:$A$45)=0),"",IF(COUNTIFS('Leave log'!$A$7:$A$306,Employees!$A$21,'Leave log'!$B$7:$B$306,"&lt;="&amp;DATE($B$3,10,30),'Leave log'!$C$7:$C$306,"&gt;="&amp;DATE($B$3,10,30),'Leave log'!$F$7:$F$306,"Approved")&gt;0,"A",""))="A","A",IF(OR(DATE($B$3,10,30)&gt;EOMONTH(DATE($B$3,10,1),0),NETWORKDAYS.INTL(DATE($B$3,10,30),DATE($B$3,10,30),1,'Non-working days'!$A$6:$A$45)=0),"",IF(COUNTIFS('Leave log'!$A$7:$A$306,Employees!$A$21,'Leave log'!$B$7:$B$306,"&lt;="&amp;DATE($B$3,10,30),'Leave log'!$C$7:$C$306,"&gt;="&amp;DATE($B$3,10,30),'Leave log'!$F$7:$F$306,"Pending")&gt;0,"P",""))))</f>
        <v/>
      </c>
      <c r="AF328" s="23" t="str">
        <f>IF(A328="","",IF(IF(OR(DATE($B$3,10,31)&gt;EOMONTH(DATE($B$3,10,1),0),NETWORKDAYS.INTL(DATE($B$3,10,31),DATE($B$3,10,31),1,'Non-working days'!$A$6:$A$45)=0),"",IF(COUNTIFS('Leave log'!$A$7:$A$306,Employees!$A$21,'Leave log'!$B$7:$B$306,"&lt;="&amp;DATE($B$3,10,31),'Leave log'!$C$7:$C$306,"&gt;="&amp;DATE($B$3,10,31),'Leave log'!$F$7:$F$306,"Approved")&gt;0,"A",""))="A","A",IF(OR(DATE($B$3,10,31)&gt;EOMONTH(DATE($B$3,10,1),0),NETWORKDAYS.INTL(DATE($B$3,10,31),DATE($B$3,10,31),1,'Non-working days'!$A$6:$A$45)=0),"",IF(COUNTIFS('Leave log'!$A$7:$A$306,Employees!$A$21,'Leave log'!$B$7:$B$306,"&lt;="&amp;DATE($B$3,10,31),'Leave log'!$C$7:$C$306,"&gt;="&amp;DATE($B$3,10,31),'Leave log'!$F$7:$F$306,"Pending")&gt;0,"P",""))))</f>
        <v/>
      </c>
    </row>
    <row r="329" spans="1:32" ht="18" customHeight="1" x14ac:dyDescent="0.3">
      <c r="A329" s="22" t="str">
        <f>IF(Employees!F22="Yes",Employees!B22,"")</f>
        <v/>
      </c>
      <c r="B329" s="23" t="str">
        <f>IF(A329="","",IF(IF(OR(DATE($B$3,10,1)&gt;EOMONTH(DATE($B$3,10,1),0),NETWORKDAYS.INTL(DATE($B$3,10,1),DATE($B$3,10,1),1,'Non-working days'!$A$6:$A$45)=0),"",IF(COUNTIFS('Leave log'!$A$7:$A$306,Employees!$A$22,'Leave log'!$B$7:$B$306,"&lt;="&amp;DATE($B$3,10,1),'Leave log'!$C$7:$C$306,"&gt;="&amp;DATE($B$3,10,1),'Leave log'!$F$7:$F$306,"Approved")&gt;0,"A",""))="A","A",IF(OR(DATE($B$3,10,1)&gt;EOMONTH(DATE($B$3,10,1),0),NETWORKDAYS.INTL(DATE($B$3,10,1),DATE($B$3,10,1),1,'Non-working days'!$A$6:$A$45)=0),"",IF(COUNTIFS('Leave log'!$A$7:$A$306,Employees!$A$22,'Leave log'!$B$7:$B$306,"&lt;="&amp;DATE($B$3,10,1),'Leave log'!$C$7:$C$306,"&gt;="&amp;DATE($B$3,10,1),'Leave log'!$F$7:$F$306,"Pending")&gt;0,"P",""))))</f>
        <v/>
      </c>
      <c r="C329" s="23" t="str">
        <f>IF(A329="","",IF(IF(OR(DATE($B$3,10,2)&gt;EOMONTH(DATE($B$3,10,1),0),NETWORKDAYS.INTL(DATE($B$3,10,2),DATE($B$3,10,2),1,'Non-working days'!$A$6:$A$45)=0),"",IF(COUNTIFS('Leave log'!$A$7:$A$306,Employees!$A$22,'Leave log'!$B$7:$B$306,"&lt;="&amp;DATE($B$3,10,2),'Leave log'!$C$7:$C$306,"&gt;="&amp;DATE($B$3,10,2),'Leave log'!$F$7:$F$306,"Approved")&gt;0,"A",""))="A","A",IF(OR(DATE($B$3,10,2)&gt;EOMONTH(DATE($B$3,10,1),0),NETWORKDAYS.INTL(DATE($B$3,10,2),DATE($B$3,10,2),1,'Non-working days'!$A$6:$A$45)=0),"",IF(COUNTIFS('Leave log'!$A$7:$A$306,Employees!$A$22,'Leave log'!$B$7:$B$306,"&lt;="&amp;DATE($B$3,10,2),'Leave log'!$C$7:$C$306,"&gt;="&amp;DATE($B$3,10,2),'Leave log'!$F$7:$F$306,"Pending")&gt;0,"P",""))))</f>
        <v/>
      </c>
      <c r="D329" s="23" t="str">
        <f>IF(A329="","",IF(IF(OR(DATE($B$3,10,3)&gt;EOMONTH(DATE($B$3,10,1),0),NETWORKDAYS.INTL(DATE($B$3,10,3),DATE($B$3,10,3),1,'Non-working days'!$A$6:$A$45)=0),"",IF(COUNTIFS('Leave log'!$A$7:$A$306,Employees!$A$22,'Leave log'!$B$7:$B$306,"&lt;="&amp;DATE($B$3,10,3),'Leave log'!$C$7:$C$306,"&gt;="&amp;DATE($B$3,10,3),'Leave log'!$F$7:$F$306,"Approved")&gt;0,"A",""))="A","A",IF(OR(DATE($B$3,10,3)&gt;EOMONTH(DATE($B$3,10,1),0),NETWORKDAYS.INTL(DATE($B$3,10,3),DATE($B$3,10,3),1,'Non-working days'!$A$6:$A$45)=0),"",IF(COUNTIFS('Leave log'!$A$7:$A$306,Employees!$A$22,'Leave log'!$B$7:$B$306,"&lt;="&amp;DATE($B$3,10,3),'Leave log'!$C$7:$C$306,"&gt;="&amp;DATE($B$3,10,3),'Leave log'!$F$7:$F$306,"Pending")&gt;0,"P",""))))</f>
        <v/>
      </c>
      <c r="E329" s="23" t="str">
        <f>IF(A329="","",IF(IF(OR(DATE($B$3,10,4)&gt;EOMONTH(DATE($B$3,10,1),0),NETWORKDAYS.INTL(DATE($B$3,10,4),DATE($B$3,10,4),1,'Non-working days'!$A$6:$A$45)=0),"",IF(COUNTIFS('Leave log'!$A$7:$A$306,Employees!$A$22,'Leave log'!$B$7:$B$306,"&lt;="&amp;DATE($B$3,10,4),'Leave log'!$C$7:$C$306,"&gt;="&amp;DATE($B$3,10,4),'Leave log'!$F$7:$F$306,"Approved")&gt;0,"A",""))="A","A",IF(OR(DATE($B$3,10,4)&gt;EOMONTH(DATE($B$3,10,1),0),NETWORKDAYS.INTL(DATE($B$3,10,4),DATE($B$3,10,4),1,'Non-working days'!$A$6:$A$45)=0),"",IF(COUNTIFS('Leave log'!$A$7:$A$306,Employees!$A$22,'Leave log'!$B$7:$B$306,"&lt;="&amp;DATE($B$3,10,4),'Leave log'!$C$7:$C$306,"&gt;="&amp;DATE($B$3,10,4),'Leave log'!$F$7:$F$306,"Pending")&gt;0,"P",""))))</f>
        <v/>
      </c>
      <c r="F329" s="23" t="str">
        <f>IF(A329="","",IF(IF(OR(DATE($B$3,10,5)&gt;EOMONTH(DATE($B$3,10,1),0),NETWORKDAYS.INTL(DATE($B$3,10,5),DATE($B$3,10,5),1,'Non-working days'!$A$6:$A$45)=0),"",IF(COUNTIFS('Leave log'!$A$7:$A$306,Employees!$A$22,'Leave log'!$B$7:$B$306,"&lt;="&amp;DATE($B$3,10,5),'Leave log'!$C$7:$C$306,"&gt;="&amp;DATE($B$3,10,5),'Leave log'!$F$7:$F$306,"Approved")&gt;0,"A",""))="A","A",IF(OR(DATE($B$3,10,5)&gt;EOMONTH(DATE($B$3,10,1),0),NETWORKDAYS.INTL(DATE($B$3,10,5),DATE($B$3,10,5),1,'Non-working days'!$A$6:$A$45)=0),"",IF(COUNTIFS('Leave log'!$A$7:$A$306,Employees!$A$22,'Leave log'!$B$7:$B$306,"&lt;="&amp;DATE($B$3,10,5),'Leave log'!$C$7:$C$306,"&gt;="&amp;DATE($B$3,10,5),'Leave log'!$F$7:$F$306,"Pending")&gt;0,"P",""))))</f>
        <v/>
      </c>
      <c r="G329" s="23" t="str">
        <f>IF(A329="","",IF(IF(OR(DATE($B$3,10,6)&gt;EOMONTH(DATE($B$3,10,1),0),NETWORKDAYS.INTL(DATE($B$3,10,6),DATE($B$3,10,6),1,'Non-working days'!$A$6:$A$45)=0),"",IF(COUNTIFS('Leave log'!$A$7:$A$306,Employees!$A$22,'Leave log'!$B$7:$B$306,"&lt;="&amp;DATE($B$3,10,6),'Leave log'!$C$7:$C$306,"&gt;="&amp;DATE($B$3,10,6),'Leave log'!$F$7:$F$306,"Approved")&gt;0,"A",""))="A","A",IF(OR(DATE($B$3,10,6)&gt;EOMONTH(DATE($B$3,10,1),0),NETWORKDAYS.INTL(DATE($B$3,10,6),DATE($B$3,10,6),1,'Non-working days'!$A$6:$A$45)=0),"",IF(COUNTIFS('Leave log'!$A$7:$A$306,Employees!$A$22,'Leave log'!$B$7:$B$306,"&lt;="&amp;DATE($B$3,10,6),'Leave log'!$C$7:$C$306,"&gt;="&amp;DATE($B$3,10,6),'Leave log'!$F$7:$F$306,"Pending")&gt;0,"P",""))))</f>
        <v/>
      </c>
      <c r="H329" s="23" t="str">
        <f>IF(A329="","",IF(IF(OR(DATE($B$3,10,7)&gt;EOMONTH(DATE($B$3,10,1),0),NETWORKDAYS.INTL(DATE($B$3,10,7),DATE($B$3,10,7),1,'Non-working days'!$A$6:$A$45)=0),"",IF(COUNTIFS('Leave log'!$A$7:$A$306,Employees!$A$22,'Leave log'!$B$7:$B$306,"&lt;="&amp;DATE($B$3,10,7),'Leave log'!$C$7:$C$306,"&gt;="&amp;DATE($B$3,10,7),'Leave log'!$F$7:$F$306,"Approved")&gt;0,"A",""))="A","A",IF(OR(DATE($B$3,10,7)&gt;EOMONTH(DATE($B$3,10,1),0),NETWORKDAYS.INTL(DATE($B$3,10,7),DATE($B$3,10,7),1,'Non-working days'!$A$6:$A$45)=0),"",IF(COUNTIFS('Leave log'!$A$7:$A$306,Employees!$A$22,'Leave log'!$B$7:$B$306,"&lt;="&amp;DATE($B$3,10,7),'Leave log'!$C$7:$C$306,"&gt;="&amp;DATE($B$3,10,7),'Leave log'!$F$7:$F$306,"Pending")&gt;0,"P",""))))</f>
        <v/>
      </c>
      <c r="I329" s="23" t="str">
        <f>IF(A329="","",IF(IF(OR(DATE($B$3,10,8)&gt;EOMONTH(DATE($B$3,10,1),0),NETWORKDAYS.INTL(DATE($B$3,10,8),DATE($B$3,10,8),1,'Non-working days'!$A$6:$A$45)=0),"",IF(COUNTIFS('Leave log'!$A$7:$A$306,Employees!$A$22,'Leave log'!$B$7:$B$306,"&lt;="&amp;DATE($B$3,10,8),'Leave log'!$C$7:$C$306,"&gt;="&amp;DATE($B$3,10,8),'Leave log'!$F$7:$F$306,"Approved")&gt;0,"A",""))="A","A",IF(OR(DATE($B$3,10,8)&gt;EOMONTH(DATE($B$3,10,1),0),NETWORKDAYS.INTL(DATE($B$3,10,8),DATE($B$3,10,8),1,'Non-working days'!$A$6:$A$45)=0),"",IF(COUNTIFS('Leave log'!$A$7:$A$306,Employees!$A$22,'Leave log'!$B$7:$B$306,"&lt;="&amp;DATE($B$3,10,8),'Leave log'!$C$7:$C$306,"&gt;="&amp;DATE($B$3,10,8),'Leave log'!$F$7:$F$306,"Pending")&gt;0,"P",""))))</f>
        <v/>
      </c>
      <c r="J329" s="23" t="str">
        <f>IF(A329="","",IF(IF(OR(DATE($B$3,10,9)&gt;EOMONTH(DATE($B$3,10,1),0),NETWORKDAYS.INTL(DATE($B$3,10,9),DATE($B$3,10,9),1,'Non-working days'!$A$6:$A$45)=0),"",IF(COUNTIFS('Leave log'!$A$7:$A$306,Employees!$A$22,'Leave log'!$B$7:$B$306,"&lt;="&amp;DATE($B$3,10,9),'Leave log'!$C$7:$C$306,"&gt;="&amp;DATE($B$3,10,9),'Leave log'!$F$7:$F$306,"Approved")&gt;0,"A",""))="A","A",IF(OR(DATE($B$3,10,9)&gt;EOMONTH(DATE($B$3,10,1),0),NETWORKDAYS.INTL(DATE($B$3,10,9),DATE($B$3,10,9),1,'Non-working days'!$A$6:$A$45)=0),"",IF(COUNTIFS('Leave log'!$A$7:$A$306,Employees!$A$22,'Leave log'!$B$7:$B$306,"&lt;="&amp;DATE($B$3,10,9),'Leave log'!$C$7:$C$306,"&gt;="&amp;DATE($B$3,10,9),'Leave log'!$F$7:$F$306,"Pending")&gt;0,"P",""))))</f>
        <v/>
      </c>
      <c r="K329" s="23" t="str">
        <f>IF(A329="","",IF(IF(OR(DATE($B$3,10,10)&gt;EOMONTH(DATE($B$3,10,1),0),NETWORKDAYS.INTL(DATE($B$3,10,10),DATE($B$3,10,10),1,'Non-working days'!$A$6:$A$45)=0),"",IF(COUNTIFS('Leave log'!$A$7:$A$306,Employees!$A$22,'Leave log'!$B$7:$B$306,"&lt;="&amp;DATE($B$3,10,10),'Leave log'!$C$7:$C$306,"&gt;="&amp;DATE($B$3,10,10),'Leave log'!$F$7:$F$306,"Approved")&gt;0,"A",""))="A","A",IF(OR(DATE($B$3,10,10)&gt;EOMONTH(DATE($B$3,10,1),0),NETWORKDAYS.INTL(DATE($B$3,10,10),DATE($B$3,10,10),1,'Non-working days'!$A$6:$A$45)=0),"",IF(COUNTIFS('Leave log'!$A$7:$A$306,Employees!$A$22,'Leave log'!$B$7:$B$306,"&lt;="&amp;DATE($B$3,10,10),'Leave log'!$C$7:$C$306,"&gt;="&amp;DATE($B$3,10,10),'Leave log'!$F$7:$F$306,"Pending")&gt;0,"P",""))))</f>
        <v/>
      </c>
      <c r="L329" s="23" t="str">
        <f>IF(A329="","",IF(IF(OR(DATE($B$3,10,11)&gt;EOMONTH(DATE($B$3,10,1),0),NETWORKDAYS.INTL(DATE($B$3,10,11),DATE($B$3,10,11),1,'Non-working days'!$A$6:$A$45)=0),"",IF(COUNTIFS('Leave log'!$A$7:$A$306,Employees!$A$22,'Leave log'!$B$7:$B$306,"&lt;="&amp;DATE($B$3,10,11),'Leave log'!$C$7:$C$306,"&gt;="&amp;DATE($B$3,10,11),'Leave log'!$F$7:$F$306,"Approved")&gt;0,"A",""))="A","A",IF(OR(DATE($B$3,10,11)&gt;EOMONTH(DATE($B$3,10,1),0),NETWORKDAYS.INTL(DATE($B$3,10,11),DATE($B$3,10,11),1,'Non-working days'!$A$6:$A$45)=0),"",IF(COUNTIFS('Leave log'!$A$7:$A$306,Employees!$A$22,'Leave log'!$B$7:$B$306,"&lt;="&amp;DATE($B$3,10,11),'Leave log'!$C$7:$C$306,"&gt;="&amp;DATE($B$3,10,11),'Leave log'!$F$7:$F$306,"Pending")&gt;0,"P",""))))</f>
        <v/>
      </c>
      <c r="M329" s="23" t="str">
        <f>IF(A329="","",IF(IF(OR(DATE($B$3,10,12)&gt;EOMONTH(DATE($B$3,10,1),0),NETWORKDAYS.INTL(DATE($B$3,10,12),DATE($B$3,10,12),1,'Non-working days'!$A$6:$A$45)=0),"",IF(COUNTIFS('Leave log'!$A$7:$A$306,Employees!$A$22,'Leave log'!$B$7:$B$306,"&lt;="&amp;DATE($B$3,10,12),'Leave log'!$C$7:$C$306,"&gt;="&amp;DATE($B$3,10,12),'Leave log'!$F$7:$F$306,"Approved")&gt;0,"A",""))="A","A",IF(OR(DATE($B$3,10,12)&gt;EOMONTH(DATE($B$3,10,1),0),NETWORKDAYS.INTL(DATE($B$3,10,12),DATE($B$3,10,12),1,'Non-working days'!$A$6:$A$45)=0),"",IF(COUNTIFS('Leave log'!$A$7:$A$306,Employees!$A$22,'Leave log'!$B$7:$B$306,"&lt;="&amp;DATE($B$3,10,12),'Leave log'!$C$7:$C$306,"&gt;="&amp;DATE($B$3,10,12),'Leave log'!$F$7:$F$306,"Pending")&gt;0,"P",""))))</f>
        <v/>
      </c>
      <c r="N329" s="23" t="str">
        <f>IF(A329="","",IF(IF(OR(DATE($B$3,10,13)&gt;EOMONTH(DATE($B$3,10,1),0),NETWORKDAYS.INTL(DATE($B$3,10,13),DATE($B$3,10,13),1,'Non-working days'!$A$6:$A$45)=0),"",IF(COUNTIFS('Leave log'!$A$7:$A$306,Employees!$A$22,'Leave log'!$B$7:$B$306,"&lt;="&amp;DATE($B$3,10,13),'Leave log'!$C$7:$C$306,"&gt;="&amp;DATE($B$3,10,13),'Leave log'!$F$7:$F$306,"Approved")&gt;0,"A",""))="A","A",IF(OR(DATE($B$3,10,13)&gt;EOMONTH(DATE($B$3,10,1),0),NETWORKDAYS.INTL(DATE($B$3,10,13),DATE($B$3,10,13),1,'Non-working days'!$A$6:$A$45)=0),"",IF(COUNTIFS('Leave log'!$A$7:$A$306,Employees!$A$22,'Leave log'!$B$7:$B$306,"&lt;="&amp;DATE($B$3,10,13),'Leave log'!$C$7:$C$306,"&gt;="&amp;DATE($B$3,10,13),'Leave log'!$F$7:$F$306,"Pending")&gt;0,"P",""))))</f>
        <v/>
      </c>
      <c r="O329" s="23" t="str">
        <f>IF(A329="","",IF(IF(OR(DATE($B$3,10,14)&gt;EOMONTH(DATE($B$3,10,1),0),NETWORKDAYS.INTL(DATE($B$3,10,14),DATE($B$3,10,14),1,'Non-working days'!$A$6:$A$45)=0),"",IF(COUNTIFS('Leave log'!$A$7:$A$306,Employees!$A$22,'Leave log'!$B$7:$B$306,"&lt;="&amp;DATE($B$3,10,14),'Leave log'!$C$7:$C$306,"&gt;="&amp;DATE($B$3,10,14),'Leave log'!$F$7:$F$306,"Approved")&gt;0,"A",""))="A","A",IF(OR(DATE($B$3,10,14)&gt;EOMONTH(DATE($B$3,10,1),0),NETWORKDAYS.INTL(DATE($B$3,10,14),DATE($B$3,10,14),1,'Non-working days'!$A$6:$A$45)=0),"",IF(COUNTIFS('Leave log'!$A$7:$A$306,Employees!$A$22,'Leave log'!$B$7:$B$306,"&lt;="&amp;DATE($B$3,10,14),'Leave log'!$C$7:$C$306,"&gt;="&amp;DATE($B$3,10,14),'Leave log'!$F$7:$F$306,"Pending")&gt;0,"P",""))))</f>
        <v/>
      </c>
      <c r="P329" s="23" t="str">
        <f>IF(A329="","",IF(IF(OR(DATE($B$3,10,15)&gt;EOMONTH(DATE($B$3,10,1),0),NETWORKDAYS.INTL(DATE($B$3,10,15),DATE($B$3,10,15),1,'Non-working days'!$A$6:$A$45)=0),"",IF(COUNTIFS('Leave log'!$A$7:$A$306,Employees!$A$22,'Leave log'!$B$7:$B$306,"&lt;="&amp;DATE($B$3,10,15),'Leave log'!$C$7:$C$306,"&gt;="&amp;DATE($B$3,10,15),'Leave log'!$F$7:$F$306,"Approved")&gt;0,"A",""))="A","A",IF(OR(DATE($B$3,10,15)&gt;EOMONTH(DATE($B$3,10,1),0),NETWORKDAYS.INTL(DATE($B$3,10,15),DATE($B$3,10,15),1,'Non-working days'!$A$6:$A$45)=0),"",IF(COUNTIFS('Leave log'!$A$7:$A$306,Employees!$A$22,'Leave log'!$B$7:$B$306,"&lt;="&amp;DATE($B$3,10,15),'Leave log'!$C$7:$C$306,"&gt;="&amp;DATE($B$3,10,15),'Leave log'!$F$7:$F$306,"Pending")&gt;0,"P",""))))</f>
        <v/>
      </c>
      <c r="Q329" s="23" t="str">
        <f>IF(A329="","",IF(IF(OR(DATE($B$3,10,16)&gt;EOMONTH(DATE($B$3,10,1),0),NETWORKDAYS.INTL(DATE($B$3,10,16),DATE($B$3,10,16),1,'Non-working days'!$A$6:$A$45)=0),"",IF(COUNTIFS('Leave log'!$A$7:$A$306,Employees!$A$22,'Leave log'!$B$7:$B$306,"&lt;="&amp;DATE($B$3,10,16),'Leave log'!$C$7:$C$306,"&gt;="&amp;DATE($B$3,10,16),'Leave log'!$F$7:$F$306,"Approved")&gt;0,"A",""))="A","A",IF(OR(DATE($B$3,10,16)&gt;EOMONTH(DATE($B$3,10,1),0),NETWORKDAYS.INTL(DATE($B$3,10,16),DATE($B$3,10,16),1,'Non-working days'!$A$6:$A$45)=0),"",IF(COUNTIFS('Leave log'!$A$7:$A$306,Employees!$A$22,'Leave log'!$B$7:$B$306,"&lt;="&amp;DATE($B$3,10,16),'Leave log'!$C$7:$C$306,"&gt;="&amp;DATE($B$3,10,16),'Leave log'!$F$7:$F$306,"Pending")&gt;0,"P",""))))</f>
        <v/>
      </c>
      <c r="R329" s="23" t="str">
        <f>IF(A329="","",IF(IF(OR(DATE($B$3,10,17)&gt;EOMONTH(DATE($B$3,10,1),0),NETWORKDAYS.INTL(DATE($B$3,10,17),DATE($B$3,10,17),1,'Non-working days'!$A$6:$A$45)=0),"",IF(COUNTIFS('Leave log'!$A$7:$A$306,Employees!$A$22,'Leave log'!$B$7:$B$306,"&lt;="&amp;DATE($B$3,10,17),'Leave log'!$C$7:$C$306,"&gt;="&amp;DATE($B$3,10,17),'Leave log'!$F$7:$F$306,"Approved")&gt;0,"A",""))="A","A",IF(OR(DATE($B$3,10,17)&gt;EOMONTH(DATE($B$3,10,1),0),NETWORKDAYS.INTL(DATE($B$3,10,17),DATE($B$3,10,17),1,'Non-working days'!$A$6:$A$45)=0),"",IF(COUNTIFS('Leave log'!$A$7:$A$306,Employees!$A$22,'Leave log'!$B$7:$B$306,"&lt;="&amp;DATE($B$3,10,17),'Leave log'!$C$7:$C$306,"&gt;="&amp;DATE($B$3,10,17),'Leave log'!$F$7:$F$306,"Pending")&gt;0,"P",""))))</f>
        <v/>
      </c>
      <c r="S329" s="23" t="str">
        <f>IF(A329="","",IF(IF(OR(DATE($B$3,10,18)&gt;EOMONTH(DATE($B$3,10,1),0),NETWORKDAYS.INTL(DATE($B$3,10,18),DATE($B$3,10,18),1,'Non-working days'!$A$6:$A$45)=0),"",IF(COUNTIFS('Leave log'!$A$7:$A$306,Employees!$A$22,'Leave log'!$B$7:$B$306,"&lt;="&amp;DATE($B$3,10,18),'Leave log'!$C$7:$C$306,"&gt;="&amp;DATE($B$3,10,18),'Leave log'!$F$7:$F$306,"Approved")&gt;0,"A",""))="A","A",IF(OR(DATE($B$3,10,18)&gt;EOMONTH(DATE($B$3,10,1),0),NETWORKDAYS.INTL(DATE($B$3,10,18),DATE($B$3,10,18),1,'Non-working days'!$A$6:$A$45)=0),"",IF(COUNTIFS('Leave log'!$A$7:$A$306,Employees!$A$22,'Leave log'!$B$7:$B$306,"&lt;="&amp;DATE($B$3,10,18),'Leave log'!$C$7:$C$306,"&gt;="&amp;DATE($B$3,10,18),'Leave log'!$F$7:$F$306,"Pending")&gt;0,"P",""))))</f>
        <v/>
      </c>
      <c r="T329" s="23" t="str">
        <f>IF(A329="","",IF(IF(OR(DATE($B$3,10,19)&gt;EOMONTH(DATE($B$3,10,1),0),NETWORKDAYS.INTL(DATE($B$3,10,19),DATE($B$3,10,19),1,'Non-working days'!$A$6:$A$45)=0),"",IF(COUNTIFS('Leave log'!$A$7:$A$306,Employees!$A$22,'Leave log'!$B$7:$B$306,"&lt;="&amp;DATE($B$3,10,19),'Leave log'!$C$7:$C$306,"&gt;="&amp;DATE($B$3,10,19),'Leave log'!$F$7:$F$306,"Approved")&gt;0,"A",""))="A","A",IF(OR(DATE($B$3,10,19)&gt;EOMONTH(DATE($B$3,10,1),0),NETWORKDAYS.INTL(DATE($B$3,10,19),DATE($B$3,10,19),1,'Non-working days'!$A$6:$A$45)=0),"",IF(COUNTIFS('Leave log'!$A$7:$A$306,Employees!$A$22,'Leave log'!$B$7:$B$306,"&lt;="&amp;DATE($B$3,10,19),'Leave log'!$C$7:$C$306,"&gt;="&amp;DATE($B$3,10,19),'Leave log'!$F$7:$F$306,"Pending")&gt;0,"P",""))))</f>
        <v/>
      </c>
      <c r="U329" s="23" t="str">
        <f>IF(A329="","",IF(IF(OR(DATE($B$3,10,20)&gt;EOMONTH(DATE($B$3,10,1),0),NETWORKDAYS.INTL(DATE($B$3,10,20),DATE($B$3,10,20),1,'Non-working days'!$A$6:$A$45)=0),"",IF(COUNTIFS('Leave log'!$A$7:$A$306,Employees!$A$22,'Leave log'!$B$7:$B$306,"&lt;="&amp;DATE($B$3,10,20),'Leave log'!$C$7:$C$306,"&gt;="&amp;DATE($B$3,10,20),'Leave log'!$F$7:$F$306,"Approved")&gt;0,"A",""))="A","A",IF(OR(DATE($B$3,10,20)&gt;EOMONTH(DATE($B$3,10,1),0),NETWORKDAYS.INTL(DATE($B$3,10,20),DATE($B$3,10,20),1,'Non-working days'!$A$6:$A$45)=0),"",IF(COUNTIFS('Leave log'!$A$7:$A$306,Employees!$A$22,'Leave log'!$B$7:$B$306,"&lt;="&amp;DATE($B$3,10,20),'Leave log'!$C$7:$C$306,"&gt;="&amp;DATE($B$3,10,20),'Leave log'!$F$7:$F$306,"Pending")&gt;0,"P",""))))</f>
        <v/>
      </c>
      <c r="V329" s="23" t="str">
        <f>IF(A329="","",IF(IF(OR(DATE($B$3,10,21)&gt;EOMONTH(DATE($B$3,10,1),0),NETWORKDAYS.INTL(DATE($B$3,10,21),DATE($B$3,10,21),1,'Non-working days'!$A$6:$A$45)=0),"",IF(COUNTIFS('Leave log'!$A$7:$A$306,Employees!$A$22,'Leave log'!$B$7:$B$306,"&lt;="&amp;DATE($B$3,10,21),'Leave log'!$C$7:$C$306,"&gt;="&amp;DATE($B$3,10,21),'Leave log'!$F$7:$F$306,"Approved")&gt;0,"A",""))="A","A",IF(OR(DATE($B$3,10,21)&gt;EOMONTH(DATE($B$3,10,1),0),NETWORKDAYS.INTL(DATE($B$3,10,21),DATE($B$3,10,21),1,'Non-working days'!$A$6:$A$45)=0),"",IF(COUNTIFS('Leave log'!$A$7:$A$306,Employees!$A$22,'Leave log'!$B$7:$B$306,"&lt;="&amp;DATE($B$3,10,21),'Leave log'!$C$7:$C$306,"&gt;="&amp;DATE($B$3,10,21),'Leave log'!$F$7:$F$306,"Pending")&gt;0,"P",""))))</f>
        <v/>
      </c>
      <c r="W329" s="23" t="str">
        <f>IF(A329="","",IF(IF(OR(DATE($B$3,10,22)&gt;EOMONTH(DATE($B$3,10,1),0),NETWORKDAYS.INTL(DATE($B$3,10,22),DATE($B$3,10,22),1,'Non-working days'!$A$6:$A$45)=0),"",IF(COUNTIFS('Leave log'!$A$7:$A$306,Employees!$A$22,'Leave log'!$B$7:$B$306,"&lt;="&amp;DATE($B$3,10,22),'Leave log'!$C$7:$C$306,"&gt;="&amp;DATE($B$3,10,22),'Leave log'!$F$7:$F$306,"Approved")&gt;0,"A",""))="A","A",IF(OR(DATE($B$3,10,22)&gt;EOMONTH(DATE($B$3,10,1),0),NETWORKDAYS.INTL(DATE($B$3,10,22),DATE($B$3,10,22),1,'Non-working days'!$A$6:$A$45)=0),"",IF(COUNTIFS('Leave log'!$A$7:$A$306,Employees!$A$22,'Leave log'!$B$7:$B$306,"&lt;="&amp;DATE($B$3,10,22),'Leave log'!$C$7:$C$306,"&gt;="&amp;DATE($B$3,10,22),'Leave log'!$F$7:$F$306,"Pending")&gt;0,"P",""))))</f>
        <v/>
      </c>
      <c r="X329" s="23" t="str">
        <f>IF(A329="","",IF(IF(OR(DATE($B$3,10,23)&gt;EOMONTH(DATE($B$3,10,1),0),NETWORKDAYS.INTL(DATE($B$3,10,23),DATE($B$3,10,23),1,'Non-working days'!$A$6:$A$45)=0),"",IF(COUNTIFS('Leave log'!$A$7:$A$306,Employees!$A$22,'Leave log'!$B$7:$B$306,"&lt;="&amp;DATE($B$3,10,23),'Leave log'!$C$7:$C$306,"&gt;="&amp;DATE($B$3,10,23),'Leave log'!$F$7:$F$306,"Approved")&gt;0,"A",""))="A","A",IF(OR(DATE($B$3,10,23)&gt;EOMONTH(DATE($B$3,10,1),0),NETWORKDAYS.INTL(DATE($B$3,10,23),DATE($B$3,10,23),1,'Non-working days'!$A$6:$A$45)=0),"",IF(COUNTIFS('Leave log'!$A$7:$A$306,Employees!$A$22,'Leave log'!$B$7:$B$306,"&lt;="&amp;DATE($B$3,10,23),'Leave log'!$C$7:$C$306,"&gt;="&amp;DATE($B$3,10,23),'Leave log'!$F$7:$F$306,"Pending")&gt;0,"P",""))))</f>
        <v/>
      </c>
      <c r="Y329" s="23" t="str">
        <f>IF(A329="","",IF(IF(OR(DATE($B$3,10,24)&gt;EOMONTH(DATE($B$3,10,1),0),NETWORKDAYS.INTL(DATE($B$3,10,24),DATE($B$3,10,24),1,'Non-working days'!$A$6:$A$45)=0),"",IF(COUNTIFS('Leave log'!$A$7:$A$306,Employees!$A$22,'Leave log'!$B$7:$B$306,"&lt;="&amp;DATE($B$3,10,24),'Leave log'!$C$7:$C$306,"&gt;="&amp;DATE($B$3,10,24),'Leave log'!$F$7:$F$306,"Approved")&gt;0,"A",""))="A","A",IF(OR(DATE($B$3,10,24)&gt;EOMONTH(DATE($B$3,10,1),0),NETWORKDAYS.INTL(DATE($B$3,10,24),DATE($B$3,10,24),1,'Non-working days'!$A$6:$A$45)=0),"",IF(COUNTIFS('Leave log'!$A$7:$A$306,Employees!$A$22,'Leave log'!$B$7:$B$306,"&lt;="&amp;DATE($B$3,10,24),'Leave log'!$C$7:$C$306,"&gt;="&amp;DATE($B$3,10,24),'Leave log'!$F$7:$F$306,"Pending")&gt;0,"P",""))))</f>
        <v/>
      </c>
      <c r="Z329" s="23" t="str">
        <f>IF(A329="","",IF(IF(OR(DATE($B$3,10,25)&gt;EOMONTH(DATE($B$3,10,1),0),NETWORKDAYS.INTL(DATE($B$3,10,25),DATE($B$3,10,25),1,'Non-working days'!$A$6:$A$45)=0),"",IF(COUNTIFS('Leave log'!$A$7:$A$306,Employees!$A$22,'Leave log'!$B$7:$B$306,"&lt;="&amp;DATE($B$3,10,25),'Leave log'!$C$7:$C$306,"&gt;="&amp;DATE($B$3,10,25),'Leave log'!$F$7:$F$306,"Approved")&gt;0,"A",""))="A","A",IF(OR(DATE($B$3,10,25)&gt;EOMONTH(DATE($B$3,10,1),0),NETWORKDAYS.INTL(DATE($B$3,10,25),DATE($B$3,10,25),1,'Non-working days'!$A$6:$A$45)=0),"",IF(COUNTIFS('Leave log'!$A$7:$A$306,Employees!$A$22,'Leave log'!$B$7:$B$306,"&lt;="&amp;DATE($B$3,10,25),'Leave log'!$C$7:$C$306,"&gt;="&amp;DATE($B$3,10,25),'Leave log'!$F$7:$F$306,"Pending")&gt;0,"P",""))))</f>
        <v/>
      </c>
      <c r="AA329" s="23" t="str">
        <f>IF(A329="","",IF(IF(OR(DATE($B$3,10,26)&gt;EOMONTH(DATE($B$3,10,1),0),NETWORKDAYS.INTL(DATE($B$3,10,26),DATE($B$3,10,26),1,'Non-working days'!$A$6:$A$45)=0),"",IF(COUNTIFS('Leave log'!$A$7:$A$306,Employees!$A$22,'Leave log'!$B$7:$B$306,"&lt;="&amp;DATE($B$3,10,26),'Leave log'!$C$7:$C$306,"&gt;="&amp;DATE($B$3,10,26),'Leave log'!$F$7:$F$306,"Approved")&gt;0,"A",""))="A","A",IF(OR(DATE($B$3,10,26)&gt;EOMONTH(DATE($B$3,10,1),0),NETWORKDAYS.INTL(DATE($B$3,10,26),DATE($B$3,10,26),1,'Non-working days'!$A$6:$A$45)=0),"",IF(COUNTIFS('Leave log'!$A$7:$A$306,Employees!$A$22,'Leave log'!$B$7:$B$306,"&lt;="&amp;DATE($B$3,10,26),'Leave log'!$C$7:$C$306,"&gt;="&amp;DATE($B$3,10,26),'Leave log'!$F$7:$F$306,"Pending")&gt;0,"P",""))))</f>
        <v/>
      </c>
      <c r="AB329" s="23" t="str">
        <f>IF(A329="","",IF(IF(OR(DATE($B$3,10,27)&gt;EOMONTH(DATE($B$3,10,1),0),NETWORKDAYS.INTL(DATE($B$3,10,27),DATE($B$3,10,27),1,'Non-working days'!$A$6:$A$45)=0),"",IF(COUNTIFS('Leave log'!$A$7:$A$306,Employees!$A$22,'Leave log'!$B$7:$B$306,"&lt;="&amp;DATE($B$3,10,27),'Leave log'!$C$7:$C$306,"&gt;="&amp;DATE($B$3,10,27),'Leave log'!$F$7:$F$306,"Approved")&gt;0,"A",""))="A","A",IF(OR(DATE($B$3,10,27)&gt;EOMONTH(DATE($B$3,10,1),0),NETWORKDAYS.INTL(DATE($B$3,10,27),DATE($B$3,10,27),1,'Non-working days'!$A$6:$A$45)=0),"",IF(COUNTIFS('Leave log'!$A$7:$A$306,Employees!$A$22,'Leave log'!$B$7:$B$306,"&lt;="&amp;DATE($B$3,10,27),'Leave log'!$C$7:$C$306,"&gt;="&amp;DATE($B$3,10,27),'Leave log'!$F$7:$F$306,"Pending")&gt;0,"P",""))))</f>
        <v/>
      </c>
      <c r="AC329" s="23" t="str">
        <f>IF(A329="","",IF(IF(OR(DATE($B$3,10,28)&gt;EOMONTH(DATE($B$3,10,1),0),NETWORKDAYS.INTL(DATE($B$3,10,28),DATE($B$3,10,28),1,'Non-working days'!$A$6:$A$45)=0),"",IF(COUNTIFS('Leave log'!$A$7:$A$306,Employees!$A$22,'Leave log'!$B$7:$B$306,"&lt;="&amp;DATE($B$3,10,28),'Leave log'!$C$7:$C$306,"&gt;="&amp;DATE($B$3,10,28),'Leave log'!$F$7:$F$306,"Approved")&gt;0,"A",""))="A","A",IF(OR(DATE($B$3,10,28)&gt;EOMONTH(DATE($B$3,10,1),0),NETWORKDAYS.INTL(DATE($B$3,10,28),DATE($B$3,10,28),1,'Non-working days'!$A$6:$A$45)=0),"",IF(COUNTIFS('Leave log'!$A$7:$A$306,Employees!$A$22,'Leave log'!$B$7:$B$306,"&lt;="&amp;DATE($B$3,10,28),'Leave log'!$C$7:$C$306,"&gt;="&amp;DATE($B$3,10,28),'Leave log'!$F$7:$F$306,"Pending")&gt;0,"P",""))))</f>
        <v/>
      </c>
      <c r="AD329" s="23" t="str">
        <f>IF(A329="","",IF(IF(OR(DATE($B$3,10,29)&gt;EOMONTH(DATE($B$3,10,1),0),NETWORKDAYS.INTL(DATE($B$3,10,29),DATE($B$3,10,29),1,'Non-working days'!$A$6:$A$45)=0),"",IF(COUNTIFS('Leave log'!$A$7:$A$306,Employees!$A$22,'Leave log'!$B$7:$B$306,"&lt;="&amp;DATE($B$3,10,29),'Leave log'!$C$7:$C$306,"&gt;="&amp;DATE($B$3,10,29),'Leave log'!$F$7:$F$306,"Approved")&gt;0,"A",""))="A","A",IF(OR(DATE($B$3,10,29)&gt;EOMONTH(DATE($B$3,10,1),0),NETWORKDAYS.INTL(DATE($B$3,10,29),DATE($B$3,10,29),1,'Non-working days'!$A$6:$A$45)=0),"",IF(COUNTIFS('Leave log'!$A$7:$A$306,Employees!$A$22,'Leave log'!$B$7:$B$306,"&lt;="&amp;DATE($B$3,10,29),'Leave log'!$C$7:$C$306,"&gt;="&amp;DATE($B$3,10,29),'Leave log'!$F$7:$F$306,"Pending")&gt;0,"P",""))))</f>
        <v/>
      </c>
      <c r="AE329" s="23" t="str">
        <f>IF(A329="","",IF(IF(OR(DATE($B$3,10,30)&gt;EOMONTH(DATE($B$3,10,1),0),NETWORKDAYS.INTL(DATE($B$3,10,30),DATE($B$3,10,30),1,'Non-working days'!$A$6:$A$45)=0),"",IF(COUNTIFS('Leave log'!$A$7:$A$306,Employees!$A$22,'Leave log'!$B$7:$B$306,"&lt;="&amp;DATE($B$3,10,30),'Leave log'!$C$7:$C$306,"&gt;="&amp;DATE($B$3,10,30),'Leave log'!$F$7:$F$306,"Approved")&gt;0,"A",""))="A","A",IF(OR(DATE($B$3,10,30)&gt;EOMONTH(DATE($B$3,10,1),0),NETWORKDAYS.INTL(DATE($B$3,10,30),DATE($B$3,10,30),1,'Non-working days'!$A$6:$A$45)=0),"",IF(COUNTIFS('Leave log'!$A$7:$A$306,Employees!$A$22,'Leave log'!$B$7:$B$306,"&lt;="&amp;DATE($B$3,10,30),'Leave log'!$C$7:$C$306,"&gt;="&amp;DATE($B$3,10,30),'Leave log'!$F$7:$F$306,"Pending")&gt;0,"P",""))))</f>
        <v/>
      </c>
      <c r="AF329" s="23" t="str">
        <f>IF(A329="","",IF(IF(OR(DATE($B$3,10,31)&gt;EOMONTH(DATE($B$3,10,1),0),NETWORKDAYS.INTL(DATE($B$3,10,31),DATE($B$3,10,31),1,'Non-working days'!$A$6:$A$45)=0),"",IF(COUNTIFS('Leave log'!$A$7:$A$306,Employees!$A$22,'Leave log'!$B$7:$B$306,"&lt;="&amp;DATE($B$3,10,31),'Leave log'!$C$7:$C$306,"&gt;="&amp;DATE($B$3,10,31),'Leave log'!$F$7:$F$306,"Approved")&gt;0,"A",""))="A","A",IF(OR(DATE($B$3,10,31)&gt;EOMONTH(DATE($B$3,10,1),0),NETWORKDAYS.INTL(DATE($B$3,10,31),DATE($B$3,10,31),1,'Non-working days'!$A$6:$A$45)=0),"",IF(COUNTIFS('Leave log'!$A$7:$A$306,Employees!$A$22,'Leave log'!$B$7:$B$306,"&lt;="&amp;DATE($B$3,10,31),'Leave log'!$C$7:$C$306,"&gt;="&amp;DATE($B$3,10,31),'Leave log'!$F$7:$F$306,"Pending")&gt;0,"P",""))))</f>
        <v/>
      </c>
    </row>
    <row r="330" spans="1:32" ht="18" customHeight="1" x14ac:dyDescent="0.3">
      <c r="A330" s="22" t="str">
        <f>IF(Employees!F23="Yes",Employees!B23,"")</f>
        <v/>
      </c>
      <c r="B330" s="23" t="str">
        <f>IF(A330="","",IF(IF(OR(DATE($B$3,10,1)&gt;EOMONTH(DATE($B$3,10,1),0),NETWORKDAYS.INTL(DATE($B$3,10,1),DATE($B$3,10,1),1,'Non-working days'!$A$6:$A$45)=0),"",IF(COUNTIFS('Leave log'!$A$7:$A$306,Employees!$A$23,'Leave log'!$B$7:$B$306,"&lt;="&amp;DATE($B$3,10,1),'Leave log'!$C$7:$C$306,"&gt;="&amp;DATE($B$3,10,1),'Leave log'!$F$7:$F$306,"Approved")&gt;0,"A",""))="A","A",IF(OR(DATE($B$3,10,1)&gt;EOMONTH(DATE($B$3,10,1),0),NETWORKDAYS.INTL(DATE($B$3,10,1),DATE($B$3,10,1),1,'Non-working days'!$A$6:$A$45)=0),"",IF(COUNTIFS('Leave log'!$A$7:$A$306,Employees!$A$23,'Leave log'!$B$7:$B$306,"&lt;="&amp;DATE($B$3,10,1),'Leave log'!$C$7:$C$306,"&gt;="&amp;DATE($B$3,10,1),'Leave log'!$F$7:$F$306,"Pending")&gt;0,"P",""))))</f>
        <v/>
      </c>
      <c r="C330" s="23" t="str">
        <f>IF(A330="","",IF(IF(OR(DATE($B$3,10,2)&gt;EOMONTH(DATE($B$3,10,1),0),NETWORKDAYS.INTL(DATE($B$3,10,2),DATE($B$3,10,2),1,'Non-working days'!$A$6:$A$45)=0),"",IF(COUNTIFS('Leave log'!$A$7:$A$306,Employees!$A$23,'Leave log'!$B$7:$B$306,"&lt;="&amp;DATE($B$3,10,2),'Leave log'!$C$7:$C$306,"&gt;="&amp;DATE($B$3,10,2),'Leave log'!$F$7:$F$306,"Approved")&gt;0,"A",""))="A","A",IF(OR(DATE($B$3,10,2)&gt;EOMONTH(DATE($B$3,10,1),0),NETWORKDAYS.INTL(DATE($B$3,10,2),DATE($B$3,10,2),1,'Non-working days'!$A$6:$A$45)=0),"",IF(COUNTIFS('Leave log'!$A$7:$A$306,Employees!$A$23,'Leave log'!$B$7:$B$306,"&lt;="&amp;DATE($B$3,10,2),'Leave log'!$C$7:$C$306,"&gt;="&amp;DATE($B$3,10,2),'Leave log'!$F$7:$F$306,"Pending")&gt;0,"P",""))))</f>
        <v/>
      </c>
      <c r="D330" s="23" t="str">
        <f>IF(A330="","",IF(IF(OR(DATE($B$3,10,3)&gt;EOMONTH(DATE($B$3,10,1),0),NETWORKDAYS.INTL(DATE($B$3,10,3),DATE($B$3,10,3),1,'Non-working days'!$A$6:$A$45)=0),"",IF(COUNTIFS('Leave log'!$A$7:$A$306,Employees!$A$23,'Leave log'!$B$7:$B$306,"&lt;="&amp;DATE($B$3,10,3),'Leave log'!$C$7:$C$306,"&gt;="&amp;DATE($B$3,10,3),'Leave log'!$F$7:$F$306,"Approved")&gt;0,"A",""))="A","A",IF(OR(DATE($B$3,10,3)&gt;EOMONTH(DATE($B$3,10,1),0),NETWORKDAYS.INTL(DATE($B$3,10,3),DATE($B$3,10,3),1,'Non-working days'!$A$6:$A$45)=0),"",IF(COUNTIFS('Leave log'!$A$7:$A$306,Employees!$A$23,'Leave log'!$B$7:$B$306,"&lt;="&amp;DATE($B$3,10,3),'Leave log'!$C$7:$C$306,"&gt;="&amp;DATE($B$3,10,3),'Leave log'!$F$7:$F$306,"Pending")&gt;0,"P",""))))</f>
        <v/>
      </c>
      <c r="E330" s="23" t="str">
        <f>IF(A330="","",IF(IF(OR(DATE($B$3,10,4)&gt;EOMONTH(DATE($B$3,10,1),0),NETWORKDAYS.INTL(DATE($B$3,10,4),DATE($B$3,10,4),1,'Non-working days'!$A$6:$A$45)=0),"",IF(COUNTIFS('Leave log'!$A$7:$A$306,Employees!$A$23,'Leave log'!$B$7:$B$306,"&lt;="&amp;DATE($B$3,10,4),'Leave log'!$C$7:$C$306,"&gt;="&amp;DATE($B$3,10,4),'Leave log'!$F$7:$F$306,"Approved")&gt;0,"A",""))="A","A",IF(OR(DATE($B$3,10,4)&gt;EOMONTH(DATE($B$3,10,1),0),NETWORKDAYS.INTL(DATE($B$3,10,4),DATE($B$3,10,4),1,'Non-working days'!$A$6:$A$45)=0),"",IF(COUNTIFS('Leave log'!$A$7:$A$306,Employees!$A$23,'Leave log'!$B$7:$B$306,"&lt;="&amp;DATE($B$3,10,4),'Leave log'!$C$7:$C$306,"&gt;="&amp;DATE($B$3,10,4),'Leave log'!$F$7:$F$306,"Pending")&gt;0,"P",""))))</f>
        <v/>
      </c>
      <c r="F330" s="23" t="str">
        <f>IF(A330="","",IF(IF(OR(DATE($B$3,10,5)&gt;EOMONTH(DATE($B$3,10,1),0),NETWORKDAYS.INTL(DATE($B$3,10,5),DATE($B$3,10,5),1,'Non-working days'!$A$6:$A$45)=0),"",IF(COUNTIFS('Leave log'!$A$7:$A$306,Employees!$A$23,'Leave log'!$B$7:$B$306,"&lt;="&amp;DATE($B$3,10,5),'Leave log'!$C$7:$C$306,"&gt;="&amp;DATE($B$3,10,5),'Leave log'!$F$7:$F$306,"Approved")&gt;0,"A",""))="A","A",IF(OR(DATE($B$3,10,5)&gt;EOMONTH(DATE($B$3,10,1),0),NETWORKDAYS.INTL(DATE($B$3,10,5),DATE($B$3,10,5),1,'Non-working days'!$A$6:$A$45)=0),"",IF(COUNTIFS('Leave log'!$A$7:$A$306,Employees!$A$23,'Leave log'!$B$7:$B$306,"&lt;="&amp;DATE($B$3,10,5),'Leave log'!$C$7:$C$306,"&gt;="&amp;DATE($B$3,10,5),'Leave log'!$F$7:$F$306,"Pending")&gt;0,"P",""))))</f>
        <v/>
      </c>
      <c r="G330" s="23" t="str">
        <f>IF(A330="","",IF(IF(OR(DATE($B$3,10,6)&gt;EOMONTH(DATE($B$3,10,1),0),NETWORKDAYS.INTL(DATE($B$3,10,6),DATE($B$3,10,6),1,'Non-working days'!$A$6:$A$45)=0),"",IF(COUNTIFS('Leave log'!$A$7:$A$306,Employees!$A$23,'Leave log'!$B$7:$B$306,"&lt;="&amp;DATE($B$3,10,6),'Leave log'!$C$7:$C$306,"&gt;="&amp;DATE($B$3,10,6),'Leave log'!$F$7:$F$306,"Approved")&gt;0,"A",""))="A","A",IF(OR(DATE($B$3,10,6)&gt;EOMONTH(DATE($B$3,10,1),0),NETWORKDAYS.INTL(DATE($B$3,10,6),DATE($B$3,10,6),1,'Non-working days'!$A$6:$A$45)=0),"",IF(COUNTIFS('Leave log'!$A$7:$A$306,Employees!$A$23,'Leave log'!$B$7:$B$306,"&lt;="&amp;DATE($B$3,10,6),'Leave log'!$C$7:$C$306,"&gt;="&amp;DATE($B$3,10,6),'Leave log'!$F$7:$F$306,"Pending")&gt;0,"P",""))))</f>
        <v/>
      </c>
      <c r="H330" s="23" t="str">
        <f>IF(A330="","",IF(IF(OR(DATE($B$3,10,7)&gt;EOMONTH(DATE($B$3,10,1),0),NETWORKDAYS.INTL(DATE($B$3,10,7),DATE($B$3,10,7),1,'Non-working days'!$A$6:$A$45)=0),"",IF(COUNTIFS('Leave log'!$A$7:$A$306,Employees!$A$23,'Leave log'!$B$7:$B$306,"&lt;="&amp;DATE($B$3,10,7),'Leave log'!$C$7:$C$306,"&gt;="&amp;DATE($B$3,10,7),'Leave log'!$F$7:$F$306,"Approved")&gt;0,"A",""))="A","A",IF(OR(DATE($B$3,10,7)&gt;EOMONTH(DATE($B$3,10,1),0),NETWORKDAYS.INTL(DATE($B$3,10,7),DATE($B$3,10,7),1,'Non-working days'!$A$6:$A$45)=0),"",IF(COUNTIFS('Leave log'!$A$7:$A$306,Employees!$A$23,'Leave log'!$B$7:$B$306,"&lt;="&amp;DATE($B$3,10,7),'Leave log'!$C$7:$C$306,"&gt;="&amp;DATE($B$3,10,7),'Leave log'!$F$7:$F$306,"Pending")&gt;0,"P",""))))</f>
        <v/>
      </c>
      <c r="I330" s="23" t="str">
        <f>IF(A330="","",IF(IF(OR(DATE($B$3,10,8)&gt;EOMONTH(DATE($B$3,10,1),0),NETWORKDAYS.INTL(DATE($B$3,10,8),DATE($B$3,10,8),1,'Non-working days'!$A$6:$A$45)=0),"",IF(COUNTIFS('Leave log'!$A$7:$A$306,Employees!$A$23,'Leave log'!$B$7:$B$306,"&lt;="&amp;DATE($B$3,10,8),'Leave log'!$C$7:$C$306,"&gt;="&amp;DATE($B$3,10,8),'Leave log'!$F$7:$F$306,"Approved")&gt;0,"A",""))="A","A",IF(OR(DATE($B$3,10,8)&gt;EOMONTH(DATE($B$3,10,1),0),NETWORKDAYS.INTL(DATE($B$3,10,8),DATE($B$3,10,8),1,'Non-working days'!$A$6:$A$45)=0),"",IF(COUNTIFS('Leave log'!$A$7:$A$306,Employees!$A$23,'Leave log'!$B$7:$B$306,"&lt;="&amp;DATE($B$3,10,8),'Leave log'!$C$7:$C$306,"&gt;="&amp;DATE($B$3,10,8),'Leave log'!$F$7:$F$306,"Pending")&gt;0,"P",""))))</f>
        <v/>
      </c>
      <c r="J330" s="23" t="str">
        <f>IF(A330="","",IF(IF(OR(DATE($B$3,10,9)&gt;EOMONTH(DATE($B$3,10,1),0),NETWORKDAYS.INTL(DATE($B$3,10,9),DATE($B$3,10,9),1,'Non-working days'!$A$6:$A$45)=0),"",IF(COUNTIFS('Leave log'!$A$7:$A$306,Employees!$A$23,'Leave log'!$B$7:$B$306,"&lt;="&amp;DATE($B$3,10,9),'Leave log'!$C$7:$C$306,"&gt;="&amp;DATE($B$3,10,9),'Leave log'!$F$7:$F$306,"Approved")&gt;0,"A",""))="A","A",IF(OR(DATE($B$3,10,9)&gt;EOMONTH(DATE($B$3,10,1),0),NETWORKDAYS.INTL(DATE($B$3,10,9),DATE($B$3,10,9),1,'Non-working days'!$A$6:$A$45)=0),"",IF(COUNTIFS('Leave log'!$A$7:$A$306,Employees!$A$23,'Leave log'!$B$7:$B$306,"&lt;="&amp;DATE($B$3,10,9),'Leave log'!$C$7:$C$306,"&gt;="&amp;DATE($B$3,10,9),'Leave log'!$F$7:$F$306,"Pending")&gt;0,"P",""))))</f>
        <v/>
      </c>
      <c r="K330" s="23" t="str">
        <f>IF(A330="","",IF(IF(OR(DATE($B$3,10,10)&gt;EOMONTH(DATE($B$3,10,1),0),NETWORKDAYS.INTL(DATE($B$3,10,10),DATE($B$3,10,10),1,'Non-working days'!$A$6:$A$45)=0),"",IF(COUNTIFS('Leave log'!$A$7:$A$306,Employees!$A$23,'Leave log'!$B$7:$B$306,"&lt;="&amp;DATE($B$3,10,10),'Leave log'!$C$7:$C$306,"&gt;="&amp;DATE($B$3,10,10),'Leave log'!$F$7:$F$306,"Approved")&gt;0,"A",""))="A","A",IF(OR(DATE($B$3,10,10)&gt;EOMONTH(DATE($B$3,10,1),0),NETWORKDAYS.INTL(DATE($B$3,10,10),DATE($B$3,10,10),1,'Non-working days'!$A$6:$A$45)=0),"",IF(COUNTIFS('Leave log'!$A$7:$A$306,Employees!$A$23,'Leave log'!$B$7:$B$306,"&lt;="&amp;DATE($B$3,10,10),'Leave log'!$C$7:$C$306,"&gt;="&amp;DATE($B$3,10,10),'Leave log'!$F$7:$F$306,"Pending")&gt;0,"P",""))))</f>
        <v/>
      </c>
      <c r="L330" s="23" t="str">
        <f>IF(A330="","",IF(IF(OR(DATE($B$3,10,11)&gt;EOMONTH(DATE($B$3,10,1),0),NETWORKDAYS.INTL(DATE($B$3,10,11),DATE($B$3,10,11),1,'Non-working days'!$A$6:$A$45)=0),"",IF(COUNTIFS('Leave log'!$A$7:$A$306,Employees!$A$23,'Leave log'!$B$7:$B$306,"&lt;="&amp;DATE($B$3,10,11),'Leave log'!$C$7:$C$306,"&gt;="&amp;DATE($B$3,10,11),'Leave log'!$F$7:$F$306,"Approved")&gt;0,"A",""))="A","A",IF(OR(DATE($B$3,10,11)&gt;EOMONTH(DATE($B$3,10,1),0),NETWORKDAYS.INTL(DATE($B$3,10,11),DATE($B$3,10,11),1,'Non-working days'!$A$6:$A$45)=0),"",IF(COUNTIFS('Leave log'!$A$7:$A$306,Employees!$A$23,'Leave log'!$B$7:$B$306,"&lt;="&amp;DATE($B$3,10,11),'Leave log'!$C$7:$C$306,"&gt;="&amp;DATE($B$3,10,11),'Leave log'!$F$7:$F$306,"Pending")&gt;0,"P",""))))</f>
        <v/>
      </c>
      <c r="M330" s="23" t="str">
        <f>IF(A330="","",IF(IF(OR(DATE($B$3,10,12)&gt;EOMONTH(DATE($B$3,10,1),0),NETWORKDAYS.INTL(DATE($B$3,10,12),DATE($B$3,10,12),1,'Non-working days'!$A$6:$A$45)=0),"",IF(COUNTIFS('Leave log'!$A$7:$A$306,Employees!$A$23,'Leave log'!$B$7:$B$306,"&lt;="&amp;DATE($B$3,10,12),'Leave log'!$C$7:$C$306,"&gt;="&amp;DATE($B$3,10,12),'Leave log'!$F$7:$F$306,"Approved")&gt;0,"A",""))="A","A",IF(OR(DATE($B$3,10,12)&gt;EOMONTH(DATE($B$3,10,1),0),NETWORKDAYS.INTL(DATE($B$3,10,12),DATE($B$3,10,12),1,'Non-working days'!$A$6:$A$45)=0),"",IF(COUNTIFS('Leave log'!$A$7:$A$306,Employees!$A$23,'Leave log'!$B$7:$B$306,"&lt;="&amp;DATE($B$3,10,12),'Leave log'!$C$7:$C$306,"&gt;="&amp;DATE($B$3,10,12),'Leave log'!$F$7:$F$306,"Pending")&gt;0,"P",""))))</f>
        <v/>
      </c>
      <c r="N330" s="23" t="str">
        <f>IF(A330="","",IF(IF(OR(DATE($B$3,10,13)&gt;EOMONTH(DATE($B$3,10,1),0),NETWORKDAYS.INTL(DATE($B$3,10,13),DATE($B$3,10,13),1,'Non-working days'!$A$6:$A$45)=0),"",IF(COUNTIFS('Leave log'!$A$7:$A$306,Employees!$A$23,'Leave log'!$B$7:$B$306,"&lt;="&amp;DATE($B$3,10,13),'Leave log'!$C$7:$C$306,"&gt;="&amp;DATE($B$3,10,13),'Leave log'!$F$7:$F$306,"Approved")&gt;0,"A",""))="A","A",IF(OR(DATE($B$3,10,13)&gt;EOMONTH(DATE($B$3,10,1),0),NETWORKDAYS.INTL(DATE($B$3,10,13),DATE($B$3,10,13),1,'Non-working days'!$A$6:$A$45)=0),"",IF(COUNTIFS('Leave log'!$A$7:$A$306,Employees!$A$23,'Leave log'!$B$7:$B$306,"&lt;="&amp;DATE($B$3,10,13),'Leave log'!$C$7:$C$306,"&gt;="&amp;DATE($B$3,10,13),'Leave log'!$F$7:$F$306,"Pending")&gt;0,"P",""))))</f>
        <v/>
      </c>
      <c r="O330" s="23" t="str">
        <f>IF(A330="","",IF(IF(OR(DATE($B$3,10,14)&gt;EOMONTH(DATE($B$3,10,1),0),NETWORKDAYS.INTL(DATE($B$3,10,14),DATE($B$3,10,14),1,'Non-working days'!$A$6:$A$45)=0),"",IF(COUNTIFS('Leave log'!$A$7:$A$306,Employees!$A$23,'Leave log'!$B$7:$B$306,"&lt;="&amp;DATE($B$3,10,14),'Leave log'!$C$7:$C$306,"&gt;="&amp;DATE($B$3,10,14),'Leave log'!$F$7:$F$306,"Approved")&gt;0,"A",""))="A","A",IF(OR(DATE($B$3,10,14)&gt;EOMONTH(DATE($B$3,10,1),0),NETWORKDAYS.INTL(DATE($B$3,10,14),DATE($B$3,10,14),1,'Non-working days'!$A$6:$A$45)=0),"",IF(COUNTIFS('Leave log'!$A$7:$A$306,Employees!$A$23,'Leave log'!$B$7:$B$306,"&lt;="&amp;DATE($B$3,10,14),'Leave log'!$C$7:$C$306,"&gt;="&amp;DATE($B$3,10,14),'Leave log'!$F$7:$F$306,"Pending")&gt;0,"P",""))))</f>
        <v/>
      </c>
      <c r="P330" s="23" t="str">
        <f>IF(A330="","",IF(IF(OR(DATE($B$3,10,15)&gt;EOMONTH(DATE($B$3,10,1),0),NETWORKDAYS.INTL(DATE($B$3,10,15),DATE($B$3,10,15),1,'Non-working days'!$A$6:$A$45)=0),"",IF(COUNTIFS('Leave log'!$A$7:$A$306,Employees!$A$23,'Leave log'!$B$7:$B$306,"&lt;="&amp;DATE($B$3,10,15),'Leave log'!$C$7:$C$306,"&gt;="&amp;DATE($B$3,10,15),'Leave log'!$F$7:$F$306,"Approved")&gt;0,"A",""))="A","A",IF(OR(DATE($B$3,10,15)&gt;EOMONTH(DATE($B$3,10,1),0),NETWORKDAYS.INTL(DATE($B$3,10,15),DATE($B$3,10,15),1,'Non-working days'!$A$6:$A$45)=0),"",IF(COUNTIFS('Leave log'!$A$7:$A$306,Employees!$A$23,'Leave log'!$B$7:$B$306,"&lt;="&amp;DATE($B$3,10,15),'Leave log'!$C$7:$C$306,"&gt;="&amp;DATE($B$3,10,15),'Leave log'!$F$7:$F$306,"Pending")&gt;0,"P",""))))</f>
        <v/>
      </c>
      <c r="Q330" s="23" t="str">
        <f>IF(A330="","",IF(IF(OR(DATE($B$3,10,16)&gt;EOMONTH(DATE($B$3,10,1),0),NETWORKDAYS.INTL(DATE($B$3,10,16),DATE($B$3,10,16),1,'Non-working days'!$A$6:$A$45)=0),"",IF(COUNTIFS('Leave log'!$A$7:$A$306,Employees!$A$23,'Leave log'!$B$7:$B$306,"&lt;="&amp;DATE($B$3,10,16),'Leave log'!$C$7:$C$306,"&gt;="&amp;DATE($B$3,10,16),'Leave log'!$F$7:$F$306,"Approved")&gt;0,"A",""))="A","A",IF(OR(DATE($B$3,10,16)&gt;EOMONTH(DATE($B$3,10,1),0),NETWORKDAYS.INTL(DATE($B$3,10,16),DATE($B$3,10,16),1,'Non-working days'!$A$6:$A$45)=0),"",IF(COUNTIFS('Leave log'!$A$7:$A$306,Employees!$A$23,'Leave log'!$B$7:$B$306,"&lt;="&amp;DATE($B$3,10,16),'Leave log'!$C$7:$C$306,"&gt;="&amp;DATE($B$3,10,16),'Leave log'!$F$7:$F$306,"Pending")&gt;0,"P",""))))</f>
        <v/>
      </c>
      <c r="R330" s="23" t="str">
        <f>IF(A330="","",IF(IF(OR(DATE($B$3,10,17)&gt;EOMONTH(DATE($B$3,10,1),0),NETWORKDAYS.INTL(DATE($B$3,10,17),DATE($B$3,10,17),1,'Non-working days'!$A$6:$A$45)=0),"",IF(COUNTIFS('Leave log'!$A$7:$A$306,Employees!$A$23,'Leave log'!$B$7:$B$306,"&lt;="&amp;DATE($B$3,10,17),'Leave log'!$C$7:$C$306,"&gt;="&amp;DATE($B$3,10,17),'Leave log'!$F$7:$F$306,"Approved")&gt;0,"A",""))="A","A",IF(OR(DATE($B$3,10,17)&gt;EOMONTH(DATE($B$3,10,1),0),NETWORKDAYS.INTL(DATE($B$3,10,17),DATE($B$3,10,17),1,'Non-working days'!$A$6:$A$45)=0),"",IF(COUNTIFS('Leave log'!$A$7:$A$306,Employees!$A$23,'Leave log'!$B$7:$B$306,"&lt;="&amp;DATE($B$3,10,17),'Leave log'!$C$7:$C$306,"&gt;="&amp;DATE($B$3,10,17),'Leave log'!$F$7:$F$306,"Pending")&gt;0,"P",""))))</f>
        <v/>
      </c>
      <c r="S330" s="23" t="str">
        <f>IF(A330="","",IF(IF(OR(DATE($B$3,10,18)&gt;EOMONTH(DATE($B$3,10,1),0),NETWORKDAYS.INTL(DATE($B$3,10,18),DATE($B$3,10,18),1,'Non-working days'!$A$6:$A$45)=0),"",IF(COUNTIFS('Leave log'!$A$7:$A$306,Employees!$A$23,'Leave log'!$B$7:$B$306,"&lt;="&amp;DATE($B$3,10,18),'Leave log'!$C$7:$C$306,"&gt;="&amp;DATE($B$3,10,18),'Leave log'!$F$7:$F$306,"Approved")&gt;0,"A",""))="A","A",IF(OR(DATE($B$3,10,18)&gt;EOMONTH(DATE($B$3,10,1),0),NETWORKDAYS.INTL(DATE($B$3,10,18),DATE($B$3,10,18),1,'Non-working days'!$A$6:$A$45)=0),"",IF(COUNTIFS('Leave log'!$A$7:$A$306,Employees!$A$23,'Leave log'!$B$7:$B$306,"&lt;="&amp;DATE($B$3,10,18),'Leave log'!$C$7:$C$306,"&gt;="&amp;DATE($B$3,10,18),'Leave log'!$F$7:$F$306,"Pending")&gt;0,"P",""))))</f>
        <v/>
      </c>
      <c r="T330" s="23" t="str">
        <f>IF(A330="","",IF(IF(OR(DATE($B$3,10,19)&gt;EOMONTH(DATE($B$3,10,1),0),NETWORKDAYS.INTL(DATE($B$3,10,19),DATE($B$3,10,19),1,'Non-working days'!$A$6:$A$45)=0),"",IF(COUNTIFS('Leave log'!$A$7:$A$306,Employees!$A$23,'Leave log'!$B$7:$B$306,"&lt;="&amp;DATE($B$3,10,19),'Leave log'!$C$7:$C$306,"&gt;="&amp;DATE($B$3,10,19),'Leave log'!$F$7:$F$306,"Approved")&gt;0,"A",""))="A","A",IF(OR(DATE($B$3,10,19)&gt;EOMONTH(DATE($B$3,10,1),0),NETWORKDAYS.INTL(DATE($B$3,10,19),DATE($B$3,10,19),1,'Non-working days'!$A$6:$A$45)=0),"",IF(COUNTIFS('Leave log'!$A$7:$A$306,Employees!$A$23,'Leave log'!$B$7:$B$306,"&lt;="&amp;DATE($B$3,10,19),'Leave log'!$C$7:$C$306,"&gt;="&amp;DATE($B$3,10,19),'Leave log'!$F$7:$F$306,"Pending")&gt;0,"P",""))))</f>
        <v/>
      </c>
      <c r="U330" s="23" t="str">
        <f>IF(A330="","",IF(IF(OR(DATE($B$3,10,20)&gt;EOMONTH(DATE($B$3,10,1),0),NETWORKDAYS.INTL(DATE($B$3,10,20),DATE($B$3,10,20),1,'Non-working days'!$A$6:$A$45)=0),"",IF(COUNTIFS('Leave log'!$A$7:$A$306,Employees!$A$23,'Leave log'!$B$7:$B$306,"&lt;="&amp;DATE($B$3,10,20),'Leave log'!$C$7:$C$306,"&gt;="&amp;DATE($B$3,10,20),'Leave log'!$F$7:$F$306,"Approved")&gt;0,"A",""))="A","A",IF(OR(DATE($B$3,10,20)&gt;EOMONTH(DATE($B$3,10,1),0),NETWORKDAYS.INTL(DATE($B$3,10,20),DATE($B$3,10,20),1,'Non-working days'!$A$6:$A$45)=0),"",IF(COUNTIFS('Leave log'!$A$7:$A$306,Employees!$A$23,'Leave log'!$B$7:$B$306,"&lt;="&amp;DATE($B$3,10,20),'Leave log'!$C$7:$C$306,"&gt;="&amp;DATE($B$3,10,20),'Leave log'!$F$7:$F$306,"Pending")&gt;0,"P",""))))</f>
        <v/>
      </c>
      <c r="V330" s="23" t="str">
        <f>IF(A330="","",IF(IF(OR(DATE($B$3,10,21)&gt;EOMONTH(DATE($B$3,10,1),0),NETWORKDAYS.INTL(DATE($B$3,10,21),DATE($B$3,10,21),1,'Non-working days'!$A$6:$A$45)=0),"",IF(COUNTIFS('Leave log'!$A$7:$A$306,Employees!$A$23,'Leave log'!$B$7:$B$306,"&lt;="&amp;DATE($B$3,10,21),'Leave log'!$C$7:$C$306,"&gt;="&amp;DATE($B$3,10,21),'Leave log'!$F$7:$F$306,"Approved")&gt;0,"A",""))="A","A",IF(OR(DATE($B$3,10,21)&gt;EOMONTH(DATE($B$3,10,1),0),NETWORKDAYS.INTL(DATE($B$3,10,21),DATE($B$3,10,21),1,'Non-working days'!$A$6:$A$45)=0),"",IF(COUNTIFS('Leave log'!$A$7:$A$306,Employees!$A$23,'Leave log'!$B$7:$B$306,"&lt;="&amp;DATE($B$3,10,21),'Leave log'!$C$7:$C$306,"&gt;="&amp;DATE($B$3,10,21),'Leave log'!$F$7:$F$306,"Pending")&gt;0,"P",""))))</f>
        <v/>
      </c>
      <c r="W330" s="23" t="str">
        <f>IF(A330="","",IF(IF(OR(DATE($B$3,10,22)&gt;EOMONTH(DATE($B$3,10,1),0),NETWORKDAYS.INTL(DATE($B$3,10,22),DATE($B$3,10,22),1,'Non-working days'!$A$6:$A$45)=0),"",IF(COUNTIFS('Leave log'!$A$7:$A$306,Employees!$A$23,'Leave log'!$B$7:$B$306,"&lt;="&amp;DATE($B$3,10,22),'Leave log'!$C$7:$C$306,"&gt;="&amp;DATE($B$3,10,22),'Leave log'!$F$7:$F$306,"Approved")&gt;0,"A",""))="A","A",IF(OR(DATE($B$3,10,22)&gt;EOMONTH(DATE($B$3,10,1),0),NETWORKDAYS.INTL(DATE($B$3,10,22),DATE($B$3,10,22),1,'Non-working days'!$A$6:$A$45)=0),"",IF(COUNTIFS('Leave log'!$A$7:$A$306,Employees!$A$23,'Leave log'!$B$7:$B$306,"&lt;="&amp;DATE($B$3,10,22),'Leave log'!$C$7:$C$306,"&gt;="&amp;DATE($B$3,10,22),'Leave log'!$F$7:$F$306,"Pending")&gt;0,"P",""))))</f>
        <v/>
      </c>
      <c r="X330" s="23" t="str">
        <f>IF(A330="","",IF(IF(OR(DATE($B$3,10,23)&gt;EOMONTH(DATE($B$3,10,1),0),NETWORKDAYS.INTL(DATE($B$3,10,23),DATE($B$3,10,23),1,'Non-working days'!$A$6:$A$45)=0),"",IF(COUNTIFS('Leave log'!$A$7:$A$306,Employees!$A$23,'Leave log'!$B$7:$B$306,"&lt;="&amp;DATE($B$3,10,23),'Leave log'!$C$7:$C$306,"&gt;="&amp;DATE($B$3,10,23),'Leave log'!$F$7:$F$306,"Approved")&gt;0,"A",""))="A","A",IF(OR(DATE($B$3,10,23)&gt;EOMONTH(DATE($B$3,10,1),0),NETWORKDAYS.INTL(DATE($B$3,10,23),DATE($B$3,10,23),1,'Non-working days'!$A$6:$A$45)=0),"",IF(COUNTIFS('Leave log'!$A$7:$A$306,Employees!$A$23,'Leave log'!$B$7:$B$306,"&lt;="&amp;DATE($B$3,10,23),'Leave log'!$C$7:$C$306,"&gt;="&amp;DATE($B$3,10,23),'Leave log'!$F$7:$F$306,"Pending")&gt;0,"P",""))))</f>
        <v/>
      </c>
      <c r="Y330" s="23" t="str">
        <f>IF(A330="","",IF(IF(OR(DATE($B$3,10,24)&gt;EOMONTH(DATE($B$3,10,1),0),NETWORKDAYS.INTL(DATE($B$3,10,24),DATE($B$3,10,24),1,'Non-working days'!$A$6:$A$45)=0),"",IF(COUNTIFS('Leave log'!$A$7:$A$306,Employees!$A$23,'Leave log'!$B$7:$B$306,"&lt;="&amp;DATE($B$3,10,24),'Leave log'!$C$7:$C$306,"&gt;="&amp;DATE($B$3,10,24),'Leave log'!$F$7:$F$306,"Approved")&gt;0,"A",""))="A","A",IF(OR(DATE($B$3,10,24)&gt;EOMONTH(DATE($B$3,10,1),0),NETWORKDAYS.INTL(DATE($B$3,10,24),DATE($B$3,10,24),1,'Non-working days'!$A$6:$A$45)=0),"",IF(COUNTIFS('Leave log'!$A$7:$A$306,Employees!$A$23,'Leave log'!$B$7:$B$306,"&lt;="&amp;DATE($B$3,10,24),'Leave log'!$C$7:$C$306,"&gt;="&amp;DATE($B$3,10,24),'Leave log'!$F$7:$F$306,"Pending")&gt;0,"P",""))))</f>
        <v/>
      </c>
      <c r="Z330" s="23" t="str">
        <f>IF(A330="","",IF(IF(OR(DATE($B$3,10,25)&gt;EOMONTH(DATE($B$3,10,1),0),NETWORKDAYS.INTL(DATE($B$3,10,25),DATE($B$3,10,25),1,'Non-working days'!$A$6:$A$45)=0),"",IF(COUNTIFS('Leave log'!$A$7:$A$306,Employees!$A$23,'Leave log'!$B$7:$B$306,"&lt;="&amp;DATE($B$3,10,25),'Leave log'!$C$7:$C$306,"&gt;="&amp;DATE($B$3,10,25),'Leave log'!$F$7:$F$306,"Approved")&gt;0,"A",""))="A","A",IF(OR(DATE($B$3,10,25)&gt;EOMONTH(DATE($B$3,10,1),0),NETWORKDAYS.INTL(DATE($B$3,10,25),DATE($B$3,10,25),1,'Non-working days'!$A$6:$A$45)=0),"",IF(COUNTIFS('Leave log'!$A$7:$A$306,Employees!$A$23,'Leave log'!$B$7:$B$306,"&lt;="&amp;DATE($B$3,10,25),'Leave log'!$C$7:$C$306,"&gt;="&amp;DATE($B$3,10,25),'Leave log'!$F$7:$F$306,"Pending")&gt;0,"P",""))))</f>
        <v/>
      </c>
      <c r="AA330" s="23" t="str">
        <f>IF(A330="","",IF(IF(OR(DATE($B$3,10,26)&gt;EOMONTH(DATE($B$3,10,1),0),NETWORKDAYS.INTL(DATE($B$3,10,26),DATE($B$3,10,26),1,'Non-working days'!$A$6:$A$45)=0),"",IF(COUNTIFS('Leave log'!$A$7:$A$306,Employees!$A$23,'Leave log'!$B$7:$B$306,"&lt;="&amp;DATE($B$3,10,26),'Leave log'!$C$7:$C$306,"&gt;="&amp;DATE($B$3,10,26),'Leave log'!$F$7:$F$306,"Approved")&gt;0,"A",""))="A","A",IF(OR(DATE($B$3,10,26)&gt;EOMONTH(DATE($B$3,10,1),0),NETWORKDAYS.INTL(DATE($B$3,10,26),DATE($B$3,10,26),1,'Non-working days'!$A$6:$A$45)=0),"",IF(COUNTIFS('Leave log'!$A$7:$A$306,Employees!$A$23,'Leave log'!$B$7:$B$306,"&lt;="&amp;DATE($B$3,10,26),'Leave log'!$C$7:$C$306,"&gt;="&amp;DATE($B$3,10,26),'Leave log'!$F$7:$F$306,"Pending")&gt;0,"P",""))))</f>
        <v/>
      </c>
      <c r="AB330" s="23" t="str">
        <f>IF(A330="","",IF(IF(OR(DATE($B$3,10,27)&gt;EOMONTH(DATE($B$3,10,1),0),NETWORKDAYS.INTL(DATE($B$3,10,27),DATE($B$3,10,27),1,'Non-working days'!$A$6:$A$45)=0),"",IF(COUNTIFS('Leave log'!$A$7:$A$306,Employees!$A$23,'Leave log'!$B$7:$B$306,"&lt;="&amp;DATE($B$3,10,27),'Leave log'!$C$7:$C$306,"&gt;="&amp;DATE($B$3,10,27),'Leave log'!$F$7:$F$306,"Approved")&gt;0,"A",""))="A","A",IF(OR(DATE($B$3,10,27)&gt;EOMONTH(DATE($B$3,10,1),0),NETWORKDAYS.INTL(DATE($B$3,10,27),DATE($B$3,10,27),1,'Non-working days'!$A$6:$A$45)=0),"",IF(COUNTIFS('Leave log'!$A$7:$A$306,Employees!$A$23,'Leave log'!$B$7:$B$306,"&lt;="&amp;DATE($B$3,10,27),'Leave log'!$C$7:$C$306,"&gt;="&amp;DATE($B$3,10,27),'Leave log'!$F$7:$F$306,"Pending")&gt;0,"P",""))))</f>
        <v/>
      </c>
      <c r="AC330" s="23" t="str">
        <f>IF(A330="","",IF(IF(OR(DATE($B$3,10,28)&gt;EOMONTH(DATE($B$3,10,1),0),NETWORKDAYS.INTL(DATE($B$3,10,28),DATE($B$3,10,28),1,'Non-working days'!$A$6:$A$45)=0),"",IF(COUNTIFS('Leave log'!$A$7:$A$306,Employees!$A$23,'Leave log'!$B$7:$B$306,"&lt;="&amp;DATE($B$3,10,28),'Leave log'!$C$7:$C$306,"&gt;="&amp;DATE($B$3,10,28),'Leave log'!$F$7:$F$306,"Approved")&gt;0,"A",""))="A","A",IF(OR(DATE($B$3,10,28)&gt;EOMONTH(DATE($B$3,10,1),0),NETWORKDAYS.INTL(DATE($B$3,10,28),DATE($B$3,10,28),1,'Non-working days'!$A$6:$A$45)=0),"",IF(COUNTIFS('Leave log'!$A$7:$A$306,Employees!$A$23,'Leave log'!$B$7:$B$306,"&lt;="&amp;DATE($B$3,10,28),'Leave log'!$C$7:$C$306,"&gt;="&amp;DATE($B$3,10,28),'Leave log'!$F$7:$F$306,"Pending")&gt;0,"P",""))))</f>
        <v/>
      </c>
      <c r="AD330" s="23" t="str">
        <f>IF(A330="","",IF(IF(OR(DATE($B$3,10,29)&gt;EOMONTH(DATE($B$3,10,1),0),NETWORKDAYS.INTL(DATE($B$3,10,29),DATE($B$3,10,29),1,'Non-working days'!$A$6:$A$45)=0),"",IF(COUNTIFS('Leave log'!$A$7:$A$306,Employees!$A$23,'Leave log'!$B$7:$B$306,"&lt;="&amp;DATE($B$3,10,29),'Leave log'!$C$7:$C$306,"&gt;="&amp;DATE($B$3,10,29),'Leave log'!$F$7:$F$306,"Approved")&gt;0,"A",""))="A","A",IF(OR(DATE($B$3,10,29)&gt;EOMONTH(DATE($B$3,10,1),0),NETWORKDAYS.INTL(DATE($B$3,10,29),DATE($B$3,10,29),1,'Non-working days'!$A$6:$A$45)=0),"",IF(COUNTIFS('Leave log'!$A$7:$A$306,Employees!$A$23,'Leave log'!$B$7:$B$306,"&lt;="&amp;DATE($B$3,10,29),'Leave log'!$C$7:$C$306,"&gt;="&amp;DATE($B$3,10,29),'Leave log'!$F$7:$F$306,"Pending")&gt;0,"P",""))))</f>
        <v/>
      </c>
      <c r="AE330" s="23" t="str">
        <f>IF(A330="","",IF(IF(OR(DATE($B$3,10,30)&gt;EOMONTH(DATE($B$3,10,1),0),NETWORKDAYS.INTL(DATE($B$3,10,30),DATE($B$3,10,30),1,'Non-working days'!$A$6:$A$45)=0),"",IF(COUNTIFS('Leave log'!$A$7:$A$306,Employees!$A$23,'Leave log'!$B$7:$B$306,"&lt;="&amp;DATE($B$3,10,30),'Leave log'!$C$7:$C$306,"&gt;="&amp;DATE($B$3,10,30),'Leave log'!$F$7:$F$306,"Approved")&gt;0,"A",""))="A","A",IF(OR(DATE($B$3,10,30)&gt;EOMONTH(DATE($B$3,10,1),0),NETWORKDAYS.INTL(DATE($B$3,10,30),DATE($B$3,10,30),1,'Non-working days'!$A$6:$A$45)=0),"",IF(COUNTIFS('Leave log'!$A$7:$A$306,Employees!$A$23,'Leave log'!$B$7:$B$306,"&lt;="&amp;DATE($B$3,10,30),'Leave log'!$C$7:$C$306,"&gt;="&amp;DATE($B$3,10,30),'Leave log'!$F$7:$F$306,"Pending")&gt;0,"P",""))))</f>
        <v/>
      </c>
      <c r="AF330" s="23" t="str">
        <f>IF(A330="","",IF(IF(OR(DATE($B$3,10,31)&gt;EOMONTH(DATE($B$3,10,1),0),NETWORKDAYS.INTL(DATE($B$3,10,31),DATE($B$3,10,31),1,'Non-working days'!$A$6:$A$45)=0),"",IF(COUNTIFS('Leave log'!$A$7:$A$306,Employees!$A$23,'Leave log'!$B$7:$B$306,"&lt;="&amp;DATE($B$3,10,31),'Leave log'!$C$7:$C$306,"&gt;="&amp;DATE($B$3,10,31),'Leave log'!$F$7:$F$306,"Approved")&gt;0,"A",""))="A","A",IF(OR(DATE($B$3,10,31)&gt;EOMONTH(DATE($B$3,10,1),0),NETWORKDAYS.INTL(DATE($B$3,10,31),DATE($B$3,10,31),1,'Non-working days'!$A$6:$A$45)=0),"",IF(COUNTIFS('Leave log'!$A$7:$A$306,Employees!$A$23,'Leave log'!$B$7:$B$306,"&lt;="&amp;DATE($B$3,10,31),'Leave log'!$C$7:$C$306,"&gt;="&amp;DATE($B$3,10,31),'Leave log'!$F$7:$F$306,"Pending")&gt;0,"P",""))))</f>
        <v/>
      </c>
    </row>
    <row r="331" spans="1:32" ht="18" customHeight="1" x14ac:dyDescent="0.3">
      <c r="A331" s="22" t="str">
        <f>IF(Employees!F24="Yes",Employees!B24,"")</f>
        <v/>
      </c>
      <c r="B331" s="23" t="str">
        <f>IF(A331="","",IF(IF(OR(DATE($B$3,10,1)&gt;EOMONTH(DATE($B$3,10,1),0),NETWORKDAYS.INTL(DATE($B$3,10,1),DATE($B$3,10,1),1,'Non-working days'!$A$6:$A$45)=0),"",IF(COUNTIFS('Leave log'!$A$7:$A$306,Employees!$A$24,'Leave log'!$B$7:$B$306,"&lt;="&amp;DATE($B$3,10,1),'Leave log'!$C$7:$C$306,"&gt;="&amp;DATE($B$3,10,1),'Leave log'!$F$7:$F$306,"Approved")&gt;0,"A",""))="A","A",IF(OR(DATE($B$3,10,1)&gt;EOMONTH(DATE($B$3,10,1),0),NETWORKDAYS.INTL(DATE($B$3,10,1),DATE($B$3,10,1),1,'Non-working days'!$A$6:$A$45)=0),"",IF(COUNTIFS('Leave log'!$A$7:$A$306,Employees!$A$24,'Leave log'!$B$7:$B$306,"&lt;="&amp;DATE($B$3,10,1),'Leave log'!$C$7:$C$306,"&gt;="&amp;DATE($B$3,10,1),'Leave log'!$F$7:$F$306,"Pending")&gt;0,"P",""))))</f>
        <v/>
      </c>
      <c r="C331" s="23" t="str">
        <f>IF(A331="","",IF(IF(OR(DATE($B$3,10,2)&gt;EOMONTH(DATE($B$3,10,1),0),NETWORKDAYS.INTL(DATE($B$3,10,2),DATE($B$3,10,2),1,'Non-working days'!$A$6:$A$45)=0),"",IF(COUNTIFS('Leave log'!$A$7:$A$306,Employees!$A$24,'Leave log'!$B$7:$B$306,"&lt;="&amp;DATE($B$3,10,2),'Leave log'!$C$7:$C$306,"&gt;="&amp;DATE($B$3,10,2),'Leave log'!$F$7:$F$306,"Approved")&gt;0,"A",""))="A","A",IF(OR(DATE($B$3,10,2)&gt;EOMONTH(DATE($B$3,10,1),0),NETWORKDAYS.INTL(DATE($B$3,10,2),DATE($B$3,10,2),1,'Non-working days'!$A$6:$A$45)=0),"",IF(COUNTIFS('Leave log'!$A$7:$A$306,Employees!$A$24,'Leave log'!$B$7:$B$306,"&lt;="&amp;DATE($B$3,10,2),'Leave log'!$C$7:$C$306,"&gt;="&amp;DATE($B$3,10,2),'Leave log'!$F$7:$F$306,"Pending")&gt;0,"P",""))))</f>
        <v/>
      </c>
      <c r="D331" s="23" t="str">
        <f>IF(A331="","",IF(IF(OR(DATE($B$3,10,3)&gt;EOMONTH(DATE($B$3,10,1),0),NETWORKDAYS.INTL(DATE($B$3,10,3),DATE($B$3,10,3),1,'Non-working days'!$A$6:$A$45)=0),"",IF(COUNTIFS('Leave log'!$A$7:$A$306,Employees!$A$24,'Leave log'!$B$7:$B$306,"&lt;="&amp;DATE($B$3,10,3),'Leave log'!$C$7:$C$306,"&gt;="&amp;DATE($B$3,10,3),'Leave log'!$F$7:$F$306,"Approved")&gt;0,"A",""))="A","A",IF(OR(DATE($B$3,10,3)&gt;EOMONTH(DATE($B$3,10,1),0),NETWORKDAYS.INTL(DATE($B$3,10,3),DATE($B$3,10,3),1,'Non-working days'!$A$6:$A$45)=0),"",IF(COUNTIFS('Leave log'!$A$7:$A$306,Employees!$A$24,'Leave log'!$B$7:$B$306,"&lt;="&amp;DATE($B$3,10,3),'Leave log'!$C$7:$C$306,"&gt;="&amp;DATE($B$3,10,3),'Leave log'!$F$7:$F$306,"Pending")&gt;0,"P",""))))</f>
        <v/>
      </c>
      <c r="E331" s="23" t="str">
        <f>IF(A331="","",IF(IF(OR(DATE($B$3,10,4)&gt;EOMONTH(DATE($B$3,10,1),0),NETWORKDAYS.INTL(DATE($B$3,10,4),DATE($B$3,10,4),1,'Non-working days'!$A$6:$A$45)=0),"",IF(COUNTIFS('Leave log'!$A$7:$A$306,Employees!$A$24,'Leave log'!$B$7:$B$306,"&lt;="&amp;DATE($B$3,10,4),'Leave log'!$C$7:$C$306,"&gt;="&amp;DATE($B$3,10,4),'Leave log'!$F$7:$F$306,"Approved")&gt;0,"A",""))="A","A",IF(OR(DATE($B$3,10,4)&gt;EOMONTH(DATE($B$3,10,1),0),NETWORKDAYS.INTL(DATE($B$3,10,4),DATE($B$3,10,4),1,'Non-working days'!$A$6:$A$45)=0),"",IF(COUNTIFS('Leave log'!$A$7:$A$306,Employees!$A$24,'Leave log'!$B$7:$B$306,"&lt;="&amp;DATE($B$3,10,4),'Leave log'!$C$7:$C$306,"&gt;="&amp;DATE($B$3,10,4),'Leave log'!$F$7:$F$306,"Pending")&gt;0,"P",""))))</f>
        <v/>
      </c>
      <c r="F331" s="23" t="str">
        <f>IF(A331="","",IF(IF(OR(DATE($B$3,10,5)&gt;EOMONTH(DATE($B$3,10,1),0),NETWORKDAYS.INTL(DATE($B$3,10,5),DATE($B$3,10,5),1,'Non-working days'!$A$6:$A$45)=0),"",IF(COUNTIFS('Leave log'!$A$7:$A$306,Employees!$A$24,'Leave log'!$B$7:$B$306,"&lt;="&amp;DATE($B$3,10,5),'Leave log'!$C$7:$C$306,"&gt;="&amp;DATE($B$3,10,5),'Leave log'!$F$7:$F$306,"Approved")&gt;0,"A",""))="A","A",IF(OR(DATE($B$3,10,5)&gt;EOMONTH(DATE($B$3,10,1),0),NETWORKDAYS.INTL(DATE($B$3,10,5),DATE($B$3,10,5),1,'Non-working days'!$A$6:$A$45)=0),"",IF(COUNTIFS('Leave log'!$A$7:$A$306,Employees!$A$24,'Leave log'!$B$7:$B$306,"&lt;="&amp;DATE($B$3,10,5),'Leave log'!$C$7:$C$306,"&gt;="&amp;DATE($B$3,10,5),'Leave log'!$F$7:$F$306,"Pending")&gt;0,"P",""))))</f>
        <v/>
      </c>
      <c r="G331" s="23" t="str">
        <f>IF(A331="","",IF(IF(OR(DATE($B$3,10,6)&gt;EOMONTH(DATE($B$3,10,1),0),NETWORKDAYS.INTL(DATE($B$3,10,6),DATE($B$3,10,6),1,'Non-working days'!$A$6:$A$45)=0),"",IF(COUNTIFS('Leave log'!$A$7:$A$306,Employees!$A$24,'Leave log'!$B$7:$B$306,"&lt;="&amp;DATE($B$3,10,6),'Leave log'!$C$7:$C$306,"&gt;="&amp;DATE($B$3,10,6),'Leave log'!$F$7:$F$306,"Approved")&gt;0,"A",""))="A","A",IF(OR(DATE($B$3,10,6)&gt;EOMONTH(DATE($B$3,10,1),0),NETWORKDAYS.INTL(DATE($B$3,10,6),DATE($B$3,10,6),1,'Non-working days'!$A$6:$A$45)=0),"",IF(COUNTIFS('Leave log'!$A$7:$A$306,Employees!$A$24,'Leave log'!$B$7:$B$306,"&lt;="&amp;DATE($B$3,10,6),'Leave log'!$C$7:$C$306,"&gt;="&amp;DATE($B$3,10,6),'Leave log'!$F$7:$F$306,"Pending")&gt;0,"P",""))))</f>
        <v/>
      </c>
      <c r="H331" s="23" t="str">
        <f>IF(A331="","",IF(IF(OR(DATE($B$3,10,7)&gt;EOMONTH(DATE($B$3,10,1),0),NETWORKDAYS.INTL(DATE($B$3,10,7),DATE($B$3,10,7),1,'Non-working days'!$A$6:$A$45)=0),"",IF(COUNTIFS('Leave log'!$A$7:$A$306,Employees!$A$24,'Leave log'!$B$7:$B$306,"&lt;="&amp;DATE($B$3,10,7),'Leave log'!$C$7:$C$306,"&gt;="&amp;DATE($B$3,10,7),'Leave log'!$F$7:$F$306,"Approved")&gt;0,"A",""))="A","A",IF(OR(DATE($B$3,10,7)&gt;EOMONTH(DATE($B$3,10,1),0),NETWORKDAYS.INTL(DATE($B$3,10,7),DATE($B$3,10,7),1,'Non-working days'!$A$6:$A$45)=0),"",IF(COUNTIFS('Leave log'!$A$7:$A$306,Employees!$A$24,'Leave log'!$B$7:$B$306,"&lt;="&amp;DATE($B$3,10,7),'Leave log'!$C$7:$C$306,"&gt;="&amp;DATE($B$3,10,7),'Leave log'!$F$7:$F$306,"Pending")&gt;0,"P",""))))</f>
        <v/>
      </c>
      <c r="I331" s="23" t="str">
        <f>IF(A331="","",IF(IF(OR(DATE($B$3,10,8)&gt;EOMONTH(DATE($B$3,10,1),0),NETWORKDAYS.INTL(DATE($B$3,10,8),DATE($B$3,10,8),1,'Non-working days'!$A$6:$A$45)=0),"",IF(COUNTIFS('Leave log'!$A$7:$A$306,Employees!$A$24,'Leave log'!$B$7:$B$306,"&lt;="&amp;DATE($B$3,10,8),'Leave log'!$C$7:$C$306,"&gt;="&amp;DATE($B$3,10,8),'Leave log'!$F$7:$F$306,"Approved")&gt;0,"A",""))="A","A",IF(OR(DATE($B$3,10,8)&gt;EOMONTH(DATE($B$3,10,1),0),NETWORKDAYS.INTL(DATE($B$3,10,8),DATE($B$3,10,8),1,'Non-working days'!$A$6:$A$45)=0),"",IF(COUNTIFS('Leave log'!$A$7:$A$306,Employees!$A$24,'Leave log'!$B$7:$B$306,"&lt;="&amp;DATE($B$3,10,8),'Leave log'!$C$7:$C$306,"&gt;="&amp;DATE($B$3,10,8),'Leave log'!$F$7:$F$306,"Pending")&gt;0,"P",""))))</f>
        <v/>
      </c>
      <c r="J331" s="23" t="str">
        <f>IF(A331="","",IF(IF(OR(DATE($B$3,10,9)&gt;EOMONTH(DATE($B$3,10,1),0),NETWORKDAYS.INTL(DATE($B$3,10,9),DATE($B$3,10,9),1,'Non-working days'!$A$6:$A$45)=0),"",IF(COUNTIFS('Leave log'!$A$7:$A$306,Employees!$A$24,'Leave log'!$B$7:$B$306,"&lt;="&amp;DATE($B$3,10,9),'Leave log'!$C$7:$C$306,"&gt;="&amp;DATE($B$3,10,9),'Leave log'!$F$7:$F$306,"Approved")&gt;0,"A",""))="A","A",IF(OR(DATE($B$3,10,9)&gt;EOMONTH(DATE($B$3,10,1),0),NETWORKDAYS.INTL(DATE($B$3,10,9),DATE($B$3,10,9),1,'Non-working days'!$A$6:$A$45)=0),"",IF(COUNTIFS('Leave log'!$A$7:$A$306,Employees!$A$24,'Leave log'!$B$7:$B$306,"&lt;="&amp;DATE($B$3,10,9),'Leave log'!$C$7:$C$306,"&gt;="&amp;DATE($B$3,10,9),'Leave log'!$F$7:$F$306,"Pending")&gt;0,"P",""))))</f>
        <v/>
      </c>
      <c r="K331" s="23" t="str">
        <f>IF(A331="","",IF(IF(OR(DATE($B$3,10,10)&gt;EOMONTH(DATE($B$3,10,1),0),NETWORKDAYS.INTL(DATE($B$3,10,10),DATE($B$3,10,10),1,'Non-working days'!$A$6:$A$45)=0),"",IF(COUNTIFS('Leave log'!$A$7:$A$306,Employees!$A$24,'Leave log'!$B$7:$B$306,"&lt;="&amp;DATE($B$3,10,10),'Leave log'!$C$7:$C$306,"&gt;="&amp;DATE($B$3,10,10),'Leave log'!$F$7:$F$306,"Approved")&gt;0,"A",""))="A","A",IF(OR(DATE($B$3,10,10)&gt;EOMONTH(DATE($B$3,10,1),0),NETWORKDAYS.INTL(DATE($B$3,10,10),DATE($B$3,10,10),1,'Non-working days'!$A$6:$A$45)=0),"",IF(COUNTIFS('Leave log'!$A$7:$A$306,Employees!$A$24,'Leave log'!$B$7:$B$306,"&lt;="&amp;DATE($B$3,10,10),'Leave log'!$C$7:$C$306,"&gt;="&amp;DATE($B$3,10,10),'Leave log'!$F$7:$F$306,"Pending")&gt;0,"P",""))))</f>
        <v/>
      </c>
      <c r="L331" s="23" t="str">
        <f>IF(A331="","",IF(IF(OR(DATE($B$3,10,11)&gt;EOMONTH(DATE($B$3,10,1),0),NETWORKDAYS.INTL(DATE($B$3,10,11),DATE($B$3,10,11),1,'Non-working days'!$A$6:$A$45)=0),"",IF(COUNTIFS('Leave log'!$A$7:$A$306,Employees!$A$24,'Leave log'!$B$7:$B$306,"&lt;="&amp;DATE($B$3,10,11),'Leave log'!$C$7:$C$306,"&gt;="&amp;DATE($B$3,10,11),'Leave log'!$F$7:$F$306,"Approved")&gt;0,"A",""))="A","A",IF(OR(DATE($B$3,10,11)&gt;EOMONTH(DATE($B$3,10,1),0),NETWORKDAYS.INTL(DATE($B$3,10,11),DATE($B$3,10,11),1,'Non-working days'!$A$6:$A$45)=0),"",IF(COUNTIFS('Leave log'!$A$7:$A$306,Employees!$A$24,'Leave log'!$B$7:$B$306,"&lt;="&amp;DATE($B$3,10,11),'Leave log'!$C$7:$C$306,"&gt;="&amp;DATE($B$3,10,11),'Leave log'!$F$7:$F$306,"Pending")&gt;0,"P",""))))</f>
        <v/>
      </c>
      <c r="M331" s="23" t="str">
        <f>IF(A331="","",IF(IF(OR(DATE($B$3,10,12)&gt;EOMONTH(DATE($B$3,10,1),0),NETWORKDAYS.INTL(DATE($B$3,10,12),DATE($B$3,10,12),1,'Non-working days'!$A$6:$A$45)=0),"",IF(COUNTIFS('Leave log'!$A$7:$A$306,Employees!$A$24,'Leave log'!$B$7:$B$306,"&lt;="&amp;DATE($B$3,10,12),'Leave log'!$C$7:$C$306,"&gt;="&amp;DATE($B$3,10,12),'Leave log'!$F$7:$F$306,"Approved")&gt;0,"A",""))="A","A",IF(OR(DATE($B$3,10,12)&gt;EOMONTH(DATE($B$3,10,1),0),NETWORKDAYS.INTL(DATE($B$3,10,12),DATE($B$3,10,12),1,'Non-working days'!$A$6:$A$45)=0),"",IF(COUNTIFS('Leave log'!$A$7:$A$306,Employees!$A$24,'Leave log'!$B$7:$B$306,"&lt;="&amp;DATE($B$3,10,12),'Leave log'!$C$7:$C$306,"&gt;="&amp;DATE($B$3,10,12),'Leave log'!$F$7:$F$306,"Pending")&gt;0,"P",""))))</f>
        <v/>
      </c>
      <c r="N331" s="23" t="str">
        <f>IF(A331="","",IF(IF(OR(DATE($B$3,10,13)&gt;EOMONTH(DATE($B$3,10,1),0),NETWORKDAYS.INTL(DATE($B$3,10,13),DATE($B$3,10,13),1,'Non-working days'!$A$6:$A$45)=0),"",IF(COUNTIFS('Leave log'!$A$7:$A$306,Employees!$A$24,'Leave log'!$B$7:$B$306,"&lt;="&amp;DATE($B$3,10,13),'Leave log'!$C$7:$C$306,"&gt;="&amp;DATE($B$3,10,13),'Leave log'!$F$7:$F$306,"Approved")&gt;0,"A",""))="A","A",IF(OR(DATE($B$3,10,13)&gt;EOMONTH(DATE($B$3,10,1),0),NETWORKDAYS.INTL(DATE($B$3,10,13),DATE($B$3,10,13),1,'Non-working days'!$A$6:$A$45)=0),"",IF(COUNTIFS('Leave log'!$A$7:$A$306,Employees!$A$24,'Leave log'!$B$7:$B$306,"&lt;="&amp;DATE($B$3,10,13),'Leave log'!$C$7:$C$306,"&gt;="&amp;DATE($B$3,10,13),'Leave log'!$F$7:$F$306,"Pending")&gt;0,"P",""))))</f>
        <v/>
      </c>
      <c r="O331" s="23" t="str">
        <f>IF(A331="","",IF(IF(OR(DATE($B$3,10,14)&gt;EOMONTH(DATE($B$3,10,1),0),NETWORKDAYS.INTL(DATE($B$3,10,14),DATE($B$3,10,14),1,'Non-working days'!$A$6:$A$45)=0),"",IF(COUNTIFS('Leave log'!$A$7:$A$306,Employees!$A$24,'Leave log'!$B$7:$B$306,"&lt;="&amp;DATE($B$3,10,14),'Leave log'!$C$7:$C$306,"&gt;="&amp;DATE($B$3,10,14),'Leave log'!$F$7:$F$306,"Approved")&gt;0,"A",""))="A","A",IF(OR(DATE($B$3,10,14)&gt;EOMONTH(DATE($B$3,10,1),0),NETWORKDAYS.INTL(DATE($B$3,10,14),DATE($B$3,10,14),1,'Non-working days'!$A$6:$A$45)=0),"",IF(COUNTIFS('Leave log'!$A$7:$A$306,Employees!$A$24,'Leave log'!$B$7:$B$306,"&lt;="&amp;DATE($B$3,10,14),'Leave log'!$C$7:$C$306,"&gt;="&amp;DATE($B$3,10,14),'Leave log'!$F$7:$F$306,"Pending")&gt;0,"P",""))))</f>
        <v/>
      </c>
      <c r="P331" s="23" t="str">
        <f>IF(A331="","",IF(IF(OR(DATE($B$3,10,15)&gt;EOMONTH(DATE($B$3,10,1),0),NETWORKDAYS.INTL(DATE($B$3,10,15),DATE($B$3,10,15),1,'Non-working days'!$A$6:$A$45)=0),"",IF(COUNTIFS('Leave log'!$A$7:$A$306,Employees!$A$24,'Leave log'!$B$7:$B$306,"&lt;="&amp;DATE($B$3,10,15),'Leave log'!$C$7:$C$306,"&gt;="&amp;DATE($B$3,10,15),'Leave log'!$F$7:$F$306,"Approved")&gt;0,"A",""))="A","A",IF(OR(DATE($B$3,10,15)&gt;EOMONTH(DATE($B$3,10,1),0),NETWORKDAYS.INTL(DATE($B$3,10,15),DATE($B$3,10,15),1,'Non-working days'!$A$6:$A$45)=0),"",IF(COUNTIFS('Leave log'!$A$7:$A$306,Employees!$A$24,'Leave log'!$B$7:$B$306,"&lt;="&amp;DATE($B$3,10,15),'Leave log'!$C$7:$C$306,"&gt;="&amp;DATE($B$3,10,15),'Leave log'!$F$7:$F$306,"Pending")&gt;0,"P",""))))</f>
        <v/>
      </c>
      <c r="Q331" s="23" t="str">
        <f>IF(A331="","",IF(IF(OR(DATE($B$3,10,16)&gt;EOMONTH(DATE($B$3,10,1),0),NETWORKDAYS.INTL(DATE($B$3,10,16),DATE($B$3,10,16),1,'Non-working days'!$A$6:$A$45)=0),"",IF(COUNTIFS('Leave log'!$A$7:$A$306,Employees!$A$24,'Leave log'!$B$7:$B$306,"&lt;="&amp;DATE($B$3,10,16),'Leave log'!$C$7:$C$306,"&gt;="&amp;DATE($B$3,10,16),'Leave log'!$F$7:$F$306,"Approved")&gt;0,"A",""))="A","A",IF(OR(DATE($B$3,10,16)&gt;EOMONTH(DATE($B$3,10,1),0),NETWORKDAYS.INTL(DATE($B$3,10,16),DATE($B$3,10,16),1,'Non-working days'!$A$6:$A$45)=0),"",IF(COUNTIFS('Leave log'!$A$7:$A$306,Employees!$A$24,'Leave log'!$B$7:$B$306,"&lt;="&amp;DATE($B$3,10,16),'Leave log'!$C$7:$C$306,"&gt;="&amp;DATE($B$3,10,16),'Leave log'!$F$7:$F$306,"Pending")&gt;0,"P",""))))</f>
        <v/>
      </c>
      <c r="R331" s="23" t="str">
        <f>IF(A331="","",IF(IF(OR(DATE($B$3,10,17)&gt;EOMONTH(DATE($B$3,10,1),0),NETWORKDAYS.INTL(DATE($B$3,10,17),DATE($B$3,10,17),1,'Non-working days'!$A$6:$A$45)=0),"",IF(COUNTIFS('Leave log'!$A$7:$A$306,Employees!$A$24,'Leave log'!$B$7:$B$306,"&lt;="&amp;DATE($B$3,10,17),'Leave log'!$C$7:$C$306,"&gt;="&amp;DATE($B$3,10,17),'Leave log'!$F$7:$F$306,"Approved")&gt;0,"A",""))="A","A",IF(OR(DATE($B$3,10,17)&gt;EOMONTH(DATE($B$3,10,1),0),NETWORKDAYS.INTL(DATE($B$3,10,17),DATE($B$3,10,17),1,'Non-working days'!$A$6:$A$45)=0),"",IF(COUNTIFS('Leave log'!$A$7:$A$306,Employees!$A$24,'Leave log'!$B$7:$B$306,"&lt;="&amp;DATE($B$3,10,17),'Leave log'!$C$7:$C$306,"&gt;="&amp;DATE($B$3,10,17),'Leave log'!$F$7:$F$306,"Pending")&gt;0,"P",""))))</f>
        <v/>
      </c>
      <c r="S331" s="23" t="str">
        <f>IF(A331="","",IF(IF(OR(DATE($B$3,10,18)&gt;EOMONTH(DATE($B$3,10,1),0),NETWORKDAYS.INTL(DATE($B$3,10,18),DATE($B$3,10,18),1,'Non-working days'!$A$6:$A$45)=0),"",IF(COUNTIFS('Leave log'!$A$7:$A$306,Employees!$A$24,'Leave log'!$B$7:$B$306,"&lt;="&amp;DATE($B$3,10,18),'Leave log'!$C$7:$C$306,"&gt;="&amp;DATE($B$3,10,18),'Leave log'!$F$7:$F$306,"Approved")&gt;0,"A",""))="A","A",IF(OR(DATE($B$3,10,18)&gt;EOMONTH(DATE($B$3,10,1),0),NETWORKDAYS.INTL(DATE($B$3,10,18),DATE($B$3,10,18),1,'Non-working days'!$A$6:$A$45)=0),"",IF(COUNTIFS('Leave log'!$A$7:$A$306,Employees!$A$24,'Leave log'!$B$7:$B$306,"&lt;="&amp;DATE($B$3,10,18),'Leave log'!$C$7:$C$306,"&gt;="&amp;DATE($B$3,10,18),'Leave log'!$F$7:$F$306,"Pending")&gt;0,"P",""))))</f>
        <v/>
      </c>
      <c r="T331" s="23" t="str">
        <f>IF(A331="","",IF(IF(OR(DATE($B$3,10,19)&gt;EOMONTH(DATE($B$3,10,1),0),NETWORKDAYS.INTL(DATE($B$3,10,19),DATE($B$3,10,19),1,'Non-working days'!$A$6:$A$45)=0),"",IF(COUNTIFS('Leave log'!$A$7:$A$306,Employees!$A$24,'Leave log'!$B$7:$B$306,"&lt;="&amp;DATE($B$3,10,19),'Leave log'!$C$7:$C$306,"&gt;="&amp;DATE($B$3,10,19),'Leave log'!$F$7:$F$306,"Approved")&gt;0,"A",""))="A","A",IF(OR(DATE($B$3,10,19)&gt;EOMONTH(DATE($B$3,10,1),0),NETWORKDAYS.INTL(DATE($B$3,10,19),DATE($B$3,10,19),1,'Non-working days'!$A$6:$A$45)=0),"",IF(COUNTIFS('Leave log'!$A$7:$A$306,Employees!$A$24,'Leave log'!$B$7:$B$306,"&lt;="&amp;DATE($B$3,10,19),'Leave log'!$C$7:$C$306,"&gt;="&amp;DATE($B$3,10,19),'Leave log'!$F$7:$F$306,"Pending")&gt;0,"P",""))))</f>
        <v/>
      </c>
      <c r="U331" s="23" t="str">
        <f>IF(A331="","",IF(IF(OR(DATE($B$3,10,20)&gt;EOMONTH(DATE($B$3,10,1),0),NETWORKDAYS.INTL(DATE($B$3,10,20),DATE($B$3,10,20),1,'Non-working days'!$A$6:$A$45)=0),"",IF(COUNTIFS('Leave log'!$A$7:$A$306,Employees!$A$24,'Leave log'!$B$7:$B$306,"&lt;="&amp;DATE($B$3,10,20),'Leave log'!$C$7:$C$306,"&gt;="&amp;DATE($B$3,10,20),'Leave log'!$F$7:$F$306,"Approved")&gt;0,"A",""))="A","A",IF(OR(DATE($B$3,10,20)&gt;EOMONTH(DATE($B$3,10,1),0),NETWORKDAYS.INTL(DATE($B$3,10,20),DATE($B$3,10,20),1,'Non-working days'!$A$6:$A$45)=0),"",IF(COUNTIFS('Leave log'!$A$7:$A$306,Employees!$A$24,'Leave log'!$B$7:$B$306,"&lt;="&amp;DATE($B$3,10,20),'Leave log'!$C$7:$C$306,"&gt;="&amp;DATE($B$3,10,20),'Leave log'!$F$7:$F$306,"Pending")&gt;0,"P",""))))</f>
        <v/>
      </c>
      <c r="V331" s="23" t="str">
        <f>IF(A331="","",IF(IF(OR(DATE($B$3,10,21)&gt;EOMONTH(DATE($B$3,10,1),0),NETWORKDAYS.INTL(DATE($B$3,10,21),DATE($B$3,10,21),1,'Non-working days'!$A$6:$A$45)=0),"",IF(COUNTIFS('Leave log'!$A$7:$A$306,Employees!$A$24,'Leave log'!$B$7:$B$306,"&lt;="&amp;DATE($B$3,10,21),'Leave log'!$C$7:$C$306,"&gt;="&amp;DATE($B$3,10,21),'Leave log'!$F$7:$F$306,"Approved")&gt;0,"A",""))="A","A",IF(OR(DATE($B$3,10,21)&gt;EOMONTH(DATE($B$3,10,1),0),NETWORKDAYS.INTL(DATE($B$3,10,21),DATE($B$3,10,21),1,'Non-working days'!$A$6:$A$45)=0),"",IF(COUNTIFS('Leave log'!$A$7:$A$306,Employees!$A$24,'Leave log'!$B$7:$B$306,"&lt;="&amp;DATE($B$3,10,21),'Leave log'!$C$7:$C$306,"&gt;="&amp;DATE($B$3,10,21),'Leave log'!$F$7:$F$306,"Pending")&gt;0,"P",""))))</f>
        <v/>
      </c>
      <c r="W331" s="23" t="str">
        <f>IF(A331="","",IF(IF(OR(DATE($B$3,10,22)&gt;EOMONTH(DATE($B$3,10,1),0),NETWORKDAYS.INTL(DATE($B$3,10,22),DATE($B$3,10,22),1,'Non-working days'!$A$6:$A$45)=0),"",IF(COUNTIFS('Leave log'!$A$7:$A$306,Employees!$A$24,'Leave log'!$B$7:$B$306,"&lt;="&amp;DATE($B$3,10,22),'Leave log'!$C$7:$C$306,"&gt;="&amp;DATE($B$3,10,22),'Leave log'!$F$7:$F$306,"Approved")&gt;0,"A",""))="A","A",IF(OR(DATE($B$3,10,22)&gt;EOMONTH(DATE($B$3,10,1),0),NETWORKDAYS.INTL(DATE($B$3,10,22),DATE($B$3,10,22),1,'Non-working days'!$A$6:$A$45)=0),"",IF(COUNTIFS('Leave log'!$A$7:$A$306,Employees!$A$24,'Leave log'!$B$7:$B$306,"&lt;="&amp;DATE($B$3,10,22),'Leave log'!$C$7:$C$306,"&gt;="&amp;DATE($B$3,10,22),'Leave log'!$F$7:$F$306,"Pending")&gt;0,"P",""))))</f>
        <v/>
      </c>
      <c r="X331" s="23" t="str">
        <f>IF(A331="","",IF(IF(OR(DATE($B$3,10,23)&gt;EOMONTH(DATE($B$3,10,1),0),NETWORKDAYS.INTL(DATE($B$3,10,23),DATE($B$3,10,23),1,'Non-working days'!$A$6:$A$45)=0),"",IF(COUNTIFS('Leave log'!$A$7:$A$306,Employees!$A$24,'Leave log'!$B$7:$B$306,"&lt;="&amp;DATE($B$3,10,23),'Leave log'!$C$7:$C$306,"&gt;="&amp;DATE($B$3,10,23),'Leave log'!$F$7:$F$306,"Approved")&gt;0,"A",""))="A","A",IF(OR(DATE($B$3,10,23)&gt;EOMONTH(DATE($B$3,10,1),0),NETWORKDAYS.INTL(DATE($B$3,10,23),DATE($B$3,10,23),1,'Non-working days'!$A$6:$A$45)=0),"",IF(COUNTIFS('Leave log'!$A$7:$A$306,Employees!$A$24,'Leave log'!$B$7:$B$306,"&lt;="&amp;DATE($B$3,10,23),'Leave log'!$C$7:$C$306,"&gt;="&amp;DATE($B$3,10,23),'Leave log'!$F$7:$F$306,"Pending")&gt;0,"P",""))))</f>
        <v/>
      </c>
      <c r="Y331" s="23" t="str">
        <f>IF(A331="","",IF(IF(OR(DATE($B$3,10,24)&gt;EOMONTH(DATE($B$3,10,1),0),NETWORKDAYS.INTL(DATE($B$3,10,24),DATE($B$3,10,24),1,'Non-working days'!$A$6:$A$45)=0),"",IF(COUNTIFS('Leave log'!$A$7:$A$306,Employees!$A$24,'Leave log'!$B$7:$B$306,"&lt;="&amp;DATE($B$3,10,24),'Leave log'!$C$7:$C$306,"&gt;="&amp;DATE($B$3,10,24),'Leave log'!$F$7:$F$306,"Approved")&gt;0,"A",""))="A","A",IF(OR(DATE($B$3,10,24)&gt;EOMONTH(DATE($B$3,10,1),0),NETWORKDAYS.INTL(DATE($B$3,10,24),DATE($B$3,10,24),1,'Non-working days'!$A$6:$A$45)=0),"",IF(COUNTIFS('Leave log'!$A$7:$A$306,Employees!$A$24,'Leave log'!$B$7:$B$306,"&lt;="&amp;DATE($B$3,10,24),'Leave log'!$C$7:$C$306,"&gt;="&amp;DATE($B$3,10,24),'Leave log'!$F$7:$F$306,"Pending")&gt;0,"P",""))))</f>
        <v/>
      </c>
      <c r="Z331" s="23" t="str">
        <f>IF(A331="","",IF(IF(OR(DATE($B$3,10,25)&gt;EOMONTH(DATE($B$3,10,1),0),NETWORKDAYS.INTL(DATE($B$3,10,25),DATE($B$3,10,25),1,'Non-working days'!$A$6:$A$45)=0),"",IF(COUNTIFS('Leave log'!$A$7:$A$306,Employees!$A$24,'Leave log'!$B$7:$B$306,"&lt;="&amp;DATE($B$3,10,25),'Leave log'!$C$7:$C$306,"&gt;="&amp;DATE($B$3,10,25),'Leave log'!$F$7:$F$306,"Approved")&gt;0,"A",""))="A","A",IF(OR(DATE($B$3,10,25)&gt;EOMONTH(DATE($B$3,10,1),0),NETWORKDAYS.INTL(DATE($B$3,10,25),DATE($B$3,10,25),1,'Non-working days'!$A$6:$A$45)=0),"",IF(COUNTIFS('Leave log'!$A$7:$A$306,Employees!$A$24,'Leave log'!$B$7:$B$306,"&lt;="&amp;DATE($B$3,10,25),'Leave log'!$C$7:$C$306,"&gt;="&amp;DATE($B$3,10,25),'Leave log'!$F$7:$F$306,"Pending")&gt;0,"P",""))))</f>
        <v/>
      </c>
      <c r="AA331" s="23" t="str">
        <f>IF(A331="","",IF(IF(OR(DATE($B$3,10,26)&gt;EOMONTH(DATE($B$3,10,1),0),NETWORKDAYS.INTL(DATE($B$3,10,26),DATE($B$3,10,26),1,'Non-working days'!$A$6:$A$45)=0),"",IF(COUNTIFS('Leave log'!$A$7:$A$306,Employees!$A$24,'Leave log'!$B$7:$B$306,"&lt;="&amp;DATE($B$3,10,26),'Leave log'!$C$7:$C$306,"&gt;="&amp;DATE($B$3,10,26),'Leave log'!$F$7:$F$306,"Approved")&gt;0,"A",""))="A","A",IF(OR(DATE($B$3,10,26)&gt;EOMONTH(DATE($B$3,10,1),0),NETWORKDAYS.INTL(DATE($B$3,10,26),DATE($B$3,10,26),1,'Non-working days'!$A$6:$A$45)=0),"",IF(COUNTIFS('Leave log'!$A$7:$A$306,Employees!$A$24,'Leave log'!$B$7:$B$306,"&lt;="&amp;DATE($B$3,10,26),'Leave log'!$C$7:$C$306,"&gt;="&amp;DATE($B$3,10,26),'Leave log'!$F$7:$F$306,"Pending")&gt;0,"P",""))))</f>
        <v/>
      </c>
      <c r="AB331" s="23" t="str">
        <f>IF(A331="","",IF(IF(OR(DATE($B$3,10,27)&gt;EOMONTH(DATE($B$3,10,1),0),NETWORKDAYS.INTL(DATE($B$3,10,27),DATE($B$3,10,27),1,'Non-working days'!$A$6:$A$45)=0),"",IF(COUNTIFS('Leave log'!$A$7:$A$306,Employees!$A$24,'Leave log'!$B$7:$B$306,"&lt;="&amp;DATE($B$3,10,27),'Leave log'!$C$7:$C$306,"&gt;="&amp;DATE($B$3,10,27),'Leave log'!$F$7:$F$306,"Approved")&gt;0,"A",""))="A","A",IF(OR(DATE($B$3,10,27)&gt;EOMONTH(DATE($B$3,10,1),0),NETWORKDAYS.INTL(DATE($B$3,10,27),DATE($B$3,10,27),1,'Non-working days'!$A$6:$A$45)=0),"",IF(COUNTIFS('Leave log'!$A$7:$A$306,Employees!$A$24,'Leave log'!$B$7:$B$306,"&lt;="&amp;DATE($B$3,10,27),'Leave log'!$C$7:$C$306,"&gt;="&amp;DATE($B$3,10,27),'Leave log'!$F$7:$F$306,"Pending")&gt;0,"P",""))))</f>
        <v/>
      </c>
      <c r="AC331" s="23" t="str">
        <f>IF(A331="","",IF(IF(OR(DATE($B$3,10,28)&gt;EOMONTH(DATE($B$3,10,1),0),NETWORKDAYS.INTL(DATE($B$3,10,28),DATE($B$3,10,28),1,'Non-working days'!$A$6:$A$45)=0),"",IF(COUNTIFS('Leave log'!$A$7:$A$306,Employees!$A$24,'Leave log'!$B$7:$B$306,"&lt;="&amp;DATE($B$3,10,28),'Leave log'!$C$7:$C$306,"&gt;="&amp;DATE($B$3,10,28),'Leave log'!$F$7:$F$306,"Approved")&gt;0,"A",""))="A","A",IF(OR(DATE($B$3,10,28)&gt;EOMONTH(DATE($B$3,10,1),0),NETWORKDAYS.INTL(DATE($B$3,10,28),DATE($B$3,10,28),1,'Non-working days'!$A$6:$A$45)=0),"",IF(COUNTIFS('Leave log'!$A$7:$A$306,Employees!$A$24,'Leave log'!$B$7:$B$306,"&lt;="&amp;DATE($B$3,10,28),'Leave log'!$C$7:$C$306,"&gt;="&amp;DATE($B$3,10,28),'Leave log'!$F$7:$F$306,"Pending")&gt;0,"P",""))))</f>
        <v/>
      </c>
      <c r="AD331" s="23" t="str">
        <f>IF(A331="","",IF(IF(OR(DATE($B$3,10,29)&gt;EOMONTH(DATE($B$3,10,1),0),NETWORKDAYS.INTL(DATE($B$3,10,29),DATE($B$3,10,29),1,'Non-working days'!$A$6:$A$45)=0),"",IF(COUNTIFS('Leave log'!$A$7:$A$306,Employees!$A$24,'Leave log'!$B$7:$B$306,"&lt;="&amp;DATE($B$3,10,29),'Leave log'!$C$7:$C$306,"&gt;="&amp;DATE($B$3,10,29),'Leave log'!$F$7:$F$306,"Approved")&gt;0,"A",""))="A","A",IF(OR(DATE($B$3,10,29)&gt;EOMONTH(DATE($B$3,10,1),0),NETWORKDAYS.INTL(DATE($B$3,10,29),DATE($B$3,10,29),1,'Non-working days'!$A$6:$A$45)=0),"",IF(COUNTIFS('Leave log'!$A$7:$A$306,Employees!$A$24,'Leave log'!$B$7:$B$306,"&lt;="&amp;DATE($B$3,10,29),'Leave log'!$C$7:$C$306,"&gt;="&amp;DATE($B$3,10,29),'Leave log'!$F$7:$F$306,"Pending")&gt;0,"P",""))))</f>
        <v/>
      </c>
      <c r="AE331" s="23" t="str">
        <f>IF(A331="","",IF(IF(OR(DATE($B$3,10,30)&gt;EOMONTH(DATE($B$3,10,1),0),NETWORKDAYS.INTL(DATE($B$3,10,30),DATE($B$3,10,30),1,'Non-working days'!$A$6:$A$45)=0),"",IF(COUNTIFS('Leave log'!$A$7:$A$306,Employees!$A$24,'Leave log'!$B$7:$B$306,"&lt;="&amp;DATE($B$3,10,30),'Leave log'!$C$7:$C$306,"&gt;="&amp;DATE($B$3,10,30),'Leave log'!$F$7:$F$306,"Approved")&gt;0,"A",""))="A","A",IF(OR(DATE($B$3,10,30)&gt;EOMONTH(DATE($B$3,10,1),0),NETWORKDAYS.INTL(DATE($B$3,10,30),DATE($B$3,10,30),1,'Non-working days'!$A$6:$A$45)=0),"",IF(COUNTIFS('Leave log'!$A$7:$A$306,Employees!$A$24,'Leave log'!$B$7:$B$306,"&lt;="&amp;DATE($B$3,10,30),'Leave log'!$C$7:$C$306,"&gt;="&amp;DATE($B$3,10,30),'Leave log'!$F$7:$F$306,"Pending")&gt;0,"P",""))))</f>
        <v/>
      </c>
      <c r="AF331" s="23" t="str">
        <f>IF(A331="","",IF(IF(OR(DATE($B$3,10,31)&gt;EOMONTH(DATE($B$3,10,1),0),NETWORKDAYS.INTL(DATE($B$3,10,31),DATE($B$3,10,31),1,'Non-working days'!$A$6:$A$45)=0),"",IF(COUNTIFS('Leave log'!$A$7:$A$306,Employees!$A$24,'Leave log'!$B$7:$B$306,"&lt;="&amp;DATE($B$3,10,31),'Leave log'!$C$7:$C$306,"&gt;="&amp;DATE($B$3,10,31),'Leave log'!$F$7:$F$306,"Approved")&gt;0,"A",""))="A","A",IF(OR(DATE($B$3,10,31)&gt;EOMONTH(DATE($B$3,10,1),0),NETWORKDAYS.INTL(DATE($B$3,10,31),DATE($B$3,10,31),1,'Non-working days'!$A$6:$A$45)=0),"",IF(COUNTIFS('Leave log'!$A$7:$A$306,Employees!$A$24,'Leave log'!$B$7:$B$306,"&lt;="&amp;DATE($B$3,10,31),'Leave log'!$C$7:$C$306,"&gt;="&amp;DATE($B$3,10,31),'Leave log'!$F$7:$F$306,"Pending")&gt;0,"P",""))))</f>
        <v/>
      </c>
    </row>
    <row r="332" spans="1:32" ht="18" customHeight="1" x14ac:dyDescent="0.3">
      <c r="A332" s="22" t="str">
        <f>IF(Employees!F25="Yes",Employees!B25,"")</f>
        <v/>
      </c>
      <c r="B332" s="23" t="str">
        <f>IF(A332="","",IF(IF(OR(DATE($B$3,10,1)&gt;EOMONTH(DATE($B$3,10,1),0),NETWORKDAYS.INTL(DATE($B$3,10,1),DATE($B$3,10,1),1,'Non-working days'!$A$6:$A$45)=0),"",IF(COUNTIFS('Leave log'!$A$7:$A$306,Employees!$A$25,'Leave log'!$B$7:$B$306,"&lt;="&amp;DATE($B$3,10,1),'Leave log'!$C$7:$C$306,"&gt;="&amp;DATE($B$3,10,1),'Leave log'!$F$7:$F$306,"Approved")&gt;0,"A",""))="A","A",IF(OR(DATE($B$3,10,1)&gt;EOMONTH(DATE($B$3,10,1),0),NETWORKDAYS.INTL(DATE($B$3,10,1),DATE($B$3,10,1),1,'Non-working days'!$A$6:$A$45)=0),"",IF(COUNTIFS('Leave log'!$A$7:$A$306,Employees!$A$25,'Leave log'!$B$7:$B$306,"&lt;="&amp;DATE($B$3,10,1),'Leave log'!$C$7:$C$306,"&gt;="&amp;DATE($B$3,10,1),'Leave log'!$F$7:$F$306,"Pending")&gt;0,"P",""))))</f>
        <v/>
      </c>
      <c r="C332" s="23" t="str">
        <f>IF(A332="","",IF(IF(OR(DATE($B$3,10,2)&gt;EOMONTH(DATE($B$3,10,1),0),NETWORKDAYS.INTL(DATE($B$3,10,2),DATE($B$3,10,2),1,'Non-working days'!$A$6:$A$45)=0),"",IF(COUNTIFS('Leave log'!$A$7:$A$306,Employees!$A$25,'Leave log'!$B$7:$B$306,"&lt;="&amp;DATE($B$3,10,2),'Leave log'!$C$7:$C$306,"&gt;="&amp;DATE($B$3,10,2),'Leave log'!$F$7:$F$306,"Approved")&gt;0,"A",""))="A","A",IF(OR(DATE($B$3,10,2)&gt;EOMONTH(DATE($B$3,10,1),0),NETWORKDAYS.INTL(DATE($B$3,10,2),DATE($B$3,10,2),1,'Non-working days'!$A$6:$A$45)=0),"",IF(COUNTIFS('Leave log'!$A$7:$A$306,Employees!$A$25,'Leave log'!$B$7:$B$306,"&lt;="&amp;DATE($B$3,10,2),'Leave log'!$C$7:$C$306,"&gt;="&amp;DATE($B$3,10,2),'Leave log'!$F$7:$F$306,"Pending")&gt;0,"P",""))))</f>
        <v/>
      </c>
      <c r="D332" s="23" t="str">
        <f>IF(A332="","",IF(IF(OR(DATE($B$3,10,3)&gt;EOMONTH(DATE($B$3,10,1),0),NETWORKDAYS.INTL(DATE($B$3,10,3),DATE($B$3,10,3),1,'Non-working days'!$A$6:$A$45)=0),"",IF(COUNTIFS('Leave log'!$A$7:$A$306,Employees!$A$25,'Leave log'!$B$7:$B$306,"&lt;="&amp;DATE($B$3,10,3),'Leave log'!$C$7:$C$306,"&gt;="&amp;DATE($B$3,10,3),'Leave log'!$F$7:$F$306,"Approved")&gt;0,"A",""))="A","A",IF(OR(DATE($B$3,10,3)&gt;EOMONTH(DATE($B$3,10,1),0),NETWORKDAYS.INTL(DATE($B$3,10,3),DATE($B$3,10,3),1,'Non-working days'!$A$6:$A$45)=0),"",IF(COUNTIFS('Leave log'!$A$7:$A$306,Employees!$A$25,'Leave log'!$B$7:$B$306,"&lt;="&amp;DATE($B$3,10,3),'Leave log'!$C$7:$C$306,"&gt;="&amp;DATE($B$3,10,3),'Leave log'!$F$7:$F$306,"Pending")&gt;0,"P",""))))</f>
        <v/>
      </c>
      <c r="E332" s="23" t="str">
        <f>IF(A332="","",IF(IF(OR(DATE($B$3,10,4)&gt;EOMONTH(DATE($B$3,10,1),0),NETWORKDAYS.INTL(DATE($B$3,10,4),DATE($B$3,10,4),1,'Non-working days'!$A$6:$A$45)=0),"",IF(COUNTIFS('Leave log'!$A$7:$A$306,Employees!$A$25,'Leave log'!$B$7:$B$306,"&lt;="&amp;DATE($B$3,10,4),'Leave log'!$C$7:$C$306,"&gt;="&amp;DATE($B$3,10,4),'Leave log'!$F$7:$F$306,"Approved")&gt;0,"A",""))="A","A",IF(OR(DATE($B$3,10,4)&gt;EOMONTH(DATE($B$3,10,1),0),NETWORKDAYS.INTL(DATE($B$3,10,4),DATE($B$3,10,4),1,'Non-working days'!$A$6:$A$45)=0),"",IF(COUNTIFS('Leave log'!$A$7:$A$306,Employees!$A$25,'Leave log'!$B$7:$B$306,"&lt;="&amp;DATE($B$3,10,4),'Leave log'!$C$7:$C$306,"&gt;="&amp;DATE($B$3,10,4),'Leave log'!$F$7:$F$306,"Pending")&gt;0,"P",""))))</f>
        <v/>
      </c>
      <c r="F332" s="23" t="str">
        <f>IF(A332="","",IF(IF(OR(DATE($B$3,10,5)&gt;EOMONTH(DATE($B$3,10,1),0),NETWORKDAYS.INTL(DATE($B$3,10,5),DATE($B$3,10,5),1,'Non-working days'!$A$6:$A$45)=0),"",IF(COUNTIFS('Leave log'!$A$7:$A$306,Employees!$A$25,'Leave log'!$B$7:$B$306,"&lt;="&amp;DATE($B$3,10,5),'Leave log'!$C$7:$C$306,"&gt;="&amp;DATE($B$3,10,5),'Leave log'!$F$7:$F$306,"Approved")&gt;0,"A",""))="A","A",IF(OR(DATE($B$3,10,5)&gt;EOMONTH(DATE($B$3,10,1),0),NETWORKDAYS.INTL(DATE($B$3,10,5),DATE($B$3,10,5),1,'Non-working days'!$A$6:$A$45)=0),"",IF(COUNTIFS('Leave log'!$A$7:$A$306,Employees!$A$25,'Leave log'!$B$7:$B$306,"&lt;="&amp;DATE($B$3,10,5),'Leave log'!$C$7:$C$306,"&gt;="&amp;DATE($B$3,10,5),'Leave log'!$F$7:$F$306,"Pending")&gt;0,"P",""))))</f>
        <v/>
      </c>
      <c r="G332" s="23" t="str">
        <f>IF(A332="","",IF(IF(OR(DATE($B$3,10,6)&gt;EOMONTH(DATE($B$3,10,1),0),NETWORKDAYS.INTL(DATE($B$3,10,6),DATE($B$3,10,6),1,'Non-working days'!$A$6:$A$45)=0),"",IF(COUNTIFS('Leave log'!$A$7:$A$306,Employees!$A$25,'Leave log'!$B$7:$B$306,"&lt;="&amp;DATE($B$3,10,6),'Leave log'!$C$7:$C$306,"&gt;="&amp;DATE($B$3,10,6),'Leave log'!$F$7:$F$306,"Approved")&gt;0,"A",""))="A","A",IF(OR(DATE($B$3,10,6)&gt;EOMONTH(DATE($B$3,10,1),0),NETWORKDAYS.INTL(DATE($B$3,10,6),DATE($B$3,10,6),1,'Non-working days'!$A$6:$A$45)=0),"",IF(COUNTIFS('Leave log'!$A$7:$A$306,Employees!$A$25,'Leave log'!$B$7:$B$306,"&lt;="&amp;DATE($B$3,10,6),'Leave log'!$C$7:$C$306,"&gt;="&amp;DATE($B$3,10,6),'Leave log'!$F$7:$F$306,"Pending")&gt;0,"P",""))))</f>
        <v/>
      </c>
      <c r="H332" s="23" t="str">
        <f>IF(A332="","",IF(IF(OR(DATE($B$3,10,7)&gt;EOMONTH(DATE($B$3,10,1),0),NETWORKDAYS.INTL(DATE($B$3,10,7),DATE($B$3,10,7),1,'Non-working days'!$A$6:$A$45)=0),"",IF(COUNTIFS('Leave log'!$A$7:$A$306,Employees!$A$25,'Leave log'!$B$7:$B$306,"&lt;="&amp;DATE($B$3,10,7),'Leave log'!$C$7:$C$306,"&gt;="&amp;DATE($B$3,10,7),'Leave log'!$F$7:$F$306,"Approved")&gt;0,"A",""))="A","A",IF(OR(DATE($B$3,10,7)&gt;EOMONTH(DATE($B$3,10,1),0),NETWORKDAYS.INTL(DATE($B$3,10,7),DATE($B$3,10,7),1,'Non-working days'!$A$6:$A$45)=0),"",IF(COUNTIFS('Leave log'!$A$7:$A$306,Employees!$A$25,'Leave log'!$B$7:$B$306,"&lt;="&amp;DATE($B$3,10,7),'Leave log'!$C$7:$C$306,"&gt;="&amp;DATE($B$3,10,7),'Leave log'!$F$7:$F$306,"Pending")&gt;0,"P",""))))</f>
        <v/>
      </c>
      <c r="I332" s="23" t="str">
        <f>IF(A332="","",IF(IF(OR(DATE($B$3,10,8)&gt;EOMONTH(DATE($B$3,10,1),0),NETWORKDAYS.INTL(DATE($B$3,10,8),DATE($B$3,10,8),1,'Non-working days'!$A$6:$A$45)=0),"",IF(COUNTIFS('Leave log'!$A$7:$A$306,Employees!$A$25,'Leave log'!$B$7:$B$306,"&lt;="&amp;DATE($B$3,10,8),'Leave log'!$C$7:$C$306,"&gt;="&amp;DATE($B$3,10,8),'Leave log'!$F$7:$F$306,"Approved")&gt;0,"A",""))="A","A",IF(OR(DATE($B$3,10,8)&gt;EOMONTH(DATE($B$3,10,1),0),NETWORKDAYS.INTL(DATE($B$3,10,8),DATE($B$3,10,8),1,'Non-working days'!$A$6:$A$45)=0),"",IF(COUNTIFS('Leave log'!$A$7:$A$306,Employees!$A$25,'Leave log'!$B$7:$B$306,"&lt;="&amp;DATE($B$3,10,8),'Leave log'!$C$7:$C$306,"&gt;="&amp;DATE($B$3,10,8),'Leave log'!$F$7:$F$306,"Pending")&gt;0,"P",""))))</f>
        <v/>
      </c>
      <c r="J332" s="23" t="str">
        <f>IF(A332="","",IF(IF(OR(DATE($B$3,10,9)&gt;EOMONTH(DATE($B$3,10,1),0),NETWORKDAYS.INTL(DATE($B$3,10,9),DATE($B$3,10,9),1,'Non-working days'!$A$6:$A$45)=0),"",IF(COUNTIFS('Leave log'!$A$7:$A$306,Employees!$A$25,'Leave log'!$B$7:$B$306,"&lt;="&amp;DATE($B$3,10,9),'Leave log'!$C$7:$C$306,"&gt;="&amp;DATE($B$3,10,9),'Leave log'!$F$7:$F$306,"Approved")&gt;0,"A",""))="A","A",IF(OR(DATE($B$3,10,9)&gt;EOMONTH(DATE($B$3,10,1),0),NETWORKDAYS.INTL(DATE($B$3,10,9),DATE($B$3,10,9),1,'Non-working days'!$A$6:$A$45)=0),"",IF(COUNTIFS('Leave log'!$A$7:$A$306,Employees!$A$25,'Leave log'!$B$7:$B$306,"&lt;="&amp;DATE($B$3,10,9),'Leave log'!$C$7:$C$306,"&gt;="&amp;DATE($B$3,10,9),'Leave log'!$F$7:$F$306,"Pending")&gt;0,"P",""))))</f>
        <v/>
      </c>
      <c r="K332" s="23" t="str">
        <f>IF(A332="","",IF(IF(OR(DATE($B$3,10,10)&gt;EOMONTH(DATE($B$3,10,1),0),NETWORKDAYS.INTL(DATE($B$3,10,10),DATE($B$3,10,10),1,'Non-working days'!$A$6:$A$45)=0),"",IF(COUNTIFS('Leave log'!$A$7:$A$306,Employees!$A$25,'Leave log'!$B$7:$B$306,"&lt;="&amp;DATE($B$3,10,10),'Leave log'!$C$7:$C$306,"&gt;="&amp;DATE($B$3,10,10),'Leave log'!$F$7:$F$306,"Approved")&gt;0,"A",""))="A","A",IF(OR(DATE($B$3,10,10)&gt;EOMONTH(DATE($B$3,10,1),0),NETWORKDAYS.INTL(DATE($B$3,10,10),DATE($B$3,10,10),1,'Non-working days'!$A$6:$A$45)=0),"",IF(COUNTIFS('Leave log'!$A$7:$A$306,Employees!$A$25,'Leave log'!$B$7:$B$306,"&lt;="&amp;DATE($B$3,10,10),'Leave log'!$C$7:$C$306,"&gt;="&amp;DATE($B$3,10,10),'Leave log'!$F$7:$F$306,"Pending")&gt;0,"P",""))))</f>
        <v/>
      </c>
      <c r="L332" s="23" t="str">
        <f>IF(A332="","",IF(IF(OR(DATE($B$3,10,11)&gt;EOMONTH(DATE($B$3,10,1),0),NETWORKDAYS.INTL(DATE($B$3,10,11),DATE($B$3,10,11),1,'Non-working days'!$A$6:$A$45)=0),"",IF(COUNTIFS('Leave log'!$A$7:$A$306,Employees!$A$25,'Leave log'!$B$7:$B$306,"&lt;="&amp;DATE($B$3,10,11),'Leave log'!$C$7:$C$306,"&gt;="&amp;DATE($B$3,10,11),'Leave log'!$F$7:$F$306,"Approved")&gt;0,"A",""))="A","A",IF(OR(DATE($B$3,10,11)&gt;EOMONTH(DATE($B$3,10,1),0),NETWORKDAYS.INTL(DATE($B$3,10,11),DATE($B$3,10,11),1,'Non-working days'!$A$6:$A$45)=0),"",IF(COUNTIFS('Leave log'!$A$7:$A$306,Employees!$A$25,'Leave log'!$B$7:$B$306,"&lt;="&amp;DATE($B$3,10,11),'Leave log'!$C$7:$C$306,"&gt;="&amp;DATE($B$3,10,11),'Leave log'!$F$7:$F$306,"Pending")&gt;0,"P",""))))</f>
        <v/>
      </c>
      <c r="M332" s="23" t="str">
        <f>IF(A332="","",IF(IF(OR(DATE($B$3,10,12)&gt;EOMONTH(DATE($B$3,10,1),0),NETWORKDAYS.INTL(DATE($B$3,10,12),DATE($B$3,10,12),1,'Non-working days'!$A$6:$A$45)=0),"",IF(COUNTIFS('Leave log'!$A$7:$A$306,Employees!$A$25,'Leave log'!$B$7:$B$306,"&lt;="&amp;DATE($B$3,10,12),'Leave log'!$C$7:$C$306,"&gt;="&amp;DATE($B$3,10,12),'Leave log'!$F$7:$F$306,"Approved")&gt;0,"A",""))="A","A",IF(OR(DATE($B$3,10,12)&gt;EOMONTH(DATE($B$3,10,1),0),NETWORKDAYS.INTL(DATE($B$3,10,12),DATE($B$3,10,12),1,'Non-working days'!$A$6:$A$45)=0),"",IF(COUNTIFS('Leave log'!$A$7:$A$306,Employees!$A$25,'Leave log'!$B$7:$B$306,"&lt;="&amp;DATE($B$3,10,12),'Leave log'!$C$7:$C$306,"&gt;="&amp;DATE($B$3,10,12),'Leave log'!$F$7:$F$306,"Pending")&gt;0,"P",""))))</f>
        <v/>
      </c>
      <c r="N332" s="23" t="str">
        <f>IF(A332="","",IF(IF(OR(DATE($B$3,10,13)&gt;EOMONTH(DATE($B$3,10,1),0),NETWORKDAYS.INTL(DATE($B$3,10,13),DATE($B$3,10,13),1,'Non-working days'!$A$6:$A$45)=0),"",IF(COUNTIFS('Leave log'!$A$7:$A$306,Employees!$A$25,'Leave log'!$B$7:$B$306,"&lt;="&amp;DATE($B$3,10,13),'Leave log'!$C$7:$C$306,"&gt;="&amp;DATE($B$3,10,13),'Leave log'!$F$7:$F$306,"Approved")&gt;0,"A",""))="A","A",IF(OR(DATE($B$3,10,13)&gt;EOMONTH(DATE($B$3,10,1),0),NETWORKDAYS.INTL(DATE($B$3,10,13),DATE($B$3,10,13),1,'Non-working days'!$A$6:$A$45)=0),"",IF(COUNTIFS('Leave log'!$A$7:$A$306,Employees!$A$25,'Leave log'!$B$7:$B$306,"&lt;="&amp;DATE($B$3,10,13),'Leave log'!$C$7:$C$306,"&gt;="&amp;DATE($B$3,10,13),'Leave log'!$F$7:$F$306,"Pending")&gt;0,"P",""))))</f>
        <v/>
      </c>
      <c r="O332" s="23" t="str">
        <f>IF(A332="","",IF(IF(OR(DATE($B$3,10,14)&gt;EOMONTH(DATE($B$3,10,1),0),NETWORKDAYS.INTL(DATE($B$3,10,14),DATE($B$3,10,14),1,'Non-working days'!$A$6:$A$45)=0),"",IF(COUNTIFS('Leave log'!$A$7:$A$306,Employees!$A$25,'Leave log'!$B$7:$B$306,"&lt;="&amp;DATE($B$3,10,14),'Leave log'!$C$7:$C$306,"&gt;="&amp;DATE($B$3,10,14),'Leave log'!$F$7:$F$306,"Approved")&gt;0,"A",""))="A","A",IF(OR(DATE($B$3,10,14)&gt;EOMONTH(DATE($B$3,10,1),0),NETWORKDAYS.INTL(DATE($B$3,10,14),DATE($B$3,10,14),1,'Non-working days'!$A$6:$A$45)=0),"",IF(COUNTIFS('Leave log'!$A$7:$A$306,Employees!$A$25,'Leave log'!$B$7:$B$306,"&lt;="&amp;DATE($B$3,10,14),'Leave log'!$C$7:$C$306,"&gt;="&amp;DATE($B$3,10,14),'Leave log'!$F$7:$F$306,"Pending")&gt;0,"P",""))))</f>
        <v/>
      </c>
      <c r="P332" s="23" t="str">
        <f>IF(A332="","",IF(IF(OR(DATE($B$3,10,15)&gt;EOMONTH(DATE($B$3,10,1),0),NETWORKDAYS.INTL(DATE($B$3,10,15),DATE($B$3,10,15),1,'Non-working days'!$A$6:$A$45)=0),"",IF(COUNTIFS('Leave log'!$A$7:$A$306,Employees!$A$25,'Leave log'!$B$7:$B$306,"&lt;="&amp;DATE($B$3,10,15),'Leave log'!$C$7:$C$306,"&gt;="&amp;DATE($B$3,10,15),'Leave log'!$F$7:$F$306,"Approved")&gt;0,"A",""))="A","A",IF(OR(DATE($B$3,10,15)&gt;EOMONTH(DATE($B$3,10,1),0),NETWORKDAYS.INTL(DATE($B$3,10,15),DATE($B$3,10,15),1,'Non-working days'!$A$6:$A$45)=0),"",IF(COUNTIFS('Leave log'!$A$7:$A$306,Employees!$A$25,'Leave log'!$B$7:$B$306,"&lt;="&amp;DATE($B$3,10,15),'Leave log'!$C$7:$C$306,"&gt;="&amp;DATE($B$3,10,15),'Leave log'!$F$7:$F$306,"Pending")&gt;0,"P",""))))</f>
        <v/>
      </c>
      <c r="Q332" s="23" t="str">
        <f>IF(A332="","",IF(IF(OR(DATE($B$3,10,16)&gt;EOMONTH(DATE($B$3,10,1),0),NETWORKDAYS.INTL(DATE($B$3,10,16),DATE($B$3,10,16),1,'Non-working days'!$A$6:$A$45)=0),"",IF(COUNTIFS('Leave log'!$A$7:$A$306,Employees!$A$25,'Leave log'!$B$7:$B$306,"&lt;="&amp;DATE($B$3,10,16),'Leave log'!$C$7:$C$306,"&gt;="&amp;DATE($B$3,10,16),'Leave log'!$F$7:$F$306,"Approved")&gt;0,"A",""))="A","A",IF(OR(DATE($B$3,10,16)&gt;EOMONTH(DATE($B$3,10,1),0),NETWORKDAYS.INTL(DATE($B$3,10,16),DATE($B$3,10,16),1,'Non-working days'!$A$6:$A$45)=0),"",IF(COUNTIFS('Leave log'!$A$7:$A$306,Employees!$A$25,'Leave log'!$B$7:$B$306,"&lt;="&amp;DATE($B$3,10,16),'Leave log'!$C$7:$C$306,"&gt;="&amp;DATE($B$3,10,16),'Leave log'!$F$7:$F$306,"Pending")&gt;0,"P",""))))</f>
        <v/>
      </c>
      <c r="R332" s="23" t="str">
        <f>IF(A332="","",IF(IF(OR(DATE($B$3,10,17)&gt;EOMONTH(DATE($B$3,10,1),0),NETWORKDAYS.INTL(DATE($B$3,10,17),DATE($B$3,10,17),1,'Non-working days'!$A$6:$A$45)=0),"",IF(COUNTIFS('Leave log'!$A$7:$A$306,Employees!$A$25,'Leave log'!$B$7:$B$306,"&lt;="&amp;DATE($B$3,10,17),'Leave log'!$C$7:$C$306,"&gt;="&amp;DATE($B$3,10,17),'Leave log'!$F$7:$F$306,"Approved")&gt;0,"A",""))="A","A",IF(OR(DATE($B$3,10,17)&gt;EOMONTH(DATE($B$3,10,1),0),NETWORKDAYS.INTL(DATE($B$3,10,17),DATE($B$3,10,17),1,'Non-working days'!$A$6:$A$45)=0),"",IF(COUNTIFS('Leave log'!$A$7:$A$306,Employees!$A$25,'Leave log'!$B$7:$B$306,"&lt;="&amp;DATE($B$3,10,17),'Leave log'!$C$7:$C$306,"&gt;="&amp;DATE($B$3,10,17),'Leave log'!$F$7:$F$306,"Pending")&gt;0,"P",""))))</f>
        <v/>
      </c>
      <c r="S332" s="23" t="str">
        <f>IF(A332="","",IF(IF(OR(DATE($B$3,10,18)&gt;EOMONTH(DATE($B$3,10,1),0),NETWORKDAYS.INTL(DATE($B$3,10,18),DATE($B$3,10,18),1,'Non-working days'!$A$6:$A$45)=0),"",IF(COUNTIFS('Leave log'!$A$7:$A$306,Employees!$A$25,'Leave log'!$B$7:$B$306,"&lt;="&amp;DATE($B$3,10,18),'Leave log'!$C$7:$C$306,"&gt;="&amp;DATE($B$3,10,18),'Leave log'!$F$7:$F$306,"Approved")&gt;0,"A",""))="A","A",IF(OR(DATE($B$3,10,18)&gt;EOMONTH(DATE($B$3,10,1),0),NETWORKDAYS.INTL(DATE($B$3,10,18),DATE($B$3,10,18),1,'Non-working days'!$A$6:$A$45)=0),"",IF(COUNTIFS('Leave log'!$A$7:$A$306,Employees!$A$25,'Leave log'!$B$7:$B$306,"&lt;="&amp;DATE($B$3,10,18),'Leave log'!$C$7:$C$306,"&gt;="&amp;DATE($B$3,10,18),'Leave log'!$F$7:$F$306,"Pending")&gt;0,"P",""))))</f>
        <v/>
      </c>
      <c r="T332" s="23" t="str">
        <f>IF(A332="","",IF(IF(OR(DATE($B$3,10,19)&gt;EOMONTH(DATE($B$3,10,1),0),NETWORKDAYS.INTL(DATE($B$3,10,19),DATE($B$3,10,19),1,'Non-working days'!$A$6:$A$45)=0),"",IF(COUNTIFS('Leave log'!$A$7:$A$306,Employees!$A$25,'Leave log'!$B$7:$B$306,"&lt;="&amp;DATE($B$3,10,19),'Leave log'!$C$7:$C$306,"&gt;="&amp;DATE($B$3,10,19),'Leave log'!$F$7:$F$306,"Approved")&gt;0,"A",""))="A","A",IF(OR(DATE($B$3,10,19)&gt;EOMONTH(DATE($B$3,10,1),0),NETWORKDAYS.INTL(DATE($B$3,10,19),DATE($B$3,10,19),1,'Non-working days'!$A$6:$A$45)=0),"",IF(COUNTIFS('Leave log'!$A$7:$A$306,Employees!$A$25,'Leave log'!$B$7:$B$306,"&lt;="&amp;DATE($B$3,10,19),'Leave log'!$C$7:$C$306,"&gt;="&amp;DATE($B$3,10,19),'Leave log'!$F$7:$F$306,"Pending")&gt;0,"P",""))))</f>
        <v/>
      </c>
      <c r="U332" s="23" t="str">
        <f>IF(A332="","",IF(IF(OR(DATE($B$3,10,20)&gt;EOMONTH(DATE($B$3,10,1),0),NETWORKDAYS.INTL(DATE($B$3,10,20),DATE($B$3,10,20),1,'Non-working days'!$A$6:$A$45)=0),"",IF(COUNTIFS('Leave log'!$A$7:$A$306,Employees!$A$25,'Leave log'!$B$7:$B$306,"&lt;="&amp;DATE($B$3,10,20),'Leave log'!$C$7:$C$306,"&gt;="&amp;DATE($B$3,10,20),'Leave log'!$F$7:$F$306,"Approved")&gt;0,"A",""))="A","A",IF(OR(DATE($B$3,10,20)&gt;EOMONTH(DATE($B$3,10,1),0),NETWORKDAYS.INTL(DATE($B$3,10,20),DATE($B$3,10,20),1,'Non-working days'!$A$6:$A$45)=0),"",IF(COUNTIFS('Leave log'!$A$7:$A$306,Employees!$A$25,'Leave log'!$B$7:$B$306,"&lt;="&amp;DATE($B$3,10,20),'Leave log'!$C$7:$C$306,"&gt;="&amp;DATE($B$3,10,20),'Leave log'!$F$7:$F$306,"Pending")&gt;0,"P",""))))</f>
        <v/>
      </c>
      <c r="V332" s="23" t="str">
        <f>IF(A332="","",IF(IF(OR(DATE($B$3,10,21)&gt;EOMONTH(DATE($B$3,10,1),0),NETWORKDAYS.INTL(DATE($B$3,10,21),DATE($B$3,10,21),1,'Non-working days'!$A$6:$A$45)=0),"",IF(COUNTIFS('Leave log'!$A$7:$A$306,Employees!$A$25,'Leave log'!$B$7:$B$306,"&lt;="&amp;DATE($B$3,10,21),'Leave log'!$C$7:$C$306,"&gt;="&amp;DATE($B$3,10,21),'Leave log'!$F$7:$F$306,"Approved")&gt;0,"A",""))="A","A",IF(OR(DATE($B$3,10,21)&gt;EOMONTH(DATE($B$3,10,1),0),NETWORKDAYS.INTL(DATE($B$3,10,21),DATE($B$3,10,21),1,'Non-working days'!$A$6:$A$45)=0),"",IF(COUNTIFS('Leave log'!$A$7:$A$306,Employees!$A$25,'Leave log'!$B$7:$B$306,"&lt;="&amp;DATE($B$3,10,21),'Leave log'!$C$7:$C$306,"&gt;="&amp;DATE($B$3,10,21),'Leave log'!$F$7:$F$306,"Pending")&gt;0,"P",""))))</f>
        <v/>
      </c>
      <c r="W332" s="23" t="str">
        <f>IF(A332="","",IF(IF(OR(DATE($B$3,10,22)&gt;EOMONTH(DATE($B$3,10,1),0),NETWORKDAYS.INTL(DATE($B$3,10,22),DATE($B$3,10,22),1,'Non-working days'!$A$6:$A$45)=0),"",IF(COUNTIFS('Leave log'!$A$7:$A$306,Employees!$A$25,'Leave log'!$B$7:$B$306,"&lt;="&amp;DATE($B$3,10,22),'Leave log'!$C$7:$C$306,"&gt;="&amp;DATE($B$3,10,22),'Leave log'!$F$7:$F$306,"Approved")&gt;0,"A",""))="A","A",IF(OR(DATE($B$3,10,22)&gt;EOMONTH(DATE($B$3,10,1),0),NETWORKDAYS.INTL(DATE($B$3,10,22),DATE($B$3,10,22),1,'Non-working days'!$A$6:$A$45)=0),"",IF(COUNTIFS('Leave log'!$A$7:$A$306,Employees!$A$25,'Leave log'!$B$7:$B$306,"&lt;="&amp;DATE($B$3,10,22),'Leave log'!$C$7:$C$306,"&gt;="&amp;DATE($B$3,10,22),'Leave log'!$F$7:$F$306,"Pending")&gt;0,"P",""))))</f>
        <v/>
      </c>
      <c r="X332" s="23" t="str">
        <f>IF(A332="","",IF(IF(OR(DATE($B$3,10,23)&gt;EOMONTH(DATE($B$3,10,1),0),NETWORKDAYS.INTL(DATE($B$3,10,23),DATE($B$3,10,23),1,'Non-working days'!$A$6:$A$45)=0),"",IF(COUNTIFS('Leave log'!$A$7:$A$306,Employees!$A$25,'Leave log'!$B$7:$B$306,"&lt;="&amp;DATE($B$3,10,23),'Leave log'!$C$7:$C$306,"&gt;="&amp;DATE($B$3,10,23),'Leave log'!$F$7:$F$306,"Approved")&gt;0,"A",""))="A","A",IF(OR(DATE($B$3,10,23)&gt;EOMONTH(DATE($B$3,10,1),0),NETWORKDAYS.INTL(DATE($B$3,10,23),DATE($B$3,10,23),1,'Non-working days'!$A$6:$A$45)=0),"",IF(COUNTIFS('Leave log'!$A$7:$A$306,Employees!$A$25,'Leave log'!$B$7:$B$306,"&lt;="&amp;DATE($B$3,10,23),'Leave log'!$C$7:$C$306,"&gt;="&amp;DATE($B$3,10,23),'Leave log'!$F$7:$F$306,"Pending")&gt;0,"P",""))))</f>
        <v/>
      </c>
      <c r="Y332" s="23" t="str">
        <f>IF(A332="","",IF(IF(OR(DATE($B$3,10,24)&gt;EOMONTH(DATE($B$3,10,1),0),NETWORKDAYS.INTL(DATE($B$3,10,24),DATE($B$3,10,24),1,'Non-working days'!$A$6:$A$45)=0),"",IF(COUNTIFS('Leave log'!$A$7:$A$306,Employees!$A$25,'Leave log'!$B$7:$B$306,"&lt;="&amp;DATE($B$3,10,24),'Leave log'!$C$7:$C$306,"&gt;="&amp;DATE($B$3,10,24),'Leave log'!$F$7:$F$306,"Approved")&gt;0,"A",""))="A","A",IF(OR(DATE($B$3,10,24)&gt;EOMONTH(DATE($B$3,10,1),0),NETWORKDAYS.INTL(DATE($B$3,10,24),DATE($B$3,10,24),1,'Non-working days'!$A$6:$A$45)=0),"",IF(COUNTIFS('Leave log'!$A$7:$A$306,Employees!$A$25,'Leave log'!$B$7:$B$306,"&lt;="&amp;DATE($B$3,10,24),'Leave log'!$C$7:$C$306,"&gt;="&amp;DATE($B$3,10,24),'Leave log'!$F$7:$F$306,"Pending")&gt;0,"P",""))))</f>
        <v/>
      </c>
      <c r="Z332" s="23" t="str">
        <f>IF(A332="","",IF(IF(OR(DATE($B$3,10,25)&gt;EOMONTH(DATE($B$3,10,1),0),NETWORKDAYS.INTL(DATE($B$3,10,25),DATE($B$3,10,25),1,'Non-working days'!$A$6:$A$45)=0),"",IF(COUNTIFS('Leave log'!$A$7:$A$306,Employees!$A$25,'Leave log'!$B$7:$B$306,"&lt;="&amp;DATE($B$3,10,25),'Leave log'!$C$7:$C$306,"&gt;="&amp;DATE($B$3,10,25),'Leave log'!$F$7:$F$306,"Approved")&gt;0,"A",""))="A","A",IF(OR(DATE($B$3,10,25)&gt;EOMONTH(DATE($B$3,10,1),0),NETWORKDAYS.INTL(DATE($B$3,10,25),DATE($B$3,10,25),1,'Non-working days'!$A$6:$A$45)=0),"",IF(COUNTIFS('Leave log'!$A$7:$A$306,Employees!$A$25,'Leave log'!$B$7:$B$306,"&lt;="&amp;DATE($B$3,10,25),'Leave log'!$C$7:$C$306,"&gt;="&amp;DATE($B$3,10,25),'Leave log'!$F$7:$F$306,"Pending")&gt;0,"P",""))))</f>
        <v/>
      </c>
      <c r="AA332" s="23" t="str">
        <f>IF(A332="","",IF(IF(OR(DATE($B$3,10,26)&gt;EOMONTH(DATE($B$3,10,1),0),NETWORKDAYS.INTL(DATE($B$3,10,26),DATE($B$3,10,26),1,'Non-working days'!$A$6:$A$45)=0),"",IF(COUNTIFS('Leave log'!$A$7:$A$306,Employees!$A$25,'Leave log'!$B$7:$B$306,"&lt;="&amp;DATE($B$3,10,26),'Leave log'!$C$7:$C$306,"&gt;="&amp;DATE($B$3,10,26),'Leave log'!$F$7:$F$306,"Approved")&gt;0,"A",""))="A","A",IF(OR(DATE($B$3,10,26)&gt;EOMONTH(DATE($B$3,10,1),0),NETWORKDAYS.INTL(DATE($B$3,10,26),DATE($B$3,10,26),1,'Non-working days'!$A$6:$A$45)=0),"",IF(COUNTIFS('Leave log'!$A$7:$A$306,Employees!$A$25,'Leave log'!$B$7:$B$306,"&lt;="&amp;DATE($B$3,10,26),'Leave log'!$C$7:$C$306,"&gt;="&amp;DATE($B$3,10,26),'Leave log'!$F$7:$F$306,"Pending")&gt;0,"P",""))))</f>
        <v/>
      </c>
      <c r="AB332" s="23" t="str">
        <f>IF(A332="","",IF(IF(OR(DATE($B$3,10,27)&gt;EOMONTH(DATE($B$3,10,1),0),NETWORKDAYS.INTL(DATE($B$3,10,27),DATE($B$3,10,27),1,'Non-working days'!$A$6:$A$45)=0),"",IF(COUNTIFS('Leave log'!$A$7:$A$306,Employees!$A$25,'Leave log'!$B$7:$B$306,"&lt;="&amp;DATE($B$3,10,27),'Leave log'!$C$7:$C$306,"&gt;="&amp;DATE($B$3,10,27),'Leave log'!$F$7:$F$306,"Approved")&gt;0,"A",""))="A","A",IF(OR(DATE($B$3,10,27)&gt;EOMONTH(DATE($B$3,10,1),0),NETWORKDAYS.INTL(DATE($B$3,10,27),DATE($B$3,10,27),1,'Non-working days'!$A$6:$A$45)=0),"",IF(COUNTIFS('Leave log'!$A$7:$A$306,Employees!$A$25,'Leave log'!$B$7:$B$306,"&lt;="&amp;DATE($B$3,10,27),'Leave log'!$C$7:$C$306,"&gt;="&amp;DATE($B$3,10,27),'Leave log'!$F$7:$F$306,"Pending")&gt;0,"P",""))))</f>
        <v/>
      </c>
      <c r="AC332" s="23" t="str">
        <f>IF(A332="","",IF(IF(OR(DATE($B$3,10,28)&gt;EOMONTH(DATE($B$3,10,1),0),NETWORKDAYS.INTL(DATE($B$3,10,28),DATE($B$3,10,28),1,'Non-working days'!$A$6:$A$45)=0),"",IF(COUNTIFS('Leave log'!$A$7:$A$306,Employees!$A$25,'Leave log'!$B$7:$B$306,"&lt;="&amp;DATE($B$3,10,28),'Leave log'!$C$7:$C$306,"&gt;="&amp;DATE($B$3,10,28),'Leave log'!$F$7:$F$306,"Approved")&gt;0,"A",""))="A","A",IF(OR(DATE($B$3,10,28)&gt;EOMONTH(DATE($B$3,10,1),0),NETWORKDAYS.INTL(DATE($B$3,10,28),DATE($B$3,10,28),1,'Non-working days'!$A$6:$A$45)=0),"",IF(COUNTIFS('Leave log'!$A$7:$A$306,Employees!$A$25,'Leave log'!$B$7:$B$306,"&lt;="&amp;DATE($B$3,10,28),'Leave log'!$C$7:$C$306,"&gt;="&amp;DATE($B$3,10,28),'Leave log'!$F$7:$F$306,"Pending")&gt;0,"P",""))))</f>
        <v/>
      </c>
      <c r="AD332" s="23" t="str">
        <f>IF(A332="","",IF(IF(OR(DATE($B$3,10,29)&gt;EOMONTH(DATE($B$3,10,1),0),NETWORKDAYS.INTL(DATE($B$3,10,29),DATE($B$3,10,29),1,'Non-working days'!$A$6:$A$45)=0),"",IF(COUNTIFS('Leave log'!$A$7:$A$306,Employees!$A$25,'Leave log'!$B$7:$B$306,"&lt;="&amp;DATE($B$3,10,29),'Leave log'!$C$7:$C$306,"&gt;="&amp;DATE($B$3,10,29),'Leave log'!$F$7:$F$306,"Approved")&gt;0,"A",""))="A","A",IF(OR(DATE($B$3,10,29)&gt;EOMONTH(DATE($B$3,10,1),0),NETWORKDAYS.INTL(DATE($B$3,10,29),DATE($B$3,10,29),1,'Non-working days'!$A$6:$A$45)=0),"",IF(COUNTIFS('Leave log'!$A$7:$A$306,Employees!$A$25,'Leave log'!$B$7:$B$306,"&lt;="&amp;DATE($B$3,10,29),'Leave log'!$C$7:$C$306,"&gt;="&amp;DATE($B$3,10,29),'Leave log'!$F$7:$F$306,"Pending")&gt;0,"P",""))))</f>
        <v/>
      </c>
      <c r="AE332" s="23" t="str">
        <f>IF(A332="","",IF(IF(OR(DATE($B$3,10,30)&gt;EOMONTH(DATE($B$3,10,1),0),NETWORKDAYS.INTL(DATE($B$3,10,30),DATE($B$3,10,30),1,'Non-working days'!$A$6:$A$45)=0),"",IF(COUNTIFS('Leave log'!$A$7:$A$306,Employees!$A$25,'Leave log'!$B$7:$B$306,"&lt;="&amp;DATE($B$3,10,30),'Leave log'!$C$7:$C$306,"&gt;="&amp;DATE($B$3,10,30),'Leave log'!$F$7:$F$306,"Approved")&gt;0,"A",""))="A","A",IF(OR(DATE($B$3,10,30)&gt;EOMONTH(DATE($B$3,10,1),0),NETWORKDAYS.INTL(DATE($B$3,10,30),DATE($B$3,10,30),1,'Non-working days'!$A$6:$A$45)=0),"",IF(COUNTIFS('Leave log'!$A$7:$A$306,Employees!$A$25,'Leave log'!$B$7:$B$306,"&lt;="&amp;DATE($B$3,10,30),'Leave log'!$C$7:$C$306,"&gt;="&amp;DATE($B$3,10,30),'Leave log'!$F$7:$F$306,"Pending")&gt;0,"P",""))))</f>
        <v/>
      </c>
      <c r="AF332" s="23" t="str">
        <f>IF(A332="","",IF(IF(OR(DATE($B$3,10,31)&gt;EOMONTH(DATE($B$3,10,1),0),NETWORKDAYS.INTL(DATE($B$3,10,31),DATE($B$3,10,31),1,'Non-working days'!$A$6:$A$45)=0),"",IF(COUNTIFS('Leave log'!$A$7:$A$306,Employees!$A$25,'Leave log'!$B$7:$B$306,"&lt;="&amp;DATE($B$3,10,31),'Leave log'!$C$7:$C$306,"&gt;="&amp;DATE($B$3,10,31),'Leave log'!$F$7:$F$306,"Approved")&gt;0,"A",""))="A","A",IF(OR(DATE($B$3,10,31)&gt;EOMONTH(DATE($B$3,10,1),0),NETWORKDAYS.INTL(DATE($B$3,10,31),DATE($B$3,10,31),1,'Non-working days'!$A$6:$A$45)=0),"",IF(COUNTIFS('Leave log'!$A$7:$A$306,Employees!$A$25,'Leave log'!$B$7:$B$306,"&lt;="&amp;DATE($B$3,10,31),'Leave log'!$C$7:$C$306,"&gt;="&amp;DATE($B$3,10,31),'Leave log'!$F$7:$F$306,"Pending")&gt;0,"P",""))))</f>
        <v/>
      </c>
    </row>
    <row r="333" spans="1:32" ht="18" customHeight="1" x14ac:dyDescent="0.3">
      <c r="A333" s="22" t="str">
        <f>IF(Employees!F26="Yes",Employees!B26,"")</f>
        <v/>
      </c>
      <c r="B333" s="23" t="str">
        <f>IF(A333="","",IF(IF(OR(DATE($B$3,10,1)&gt;EOMONTH(DATE($B$3,10,1),0),NETWORKDAYS.INTL(DATE($B$3,10,1),DATE($B$3,10,1),1,'Non-working days'!$A$6:$A$45)=0),"",IF(COUNTIFS('Leave log'!$A$7:$A$306,Employees!$A$26,'Leave log'!$B$7:$B$306,"&lt;="&amp;DATE($B$3,10,1),'Leave log'!$C$7:$C$306,"&gt;="&amp;DATE($B$3,10,1),'Leave log'!$F$7:$F$306,"Approved")&gt;0,"A",""))="A","A",IF(OR(DATE($B$3,10,1)&gt;EOMONTH(DATE($B$3,10,1),0),NETWORKDAYS.INTL(DATE($B$3,10,1),DATE($B$3,10,1),1,'Non-working days'!$A$6:$A$45)=0),"",IF(COUNTIFS('Leave log'!$A$7:$A$306,Employees!$A$26,'Leave log'!$B$7:$B$306,"&lt;="&amp;DATE($B$3,10,1),'Leave log'!$C$7:$C$306,"&gt;="&amp;DATE($B$3,10,1),'Leave log'!$F$7:$F$306,"Pending")&gt;0,"P",""))))</f>
        <v/>
      </c>
      <c r="C333" s="23" t="str">
        <f>IF(A333="","",IF(IF(OR(DATE($B$3,10,2)&gt;EOMONTH(DATE($B$3,10,1),0),NETWORKDAYS.INTL(DATE($B$3,10,2),DATE($B$3,10,2),1,'Non-working days'!$A$6:$A$45)=0),"",IF(COUNTIFS('Leave log'!$A$7:$A$306,Employees!$A$26,'Leave log'!$B$7:$B$306,"&lt;="&amp;DATE($B$3,10,2),'Leave log'!$C$7:$C$306,"&gt;="&amp;DATE($B$3,10,2),'Leave log'!$F$7:$F$306,"Approved")&gt;0,"A",""))="A","A",IF(OR(DATE($B$3,10,2)&gt;EOMONTH(DATE($B$3,10,1),0),NETWORKDAYS.INTL(DATE($B$3,10,2),DATE($B$3,10,2),1,'Non-working days'!$A$6:$A$45)=0),"",IF(COUNTIFS('Leave log'!$A$7:$A$306,Employees!$A$26,'Leave log'!$B$7:$B$306,"&lt;="&amp;DATE($B$3,10,2),'Leave log'!$C$7:$C$306,"&gt;="&amp;DATE($B$3,10,2),'Leave log'!$F$7:$F$306,"Pending")&gt;0,"P",""))))</f>
        <v/>
      </c>
      <c r="D333" s="23" t="str">
        <f>IF(A333="","",IF(IF(OR(DATE($B$3,10,3)&gt;EOMONTH(DATE($B$3,10,1),0),NETWORKDAYS.INTL(DATE($B$3,10,3),DATE($B$3,10,3),1,'Non-working days'!$A$6:$A$45)=0),"",IF(COUNTIFS('Leave log'!$A$7:$A$306,Employees!$A$26,'Leave log'!$B$7:$B$306,"&lt;="&amp;DATE($B$3,10,3),'Leave log'!$C$7:$C$306,"&gt;="&amp;DATE($B$3,10,3),'Leave log'!$F$7:$F$306,"Approved")&gt;0,"A",""))="A","A",IF(OR(DATE($B$3,10,3)&gt;EOMONTH(DATE($B$3,10,1),0),NETWORKDAYS.INTL(DATE($B$3,10,3),DATE($B$3,10,3),1,'Non-working days'!$A$6:$A$45)=0),"",IF(COUNTIFS('Leave log'!$A$7:$A$306,Employees!$A$26,'Leave log'!$B$7:$B$306,"&lt;="&amp;DATE($B$3,10,3),'Leave log'!$C$7:$C$306,"&gt;="&amp;DATE($B$3,10,3),'Leave log'!$F$7:$F$306,"Pending")&gt;0,"P",""))))</f>
        <v/>
      </c>
      <c r="E333" s="23" t="str">
        <f>IF(A333="","",IF(IF(OR(DATE($B$3,10,4)&gt;EOMONTH(DATE($B$3,10,1),0),NETWORKDAYS.INTL(DATE($B$3,10,4),DATE($B$3,10,4),1,'Non-working days'!$A$6:$A$45)=0),"",IF(COUNTIFS('Leave log'!$A$7:$A$306,Employees!$A$26,'Leave log'!$B$7:$B$306,"&lt;="&amp;DATE($B$3,10,4),'Leave log'!$C$7:$C$306,"&gt;="&amp;DATE($B$3,10,4),'Leave log'!$F$7:$F$306,"Approved")&gt;0,"A",""))="A","A",IF(OR(DATE($B$3,10,4)&gt;EOMONTH(DATE($B$3,10,1),0),NETWORKDAYS.INTL(DATE($B$3,10,4),DATE($B$3,10,4),1,'Non-working days'!$A$6:$A$45)=0),"",IF(COUNTIFS('Leave log'!$A$7:$A$306,Employees!$A$26,'Leave log'!$B$7:$B$306,"&lt;="&amp;DATE($B$3,10,4),'Leave log'!$C$7:$C$306,"&gt;="&amp;DATE($B$3,10,4),'Leave log'!$F$7:$F$306,"Pending")&gt;0,"P",""))))</f>
        <v/>
      </c>
      <c r="F333" s="23" t="str">
        <f>IF(A333="","",IF(IF(OR(DATE($B$3,10,5)&gt;EOMONTH(DATE($B$3,10,1),0),NETWORKDAYS.INTL(DATE($B$3,10,5),DATE($B$3,10,5),1,'Non-working days'!$A$6:$A$45)=0),"",IF(COUNTIFS('Leave log'!$A$7:$A$306,Employees!$A$26,'Leave log'!$B$7:$B$306,"&lt;="&amp;DATE($B$3,10,5),'Leave log'!$C$7:$C$306,"&gt;="&amp;DATE($B$3,10,5),'Leave log'!$F$7:$F$306,"Approved")&gt;0,"A",""))="A","A",IF(OR(DATE($B$3,10,5)&gt;EOMONTH(DATE($B$3,10,1),0),NETWORKDAYS.INTL(DATE($B$3,10,5),DATE($B$3,10,5),1,'Non-working days'!$A$6:$A$45)=0),"",IF(COUNTIFS('Leave log'!$A$7:$A$306,Employees!$A$26,'Leave log'!$B$7:$B$306,"&lt;="&amp;DATE($B$3,10,5),'Leave log'!$C$7:$C$306,"&gt;="&amp;DATE($B$3,10,5),'Leave log'!$F$7:$F$306,"Pending")&gt;0,"P",""))))</f>
        <v/>
      </c>
      <c r="G333" s="23" t="str">
        <f>IF(A333="","",IF(IF(OR(DATE($B$3,10,6)&gt;EOMONTH(DATE($B$3,10,1),0),NETWORKDAYS.INTL(DATE($B$3,10,6),DATE($B$3,10,6),1,'Non-working days'!$A$6:$A$45)=0),"",IF(COUNTIFS('Leave log'!$A$7:$A$306,Employees!$A$26,'Leave log'!$B$7:$B$306,"&lt;="&amp;DATE($B$3,10,6),'Leave log'!$C$7:$C$306,"&gt;="&amp;DATE($B$3,10,6),'Leave log'!$F$7:$F$306,"Approved")&gt;0,"A",""))="A","A",IF(OR(DATE($B$3,10,6)&gt;EOMONTH(DATE($B$3,10,1),0),NETWORKDAYS.INTL(DATE($B$3,10,6),DATE($B$3,10,6),1,'Non-working days'!$A$6:$A$45)=0),"",IF(COUNTIFS('Leave log'!$A$7:$A$306,Employees!$A$26,'Leave log'!$B$7:$B$306,"&lt;="&amp;DATE($B$3,10,6),'Leave log'!$C$7:$C$306,"&gt;="&amp;DATE($B$3,10,6),'Leave log'!$F$7:$F$306,"Pending")&gt;0,"P",""))))</f>
        <v/>
      </c>
      <c r="H333" s="23" t="str">
        <f>IF(A333="","",IF(IF(OR(DATE($B$3,10,7)&gt;EOMONTH(DATE($B$3,10,1),0),NETWORKDAYS.INTL(DATE($B$3,10,7),DATE($B$3,10,7),1,'Non-working days'!$A$6:$A$45)=0),"",IF(COUNTIFS('Leave log'!$A$7:$A$306,Employees!$A$26,'Leave log'!$B$7:$B$306,"&lt;="&amp;DATE($B$3,10,7),'Leave log'!$C$7:$C$306,"&gt;="&amp;DATE($B$3,10,7),'Leave log'!$F$7:$F$306,"Approved")&gt;0,"A",""))="A","A",IF(OR(DATE($B$3,10,7)&gt;EOMONTH(DATE($B$3,10,1),0),NETWORKDAYS.INTL(DATE($B$3,10,7),DATE($B$3,10,7),1,'Non-working days'!$A$6:$A$45)=0),"",IF(COUNTIFS('Leave log'!$A$7:$A$306,Employees!$A$26,'Leave log'!$B$7:$B$306,"&lt;="&amp;DATE($B$3,10,7),'Leave log'!$C$7:$C$306,"&gt;="&amp;DATE($B$3,10,7),'Leave log'!$F$7:$F$306,"Pending")&gt;0,"P",""))))</f>
        <v/>
      </c>
      <c r="I333" s="23" t="str">
        <f>IF(A333="","",IF(IF(OR(DATE($B$3,10,8)&gt;EOMONTH(DATE($B$3,10,1),0),NETWORKDAYS.INTL(DATE($B$3,10,8),DATE($B$3,10,8),1,'Non-working days'!$A$6:$A$45)=0),"",IF(COUNTIFS('Leave log'!$A$7:$A$306,Employees!$A$26,'Leave log'!$B$7:$B$306,"&lt;="&amp;DATE($B$3,10,8),'Leave log'!$C$7:$C$306,"&gt;="&amp;DATE($B$3,10,8),'Leave log'!$F$7:$F$306,"Approved")&gt;0,"A",""))="A","A",IF(OR(DATE($B$3,10,8)&gt;EOMONTH(DATE($B$3,10,1),0),NETWORKDAYS.INTL(DATE($B$3,10,8),DATE($B$3,10,8),1,'Non-working days'!$A$6:$A$45)=0),"",IF(COUNTIFS('Leave log'!$A$7:$A$306,Employees!$A$26,'Leave log'!$B$7:$B$306,"&lt;="&amp;DATE($B$3,10,8),'Leave log'!$C$7:$C$306,"&gt;="&amp;DATE($B$3,10,8),'Leave log'!$F$7:$F$306,"Pending")&gt;0,"P",""))))</f>
        <v/>
      </c>
      <c r="J333" s="23" t="str">
        <f>IF(A333="","",IF(IF(OR(DATE($B$3,10,9)&gt;EOMONTH(DATE($B$3,10,1),0),NETWORKDAYS.INTL(DATE($B$3,10,9),DATE($B$3,10,9),1,'Non-working days'!$A$6:$A$45)=0),"",IF(COUNTIFS('Leave log'!$A$7:$A$306,Employees!$A$26,'Leave log'!$B$7:$B$306,"&lt;="&amp;DATE($B$3,10,9),'Leave log'!$C$7:$C$306,"&gt;="&amp;DATE($B$3,10,9),'Leave log'!$F$7:$F$306,"Approved")&gt;0,"A",""))="A","A",IF(OR(DATE($B$3,10,9)&gt;EOMONTH(DATE($B$3,10,1),0),NETWORKDAYS.INTL(DATE($B$3,10,9),DATE($B$3,10,9),1,'Non-working days'!$A$6:$A$45)=0),"",IF(COUNTIFS('Leave log'!$A$7:$A$306,Employees!$A$26,'Leave log'!$B$7:$B$306,"&lt;="&amp;DATE($B$3,10,9),'Leave log'!$C$7:$C$306,"&gt;="&amp;DATE($B$3,10,9),'Leave log'!$F$7:$F$306,"Pending")&gt;0,"P",""))))</f>
        <v/>
      </c>
      <c r="K333" s="23" t="str">
        <f>IF(A333="","",IF(IF(OR(DATE($B$3,10,10)&gt;EOMONTH(DATE($B$3,10,1),0),NETWORKDAYS.INTL(DATE($B$3,10,10),DATE($B$3,10,10),1,'Non-working days'!$A$6:$A$45)=0),"",IF(COUNTIFS('Leave log'!$A$7:$A$306,Employees!$A$26,'Leave log'!$B$7:$B$306,"&lt;="&amp;DATE($B$3,10,10),'Leave log'!$C$7:$C$306,"&gt;="&amp;DATE($B$3,10,10),'Leave log'!$F$7:$F$306,"Approved")&gt;0,"A",""))="A","A",IF(OR(DATE($B$3,10,10)&gt;EOMONTH(DATE($B$3,10,1),0),NETWORKDAYS.INTL(DATE($B$3,10,10),DATE($B$3,10,10),1,'Non-working days'!$A$6:$A$45)=0),"",IF(COUNTIFS('Leave log'!$A$7:$A$306,Employees!$A$26,'Leave log'!$B$7:$B$306,"&lt;="&amp;DATE($B$3,10,10),'Leave log'!$C$7:$C$306,"&gt;="&amp;DATE($B$3,10,10),'Leave log'!$F$7:$F$306,"Pending")&gt;0,"P",""))))</f>
        <v/>
      </c>
      <c r="L333" s="23" t="str">
        <f>IF(A333="","",IF(IF(OR(DATE($B$3,10,11)&gt;EOMONTH(DATE($B$3,10,1),0),NETWORKDAYS.INTL(DATE($B$3,10,11),DATE($B$3,10,11),1,'Non-working days'!$A$6:$A$45)=0),"",IF(COUNTIFS('Leave log'!$A$7:$A$306,Employees!$A$26,'Leave log'!$B$7:$B$306,"&lt;="&amp;DATE($B$3,10,11),'Leave log'!$C$7:$C$306,"&gt;="&amp;DATE($B$3,10,11),'Leave log'!$F$7:$F$306,"Approved")&gt;0,"A",""))="A","A",IF(OR(DATE($B$3,10,11)&gt;EOMONTH(DATE($B$3,10,1),0),NETWORKDAYS.INTL(DATE($B$3,10,11),DATE($B$3,10,11),1,'Non-working days'!$A$6:$A$45)=0),"",IF(COUNTIFS('Leave log'!$A$7:$A$306,Employees!$A$26,'Leave log'!$B$7:$B$306,"&lt;="&amp;DATE($B$3,10,11),'Leave log'!$C$7:$C$306,"&gt;="&amp;DATE($B$3,10,11),'Leave log'!$F$7:$F$306,"Pending")&gt;0,"P",""))))</f>
        <v/>
      </c>
      <c r="M333" s="23" t="str">
        <f>IF(A333="","",IF(IF(OR(DATE($B$3,10,12)&gt;EOMONTH(DATE($B$3,10,1),0),NETWORKDAYS.INTL(DATE($B$3,10,12),DATE($B$3,10,12),1,'Non-working days'!$A$6:$A$45)=0),"",IF(COUNTIFS('Leave log'!$A$7:$A$306,Employees!$A$26,'Leave log'!$B$7:$B$306,"&lt;="&amp;DATE($B$3,10,12),'Leave log'!$C$7:$C$306,"&gt;="&amp;DATE($B$3,10,12),'Leave log'!$F$7:$F$306,"Approved")&gt;0,"A",""))="A","A",IF(OR(DATE($B$3,10,12)&gt;EOMONTH(DATE($B$3,10,1),0),NETWORKDAYS.INTL(DATE($B$3,10,12),DATE($B$3,10,12),1,'Non-working days'!$A$6:$A$45)=0),"",IF(COUNTIFS('Leave log'!$A$7:$A$306,Employees!$A$26,'Leave log'!$B$7:$B$306,"&lt;="&amp;DATE($B$3,10,12),'Leave log'!$C$7:$C$306,"&gt;="&amp;DATE($B$3,10,12),'Leave log'!$F$7:$F$306,"Pending")&gt;0,"P",""))))</f>
        <v/>
      </c>
      <c r="N333" s="23" t="str">
        <f>IF(A333="","",IF(IF(OR(DATE($B$3,10,13)&gt;EOMONTH(DATE($B$3,10,1),0),NETWORKDAYS.INTL(DATE($B$3,10,13),DATE($B$3,10,13),1,'Non-working days'!$A$6:$A$45)=0),"",IF(COUNTIFS('Leave log'!$A$7:$A$306,Employees!$A$26,'Leave log'!$B$7:$B$306,"&lt;="&amp;DATE($B$3,10,13),'Leave log'!$C$7:$C$306,"&gt;="&amp;DATE($B$3,10,13),'Leave log'!$F$7:$F$306,"Approved")&gt;0,"A",""))="A","A",IF(OR(DATE($B$3,10,13)&gt;EOMONTH(DATE($B$3,10,1),0),NETWORKDAYS.INTL(DATE($B$3,10,13),DATE($B$3,10,13),1,'Non-working days'!$A$6:$A$45)=0),"",IF(COUNTIFS('Leave log'!$A$7:$A$306,Employees!$A$26,'Leave log'!$B$7:$B$306,"&lt;="&amp;DATE($B$3,10,13),'Leave log'!$C$7:$C$306,"&gt;="&amp;DATE($B$3,10,13),'Leave log'!$F$7:$F$306,"Pending")&gt;0,"P",""))))</f>
        <v/>
      </c>
      <c r="O333" s="23" t="str">
        <f>IF(A333="","",IF(IF(OR(DATE($B$3,10,14)&gt;EOMONTH(DATE($B$3,10,1),0),NETWORKDAYS.INTL(DATE($B$3,10,14),DATE($B$3,10,14),1,'Non-working days'!$A$6:$A$45)=0),"",IF(COUNTIFS('Leave log'!$A$7:$A$306,Employees!$A$26,'Leave log'!$B$7:$B$306,"&lt;="&amp;DATE($B$3,10,14),'Leave log'!$C$7:$C$306,"&gt;="&amp;DATE($B$3,10,14),'Leave log'!$F$7:$F$306,"Approved")&gt;0,"A",""))="A","A",IF(OR(DATE($B$3,10,14)&gt;EOMONTH(DATE($B$3,10,1),0),NETWORKDAYS.INTL(DATE($B$3,10,14),DATE($B$3,10,14),1,'Non-working days'!$A$6:$A$45)=0),"",IF(COUNTIFS('Leave log'!$A$7:$A$306,Employees!$A$26,'Leave log'!$B$7:$B$306,"&lt;="&amp;DATE($B$3,10,14),'Leave log'!$C$7:$C$306,"&gt;="&amp;DATE($B$3,10,14),'Leave log'!$F$7:$F$306,"Pending")&gt;0,"P",""))))</f>
        <v/>
      </c>
      <c r="P333" s="23" t="str">
        <f>IF(A333="","",IF(IF(OR(DATE($B$3,10,15)&gt;EOMONTH(DATE($B$3,10,1),0),NETWORKDAYS.INTL(DATE($B$3,10,15),DATE($B$3,10,15),1,'Non-working days'!$A$6:$A$45)=0),"",IF(COUNTIFS('Leave log'!$A$7:$A$306,Employees!$A$26,'Leave log'!$B$7:$B$306,"&lt;="&amp;DATE($B$3,10,15),'Leave log'!$C$7:$C$306,"&gt;="&amp;DATE($B$3,10,15),'Leave log'!$F$7:$F$306,"Approved")&gt;0,"A",""))="A","A",IF(OR(DATE($B$3,10,15)&gt;EOMONTH(DATE($B$3,10,1),0),NETWORKDAYS.INTL(DATE($B$3,10,15),DATE($B$3,10,15),1,'Non-working days'!$A$6:$A$45)=0),"",IF(COUNTIFS('Leave log'!$A$7:$A$306,Employees!$A$26,'Leave log'!$B$7:$B$306,"&lt;="&amp;DATE($B$3,10,15),'Leave log'!$C$7:$C$306,"&gt;="&amp;DATE($B$3,10,15),'Leave log'!$F$7:$F$306,"Pending")&gt;0,"P",""))))</f>
        <v/>
      </c>
      <c r="Q333" s="23" t="str">
        <f>IF(A333="","",IF(IF(OR(DATE($B$3,10,16)&gt;EOMONTH(DATE($B$3,10,1),0),NETWORKDAYS.INTL(DATE($B$3,10,16),DATE($B$3,10,16),1,'Non-working days'!$A$6:$A$45)=0),"",IF(COUNTIFS('Leave log'!$A$7:$A$306,Employees!$A$26,'Leave log'!$B$7:$B$306,"&lt;="&amp;DATE($B$3,10,16),'Leave log'!$C$7:$C$306,"&gt;="&amp;DATE($B$3,10,16),'Leave log'!$F$7:$F$306,"Approved")&gt;0,"A",""))="A","A",IF(OR(DATE($B$3,10,16)&gt;EOMONTH(DATE($B$3,10,1),0),NETWORKDAYS.INTL(DATE($B$3,10,16),DATE($B$3,10,16),1,'Non-working days'!$A$6:$A$45)=0),"",IF(COUNTIFS('Leave log'!$A$7:$A$306,Employees!$A$26,'Leave log'!$B$7:$B$306,"&lt;="&amp;DATE($B$3,10,16),'Leave log'!$C$7:$C$306,"&gt;="&amp;DATE($B$3,10,16),'Leave log'!$F$7:$F$306,"Pending")&gt;0,"P",""))))</f>
        <v/>
      </c>
      <c r="R333" s="23" t="str">
        <f>IF(A333="","",IF(IF(OR(DATE($B$3,10,17)&gt;EOMONTH(DATE($B$3,10,1),0),NETWORKDAYS.INTL(DATE($B$3,10,17),DATE($B$3,10,17),1,'Non-working days'!$A$6:$A$45)=0),"",IF(COUNTIFS('Leave log'!$A$7:$A$306,Employees!$A$26,'Leave log'!$B$7:$B$306,"&lt;="&amp;DATE($B$3,10,17),'Leave log'!$C$7:$C$306,"&gt;="&amp;DATE($B$3,10,17),'Leave log'!$F$7:$F$306,"Approved")&gt;0,"A",""))="A","A",IF(OR(DATE($B$3,10,17)&gt;EOMONTH(DATE($B$3,10,1),0),NETWORKDAYS.INTL(DATE($B$3,10,17),DATE($B$3,10,17),1,'Non-working days'!$A$6:$A$45)=0),"",IF(COUNTIFS('Leave log'!$A$7:$A$306,Employees!$A$26,'Leave log'!$B$7:$B$306,"&lt;="&amp;DATE($B$3,10,17),'Leave log'!$C$7:$C$306,"&gt;="&amp;DATE($B$3,10,17),'Leave log'!$F$7:$F$306,"Pending")&gt;0,"P",""))))</f>
        <v/>
      </c>
      <c r="S333" s="23" t="str">
        <f>IF(A333="","",IF(IF(OR(DATE($B$3,10,18)&gt;EOMONTH(DATE($B$3,10,1),0),NETWORKDAYS.INTL(DATE($B$3,10,18),DATE($B$3,10,18),1,'Non-working days'!$A$6:$A$45)=0),"",IF(COUNTIFS('Leave log'!$A$7:$A$306,Employees!$A$26,'Leave log'!$B$7:$B$306,"&lt;="&amp;DATE($B$3,10,18),'Leave log'!$C$7:$C$306,"&gt;="&amp;DATE($B$3,10,18),'Leave log'!$F$7:$F$306,"Approved")&gt;0,"A",""))="A","A",IF(OR(DATE($B$3,10,18)&gt;EOMONTH(DATE($B$3,10,1),0),NETWORKDAYS.INTL(DATE($B$3,10,18),DATE($B$3,10,18),1,'Non-working days'!$A$6:$A$45)=0),"",IF(COUNTIFS('Leave log'!$A$7:$A$306,Employees!$A$26,'Leave log'!$B$7:$B$306,"&lt;="&amp;DATE($B$3,10,18),'Leave log'!$C$7:$C$306,"&gt;="&amp;DATE($B$3,10,18),'Leave log'!$F$7:$F$306,"Pending")&gt;0,"P",""))))</f>
        <v/>
      </c>
      <c r="T333" s="23" t="str">
        <f>IF(A333="","",IF(IF(OR(DATE($B$3,10,19)&gt;EOMONTH(DATE($B$3,10,1),0),NETWORKDAYS.INTL(DATE($B$3,10,19),DATE($B$3,10,19),1,'Non-working days'!$A$6:$A$45)=0),"",IF(COUNTIFS('Leave log'!$A$7:$A$306,Employees!$A$26,'Leave log'!$B$7:$B$306,"&lt;="&amp;DATE($B$3,10,19),'Leave log'!$C$7:$C$306,"&gt;="&amp;DATE($B$3,10,19),'Leave log'!$F$7:$F$306,"Approved")&gt;0,"A",""))="A","A",IF(OR(DATE($B$3,10,19)&gt;EOMONTH(DATE($B$3,10,1),0),NETWORKDAYS.INTL(DATE($B$3,10,19),DATE($B$3,10,19),1,'Non-working days'!$A$6:$A$45)=0),"",IF(COUNTIFS('Leave log'!$A$7:$A$306,Employees!$A$26,'Leave log'!$B$7:$B$306,"&lt;="&amp;DATE($B$3,10,19),'Leave log'!$C$7:$C$306,"&gt;="&amp;DATE($B$3,10,19),'Leave log'!$F$7:$F$306,"Pending")&gt;0,"P",""))))</f>
        <v/>
      </c>
      <c r="U333" s="23" t="str">
        <f>IF(A333="","",IF(IF(OR(DATE($B$3,10,20)&gt;EOMONTH(DATE($B$3,10,1),0),NETWORKDAYS.INTL(DATE($B$3,10,20),DATE($B$3,10,20),1,'Non-working days'!$A$6:$A$45)=0),"",IF(COUNTIFS('Leave log'!$A$7:$A$306,Employees!$A$26,'Leave log'!$B$7:$B$306,"&lt;="&amp;DATE($B$3,10,20),'Leave log'!$C$7:$C$306,"&gt;="&amp;DATE($B$3,10,20),'Leave log'!$F$7:$F$306,"Approved")&gt;0,"A",""))="A","A",IF(OR(DATE($B$3,10,20)&gt;EOMONTH(DATE($B$3,10,1),0),NETWORKDAYS.INTL(DATE($B$3,10,20),DATE($B$3,10,20),1,'Non-working days'!$A$6:$A$45)=0),"",IF(COUNTIFS('Leave log'!$A$7:$A$306,Employees!$A$26,'Leave log'!$B$7:$B$306,"&lt;="&amp;DATE($B$3,10,20),'Leave log'!$C$7:$C$306,"&gt;="&amp;DATE($B$3,10,20),'Leave log'!$F$7:$F$306,"Pending")&gt;0,"P",""))))</f>
        <v/>
      </c>
      <c r="V333" s="23" t="str">
        <f>IF(A333="","",IF(IF(OR(DATE($B$3,10,21)&gt;EOMONTH(DATE($B$3,10,1),0),NETWORKDAYS.INTL(DATE($B$3,10,21),DATE($B$3,10,21),1,'Non-working days'!$A$6:$A$45)=0),"",IF(COUNTIFS('Leave log'!$A$7:$A$306,Employees!$A$26,'Leave log'!$B$7:$B$306,"&lt;="&amp;DATE($B$3,10,21),'Leave log'!$C$7:$C$306,"&gt;="&amp;DATE($B$3,10,21),'Leave log'!$F$7:$F$306,"Approved")&gt;0,"A",""))="A","A",IF(OR(DATE($B$3,10,21)&gt;EOMONTH(DATE($B$3,10,1),0),NETWORKDAYS.INTL(DATE($B$3,10,21),DATE($B$3,10,21),1,'Non-working days'!$A$6:$A$45)=0),"",IF(COUNTIFS('Leave log'!$A$7:$A$306,Employees!$A$26,'Leave log'!$B$7:$B$306,"&lt;="&amp;DATE($B$3,10,21),'Leave log'!$C$7:$C$306,"&gt;="&amp;DATE($B$3,10,21),'Leave log'!$F$7:$F$306,"Pending")&gt;0,"P",""))))</f>
        <v/>
      </c>
      <c r="W333" s="23" t="str">
        <f>IF(A333="","",IF(IF(OR(DATE($B$3,10,22)&gt;EOMONTH(DATE($B$3,10,1),0),NETWORKDAYS.INTL(DATE($B$3,10,22),DATE($B$3,10,22),1,'Non-working days'!$A$6:$A$45)=0),"",IF(COUNTIFS('Leave log'!$A$7:$A$306,Employees!$A$26,'Leave log'!$B$7:$B$306,"&lt;="&amp;DATE($B$3,10,22),'Leave log'!$C$7:$C$306,"&gt;="&amp;DATE($B$3,10,22),'Leave log'!$F$7:$F$306,"Approved")&gt;0,"A",""))="A","A",IF(OR(DATE($B$3,10,22)&gt;EOMONTH(DATE($B$3,10,1),0),NETWORKDAYS.INTL(DATE($B$3,10,22),DATE($B$3,10,22),1,'Non-working days'!$A$6:$A$45)=0),"",IF(COUNTIFS('Leave log'!$A$7:$A$306,Employees!$A$26,'Leave log'!$B$7:$B$306,"&lt;="&amp;DATE($B$3,10,22),'Leave log'!$C$7:$C$306,"&gt;="&amp;DATE($B$3,10,22),'Leave log'!$F$7:$F$306,"Pending")&gt;0,"P",""))))</f>
        <v/>
      </c>
      <c r="X333" s="23" t="str">
        <f>IF(A333="","",IF(IF(OR(DATE($B$3,10,23)&gt;EOMONTH(DATE($B$3,10,1),0),NETWORKDAYS.INTL(DATE($B$3,10,23),DATE($B$3,10,23),1,'Non-working days'!$A$6:$A$45)=0),"",IF(COUNTIFS('Leave log'!$A$7:$A$306,Employees!$A$26,'Leave log'!$B$7:$B$306,"&lt;="&amp;DATE($B$3,10,23),'Leave log'!$C$7:$C$306,"&gt;="&amp;DATE($B$3,10,23),'Leave log'!$F$7:$F$306,"Approved")&gt;0,"A",""))="A","A",IF(OR(DATE($B$3,10,23)&gt;EOMONTH(DATE($B$3,10,1),0),NETWORKDAYS.INTL(DATE($B$3,10,23),DATE($B$3,10,23),1,'Non-working days'!$A$6:$A$45)=0),"",IF(COUNTIFS('Leave log'!$A$7:$A$306,Employees!$A$26,'Leave log'!$B$7:$B$306,"&lt;="&amp;DATE($B$3,10,23),'Leave log'!$C$7:$C$306,"&gt;="&amp;DATE($B$3,10,23),'Leave log'!$F$7:$F$306,"Pending")&gt;0,"P",""))))</f>
        <v/>
      </c>
      <c r="Y333" s="23" t="str">
        <f>IF(A333="","",IF(IF(OR(DATE($B$3,10,24)&gt;EOMONTH(DATE($B$3,10,1),0),NETWORKDAYS.INTL(DATE($B$3,10,24),DATE($B$3,10,24),1,'Non-working days'!$A$6:$A$45)=0),"",IF(COUNTIFS('Leave log'!$A$7:$A$306,Employees!$A$26,'Leave log'!$B$7:$B$306,"&lt;="&amp;DATE($B$3,10,24),'Leave log'!$C$7:$C$306,"&gt;="&amp;DATE($B$3,10,24),'Leave log'!$F$7:$F$306,"Approved")&gt;0,"A",""))="A","A",IF(OR(DATE($B$3,10,24)&gt;EOMONTH(DATE($B$3,10,1),0),NETWORKDAYS.INTL(DATE($B$3,10,24),DATE($B$3,10,24),1,'Non-working days'!$A$6:$A$45)=0),"",IF(COUNTIFS('Leave log'!$A$7:$A$306,Employees!$A$26,'Leave log'!$B$7:$B$306,"&lt;="&amp;DATE($B$3,10,24),'Leave log'!$C$7:$C$306,"&gt;="&amp;DATE($B$3,10,24),'Leave log'!$F$7:$F$306,"Pending")&gt;0,"P",""))))</f>
        <v/>
      </c>
      <c r="Z333" s="23" t="str">
        <f>IF(A333="","",IF(IF(OR(DATE($B$3,10,25)&gt;EOMONTH(DATE($B$3,10,1),0),NETWORKDAYS.INTL(DATE($B$3,10,25),DATE($B$3,10,25),1,'Non-working days'!$A$6:$A$45)=0),"",IF(COUNTIFS('Leave log'!$A$7:$A$306,Employees!$A$26,'Leave log'!$B$7:$B$306,"&lt;="&amp;DATE($B$3,10,25),'Leave log'!$C$7:$C$306,"&gt;="&amp;DATE($B$3,10,25),'Leave log'!$F$7:$F$306,"Approved")&gt;0,"A",""))="A","A",IF(OR(DATE($B$3,10,25)&gt;EOMONTH(DATE($B$3,10,1),0),NETWORKDAYS.INTL(DATE($B$3,10,25),DATE($B$3,10,25),1,'Non-working days'!$A$6:$A$45)=0),"",IF(COUNTIFS('Leave log'!$A$7:$A$306,Employees!$A$26,'Leave log'!$B$7:$B$306,"&lt;="&amp;DATE($B$3,10,25),'Leave log'!$C$7:$C$306,"&gt;="&amp;DATE($B$3,10,25),'Leave log'!$F$7:$F$306,"Pending")&gt;0,"P",""))))</f>
        <v/>
      </c>
      <c r="AA333" s="23" t="str">
        <f>IF(A333="","",IF(IF(OR(DATE($B$3,10,26)&gt;EOMONTH(DATE($B$3,10,1),0),NETWORKDAYS.INTL(DATE($B$3,10,26),DATE($B$3,10,26),1,'Non-working days'!$A$6:$A$45)=0),"",IF(COUNTIFS('Leave log'!$A$7:$A$306,Employees!$A$26,'Leave log'!$B$7:$B$306,"&lt;="&amp;DATE($B$3,10,26),'Leave log'!$C$7:$C$306,"&gt;="&amp;DATE($B$3,10,26),'Leave log'!$F$7:$F$306,"Approved")&gt;0,"A",""))="A","A",IF(OR(DATE($B$3,10,26)&gt;EOMONTH(DATE($B$3,10,1),0),NETWORKDAYS.INTL(DATE($B$3,10,26),DATE($B$3,10,26),1,'Non-working days'!$A$6:$A$45)=0),"",IF(COUNTIFS('Leave log'!$A$7:$A$306,Employees!$A$26,'Leave log'!$B$7:$B$306,"&lt;="&amp;DATE($B$3,10,26),'Leave log'!$C$7:$C$306,"&gt;="&amp;DATE($B$3,10,26),'Leave log'!$F$7:$F$306,"Pending")&gt;0,"P",""))))</f>
        <v/>
      </c>
      <c r="AB333" s="23" t="str">
        <f>IF(A333="","",IF(IF(OR(DATE($B$3,10,27)&gt;EOMONTH(DATE($B$3,10,1),0),NETWORKDAYS.INTL(DATE($B$3,10,27),DATE($B$3,10,27),1,'Non-working days'!$A$6:$A$45)=0),"",IF(COUNTIFS('Leave log'!$A$7:$A$306,Employees!$A$26,'Leave log'!$B$7:$B$306,"&lt;="&amp;DATE($B$3,10,27),'Leave log'!$C$7:$C$306,"&gt;="&amp;DATE($B$3,10,27),'Leave log'!$F$7:$F$306,"Approved")&gt;0,"A",""))="A","A",IF(OR(DATE($B$3,10,27)&gt;EOMONTH(DATE($B$3,10,1),0),NETWORKDAYS.INTL(DATE($B$3,10,27),DATE($B$3,10,27),1,'Non-working days'!$A$6:$A$45)=0),"",IF(COUNTIFS('Leave log'!$A$7:$A$306,Employees!$A$26,'Leave log'!$B$7:$B$306,"&lt;="&amp;DATE($B$3,10,27),'Leave log'!$C$7:$C$306,"&gt;="&amp;DATE($B$3,10,27),'Leave log'!$F$7:$F$306,"Pending")&gt;0,"P",""))))</f>
        <v/>
      </c>
      <c r="AC333" s="23" t="str">
        <f>IF(A333="","",IF(IF(OR(DATE($B$3,10,28)&gt;EOMONTH(DATE($B$3,10,1),0),NETWORKDAYS.INTL(DATE($B$3,10,28),DATE($B$3,10,28),1,'Non-working days'!$A$6:$A$45)=0),"",IF(COUNTIFS('Leave log'!$A$7:$A$306,Employees!$A$26,'Leave log'!$B$7:$B$306,"&lt;="&amp;DATE($B$3,10,28),'Leave log'!$C$7:$C$306,"&gt;="&amp;DATE($B$3,10,28),'Leave log'!$F$7:$F$306,"Approved")&gt;0,"A",""))="A","A",IF(OR(DATE($B$3,10,28)&gt;EOMONTH(DATE($B$3,10,1),0),NETWORKDAYS.INTL(DATE($B$3,10,28),DATE($B$3,10,28),1,'Non-working days'!$A$6:$A$45)=0),"",IF(COUNTIFS('Leave log'!$A$7:$A$306,Employees!$A$26,'Leave log'!$B$7:$B$306,"&lt;="&amp;DATE($B$3,10,28),'Leave log'!$C$7:$C$306,"&gt;="&amp;DATE($B$3,10,28),'Leave log'!$F$7:$F$306,"Pending")&gt;0,"P",""))))</f>
        <v/>
      </c>
      <c r="AD333" s="23" t="str">
        <f>IF(A333="","",IF(IF(OR(DATE($B$3,10,29)&gt;EOMONTH(DATE($B$3,10,1),0),NETWORKDAYS.INTL(DATE($B$3,10,29),DATE($B$3,10,29),1,'Non-working days'!$A$6:$A$45)=0),"",IF(COUNTIFS('Leave log'!$A$7:$A$306,Employees!$A$26,'Leave log'!$B$7:$B$306,"&lt;="&amp;DATE($B$3,10,29),'Leave log'!$C$7:$C$306,"&gt;="&amp;DATE($B$3,10,29),'Leave log'!$F$7:$F$306,"Approved")&gt;0,"A",""))="A","A",IF(OR(DATE($B$3,10,29)&gt;EOMONTH(DATE($B$3,10,1),0),NETWORKDAYS.INTL(DATE($B$3,10,29),DATE($B$3,10,29),1,'Non-working days'!$A$6:$A$45)=0),"",IF(COUNTIFS('Leave log'!$A$7:$A$306,Employees!$A$26,'Leave log'!$B$7:$B$306,"&lt;="&amp;DATE($B$3,10,29),'Leave log'!$C$7:$C$306,"&gt;="&amp;DATE($B$3,10,29),'Leave log'!$F$7:$F$306,"Pending")&gt;0,"P",""))))</f>
        <v/>
      </c>
      <c r="AE333" s="23" t="str">
        <f>IF(A333="","",IF(IF(OR(DATE($B$3,10,30)&gt;EOMONTH(DATE($B$3,10,1),0),NETWORKDAYS.INTL(DATE($B$3,10,30),DATE($B$3,10,30),1,'Non-working days'!$A$6:$A$45)=0),"",IF(COUNTIFS('Leave log'!$A$7:$A$306,Employees!$A$26,'Leave log'!$B$7:$B$306,"&lt;="&amp;DATE($B$3,10,30),'Leave log'!$C$7:$C$306,"&gt;="&amp;DATE($B$3,10,30),'Leave log'!$F$7:$F$306,"Approved")&gt;0,"A",""))="A","A",IF(OR(DATE($B$3,10,30)&gt;EOMONTH(DATE($B$3,10,1),0),NETWORKDAYS.INTL(DATE($B$3,10,30),DATE($B$3,10,30),1,'Non-working days'!$A$6:$A$45)=0),"",IF(COUNTIFS('Leave log'!$A$7:$A$306,Employees!$A$26,'Leave log'!$B$7:$B$306,"&lt;="&amp;DATE($B$3,10,30),'Leave log'!$C$7:$C$306,"&gt;="&amp;DATE($B$3,10,30),'Leave log'!$F$7:$F$306,"Pending")&gt;0,"P",""))))</f>
        <v/>
      </c>
      <c r="AF333" s="23" t="str">
        <f>IF(A333="","",IF(IF(OR(DATE($B$3,10,31)&gt;EOMONTH(DATE($B$3,10,1),0),NETWORKDAYS.INTL(DATE($B$3,10,31),DATE($B$3,10,31),1,'Non-working days'!$A$6:$A$45)=0),"",IF(COUNTIFS('Leave log'!$A$7:$A$306,Employees!$A$26,'Leave log'!$B$7:$B$306,"&lt;="&amp;DATE($B$3,10,31),'Leave log'!$C$7:$C$306,"&gt;="&amp;DATE($B$3,10,31),'Leave log'!$F$7:$F$306,"Approved")&gt;0,"A",""))="A","A",IF(OR(DATE($B$3,10,31)&gt;EOMONTH(DATE($B$3,10,1),0),NETWORKDAYS.INTL(DATE($B$3,10,31),DATE($B$3,10,31),1,'Non-working days'!$A$6:$A$45)=0),"",IF(COUNTIFS('Leave log'!$A$7:$A$306,Employees!$A$26,'Leave log'!$B$7:$B$306,"&lt;="&amp;DATE($B$3,10,31),'Leave log'!$C$7:$C$306,"&gt;="&amp;DATE($B$3,10,31),'Leave log'!$F$7:$F$306,"Pending")&gt;0,"P",""))))</f>
        <v/>
      </c>
    </row>
    <row r="334" spans="1:32" ht="18" customHeight="1" x14ac:dyDescent="0.3">
      <c r="A334" s="22" t="str">
        <f>IF(Employees!F27="Yes",Employees!B27,"")</f>
        <v/>
      </c>
      <c r="B334" s="23" t="str">
        <f>IF(A334="","",IF(IF(OR(DATE($B$3,10,1)&gt;EOMONTH(DATE($B$3,10,1),0),NETWORKDAYS.INTL(DATE($B$3,10,1),DATE($B$3,10,1),1,'Non-working days'!$A$6:$A$45)=0),"",IF(COUNTIFS('Leave log'!$A$7:$A$306,Employees!$A$27,'Leave log'!$B$7:$B$306,"&lt;="&amp;DATE($B$3,10,1),'Leave log'!$C$7:$C$306,"&gt;="&amp;DATE($B$3,10,1),'Leave log'!$F$7:$F$306,"Approved")&gt;0,"A",""))="A","A",IF(OR(DATE($B$3,10,1)&gt;EOMONTH(DATE($B$3,10,1),0),NETWORKDAYS.INTL(DATE($B$3,10,1),DATE($B$3,10,1),1,'Non-working days'!$A$6:$A$45)=0),"",IF(COUNTIFS('Leave log'!$A$7:$A$306,Employees!$A$27,'Leave log'!$B$7:$B$306,"&lt;="&amp;DATE($B$3,10,1),'Leave log'!$C$7:$C$306,"&gt;="&amp;DATE($B$3,10,1),'Leave log'!$F$7:$F$306,"Pending")&gt;0,"P",""))))</f>
        <v/>
      </c>
      <c r="C334" s="23" t="str">
        <f>IF(A334="","",IF(IF(OR(DATE($B$3,10,2)&gt;EOMONTH(DATE($B$3,10,1),0),NETWORKDAYS.INTL(DATE($B$3,10,2),DATE($B$3,10,2),1,'Non-working days'!$A$6:$A$45)=0),"",IF(COUNTIFS('Leave log'!$A$7:$A$306,Employees!$A$27,'Leave log'!$B$7:$B$306,"&lt;="&amp;DATE($B$3,10,2),'Leave log'!$C$7:$C$306,"&gt;="&amp;DATE($B$3,10,2),'Leave log'!$F$7:$F$306,"Approved")&gt;0,"A",""))="A","A",IF(OR(DATE($B$3,10,2)&gt;EOMONTH(DATE($B$3,10,1),0),NETWORKDAYS.INTL(DATE($B$3,10,2),DATE($B$3,10,2),1,'Non-working days'!$A$6:$A$45)=0),"",IF(COUNTIFS('Leave log'!$A$7:$A$306,Employees!$A$27,'Leave log'!$B$7:$B$306,"&lt;="&amp;DATE($B$3,10,2),'Leave log'!$C$7:$C$306,"&gt;="&amp;DATE($B$3,10,2),'Leave log'!$F$7:$F$306,"Pending")&gt;0,"P",""))))</f>
        <v/>
      </c>
      <c r="D334" s="23" t="str">
        <f>IF(A334="","",IF(IF(OR(DATE($B$3,10,3)&gt;EOMONTH(DATE($B$3,10,1),0),NETWORKDAYS.INTL(DATE($B$3,10,3),DATE($B$3,10,3),1,'Non-working days'!$A$6:$A$45)=0),"",IF(COUNTIFS('Leave log'!$A$7:$A$306,Employees!$A$27,'Leave log'!$B$7:$B$306,"&lt;="&amp;DATE($B$3,10,3),'Leave log'!$C$7:$C$306,"&gt;="&amp;DATE($B$3,10,3),'Leave log'!$F$7:$F$306,"Approved")&gt;0,"A",""))="A","A",IF(OR(DATE($B$3,10,3)&gt;EOMONTH(DATE($B$3,10,1),0),NETWORKDAYS.INTL(DATE($B$3,10,3),DATE($B$3,10,3),1,'Non-working days'!$A$6:$A$45)=0),"",IF(COUNTIFS('Leave log'!$A$7:$A$306,Employees!$A$27,'Leave log'!$B$7:$B$306,"&lt;="&amp;DATE($B$3,10,3),'Leave log'!$C$7:$C$306,"&gt;="&amp;DATE($B$3,10,3),'Leave log'!$F$7:$F$306,"Pending")&gt;0,"P",""))))</f>
        <v/>
      </c>
      <c r="E334" s="23" t="str">
        <f>IF(A334="","",IF(IF(OR(DATE($B$3,10,4)&gt;EOMONTH(DATE($B$3,10,1),0),NETWORKDAYS.INTL(DATE($B$3,10,4),DATE($B$3,10,4),1,'Non-working days'!$A$6:$A$45)=0),"",IF(COUNTIFS('Leave log'!$A$7:$A$306,Employees!$A$27,'Leave log'!$B$7:$B$306,"&lt;="&amp;DATE($B$3,10,4),'Leave log'!$C$7:$C$306,"&gt;="&amp;DATE($B$3,10,4),'Leave log'!$F$7:$F$306,"Approved")&gt;0,"A",""))="A","A",IF(OR(DATE($B$3,10,4)&gt;EOMONTH(DATE($B$3,10,1),0),NETWORKDAYS.INTL(DATE($B$3,10,4),DATE($B$3,10,4),1,'Non-working days'!$A$6:$A$45)=0),"",IF(COUNTIFS('Leave log'!$A$7:$A$306,Employees!$A$27,'Leave log'!$B$7:$B$306,"&lt;="&amp;DATE($B$3,10,4),'Leave log'!$C$7:$C$306,"&gt;="&amp;DATE($B$3,10,4),'Leave log'!$F$7:$F$306,"Pending")&gt;0,"P",""))))</f>
        <v/>
      </c>
      <c r="F334" s="23" t="str">
        <f>IF(A334="","",IF(IF(OR(DATE($B$3,10,5)&gt;EOMONTH(DATE($B$3,10,1),0),NETWORKDAYS.INTL(DATE($B$3,10,5),DATE($B$3,10,5),1,'Non-working days'!$A$6:$A$45)=0),"",IF(COUNTIFS('Leave log'!$A$7:$A$306,Employees!$A$27,'Leave log'!$B$7:$B$306,"&lt;="&amp;DATE($B$3,10,5),'Leave log'!$C$7:$C$306,"&gt;="&amp;DATE($B$3,10,5),'Leave log'!$F$7:$F$306,"Approved")&gt;0,"A",""))="A","A",IF(OR(DATE($B$3,10,5)&gt;EOMONTH(DATE($B$3,10,1),0),NETWORKDAYS.INTL(DATE($B$3,10,5),DATE($B$3,10,5),1,'Non-working days'!$A$6:$A$45)=0),"",IF(COUNTIFS('Leave log'!$A$7:$A$306,Employees!$A$27,'Leave log'!$B$7:$B$306,"&lt;="&amp;DATE($B$3,10,5),'Leave log'!$C$7:$C$306,"&gt;="&amp;DATE($B$3,10,5),'Leave log'!$F$7:$F$306,"Pending")&gt;0,"P",""))))</f>
        <v/>
      </c>
      <c r="G334" s="23" t="str">
        <f>IF(A334="","",IF(IF(OR(DATE($B$3,10,6)&gt;EOMONTH(DATE($B$3,10,1),0),NETWORKDAYS.INTL(DATE($B$3,10,6),DATE($B$3,10,6),1,'Non-working days'!$A$6:$A$45)=0),"",IF(COUNTIFS('Leave log'!$A$7:$A$306,Employees!$A$27,'Leave log'!$B$7:$B$306,"&lt;="&amp;DATE($B$3,10,6),'Leave log'!$C$7:$C$306,"&gt;="&amp;DATE($B$3,10,6),'Leave log'!$F$7:$F$306,"Approved")&gt;0,"A",""))="A","A",IF(OR(DATE($B$3,10,6)&gt;EOMONTH(DATE($B$3,10,1),0),NETWORKDAYS.INTL(DATE($B$3,10,6),DATE($B$3,10,6),1,'Non-working days'!$A$6:$A$45)=0),"",IF(COUNTIFS('Leave log'!$A$7:$A$306,Employees!$A$27,'Leave log'!$B$7:$B$306,"&lt;="&amp;DATE($B$3,10,6),'Leave log'!$C$7:$C$306,"&gt;="&amp;DATE($B$3,10,6),'Leave log'!$F$7:$F$306,"Pending")&gt;0,"P",""))))</f>
        <v/>
      </c>
      <c r="H334" s="23" t="str">
        <f>IF(A334="","",IF(IF(OR(DATE($B$3,10,7)&gt;EOMONTH(DATE($B$3,10,1),0),NETWORKDAYS.INTL(DATE($B$3,10,7),DATE($B$3,10,7),1,'Non-working days'!$A$6:$A$45)=0),"",IF(COUNTIFS('Leave log'!$A$7:$A$306,Employees!$A$27,'Leave log'!$B$7:$B$306,"&lt;="&amp;DATE($B$3,10,7),'Leave log'!$C$7:$C$306,"&gt;="&amp;DATE($B$3,10,7),'Leave log'!$F$7:$F$306,"Approved")&gt;0,"A",""))="A","A",IF(OR(DATE($B$3,10,7)&gt;EOMONTH(DATE($B$3,10,1),0),NETWORKDAYS.INTL(DATE($B$3,10,7),DATE($B$3,10,7),1,'Non-working days'!$A$6:$A$45)=0),"",IF(COUNTIFS('Leave log'!$A$7:$A$306,Employees!$A$27,'Leave log'!$B$7:$B$306,"&lt;="&amp;DATE($B$3,10,7),'Leave log'!$C$7:$C$306,"&gt;="&amp;DATE($B$3,10,7),'Leave log'!$F$7:$F$306,"Pending")&gt;0,"P",""))))</f>
        <v/>
      </c>
      <c r="I334" s="23" t="str">
        <f>IF(A334="","",IF(IF(OR(DATE($B$3,10,8)&gt;EOMONTH(DATE($B$3,10,1),0),NETWORKDAYS.INTL(DATE($B$3,10,8),DATE($B$3,10,8),1,'Non-working days'!$A$6:$A$45)=0),"",IF(COUNTIFS('Leave log'!$A$7:$A$306,Employees!$A$27,'Leave log'!$B$7:$B$306,"&lt;="&amp;DATE($B$3,10,8),'Leave log'!$C$7:$C$306,"&gt;="&amp;DATE($B$3,10,8),'Leave log'!$F$7:$F$306,"Approved")&gt;0,"A",""))="A","A",IF(OR(DATE($B$3,10,8)&gt;EOMONTH(DATE($B$3,10,1),0),NETWORKDAYS.INTL(DATE($B$3,10,8),DATE($B$3,10,8),1,'Non-working days'!$A$6:$A$45)=0),"",IF(COUNTIFS('Leave log'!$A$7:$A$306,Employees!$A$27,'Leave log'!$B$7:$B$306,"&lt;="&amp;DATE($B$3,10,8),'Leave log'!$C$7:$C$306,"&gt;="&amp;DATE($B$3,10,8),'Leave log'!$F$7:$F$306,"Pending")&gt;0,"P",""))))</f>
        <v/>
      </c>
      <c r="J334" s="23" t="str">
        <f>IF(A334="","",IF(IF(OR(DATE($B$3,10,9)&gt;EOMONTH(DATE($B$3,10,1),0),NETWORKDAYS.INTL(DATE($B$3,10,9),DATE($B$3,10,9),1,'Non-working days'!$A$6:$A$45)=0),"",IF(COUNTIFS('Leave log'!$A$7:$A$306,Employees!$A$27,'Leave log'!$B$7:$B$306,"&lt;="&amp;DATE($B$3,10,9),'Leave log'!$C$7:$C$306,"&gt;="&amp;DATE($B$3,10,9),'Leave log'!$F$7:$F$306,"Approved")&gt;0,"A",""))="A","A",IF(OR(DATE($B$3,10,9)&gt;EOMONTH(DATE($B$3,10,1),0),NETWORKDAYS.INTL(DATE($B$3,10,9),DATE($B$3,10,9),1,'Non-working days'!$A$6:$A$45)=0),"",IF(COUNTIFS('Leave log'!$A$7:$A$306,Employees!$A$27,'Leave log'!$B$7:$B$306,"&lt;="&amp;DATE($B$3,10,9),'Leave log'!$C$7:$C$306,"&gt;="&amp;DATE($B$3,10,9),'Leave log'!$F$7:$F$306,"Pending")&gt;0,"P",""))))</f>
        <v/>
      </c>
      <c r="K334" s="23" t="str">
        <f>IF(A334="","",IF(IF(OR(DATE($B$3,10,10)&gt;EOMONTH(DATE($B$3,10,1),0),NETWORKDAYS.INTL(DATE($B$3,10,10),DATE($B$3,10,10),1,'Non-working days'!$A$6:$A$45)=0),"",IF(COUNTIFS('Leave log'!$A$7:$A$306,Employees!$A$27,'Leave log'!$B$7:$B$306,"&lt;="&amp;DATE($B$3,10,10),'Leave log'!$C$7:$C$306,"&gt;="&amp;DATE($B$3,10,10),'Leave log'!$F$7:$F$306,"Approved")&gt;0,"A",""))="A","A",IF(OR(DATE($B$3,10,10)&gt;EOMONTH(DATE($B$3,10,1),0),NETWORKDAYS.INTL(DATE($B$3,10,10),DATE($B$3,10,10),1,'Non-working days'!$A$6:$A$45)=0),"",IF(COUNTIFS('Leave log'!$A$7:$A$306,Employees!$A$27,'Leave log'!$B$7:$B$306,"&lt;="&amp;DATE($B$3,10,10),'Leave log'!$C$7:$C$306,"&gt;="&amp;DATE($B$3,10,10),'Leave log'!$F$7:$F$306,"Pending")&gt;0,"P",""))))</f>
        <v/>
      </c>
      <c r="L334" s="23" t="str">
        <f>IF(A334="","",IF(IF(OR(DATE($B$3,10,11)&gt;EOMONTH(DATE($B$3,10,1),0),NETWORKDAYS.INTL(DATE($B$3,10,11),DATE($B$3,10,11),1,'Non-working days'!$A$6:$A$45)=0),"",IF(COUNTIFS('Leave log'!$A$7:$A$306,Employees!$A$27,'Leave log'!$B$7:$B$306,"&lt;="&amp;DATE($B$3,10,11),'Leave log'!$C$7:$C$306,"&gt;="&amp;DATE($B$3,10,11),'Leave log'!$F$7:$F$306,"Approved")&gt;0,"A",""))="A","A",IF(OR(DATE($B$3,10,11)&gt;EOMONTH(DATE($B$3,10,1),0),NETWORKDAYS.INTL(DATE($B$3,10,11),DATE($B$3,10,11),1,'Non-working days'!$A$6:$A$45)=0),"",IF(COUNTIFS('Leave log'!$A$7:$A$306,Employees!$A$27,'Leave log'!$B$7:$B$306,"&lt;="&amp;DATE($B$3,10,11),'Leave log'!$C$7:$C$306,"&gt;="&amp;DATE($B$3,10,11),'Leave log'!$F$7:$F$306,"Pending")&gt;0,"P",""))))</f>
        <v/>
      </c>
      <c r="M334" s="23" t="str">
        <f>IF(A334="","",IF(IF(OR(DATE($B$3,10,12)&gt;EOMONTH(DATE($B$3,10,1),0),NETWORKDAYS.INTL(DATE($B$3,10,12),DATE($B$3,10,12),1,'Non-working days'!$A$6:$A$45)=0),"",IF(COUNTIFS('Leave log'!$A$7:$A$306,Employees!$A$27,'Leave log'!$B$7:$B$306,"&lt;="&amp;DATE($B$3,10,12),'Leave log'!$C$7:$C$306,"&gt;="&amp;DATE($B$3,10,12),'Leave log'!$F$7:$F$306,"Approved")&gt;0,"A",""))="A","A",IF(OR(DATE($B$3,10,12)&gt;EOMONTH(DATE($B$3,10,1),0),NETWORKDAYS.INTL(DATE($B$3,10,12),DATE($B$3,10,12),1,'Non-working days'!$A$6:$A$45)=0),"",IF(COUNTIFS('Leave log'!$A$7:$A$306,Employees!$A$27,'Leave log'!$B$7:$B$306,"&lt;="&amp;DATE($B$3,10,12),'Leave log'!$C$7:$C$306,"&gt;="&amp;DATE($B$3,10,12),'Leave log'!$F$7:$F$306,"Pending")&gt;0,"P",""))))</f>
        <v/>
      </c>
      <c r="N334" s="23" t="str">
        <f>IF(A334="","",IF(IF(OR(DATE($B$3,10,13)&gt;EOMONTH(DATE($B$3,10,1),0),NETWORKDAYS.INTL(DATE($B$3,10,13),DATE($B$3,10,13),1,'Non-working days'!$A$6:$A$45)=0),"",IF(COUNTIFS('Leave log'!$A$7:$A$306,Employees!$A$27,'Leave log'!$B$7:$B$306,"&lt;="&amp;DATE($B$3,10,13),'Leave log'!$C$7:$C$306,"&gt;="&amp;DATE($B$3,10,13),'Leave log'!$F$7:$F$306,"Approved")&gt;0,"A",""))="A","A",IF(OR(DATE($B$3,10,13)&gt;EOMONTH(DATE($B$3,10,1),0),NETWORKDAYS.INTL(DATE($B$3,10,13),DATE($B$3,10,13),1,'Non-working days'!$A$6:$A$45)=0),"",IF(COUNTIFS('Leave log'!$A$7:$A$306,Employees!$A$27,'Leave log'!$B$7:$B$306,"&lt;="&amp;DATE($B$3,10,13),'Leave log'!$C$7:$C$306,"&gt;="&amp;DATE($B$3,10,13),'Leave log'!$F$7:$F$306,"Pending")&gt;0,"P",""))))</f>
        <v/>
      </c>
      <c r="O334" s="23" t="str">
        <f>IF(A334="","",IF(IF(OR(DATE($B$3,10,14)&gt;EOMONTH(DATE($B$3,10,1),0),NETWORKDAYS.INTL(DATE($B$3,10,14),DATE($B$3,10,14),1,'Non-working days'!$A$6:$A$45)=0),"",IF(COUNTIFS('Leave log'!$A$7:$A$306,Employees!$A$27,'Leave log'!$B$7:$B$306,"&lt;="&amp;DATE($B$3,10,14),'Leave log'!$C$7:$C$306,"&gt;="&amp;DATE($B$3,10,14),'Leave log'!$F$7:$F$306,"Approved")&gt;0,"A",""))="A","A",IF(OR(DATE($B$3,10,14)&gt;EOMONTH(DATE($B$3,10,1),0),NETWORKDAYS.INTL(DATE($B$3,10,14),DATE($B$3,10,14),1,'Non-working days'!$A$6:$A$45)=0),"",IF(COUNTIFS('Leave log'!$A$7:$A$306,Employees!$A$27,'Leave log'!$B$7:$B$306,"&lt;="&amp;DATE($B$3,10,14),'Leave log'!$C$7:$C$306,"&gt;="&amp;DATE($B$3,10,14),'Leave log'!$F$7:$F$306,"Pending")&gt;0,"P",""))))</f>
        <v/>
      </c>
      <c r="P334" s="23" t="str">
        <f>IF(A334="","",IF(IF(OR(DATE($B$3,10,15)&gt;EOMONTH(DATE($B$3,10,1),0),NETWORKDAYS.INTL(DATE($B$3,10,15),DATE($B$3,10,15),1,'Non-working days'!$A$6:$A$45)=0),"",IF(COUNTIFS('Leave log'!$A$7:$A$306,Employees!$A$27,'Leave log'!$B$7:$B$306,"&lt;="&amp;DATE($B$3,10,15),'Leave log'!$C$7:$C$306,"&gt;="&amp;DATE($B$3,10,15),'Leave log'!$F$7:$F$306,"Approved")&gt;0,"A",""))="A","A",IF(OR(DATE($B$3,10,15)&gt;EOMONTH(DATE($B$3,10,1),0),NETWORKDAYS.INTL(DATE($B$3,10,15),DATE($B$3,10,15),1,'Non-working days'!$A$6:$A$45)=0),"",IF(COUNTIFS('Leave log'!$A$7:$A$306,Employees!$A$27,'Leave log'!$B$7:$B$306,"&lt;="&amp;DATE($B$3,10,15),'Leave log'!$C$7:$C$306,"&gt;="&amp;DATE($B$3,10,15),'Leave log'!$F$7:$F$306,"Pending")&gt;0,"P",""))))</f>
        <v/>
      </c>
      <c r="Q334" s="23" t="str">
        <f>IF(A334="","",IF(IF(OR(DATE($B$3,10,16)&gt;EOMONTH(DATE($B$3,10,1),0),NETWORKDAYS.INTL(DATE($B$3,10,16),DATE($B$3,10,16),1,'Non-working days'!$A$6:$A$45)=0),"",IF(COUNTIFS('Leave log'!$A$7:$A$306,Employees!$A$27,'Leave log'!$B$7:$B$306,"&lt;="&amp;DATE($B$3,10,16),'Leave log'!$C$7:$C$306,"&gt;="&amp;DATE($B$3,10,16),'Leave log'!$F$7:$F$306,"Approved")&gt;0,"A",""))="A","A",IF(OR(DATE($B$3,10,16)&gt;EOMONTH(DATE($B$3,10,1),0),NETWORKDAYS.INTL(DATE($B$3,10,16),DATE($B$3,10,16),1,'Non-working days'!$A$6:$A$45)=0),"",IF(COUNTIFS('Leave log'!$A$7:$A$306,Employees!$A$27,'Leave log'!$B$7:$B$306,"&lt;="&amp;DATE($B$3,10,16),'Leave log'!$C$7:$C$306,"&gt;="&amp;DATE($B$3,10,16),'Leave log'!$F$7:$F$306,"Pending")&gt;0,"P",""))))</f>
        <v/>
      </c>
      <c r="R334" s="23" t="str">
        <f>IF(A334="","",IF(IF(OR(DATE($B$3,10,17)&gt;EOMONTH(DATE($B$3,10,1),0),NETWORKDAYS.INTL(DATE($B$3,10,17),DATE($B$3,10,17),1,'Non-working days'!$A$6:$A$45)=0),"",IF(COUNTIFS('Leave log'!$A$7:$A$306,Employees!$A$27,'Leave log'!$B$7:$B$306,"&lt;="&amp;DATE($B$3,10,17),'Leave log'!$C$7:$C$306,"&gt;="&amp;DATE($B$3,10,17),'Leave log'!$F$7:$F$306,"Approved")&gt;0,"A",""))="A","A",IF(OR(DATE($B$3,10,17)&gt;EOMONTH(DATE($B$3,10,1),0),NETWORKDAYS.INTL(DATE($B$3,10,17),DATE($B$3,10,17),1,'Non-working days'!$A$6:$A$45)=0),"",IF(COUNTIFS('Leave log'!$A$7:$A$306,Employees!$A$27,'Leave log'!$B$7:$B$306,"&lt;="&amp;DATE($B$3,10,17),'Leave log'!$C$7:$C$306,"&gt;="&amp;DATE($B$3,10,17),'Leave log'!$F$7:$F$306,"Pending")&gt;0,"P",""))))</f>
        <v/>
      </c>
      <c r="S334" s="23" t="str">
        <f>IF(A334="","",IF(IF(OR(DATE($B$3,10,18)&gt;EOMONTH(DATE($B$3,10,1),0),NETWORKDAYS.INTL(DATE($B$3,10,18),DATE($B$3,10,18),1,'Non-working days'!$A$6:$A$45)=0),"",IF(COUNTIFS('Leave log'!$A$7:$A$306,Employees!$A$27,'Leave log'!$B$7:$B$306,"&lt;="&amp;DATE($B$3,10,18),'Leave log'!$C$7:$C$306,"&gt;="&amp;DATE($B$3,10,18),'Leave log'!$F$7:$F$306,"Approved")&gt;0,"A",""))="A","A",IF(OR(DATE($B$3,10,18)&gt;EOMONTH(DATE($B$3,10,1),0),NETWORKDAYS.INTL(DATE($B$3,10,18),DATE($B$3,10,18),1,'Non-working days'!$A$6:$A$45)=0),"",IF(COUNTIFS('Leave log'!$A$7:$A$306,Employees!$A$27,'Leave log'!$B$7:$B$306,"&lt;="&amp;DATE($B$3,10,18),'Leave log'!$C$7:$C$306,"&gt;="&amp;DATE($B$3,10,18),'Leave log'!$F$7:$F$306,"Pending")&gt;0,"P",""))))</f>
        <v/>
      </c>
      <c r="T334" s="23" t="str">
        <f>IF(A334="","",IF(IF(OR(DATE($B$3,10,19)&gt;EOMONTH(DATE($B$3,10,1),0),NETWORKDAYS.INTL(DATE($B$3,10,19),DATE($B$3,10,19),1,'Non-working days'!$A$6:$A$45)=0),"",IF(COUNTIFS('Leave log'!$A$7:$A$306,Employees!$A$27,'Leave log'!$B$7:$B$306,"&lt;="&amp;DATE($B$3,10,19),'Leave log'!$C$7:$C$306,"&gt;="&amp;DATE($B$3,10,19),'Leave log'!$F$7:$F$306,"Approved")&gt;0,"A",""))="A","A",IF(OR(DATE($B$3,10,19)&gt;EOMONTH(DATE($B$3,10,1),0),NETWORKDAYS.INTL(DATE($B$3,10,19),DATE($B$3,10,19),1,'Non-working days'!$A$6:$A$45)=0),"",IF(COUNTIFS('Leave log'!$A$7:$A$306,Employees!$A$27,'Leave log'!$B$7:$B$306,"&lt;="&amp;DATE($B$3,10,19),'Leave log'!$C$7:$C$306,"&gt;="&amp;DATE($B$3,10,19),'Leave log'!$F$7:$F$306,"Pending")&gt;0,"P",""))))</f>
        <v/>
      </c>
      <c r="U334" s="23" t="str">
        <f>IF(A334="","",IF(IF(OR(DATE($B$3,10,20)&gt;EOMONTH(DATE($B$3,10,1),0),NETWORKDAYS.INTL(DATE($B$3,10,20),DATE($B$3,10,20),1,'Non-working days'!$A$6:$A$45)=0),"",IF(COUNTIFS('Leave log'!$A$7:$A$306,Employees!$A$27,'Leave log'!$B$7:$B$306,"&lt;="&amp;DATE($B$3,10,20),'Leave log'!$C$7:$C$306,"&gt;="&amp;DATE($B$3,10,20),'Leave log'!$F$7:$F$306,"Approved")&gt;0,"A",""))="A","A",IF(OR(DATE($B$3,10,20)&gt;EOMONTH(DATE($B$3,10,1),0),NETWORKDAYS.INTL(DATE($B$3,10,20),DATE($B$3,10,20),1,'Non-working days'!$A$6:$A$45)=0),"",IF(COUNTIFS('Leave log'!$A$7:$A$306,Employees!$A$27,'Leave log'!$B$7:$B$306,"&lt;="&amp;DATE($B$3,10,20),'Leave log'!$C$7:$C$306,"&gt;="&amp;DATE($B$3,10,20),'Leave log'!$F$7:$F$306,"Pending")&gt;0,"P",""))))</f>
        <v/>
      </c>
      <c r="V334" s="23" t="str">
        <f>IF(A334="","",IF(IF(OR(DATE($B$3,10,21)&gt;EOMONTH(DATE($B$3,10,1),0),NETWORKDAYS.INTL(DATE($B$3,10,21),DATE($B$3,10,21),1,'Non-working days'!$A$6:$A$45)=0),"",IF(COUNTIFS('Leave log'!$A$7:$A$306,Employees!$A$27,'Leave log'!$B$7:$B$306,"&lt;="&amp;DATE($B$3,10,21),'Leave log'!$C$7:$C$306,"&gt;="&amp;DATE($B$3,10,21),'Leave log'!$F$7:$F$306,"Approved")&gt;0,"A",""))="A","A",IF(OR(DATE($B$3,10,21)&gt;EOMONTH(DATE($B$3,10,1),0),NETWORKDAYS.INTL(DATE($B$3,10,21),DATE($B$3,10,21),1,'Non-working days'!$A$6:$A$45)=0),"",IF(COUNTIFS('Leave log'!$A$7:$A$306,Employees!$A$27,'Leave log'!$B$7:$B$306,"&lt;="&amp;DATE($B$3,10,21),'Leave log'!$C$7:$C$306,"&gt;="&amp;DATE($B$3,10,21),'Leave log'!$F$7:$F$306,"Pending")&gt;0,"P",""))))</f>
        <v/>
      </c>
      <c r="W334" s="23" t="str">
        <f>IF(A334="","",IF(IF(OR(DATE($B$3,10,22)&gt;EOMONTH(DATE($B$3,10,1),0),NETWORKDAYS.INTL(DATE($B$3,10,22),DATE($B$3,10,22),1,'Non-working days'!$A$6:$A$45)=0),"",IF(COUNTIFS('Leave log'!$A$7:$A$306,Employees!$A$27,'Leave log'!$B$7:$B$306,"&lt;="&amp;DATE($B$3,10,22),'Leave log'!$C$7:$C$306,"&gt;="&amp;DATE($B$3,10,22),'Leave log'!$F$7:$F$306,"Approved")&gt;0,"A",""))="A","A",IF(OR(DATE($B$3,10,22)&gt;EOMONTH(DATE($B$3,10,1),0),NETWORKDAYS.INTL(DATE($B$3,10,22),DATE($B$3,10,22),1,'Non-working days'!$A$6:$A$45)=0),"",IF(COUNTIFS('Leave log'!$A$7:$A$306,Employees!$A$27,'Leave log'!$B$7:$B$306,"&lt;="&amp;DATE($B$3,10,22),'Leave log'!$C$7:$C$306,"&gt;="&amp;DATE($B$3,10,22),'Leave log'!$F$7:$F$306,"Pending")&gt;0,"P",""))))</f>
        <v/>
      </c>
      <c r="X334" s="23" t="str">
        <f>IF(A334="","",IF(IF(OR(DATE($B$3,10,23)&gt;EOMONTH(DATE($B$3,10,1),0),NETWORKDAYS.INTL(DATE($B$3,10,23),DATE($B$3,10,23),1,'Non-working days'!$A$6:$A$45)=0),"",IF(COUNTIFS('Leave log'!$A$7:$A$306,Employees!$A$27,'Leave log'!$B$7:$B$306,"&lt;="&amp;DATE($B$3,10,23),'Leave log'!$C$7:$C$306,"&gt;="&amp;DATE($B$3,10,23),'Leave log'!$F$7:$F$306,"Approved")&gt;0,"A",""))="A","A",IF(OR(DATE($B$3,10,23)&gt;EOMONTH(DATE($B$3,10,1),0),NETWORKDAYS.INTL(DATE($B$3,10,23),DATE($B$3,10,23),1,'Non-working days'!$A$6:$A$45)=0),"",IF(COUNTIFS('Leave log'!$A$7:$A$306,Employees!$A$27,'Leave log'!$B$7:$B$306,"&lt;="&amp;DATE($B$3,10,23),'Leave log'!$C$7:$C$306,"&gt;="&amp;DATE($B$3,10,23),'Leave log'!$F$7:$F$306,"Pending")&gt;0,"P",""))))</f>
        <v/>
      </c>
      <c r="Y334" s="23" t="str">
        <f>IF(A334="","",IF(IF(OR(DATE($B$3,10,24)&gt;EOMONTH(DATE($B$3,10,1),0),NETWORKDAYS.INTL(DATE($B$3,10,24),DATE($B$3,10,24),1,'Non-working days'!$A$6:$A$45)=0),"",IF(COUNTIFS('Leave log'!$A$7:$A$306,Employees!$A$27,'Leave log'!$B$7:$B$306,"&lt;="&amp;DATE($B$3,10,24),'Leave log'!$C$7:$C$306,"&gt;="&amp;DATE($B$3,10,24),'Leave log'!$F$7:$F$306,"Approved")&gt;0,"A",""))="A","A",IF(OR(DATE($B$3,10,24)&gt;EOMONTH(DATE($B$3,10,1),0),NETWORKDAYS.INTL(DATE($B$3,10,24),DATE($B$3,10,24),1,'Non-working days'!$A$6:$A$45)=0),"",IF(COUNTIFS('Leave log'!$A$7:$A$306,Employees!$A$27,'Leave log'!$B$7:$B$306,"&lt;="&amp;DATE($B$3,10,24),'Leave log'!$C$7:$C$306,"&gt;="&amp;DATE($B$3,10,24),'Leave log'!$F$7:$F$306,"Pending")&gt;0,"P",""))))</f>
        <v/>
      </c>
      <c r="Z334" s="23" t="str">
        <f>IF(A334="","",IF(IF(OR(DATE($B$3,10,25)&gt;EOMONTH(DATE($B$3,10,1),0),NETWORKDAYS.INTL(DATE($B$3,10,25),DATE($B$3,10,25),1,'Non-working days'!$A$6:$A$45)=0),"",IF(COUNTIFS('Leave log'!$A$7:$A$306,Employees!$A$27,'Leave log'!$B$7:$B$306,"&lt;="&amp;DATE($B$3,10,25),'Leave log'!$C$7:$C$306,"&gt;="&amp;DATE($B$3,10,25),'Leave log'!$F$7:$F$306,"Approved")&gt;0,"A",""))="A","A",IF(OR(DATE($B$3,10,25)&gt;EOMONTH(DATE($B$3,10,1),0),NETWORKDAYS.INTL(DATE($B$3,10,25),DATE($B$3,10,25),1,'Non-working days'!$A$6:$A$45)=0),"",IF(COUNTIFS('Leave log'!$A$7:$A$306,Employees!$A$27,'Leave log'!$B$7:$B$306,"&lt;="&amp;DATE($B$3,10,25),'Leave log'!$C$7:$C$306,"&gt;="&amp;DATE($B$3,10,25),'Leave log'!$F$7:$F$306,"Pending")&gt;0,"P",""))))</f>
        <v/>
      </c>
      <c r="AA334" s="23" t="str">
        <f>IF(A334="","",IF(IF(OR(DATE($B$3,10,26)&gt;EOMONTH(DATE($B$3,10,1),0),NETWORKDAYS.INTL(DATE($B$3,10,26),DATE($B$3,10,26),1,'Non-working days'!$A$6:$A$45)=0),"",IF(COUNTIFS('Leave log'!$A$7:$A$306,Employees!$A$27,'Leave log'!$B$7:$B$306,"&lt;="&amp;DATE($B$3,10,26),'Leave log'!$C$7:$C$306,"&gt;="&amp;DATE($B$3,10,26),'Leave log'!$F$7:$F$306,"Approved")&gt;0,"A",""))="A","A",IF(OR(DATE($B$3,10,26)&gt;EOMONTH(DATE($B$3,10,1),0),NETWORKDAYS.INTL(DATE($B$3,10,26),DATE($B$3,10,26),1,'Non-working days'!$A$6:$A$45)=0),"",IF(COUNTIFS('Leave log'!$A$7:$A$306,Employees!$A$27,'Leave log'!$B$7:$B$306,"&lt;="&amp;DATE($B$3,10,26),'Leave log'!$C$7:$C$306,"&gt;="&amp;DATE($B$3,10,26),'Leave log'!$F$7:$F$306,"Pending")&gt;0,"P",""))))</f>
        <v/>
      </c>
      <c r="AB334" s="23" t="str">
        <f>IF(A334="","",IF(IF(OR(DATE($B$3,10,27)&gt;EOMONTH(DATE($B$3,10,1),0),NETWORKDAYS.INTL(DATE($B$3,10,27),DATE($B$3,10,27),1,'Non-working days'!$A$6:$A$45)=0),"",IF(COUNTIFS('Leave log'!$A$7:$A$306,Employees!$A$27,'Leave log'!$B$7:$B$306,"&lt;="&amp;DATE($B$3,10,27),'Leave log'!$C$7:$C$306,"&gt;="&amp;DATE($B$3,10,27),'Leave log'!$F$7:$F$306,"Approved")&gt;0,"A",""))="A","A",IF(OR(DATE($B$3,10,27)&gt;EOMONTH(DATE($B$3,10,1),0),NETWORKDAYS.INTL(DATE($B$3,10,27),DATE($B$3,10,27),1,'Non-working days'!$A$6:$A$45)=0),"",IF(COUNTIFS('Leave log'!$A$7:$A$306,Employees!$A$27,'Leave log'!$B$7:$B$306,"&lt;="&amp;DATE($B$3,10,27),'Leave log'!$C$7:$C$306,"&gt;="&amp;DATE($B$3,10,27),'Leave log'!$F$7:$F$306,"Pending")&gt;0,"P",""))))</f>
        <v/>
      </c>
      <c r="AC334" s="23" t="str">
        <f>IF(A334="","",IF(IF(OR(DATE($B$3,10,28)&gt;EOMONTH(DATE($B$3,10,1),0),NETWORKDAYS.INTL(DATE($B$3,10,28),DATE($B$3,10,28),1,'Non-working days'!$A$6:$A$45)=0),"",IF(COUNTIFS('Leave log'!$A$7:$A$306,Employees!$A$27,'Leave log'!$B$7:$B$306,"&lt;="&amp;DATE($B$3,10,28),'Leave log'!$C$7:$C$306,"&gt;="&amp;DATE($B$3,10,28),'Leave log'!$F$7:$F$306,"Approved")&gt;0,"A",""))="A","A",IF(OR(DATE($B$3,10,28)&gt;EOMONTH(DATE($B$3,10,1),0),NETWORKDAYS.INTL(DATE($B$3,10,28),DATE($B$3,10,28),1,'Non-working days'!$A$6:$A$45)=0),"",IF(COUNTIFS('Leave log'!$A$7:$A$306,Employees!$A$27,'Leave log'!$B$7:$B$306,"&lt;="&amp;DATE($B$3,10,28),'Leave log'!$C$7:$C$306,"&gt;="&amp;DATE($B$3,10,28),'Leave log'!$F$7:$F$306,"Pending")&gt;0,"P",""))))</f>
        <v/>
      </c>
      <c r="AD334" s="23" t="str">
        <f>IF(A334="","",IF(IF(OR(DATE($B$3,10,29)&gt;EOMONTH(DATE($B$3,10,1),0),NETWORKDAYS.INTL(DATE($B$3,10,29),DATE($B$3,10,29),1,'Non-working days'!$A$6:$A$45)=0),"",IF(COUNTIFS('Leave log'!$A$7:$A$306,Employees!$A$27,'Leave log'!$B$7:$B$306,"&lt;="&amp;DATE($B$3,10,29),'Leave log'!$C$7:$C$306,"&gt;="&amp;DATE($B$3,10,29),'Leave log'!$F$7:$F$306,"Approved")&gt;0,"A",""))="A","A",IF(OR(DATE($B$3,10,29)&gt;EOMONTH(DATE($B$3,10,1),0),NETWORKDAYS.INTL(DATE($B$3,10,29),DATE($B$3,10,29),1,'Non-working days'!$A$6:$A$45)=0),"",IF(COUNTIFS('Leave log'!$A$7:$A$306,Employees!$A$27,'Leave log'!$B$7:$B$306,"&lt;="&amp;DATE($B$3,10,29),'Leave log'!$C$7:$C$306,"&gt;="&amp;DATE($B$3,10,29),'Leave log'!$F$7:$F$306,"Pending")&gt;0,"P",""))))</f>
        <v/>
      </c>
      <c r="AE334" s="23" t="str">
        <f>IF(A334="","",IF(IF(OR(DATE($B$3,10,30)&gt;EOMONTH(DATE($B$3,10,1),0),NETWORKDAYS.INTL(DATE($B$3,10,30),DATE($B$3,10,30),1,'Non-working days'!$A$6:$A$45)=0),"",IF(COUNTIFS('Leave log'!$A$7:$A$306,Employees!$A$27,'Leave log'!$B$7:$B$306,"&lt;="&amp;DATE($B$3,10,30),'Leave log'!$C$7:$C$306,"&gt;="&amp;DATE($B$3,10,30),'Leave log'!$F$7:$F$306,"Approved")&gt;0,"A",""))="A","A",IF(OR(DATE($B$3,10,30)&gt;EOMONTH(DATE($B$3,10,1),0),NETWORKDAYS.INTL(DATE($B$3,10,30),DATE($B$3,10,30),1,'Non-working days'!$A$6:$A$45)=0),"",IF(COUNTIFS('Leave log'!$A$7:$A$306,Employees!$A$27,'Leave log'!$B$7:$B$306,"&lt;="&amp;DATE($B$3,10,30),'Leave log'!$C$7:$C$306,"&gt;="&amp;DATE($B$3,10,30),'Leave log'!$F$7:$F$306,"Pending")&gt;0,"P",""))))</f>
        <v/>
      </c>
      <c r="AF334" s="23" t="str">
        <f>IF(A334="","",IF(IF(OR(DATE($B$3,10,31)&gt;EOMONTH(DATE($B$3,10,1),0),NETWORKDAYS.INTL(DATE($B$3,10,31),DATE($B$3,10,31),1,'Non-working days'!$A$6:$A$45)=0),"",IF(COUNTIFS('Leave log'!$A$7:$A$306,Employees!$A$27,'Leave log'!$B$7:$B$306,"&lt;="&amp;DATE($B$3,10,31),'Leave log'!$C$7:$C$306,"&gt;="&amp;DATE($B$3,10,31),'Leave log'!$F$7:$F$306,"Approved")&gt;0,"A",""))="A","A",IF(OR(DATE($B$3,10,31)&gt;EOMONTH(DATE($B$3,10,1),0),NETWORKDAYS.INTL(DATE($B$3,10,31),DATE($B$3,10,31),1,'Non-working days'!$A$6:$A$45)=0),"",IF(COUNTIFS('Leave log'!$A$7:$A$306,Employees!$A$27,'Leave log'!$B$7:$B$306,"&lt;="&amp;DATE($B$3,10,31),'Leave log'!$C$7:$C$306,"&gt;="&amp;DATE($B$3,10,31),'Leave log'!$F$7:$F$306,"Pending")&gt;0,"P",""))))</f>
        <v/>
      </c>
    </row>
    <row r="335" spans="1:32" ht="18" customHeight="1" x14ac:dyDescent="0.3">
      <c r="A335" s="22" t="str">
        <f>IF(Employees!F28="Yes",Employees!B28,"")</f>
        <v/>
      </c>
      <c r="B335" s="23" t="str">
        <f>IF(A335="","",IF(IF(OR(DATE($B$3,10,1)&gt;EOMONTH(DATE($B$3,10,1),0),NETWORKDAYS.INTL(DATE($B$3,10,1),DATE($B$3,10,1),1,'Non-working days'!$A$6:$A$45)=0),"",IF(COUNTIFS('Leave log'!$A$7:$A$306,Employees!$A$28,'Leave log'!$B$7:$B$306,"&lt;="&amp;DATE($B$3,10,1),'Leave log'!$C$7:$C$306,"&gt;="&amp;DATE($B$3,10,1),'Leave log'!$F$7:$F$306,"Approved")&gt;0,"A",""))="A","A",IF(OR(DATE($B$3,10,1)&gt;EOMONTH(DATE($B$3,10,1),0),NETWORKDAYS.INTL(DATE($B$3,10,1),DATE($B$3,10,1),1,'Non-working days'!$A$6:$A$45)=0),"",IF(COUNTIFS('Leave log'!$A$7:$A$306,Employees!$A$28,'Leave log'!$B$7:$B$306,"&lt;="&amp;DATE($B$3,10,1),'Leave log'!$C$7:$C$306,"&gt;="&amp;DATE($B$3,10,1),'Leave log'!$F$7:$F$306,"Pending")&gt;0,"P",""))))</f>
        <v/>
      </c>
      <c r="C335" s="23" t="str">
        <f>IF(A335="","",IF(IF(OR(DATE($B$3,10,2)&gt;EOMONTH(DATE($B$3,10,1),0),NETWORKDAYS.INTL(DATE($B$3,10,2),DATE($B$3,10,2),1,'Non-working days'!$A$6:$A$45)=0),"",IF(COUNTIFS('Leave log'!$A$7:$A$306,Employees!$A$28,'Leave log'!$B$7:$B$306,"&lt;="&amp;DATE($B$3,10,2),'Leave log'!$C$7:$C$306,"&gt;="&amp;DATE($B$3,10,2),'Leave log'!$F$7:$F$306,"Approved")&gt;0,"A",""))="A","A",IF(OR(DATE($B$3,10,2)&gt;EOMONTH(DATE($B$3,10,1),0),NETWORKDAYS.INTL(DATE($B$3,10,2),DATE($B$3,10,2),1,'Non-working days'!$A$6:$A$45)=0),"",IF(COUNTIFS('Leave log'!$A$7:$A$306,Employees!$A$28,'Leave log'!$B$7:$B$306,"&lt;="&amp;DATE($B$3,10,2),'Leave log'!$C$7:$C$306,"&gt;="&amp;DATE($B$3,10,2),'Leave log'!$F$7:$F$306,"Pending")&gt;0,"P",""))))</f>
        <v/>
      </c>
      <c r="D335" s="23" t="str">
        <f>IF(A335="","",IF(IF(OR(DATE($B$3,10,3)&gt;EOMONTH(DATE($B$3,10,1),0),NETWORKDAYS.INTL(DATE($B$3,10,3),DATE($B$3,10,3),1,'Non-working days'!$A$6:$A$45)=0),"",IF(COUNTIFS('Leave log'!$A$7:$A$306,Employees!$A$28,'Leave log'!$B$7:$B$306,"&lt;="&amp;DATE($B$3,10,3),'Leave log'!$C$7:$C$306,"&gt;="&amp;DATE($B$3,10,3),'Leave log'!$F$7:$F$306,"Approved")&gt;0,"A",""))="A","A",IF(OR(DATE($B$3,10,3)&gt;EOMONTH(DATE($B$3,10,1),0),NETWORKDAYS.INTL(DATE($B$3,10,3),DATE($B$3,10,3),1,'Non-working days'!$A$6:$A$45)=0),"",IF(COUNTIFS('Leave log'!$A$7:$A$306,Employees!$A$28,'Leave log'!$B$7:$B$306,"&lt;="&amp;DATE($B$3,10,3),'Leave log'!$C$7:$C$306,"&gt;="&amp;DATE($B$3,10,3),'Leave log'!$F$7:$F$306,"Pending")&gt;0,"P",""))))</f>
        <v/>
      </c>
      <c r="E335" s="23" t="str">
        <f>IF(A335="","",IF(IF(OR(DATE($B$3,10,4)&gt;EOMONTH(DATE($B$3,10,1),0),NETWORKDAYS.INTL(DATE($B$3,10,4),DATE($B$3,10,4),1,'Non-working days'!$A$6:$A$45)=0),"",IF(COUNTIFS('Leave log'!$A$7:$A$306,Employees!$A$28,'Leave log'!$B$7:$B$306,"&lt;="&amp;DATE($B$3,10,4),'Leave log'!$C$7:$C$306,"&gt;="&amp;DATE($B$3,10,4),'Leave log'!$F$7:$F$306,"Approved")&gt;0,"A",""))="A","A",IF(OR(DATE($B$3,10,4)&gt;EOMONTH(DATE($B$3,10,1),0),NETWORKDAYS.INTL(DATE($B$3,10,4),DATE($B$3,10,4),1,'Non-working days'!$A$6:$A$45)=0),"",IF(COUNTIFS('Leave log'!$A$7:$A$306,Employees!$A$28,'Leave log'!$B$7:$B$306,"&lt;="&amp;DATE($B$3,10,4),'Leave log'!$C$7:$C$306,"&gt;="&amp;DATE($B$3,10,4),'Leave log'!$F$7:$F$306,"Pending")&gt;0,"P",""))))</f>
        <v/>
      </c>
      <c r="F335" s="23" t="str">
        <f>IF(A335="","",IF(IF(OR(DATE($B$3,10,5)&gt;EOMONTH(DATE($B$3,10,1),0),NETWORKDAYS.INTL(DATE($B$3,10,5),DATE($B$3,10,5),1,'Non-working days'!$A$6:$A$45)=0),"",IF(COUNTIFS('Leave log'!$A$7:$A$306,Employees!$A$28,'Leave log'!$B$7:$B$306,"&lt;="&amp;DATE($B$3,10,5),'Leave log'!$C$7:$C$306,"&gt;="&amp;DATE($B$3,10,5),'Leave log'!$F$7:$F$306,"Approved")&gt;0,"A",""))="A","A",IF(OR(DATE($B$3,10,5)&gt;EOMONTH(DATE($B$3,10,1),0),NETWORKDAYS.INTL(DATE($B$3,10,5),DATE($B$3,10,5),1,'Non-working days'!$A$6:$A$45)=0),"",IF(COUNTIFS('Leave log'!$A$7:$A$306,Employees!$A$28,'Leave log'!$B$7:$B$306,"&lt;="&amp;DATE($B$3,10,5),'Leave log'!$C$7:$C$306,"&gt;="&amp;DATE($B$3,10,5),'Leave log'!$F$7:$F$306,"Pending")&gt;0,"P",""))))</f>
        <v/>
      </c>
      <c r="G335" s="23" t="str">
        <f>IF(A335="","",IF(IF(OR(DATE($B$3,10,6)&gt;EOMONTH(DATE($B$3,10,1),0),NETWORKDAYS.INTL(DATE($B$3,10,6),DATE($B$3,10,6),1,'Non-working days'!$A$6:$A$45)=0),"",IF(COUNTIFS('Leave log'!$A$7:$A$306,Employees!$A$28,'Leave log'!$B$7:$B$306,"&lt;="&amp;DATE($B$3,10,6),'Leave log'!$C$7:$C$306,"&gt;="&amp;DATE($B$3,10,6),'Leave log'!$F$7:$F$306,"Approved")&gt;0,"A",""))="A","A",IF(OR(DATE($B$3,10,6)&gt;EOMONTH(DATE($B$3,10,1),0),NETWORKDAYS.INTL(DATE($B$3,10,6),DATE($B$3,10,6),1,'Non-working days'!$A$6:$A$45)=0),"",IF(COUNTIFS('Leave log'!$A$7:$A$306,Employees!$A$28,'Leave log'!$B$7:$B$306,"&lt;="&amp;DATE($B$3,10,6),'Leave log'!$C$7:$C$306,"&gt;="&amp;DATE($B$3,10,6),'Leave log'!$F$7:$F$306,"Pending")&gt;0,"P",""))))</f>
        <v/>
      </c>
      <c r="H335" s="23" t="str">
        <f>IF(A335="","",IF(IF(OR(DATE($B$3,10,7)&gt;EOMONTH(DATE($B$3,10,1),0),NETWORKDAYS.INTL(DATE($B$3,10,7),DATE($B$3,10,7),1,'Non-working days'!$A$6:$A$45)=0),"",IF(COUNTIFS('Leave log'!$A$7:$A$306,Employees!$A$28,'Leave log'!$B$7:$B$306,"&lt;="&amp;DATE($B$3,10,7),'Leave log'!$C$7:$C$306,"&gt;="&amp;DATE($B$3,10,7),'Leave log'!$F$7:$F$306,"Approved")&gt;0,"A",""))="A","A",IF(OR(DATE($B$3,10,7)&gt;EOMONTH(DATE($B$3,10,1),0),NETWORKDAYS.INTL(DATE($B$3,10,7),DATE($B$3,10,7),1,'Non-working days'!$A$6:$A$45)=0),"",IF(COUNTIFS('Leave log'!$A$7:$A$306,Employees!$A$28,'Leave log'!$B$7:$B$306,"&lt;="&amp;DATE($B$3,10,7),'Leave log'!$C$7:$C$306,"&gt;="&amp;DATE($B$3,10,7),'Leave log'!$F$7:$F$306,"Pending")&gt;0,"P",""))))</f>
        <v/>
      </c>
      <c r="I335" s="23" t="str">
        <f>IF(A335="","",IF(IF(OR(DATE($B$3,10,8)&gt;EOMONTH(DATE($B$3,10,1),0),NETWORKDAYS.INTL(DATE($B$3,10,8),DATE($B$3,10,8),1,'Non-working days'!$A$6:$A$45)=0),"",IF(COUNTIFS('Leave log'!$A$7:$A$306,Employees!$A$28,'Leave log'!$B$7:$B$306,"&lt;="&amp;DATE($B$3,10,8),'Leave log'!$C$7:$C$306,"&gt;="&amp;DATE($B$3,10,8),'Leave log'!$F$7:$F$306,"Approved")&gt;0,"A",""))="A","A",IF(OR(DATE($B$3,10,8)&gt;EOMONTH(DATE($B$3,10,1),0),NETWORKDAYS.INTL(DATE($B$3,10,8),DATE($B$3,10,8),1,'Non-working days'!$A$6:$A$45)=0),"",IF(COUNTIFS('Leave log'!$A$7:$A$306,Employees!$A$28,'Leave log'!$B$7:$B$306,"&lt;="&amp;DATE($B$3,10,8),'Leave log'!$C$7:$C$306,"&gt;="&amp;DATE($B$3,10,8),'Leave log'!$F$7:$F$306,"Pending")&gt;0,"P",""))))</f>
        <v/>
      </c>
      <c r="J335" s="23" t="str">
        <f>IF(A335="","",IF(IF(OR(DATE($B$3,10,9)&gt;EOMONTH(DATE($B$3,10,1),0),NETWORKDAYS.INTL(DATE($B$3,10,9),DATE($B$3,10,9),1,'Non-working days'!$A$6:$A$45)=0),"",IF(COUNTIFS('Leave log'!$A$7:$A$306,Employees!$A$28,'Leave log'!$B$7:$B$306,"&lt;="&amp;DATE($B$3,10,9),'Leave log'!$C$7:$C$306,"&gt;="&amp;DATE($B$3,10,9),'Leave log'!$F$7:$F$306,"Approved")&gt;0,"A",""))="A","A",IF(OR(DATE($B$3,10,9)&gt;EOMONTH(DATE($B$3,10,1),0),NETWORKDAYS.INTL(DATE($B$3,10,9),DATE($B$3,10,9),1,'Non-working days'!$A$6:$A$45)=0),"",IF(COUNTIFS('Leave log'!$A$7:$A$306,Employees!$A$28,'Leave log'!$B$7:$B$306,"&lt;="&amp;DATE($B$3,10,9),'Leave log'!$C$7:$C$306,"&gt;="&amp;DATE($B$3,10,9),'Leave log'!$F$7:$F$306,"Pending")&gt;0,"P",""))))</f>
        <v/>
      </c>
      <c r="K335" s="23" t="str">
        <f>IF(A335="","",IF(IF(OR(DATE($B$3,10,10)&gt;EOMONTH(DATE($B$3,10,1),0),NETWORKDAYS.INTL(DATE($B$3,10,10),DATE($B$3,10,10),1,'Non-working days'!$A$6:$A$45)=0),"",IF(COUNTIFS('Leave log'!$A$7:$A$306,Employees!$A$28,'Leave log'!$B$7:$B$306,"&lt;="&amp;DATE($B$3,10,10),'Leave log'!$C$7:$C$306,"&gt;="&amp;DATE($B$3,10,10),'Leave log'!$F$7:$F$306,"Approved")&gt;0,"A",""))="A","A",IF(OR(DATE($B$3,10,10)&gt;EOMONTH(DATE($B$3,10,1),0),NETWORKDAYS.INTL(DATE($B$3,10,10),DATE($B$3,10,10),1,'Non-working days'!$A$6:$A$45)=0),"",IF(COUNTIFS('Leave log'!$A$7:$A$306,Employees!$A$28,'Leave log'!$B$7:$B$306,"&lt;="&amp;DATE($B$3,10,10),'Leave log'!$C$7:$C$306,"&gt;="&amp;DATE($B$3,10,10),'Leave log'!$F$7:$F$306,"Pending")&gt;0,"P",""))))</f>
        <v/>
      </c>
      <c r="L335" s="23" t="str">
        <f>IF(A335="","",IF(IF(OR(DATE($B$3,10,11)&gt;EOMONTH(DATE($B$3,10,1),0),NETWORKDAYS.INTL(DATE($B$3,10,11),DATE($B$3,10,11),1,'Non-working days'!$A$6:$A$45)=0),"",IF(COUNTIFS('Leave log'!$A$7:$A$306,Employees!$A$28,'Leave log'!$B$7:$B$306,"&lt;="&amp;DATE($B$3,10,11),'Leave log'!$C$7:$C$306,"&gt;="&amp;DATE($B$3,10,11),'Leave log'!$F$7:$F$306,"Approved")&gt;0,"A",""))="A","A",IF(OR(DATE($B$3,10,11)&gt;EOMONTH(DATE($B$3,10,1),0),NETWORKDAYS.INTL(DATE($B$3,10,11),DATE($B$3,10,11),1,'Non-working days'!$A$6:$A$45)=0),"",IF(COUNTIFS('Leave log'!$A$7:$A$306,Employees!$A$28,'Leave log'!$B$7:$B$306,"&lt;="&amp;DATE($B$3,10,11),'Leave log'!$C$7:$C$306,"&gt;="&amp;DATE($B$3,10,11),'Leave log'!$F$7:$F$306,"Pending")&gt;0,"P",""))))</f>
        <v/>
      </c>
      <c r="M335" s="23" t="str">
        <f>IF(A335="","",IF(IF(OR(DATE($B$3,10,12)&gt;EOMONTH(DATE($B$3,10,1),0),NETWORKDAYS.INTL(DATE($B$3,10,12),DATE($B$3,10,12),1,'Non-working days'!$A$6:$A$45)=0),"",IF(COUNTIFS('Leave log'!$A$7:$A$306,Employees!$A$28,'Leave log'!$B$7:$B$306,"&lt;="&amp;DATE($B$3,10,12),'Leave log'!$C$7:$C$306,"&gt;="&amp;DATE($B$3,10,12),'Leave log'!$F$7:$F$306,"Approved")&gt;0,"A",""))="A","A",IF(OR(DATE($B$3,10,12)&gt;EOMONTH(DATE($B$3,10,1),0),NETWORKDAYS.INTL(DATE($B$3,10,12),DATE($B$3,10,12),1,'Non-working days'!$A$6:$A$45)=0),"",IF(COUNTIFS('Leave log'!$A$7:$A$306,Employees!$A$28,'Leave log'!$B$7:$B$306,"&lt;="&amp;DATE($B$3,10,12),'Leave log'!$C$7:$C$306,"&gt;="&amp;DATE($B$3,10,12),'Leave log'!$F$7:$F$306,"Pending")&gt;0,"P",""))))</f>
        <v/>
      </c>
      <c r="N335" s="23" t="str">
        <f>IF(A335="","",IF(IF(OR(DATE($B$3,10,13)&gt;EOMONTH(DATE($B$3,10,1),0),NETWORKDAYS.INTL(DATE($B$3,10,13),DATE($B$3,10,13),1,'Non-working days'!$A$6:$A$45)=0),"",IF(COUNTIFS('Leave log'!$A$7:$A$306,Employees!$A$28,'Leave log'!$B$7:$B$306,"&lt;="&amp;DATE($B$3,10,13),'Leave log'!$C$7:$C$306,"&gt;="&amp;DATE($B$3,10,13),'Leave log'!$F$7:$F$306,"Approved")&gt;0,"A",""))="A","A",IF(OR(DATE($B$3,10,13)&gt;EOMONTH(DATE($B$3,10,1),0),NETWORKDAYS.INTL(DATE($B$3,10,13),DATE($B$3,10,13),1,'Non-working days'!$A$6:$A$45)=0),"",IF(COUNTIFS('Leave log'!$A$7:$A$306,Employees!$A$28,'Leave log'!$B$7:$B$306,"&lt;="&amp;DATE($B$3,10,13),'Leave log'!$C$7:$C$306,"&gt;="&amp;DATE($B$3,10,13),'Leave log'!$F$7:$F$306,"Pending")&gt;0,"P",""))))</f>
        <v/>
      </c>
      <c r="O335" s="23" t="str">
        <f>IF(A335="","",IF(IF(OR(DATE($B$3,10,14)&gt;EOMONTH(DATE($B$3,10,1),0),NETWORKDAYS.INTL(DATE($B$3,10,14),DATE($B$3,10,14),1,'Non-working days'!$A$6:$A$45)=0),"",IF(COUNTIFS('Leave log'!$A$7:$A$306,Employees!$A$28,'Leave log'!$B$7:$B$306,"&lt;="&amp;DATE($B$3,10,14),'Leave log'!$C$7:$C$306,"&gt;="&amp;DATE($B$3,10,14),'Leave log'!$F$7:$F$306,"Approved")&gt;0,"A",""))="A","A",IF(OR(DATE($B$3,10,14)&gt;EOMONTH(DATE($B$3,10,1),0),NETWORKDAYS.INTL(DATE($B$3,10,14),DATE($B$3,10,14),1,'Non-working days'!$A$6:$A$45)=0),"",IF(COUNTIFS('Leave log'!$A$7:$A$306,Employees!$A$28,'Leave log'!$B$7:$B$306,"&lt;="&amp;DATE($B$3,10,14),'Leave log'!$C$7:$C$306,"&gt;="&amp;DATE($B$3,10,14),'Leave log'!$F$7:$F$306,"Pending")&gt;0,"P",""))))</f>
        <v/>
      </c>
      <c r="P335" s="23" t="str">
        <f>IF(A335="","",IF(IF(OR(DATE($B$3,10,15)&gt;EOMONTH(DATE($B$3,10,1),0),NETWORKDAYS.INTL(DATE($B$3,10,15),DATE($B$3,10,15),1,'Non-working days'!$A$6:$A$45)=0),"",IF(COUNTIFS('Leave log'!$A$7:$A$306,Employees!$A$28,'Leave log'!$B$7:$B$306,"&lt;="&amp;DATE($B$3,10,15),'Leave log'!$C$7:$C$306,"&gt;="&amp;DATE($B$3,10,15),'Leave log'!$F$7:$F$306,"Approved")&gt;0,"A",""))="A","A",IF(OR(DATE($B$3,10,15)&gt;EOMONTH(DATE($B$3,10,1),0),NETWORKDAYS.INTL(DATE($B$3,10,15),DATE($B$3,10,15),1,'Non-working days'!$A$6:$A$45)=0),"",IF(COUNTIFS('Leave log'!$A$7:$A$306,Employees!$A$28,'Leave log'!$B$7:$B$306,"&lt;="&amp;DATE($B$3,10,15),'Leave log'!$C$7:$C$306,"&gt;="&amp;DATE($B$3,10,15),'Leave log'!$F$7:$F$306,"Pending")&gt;0,"P",""))))</f>
        <v/>
      </c>
      <c r="Q335" s="23" t="str">
        <f>IF(A335="","",IF(IF(OR(DATE($B$3,10,16)&gt;EOMONTH(DATE($B$3,10,1),0),NETWORKDAYS.INTL(DATE($B$3,10,16),DATE($B$3,10,16),1,'Non-working days'!$A$6:$A$45)=0),"",IF(COUNTIFS('Leave log'!$A$7:$A$306,Employees!$A$28,'Leave log'!$B$7:$B$306,"&lt;="&amp;DATE($B$3,10,16),'Leave log'!$C$7:$C$306,"&gt;="&amp;DATE($B$3,10,16),'Leave log'!$F$7:$F$306,"Approved")&gt;0,"A",""))="A","A",IF(OR(DATE($B$3,10,16)&gt;EOMONTH(DATE($B$3,10,1),0),NETWORKDAYS.INTL(DATE($B$3,10,16),DATE($B$3,10,16),1,'Non-working days'!$A$6:$A$45)=0),"",IF(COUNTIFS('Leave log'!$A$7:$A$306,Employees!$A$28,'Leave log'!$B$7:$B$306,"&lt;="&amp;DATE($B$3,10,16),'Leave log'!$C$7:$C$306,"&gt;="&amp;DATE($B$3,10,16),'Leave log'!$F$7:$F$306,"Pending")&gt;0,"P",""))))</f>
        <v/>
      </c>
      <c r="R335" s="23" t="str">
        <f>IF(A335="","",IF(IF(OR(DATE($B$3,10,17)&gt;EOMONTH(DATE($B$3,10,1),0),NETWORKDAYS.INTL(DATE($B$3,10,17),DATE($B$3,10,17),1,'Non-working days'!$A$6:$A$45)=0),"",IF(COUNTIFS('Leave log'!$A$7:$A$306,Employees!$A$28,'Leave log'!$B$7:$B$306,"&lt;="&amp;DATE($B$3,10,17),'Leave log'!$C$7:$C$306,"&gt;="&amp;DATE($B$3,10,17),'Leave log'!$F$7:$F$306,"Approved")&gt;0,"A",""))="A","A",IF(OR(DATE($B$3,10,17)&gt;EOMONTH(DATE($B$3,10,1),0),NETWORKDAYS.INTL(DATE($B$3,10,17),DATE($B$3,10,17),1,'Non-working days'!$A$6:$A$45)=0),"",IF(COUNTIFS('Leave log'!$A$7:$A$306,Employees!$A$28,'Leave log'!$B$7:$B$306,"&lt;="&amp;DATE($B$3,10,17),'Leave log'!$C$7:$C$306,"&gt;="&amp;DATE($B$3,10,17),'Leave log'!$F$7:$F$306,"Pending")&gt;0,"P",""))))</f>
        <v/>
      </c>
      <c r="S335" s="23" t="str">
        <f>IF(A335="","",IF(IF(OR(DATE($B$3,10,18)&gt;EOMONTH(DATE($B$3,10,1),0),NETWORKDAYS.INTL(DATE($B$3,10,18),DATE($B$3,10,18),1,'Non-working days'!$A$6:$A$45)=0),"",IF(COUNTIFS('Leave log'!$A$7:$A$306,Employees!$A$28,'Leave log'!$B$7:$B$306,"&lt;="&amp;DATE($B$3,10,18),'Leave log'!$C$7:$C$306,"&gt;="&amp;DATE($B$3,10,18),'Leave log'!$F$7:$F$306,"Approved")&gt;0,"A",""))="A","A",IF(OR(DATE($B$3,10,18)&gt;EOMONTH(DATE($B$3,10,1),0),NETWORKDAYS.INTL(DATE($B$3,10,18),DATE($B$3,10,18),1,'Non-working days'!$A$6:$A$45)=0),"",IF(COUNTIFS('Leave log'!$A$7:$A$306,Employees!$A$28,'Leave log'!$B$7:$B$306,"&lt;="&amp;DATE($B$3,10,18),'Leave log'!$C$7:$C$306,"&gt;="&amp;DATE($B$3,10,18),'Leave log'!$F$7:$F$306,"Pending")&gt;0,"P",""))))</f>
        <v/>
      </c>
      <c r="T335" s="23" t="str">
        <f>IF(A335="","",IF(IF(OR(DATE($B$3,10,19)&gt;EOMONTH(DATE($B$3,10,1),0),NETWORKDAYS.INTL(DATE($B$3,10,19),DATE($B$3,10,19),1,'Non-working days'!$A$6:$A$45)=0),"",IF(COUNTIFS('Leave log'!$A$7:$A$306,Employees!$A$28,'Leave log'!$B$7:$B$306,"&lt;="&amp;DATE($B$3,10,19),'Leave log'!$C$7:$C$306,"&gt;="&amp;DATE($B$3,10,19),'Leave log'!$F$7:$F$306,"Approved")&gt;0,"A",""))="A","A",IF(OR(DATE($B$3,10,19)&gt;EOMONTH(DATE($B$3,10,1),0),NETWORKDAYS.INTL(DATE($B$3,10,19),DATE($B$3,10,19),1,'Non-working days'!$A$6:$A$45)=0),"",IF(COUNTIFS('Leave log'!$A$7:$A$306,Employees!$A$28,'Leave log'!$B$7:$B$306,"&lt;="&amp;DATE($B$3,10,19),'Leave log'!$C$7:$C$306,"&gt;="&amp;DATE($B$3,10,19),'Leave log'!$F$7:$F$306,"Pending")&gt;0,"P",""))))</f>
        <v/>
      </c>
      <c r="U335" s="23" t="str">
        <f>IF(A335="","",IF(IF(OR(DATE($B$3,10,20)&gt;EOMONTH(DATE($B$3,10,1),0),NETWORKDAYS.INTL(DATE($B$3,10,20),DATE($B$3,10,20),1,'Non-working days'!$A$6:$A$45)=0),"",IF(COUNTIFS('Leave log'!$A$7:$A$306,Employees!$A$28,'Leave log'!$B$7:$B$306,"&lt;="&amp;DATE($B$3,10,20),'Leave log'!$C$7:$C$306,"&gt;="&amp;DATE($B$3,10,20),'Leave log'!$F$7:$F$306,"Approved")&gt;0,"A",""))="A","A",IF(OR(DATE($B$3,10,20)&gt;EOMONTH(DATE($B$3,10,1),0),NETWORKDAYS.INTL(DATE($B$3,10,20),DATE($B$3,10,20),1,'Non-working days'!$A$6:$A$45)=0),"",IF(COUNTIFS('Leave log'!$A$7:$A$306,Employees!$A$28,'Leave log'!$B$7:$B$306,"&lt;="&amp;DATE($B$3,10,20),'Leave log'!$C$7:$C$306,"&gt;="&amp;DATE($B$3,10,20),'Leave log'!$F$7:$F$306,"Pending")&gt;0,"P",""))))</f>
        <v/>
      </c>
      <c r="V335" s="23" t="str">
        <f>IF(A335="","",IF(IF(OR(DATE($B$3,10,21)&gt;EOMONTH(DATE($B$3,10,1),0),NETWORKDAYS.INTL(DATE($B$3,10,21),DATE($B$3,10,21),1,'Non-working days'!$A$6:$A$45)=0),"",IF(COUNTIFS('Leave log'!$A$7:$A$306,Employees!$A$28,'Leave log'!$B$7:$B$306,"&lt;="&amp;DATE($B$3,10,21),'Leave log'!$C$7:$C$306,"&gt;="&amp;DATE($B$3,10,21),'Leave log'!$F$7:$F$306,"Approved")&gt;0,"A",""))="A","A",IF(OR(DATE($B$3,10,21)&gt;EOMONTH(DATE($B$3,10,1),0),NETWORKDAYS.INTL(DATE($B$3,10,21),DATE($B$3,10,21),1,'Non-working days'!$A$6:$A$45)=0),"",IF(COUNTIFS('Leave log'!$A$7:$A$306,Employees!$A$28,'Leave log'!$B$7:$B$306,"&lt;="&amp;DATE($B$3,10,21),'Leave log'!$C$7:$C$306,"&gt;="&amp;DATE($B$3,10,21),'Leave log'!$F$7:$F$306,"Pending")&gt;0,"P",""))))</f>
        <v/>
      </c>
      <c r="W335" s="23" t="str">
        <f>IF(A335="","",IF(IF(OR(DATE($B$3,10,22)&gt;EOMONTH(DATE($B$3,10,1),0),NETWORKDAYS.INTL(DATE($B$3,10,22),DATE($B$3,10,22),1,'Non-working days'!$A$6:$A$45)=0),"",IF(COUNTIFS('Leave log'!$A$7:$A$306,Employees!$A$28,'Leave log'!$B$7:$B$306,"&lt;="&amp;DATE($B$3,10,22),'Leave log'!$C$7:$C$306,"&gt;="&amp;DATE($B$3,10,22),'Leave log'!$F$7:$F$306,"Approved")&gt;0,"A",""))="A","A",IF(OR(DATE($B$3,10,22)&gt;EOMONTH(DATE($B$3,10,1),0),NETWORKDAYS.INTL(DATE($B$3,10,22),DATE($B$3,10,22),1,'Non-working days'!$A$6:$A$45)=0),"",IF(COUNTIFS('Leave log'!$A$7:$A$306,Employees!$A$28,'Leave log'!$B$7:$B$306,"&lt;="&amp;DATE($B$3,10,22),'Leave log'!$C$7:$C$306,"&gt;="&amp;DATE($B$3,10,22),'Leave log'!$F$7:$F$306,"Pending")&gt;0,"P",""))))</f>
        <v/>
      </c>
      <c r="X335" s="23" t="str">
        <f>IF(A335="","",IF(IF(OR(DATE($B$3,10,23)&gt;EOMONTH(DATE($B$3,10,1),0),NETWORKDAYS.INTL(DATE($B$3,10,23),DATE($B$3,10,23),1,'Non-working days'!$A$6:$A$45)=0),"",IF(COUNTIFS('Leave log'!$A$7:$A$306,Employees!$A$28,'Leave log'!$B$7:$B$306,"&lt;="&amp;DATE($B$3,10,23),'Leave log'!$C$7:$C$306,"&gt;="&amp;DATE($B$3,10,23),'Leave log'!$F$7:$F$306,"Approved")&gt;0,"A",""))="A","A",IF(OR(DATE($B$3,10,23)&gt;EOMONTH(DATE($B$3,10,1),0),NETWORKDAYS.INTL(DATE($B$3,10,23),DATE($B$3,10,23),1,'Non-working days'!$A$6:$A$45)=0),"",IF(COUNTIFS('Leave log'!$A$7:$A$306,Employees!$A$28,'Leave log'!$B$7:$B$306,"&lt;="&amp;DATE($B$3,10,23),'Leave log'!$C$7:$C$306,"&gt;="&amp;DATE($B$3,10,23),'Leave log'!$F$7:$F$306,"Pending")&gt;0,"P",""))))</f>
        <v/>
      </c>
      <c r="Y335" s="23" t="str">
        <f>IF(A335="","",IF(IF(OR(DATE($B$3,10,24)&gt;EOMONTH(DATE($B$3,10,1),0),NETWORKDAYS.INTL(DATE($B$3,10,24),DATE($B$3,10,24),1,'Non-working days'!$A$6:$A$45)=0),"",IF(COUNTIFS('Leave log'!$A$7:$A$306,Employees!$A$28,'Leave log'!$B$7:$B$306,"&lt;="&amp;DATE($B$3,10,24),'Leave log'!$C$7:$C$306,"&gt;="&amp;DATE($B$3,10,24),'Leave log'!$F$7:$F$306,"Approved")&gt;0,"A",""))="A","A",IF(OR(DATE($B$3,10,24)&gt;EOMONTH(DATE($B$3,10,1),0),NETWORKDAYS.INTL(DATE($B$3,10,24),DATE($B$3,10,24),1,'Non-working days'!$A$6:$A$45)=0),"",IF(COUNTIFS('Leave log'!$A$7:$A$306,Employees!$A$28,'Leave log'!$B$7:$B$306,"&lt;="&amp;DATE($B$3,10,24),'Leave log'!$C$7:$C$306,"&gt;="&amp;DATE($B$3,10,24),'Leave log'!$F$7:$F$306,"Pending")&gt;0,"P",""))))</f>
        <v/>
      </c>
      <c r="Z335" s="23" t="str">
        <f>IF(A335="","",IF(IF(OR(DATE($B$3,10,25)&gt;EOMONTH(DATE($B$3,10,1),0),NETWORKDAYS.INTL(DATE($B$3,10,25),DATE($B$3,10,25),1,'Non-working days'!$A$6:$A$45)=0),"",IF(COUNTIFS('Leave log'!$A$7:$A$306,Employees!$A$28,'Leave log'!$B$7:$B$306,"&lt;="&amp;DATE($B$3,10,25),'Leave log'!$C$7:$C$306,"&gt;="&amp;DATE($B$3,10,25),'Leave log'!$F$7:$F$306,"Approved")&gt;0,"A",""))="A","A",IF(OR(DATE($B$3,10,25)&gt;EOMONTH(DATE($B$3,10,1),0),NETWORKDAYS.INTL(DATE($B$3,10,25),DATE($B$3,10,25),1,'Non-working days'!$A$6:$A$45)=0),"",IF(COUNTIFS('Leave log'!$A$7:$A$306,Employees!$A$28,'Leave log'!$B$7:$B$306,"&lt;="&amp;DATE($B$3,10,25),'Leave log'!$C$7:$C$306,"&gt;="&amp;DATE($B$3,10,25),'Leave log'!$F$7:$F$306,"Pending")&gt;0,"P",""))))</f>
        <v/>
      </c>
      <c r="AA335" s="23" t="str">
        <f>IF(A335="","",IF(IF(OR(DATE($B$3,10,26)&gt;EOMONTH(DATE($B$3,10,1),0),NETWORKDAYS.INTL(DATE($B$3,10,26),DATE($B$3,10,26),1,'Non-working days'!$A$6:$A$45)=0),"",IF(COUNTIFS('Leave log'!$A$7:$A$306,Employees!$A$28,'Leave log'!$B$7:$B$306,"&lt;="&amp;DATE($B$3,10,26),'Leave log'!$C$7:$C$306,"&gt;="&amp;DATE($B$3,10,26),'Leave log'!$F$7:$F$306,"Approved")&gt;0,"A",""))="A","A",IF(OR(DATE($B$3,10,26)&gt;EOMONTH(DATE($B$3,10,1),0),NETWORKDAYS.INTL(DATE($B$3,10,26),DATE($B$3,10,26),1,'Non-working days'!$A$6:$A$45)=0),"",IF(COUNTIFS('Leave log'!$A$7:$A$306,Employees!$A$28,'Leave log'!$B$7:$B$306,"&lt;="&amp;DATE($B$3,10,26),'Leave log'!$C$7:$C$306,"&gt;="&amp;DATE($B$3,10,26),'Leave log'!$F$7:$F$306,"Pending")&gt;0,"P",""))))</f>
        <v/>
      </c>
      <c r="AB335" s="23" t="str">
        <f>IF(A335="","",IF(IF(OR(DATE($B$3,10,27)&gt;EOMONTH(DATE($B$3,10,1),0),NETWORKDAYS.INTL(DATE($B$3,10,27),DATE($B$3,10,27),1,'Non-working days'!$A$6:$A$45)=0),"",IF(COUNTIFS('Leave log'!$A$7:$A$306,Employees!$A$28,'Leave log'!$B$7:$B$306,"&lt;="&amp;DATE($B$3,10,27),'Leave log'!$C$7:$C$306,"&gt;="&amp;DATE($B$3,10,27),'Leave log'!$F$7:$F$306,"Approved")&gt;0,"A",""))="A","A",IF(OR(DATE($B$3,10,27)&gt;EOMONTH(DATE($B$3,10,1),0),NETWORKDAYS.INTL(DATE($B$3,10,27),DATE($B$3,10,27),1,'Non-working days'!$A$6:$A$45)=0),"",IF(COUNTIFS('Leave log'!$A$7:$A$306,Employees!$A$28,'Leave log'!$B$7:$B$306,"&lt;="&amp;DATE($B$3,10,27),'Leave log'!$C$7:$C$306,"&gt;="&amp;DATE($B$3,10,27),'Leave log'!$F$7:$F$306,"Pending")&gt;0,"P",""))))</f>
        <v/>
      </c>
      <c r="AC335" s="23" t="str">
        <f>IF(A335="","",IF(IF(OR(DATE($B$3,10,28)&gt;EOMONTH(DATE($B$3,10,1),0),NETWORKDAYS.INTL(DATE($B$3,10,28),DATE($B$3,10,28),1,'Non-working days'!$A$6:$A$45)=0),"",IF(COUNTIFS('Leave log'!$A$7:$A$306,Employees!$A$28,'Leave log'!$B$7:$B$306,"&lt;="&amp;DATE($B$3,10,28),'Leave log'!$C$7:$C$306,"&gt;="&amp;DATE($B$3,10,28),'Leave log'!$F$7:$F$306,"Approved")&gt;0,"A",""))="A","A",IF(OR(DATE($B$3,10,28)&gt;EOMONTH(DATE($B$3,10,1),0),NETWORKDAYS.INTL(DATE($B$3,10,28),DATE($B$3,10,28),1,'Non-working days'!$A$6:$A$45)=0),"",IF(COUNTIFS('Leave log'!$A$7:$A$306,Employees!$A$28,'Leave log'!$B$7:$B$306,"&lt;="&amp;DATE($B$3,10,28),'Leave log'!$C$7:$C$306,"&gt;="&amp;DATE($B$3,10,28),'Leave log'!$F$7:$F$306,"Pending")&gt;0,"P",""))))</f>
        <v/>
      </c>
      <c r="AD335" s="23" t="str">
        <f>IF(A335="","",IF(IF(OR(DATE($B$3,10,29)&gt;EOMONTH(DATE($B$3,10,1),0),NETWORKDAYS.INTL(DATE($B$3,10,29),DATE($B$3,10,29),1,'Non-working days'!$A$6:$A$45)=0),"",IF(COUNTIFS('Leave log'!$A$7:$A$306,Employees!$A$28,'Leave log'!$B$7:$B$306,"&lt;="&amp;DATE($B$3,10,29),'Leave log'!$C$7:$C$306,"&gt;="&amp;DATE($B$3,10,29),'Leave log'!$F$7:$F$306,"Approved")&gt;0,"A",""))="A","A",IF(OR(DATE($B$3,10,29)&gt;EOMONTH(DATE($B$3,10,1),0),NETWORKDAYS.INTL(DATE($B$3,10,29),DATE($B$3,10,29),1,'Non-working days'!$A$6:$A$45)=0),"",IF(COUNTIFS('Leave log'!$A$7:$A$306,Employees!$A$28,'Leave log'!$B$7:$B$306,"&lt;="&amp;DATE($B$3,10,29),'Leave log'!$C$7:$C$306,"&gt;="&amp;DATE($B$3,10,29),'Leave log'!$F$7:$F$306,"Pending")&gt;0,"P",""))))</f>
        <v/>
      </c>
      <c r="AE335" s="23" t="str">
        <f>IF(A335="","",IF(IF(OR(DATE($B$3,10,30)&gt;EOMONTH(DATE($B$3,10,1),0),NETWORKDAYS.INTL(DATE($B$3,10,30),DATE($B$3,10,30),1,'Non-working days'!$A$6:$A$45)=0),"",IF(COUNTIFS('Leave log'!$A$7:$A$306,Employees!$A$28,'Leave log'!$B$7:$B$306,"&lt;="&amp;DATE($B$3,10,30),'Leave log'!$C$7:$C$306,"&gt;="&amp;DATE($B$3,10,30),'Leave log'!$F$7:$F$306,"Approved")&gt;0,"A",""))="A","A",IF(OR(DATE($B$3,10,30)&gt;EOMONTH(DATE($B$3,10,1),0),NETWORKDAYS.INTL(DATE($B$3,10,30),DATE($B$3,10,30),1,'Non-working days'!$A$6:$A$45)=0),"",IF(COUNTIFS('Leave log'!$A$7:$A$306,Employees!$A$28,'Leave log'!$B$7:$B$306,"&lt;="&amp;DATE($B$3,10,30),'Leave log'!$C$7:$C$306,"&gt;="&amp;DATE($B$3,10,30),'Leave log'!$F$7:$F$306,"Pending")&gt;0,"P",""))))</f>
        <v/>
      </c>
      <c r="AF335" s="23" t="str">
        <f>IF(A335="","",IF(IF(OR(DATE($B$3,10,31)&gt;EOMONTH(DATE($B$3,10,1),0),NETWORKDAYS.INTL(DATE($B$3,10,31),DATE($B$3,10,31),1,'Non-working days'!$A$6:$A$45)=0),"",IF(COUNTIFS('Leave log'!$A$7:$A$306,Employees!$A$28,'Leave log'!$B$7:$B$306,"&lt;="&amp;DATE($B$3,10,31),'Leave log'!$C$7:$C$306,"&gt;="&amp;DATE($B$3,10,31),'Leave log'!$F$7:$F$306,"Approved")&gt;0,"A",""))="A","A",IF(OR(DATE($B$3,10,31)&gt;EOMONTH(DATE($B$3,10,1),0),NETWORKDAYS.INTL(DATE($B$3,10,31),DATE($B$3,10,31),1,'Non-working days'!$A$6:$A$45)=0),"",IF(COUNTIFS('Leave log'!$A$7:$A$306,Employees!$A$28,'Leave log'!$B$7:$B$306,"&lt;="&amp;DATE($B$3,10,31),'Leave log'!$C$7:$C$306,"&gt;="&amp;DATE($B$3,10,31),'Leave log'!$F$7:$F$306,"Pending")&gt;0,"P",""))))</f>
        <v/>
      </c>
    </row>
    <row r="336" spans="1:32" ht="18" customHeight="1" x14ac:dyDescent="0.3">
      <c r="A336" s="22" t="str">
        <f>IF(Employees!F29="Yes",Employees!B29,"")</f>
        <v/>
      </c>
      <c r="B336" s="23" t="str">
        <f>IF(A336="","",IF(IF(OR(DATE($B$3,10,1)&gt;EOMONTH(DATE($B$3,10,1),0),NETWORKDAYS.INTL(DATE($B$3,10,1),DATE($B$3,10,1),1,'Non-working days'!$A$6:$A$45)=0),"",IF(COUNTIFS('Leave log'!$A$7:$A$306,Employees!$A$29,'Leave log'!$B$7:$B$306,"&lt;="&amp;DATE($B$3,10,1),'Leave log'!$C$7:$C$306,"&gt;="&amp;DATE($B$3,10,1),'Leave log'!$F$7:$F$306,"Approved")&gt;0,"A",""))="A","A",IF(OR(DATE($B$3,10,1)&gt;EOMONTH(DATE($B$3,10,1),0),NETWORKDAYS.INTL(DATE($B$3,10,1),DATE($B$3,10,1),1,'Non-working days'!$A$6:$A$45)=0),"",IF(COUNTIFS('Leave log'!$A$7:$A$306,Employees!$A$29,'Leave log'!$B$7:$B$306,"&lt;="&amp;DATE($B$3,10,1),'Leave log'!$C$7:$C$306,"&gt;="&amp;DATE($B$3,10,1),'Leave log'!$F$7:$F$306,"Pending")&gt;0,"P",""))))</f>
        <v/>
      </c>
      <c r="C336" s="23" t="str">
        <f>IF(A336="","",IF(IF(OR(DATE($B$3,10,2)&gt;EOMONTH(DATE($B$3,10,1),0),NETWORKDAYS.INTL(DATE($B$3,10,2),DATE($B$3,10,2),1,'Non-working days'!$A$6:$A$45)=0),"",IF(COUNTIFS('Leave log'!$A$7:$A$306,Employees!$A$29,'Leave log'!$B$7:$B$306,"&lt;="&amp;DATE($B$3,10,2),'Leave log'!$C$7:$C$306,"&gt;="&amp;DATE($B$3,10,2),'Leave log'!$F$7:$F$306,"Approved")&gt;0,"A",""))="A","A",IF(OR(DATE($B$3,10,2)&gt;EOMONTH(DATE($B$3,10,1),0),NETWORKDAYS.INTL(DATE($B$3,10,2),DATE($B$3,10,2),1,'Non-working days'!$A$6:$A$45)=0),"",IF(COUNTIFS('Leave log'!$A$7:$A$306,Employees!$A$29,'Leave log'!$B$7:$B$306,"&lt;="&amp;DATE($B$3,10,2),'Leave log'!$C$7:$C$306,"&gt;="&amp;DATE($B$3,10,2),'Leave log'!$F$7:$F$306,"Pending")&gt;0,"P",""))))</f>
        <v/>
      </c>
      <c r="D336" s="23" t="str">
        <f>IF(A336="","",IF(IF(OR(DATE($B$3,10,3)&gt;EOMONTH(DATE($B$3,10,1),0),NETWORKDAYS.INTL(DATE($B$3,10,3),DATE($B$3,10,3),1,'Non-working days'!$A$6:$A$45)=0),"",IF(COUNTIFS('Leave log'!$A$7:$A$306,Employees!$A$29,'Leave log'!$B$7:$B$306,"&lt;="&amp;DATE($B$3,10,3),'Leave log'!$C$7:$C$306,"&gt;="&amp;DATE($B$3,10,3),'Leave log'!$F$7:$F$306,"Approved")&gt;0,"A",""))="A","A",IF(OR(DATE($B$3,10,3)&gt;EOMONTH(DATE($B$3,10,1),0),NETWORKDAYS.INTL(DATE($B$3,10,3),DATE($B$3,10,3),1,'Non-working days'!$A$6:$A$45)=0),"",IF(COUNTIFS('Leave log'!$A$7:$A$306,Employees!$A$29,'Leave log'!$B$7:$B$306,"&lt;="&amp;DATE($B$3,10,3),'Leave log'!$C$7:$C$306,"&gt;="&amp;DATE($B$3,10,3),'Leave log'!$F$7:$F$306,"Pending")&gt;0,"P",""))))</f>
        <v/>
      </c>
      <c r="E336" s="23" t="str">
        <f>IF(A336="","",IF(IF(OR(DATE($B$3,10,4)&gt;EOMONTH(DATE($B$3,10,1),0),NETWORKDAYS.INTL(DATE($B$3,10,4),DATE($B$3,10,4),1,'Non-working days'!$A$6:$A$45)=0),"",IF(COUNTIFS('Leave log'!$A$7:$A$306,Employees!$A$29,'Leave log'!$B$7:$B$306,"&lt;="&amp;DATE($B$3,10,4),'Leave log'!$C$7:$C$306,"&gt;="&amp;DATE($B$3,10,4),'Leave log'!$F$7:$F$306,"Approved")&gt;0,"A",""))="A","A",IF(OR(DATE($B$3,10,4)&gt;EOMONTH(DATE($B$3,10,1),0),NETWORKDAYS.INTL(DATE($B$3,10,4),DATE($B$3,10,4),1,'Non-working days'!$A$6:$A$45)=0),"",IF(COUNTIFS('Leave log'!$A$7:$A$306,Employees!$A$29,'Leave log'!$B$7:$B$306,"&lt;="&amp;DATE($B$3,10,4),'Leave log'!$C$7:$C$306,"&gt;="&amp;DATE($B$3,10,4),'Leave log'!$F$7:$F$306,"Pending")&gt;0,"P",""))))</f>
        <v/>
      </c>
      <c r="F336" s="23" t="str">
        <f>IF(A336="","",IF(IF(OR(DATE($B$3,10,5)&gt;EOMONTH(DATE($B$3,10,1),0),NETWORKDAYS.INTL(DATE($B$3,10,5),DATE($B$3,10,5),1,'Non-working days'!$A$6:$A$45)=0),"",IF(COUNTIFS('Leave log'!$A$7:$A$306,Employees!$A$29,'Leave log'!$B$7:$B$306,"&lt;="&amp;DATE($B$3,10,5),'Leave log'!$C$7:$C$306,"&gt;="&amp;DATE($B$3,10,5),'Leave log'!$F$7:$F$306,"Approved")&gt;0,"A",""))="A","A",IF(OR(DATE($B$3,10,5)&gt;EOMONTH(DATE($B$3,10,1),0),NETWORKDAYS.INTL(DATE($B$3,10,5),DATE($B$3,10,5),1,'Non-working days'!$A$6:$A$45)=0),"",IF(COUNTIFS('Leave log'!$A$7:$A$306,Employees!$A$29,'Leave log'!$B$7:$B$306,"&lt;="&amp;DATE($B$3,10,5),'Leave log'!$C$7:$C$306,"&gt;="&amp;DATE($B$3,10,5),'Leave log'!$F$7:$F$306,"Pending")&gt;0,"P",""))))</f>
        <v/>
      </c>
      <c r="G336" s="23" t="str">
        <f>IF(A336="","",IF(IF(OR(DATE($B$3,10,6)&gt;EOMONTH(DATE($B$3,10,1),0),NETWORKDAYS.INTL(DATE($B$3,10,6),DATE($B$3,10,6),1,'Non-working days'!$A$6:$A$45)=0),"",IF(COUNTIFS('Leave log'!$A$7:$A$306,Employees!$A$29,'Leave log'!$B$7:$B$306,"&lt;="&amp;DATE($B$3,10,6),'Leave log'!$C$7:$C$306,"&gt;="&amp;DATE($B$3,10,6),'Leave log'!$F$7:$F$306,"Approved")&gt;0,"A",""))="A","A",IF(OR(DATE($B$3,10,6)&gt;EOMONTH(DATE($B$3,10,1),0),NETWORKDAYS.INTL(DATE($B$3,10,6),DATE($B$3,10,6),1,'Non-working days'!$A$6:$A$45)=0),"",IF(COUNTIFS('Leave log'!$A$7:$A$306,Employees!$A$29,'Leave log'!$B$7:$B$306,"&lt;="&amp;DATE($B$3,10,6),'Leave log'!$C$7:$C$306,"&gt;="&amp;DATE($B$3,10,6),'Leave log'!$F$7:$F$306,"Pending")&gt;0,"P",""))))</f>
        <v/>
      </c>
      <c r="H336" s="23" t="str">
        <f>IF(A336="","",IF(IF(OR(DATE($B$3,10,7)&gt;EOMONTH(DATE($B$3,10,1),0),NETWORKDAYS.INTL(DATE($B$3,10,7),DATE($B$3,10,7),1,'Non-working days'!$A$6:$A$45)=0),"",IF(COUNTIFS('Leave log'!$A$7:$A$306,Employees!$A$29,'Leave log'!$B$7:$B$306,"&lt;="&amp;DATE($B$3,10,7),'Leave log'!$C$7:$C$306,"&gt;="&amp;DATE($B$3,10,7),'Leave log'!$F$7:$F$306,"Approved")&gt;0,"A",""))="A","A",IF(OR(DATE($B$3,10,7)&gt;EOMONTH(DATE($B$3,10,1),0),NETWORKDAYS.INTL(DATE($B$3,10,7),DATE($B$3,10,7),1,'Non-working days'!$A$6:$A$45)=0),"",IF(COUNTIFS('Leave log'!$A$7:$A$306,Employees!$A$29,'Leave log'!$B$7:$B$306,"&lt;="&amp;DATE($B$3,10,7),'Leave log'!$C$7:$C$306,"&gt;="&amp;DATE($B$3,10,7),'Leave log'!$F$7:$F$306,"Pending")&gt;0,"P",""))))</f>
        <v/>
      </c>
      <c r="I336" s="23" t="str">
        <f>IF(A336="","",IF(IF(OR(DATE($B$3,10,8)&gt;EOMONTH(DATE($B$3,10,1),0),NETWORKDAYS.INTL(DATE($B$3,10,8),DATE($B$3,10,8),1,'Non-working days'!$A$6:$A$45)=0),"",IF(COUNTIFS('Leave log'!$A$7:$A$306,Employees!$A$29,'Leave log'!$B$7:$B$306,"&lt;="&amp;DATE($B$3,10,8),'Leave log'!$C$7:$C$306,"&gt;="&amp;DATE($B$3,10,8),'Leave log'!$F$7:$F$306,"Approved")&gt;0,"A",""))="A","A",IF(OR(DATE($B$3,10,8)&gt;EOMONTH(DATE($B$3,10,1),0),NETWORKDAYS.INTL(DATE($B$3,10,8),DATE($B$3,10,8),1,'Non-working days'!$A$6:$A$45)=0),"",IF(COUNTIFS('Leave log'!$A$7:$A$306,Employees!$A$29,'Leave log'!$B$7:$B$306,"&lt;="&amp;DATE($B$3,10,8),'Leave log'!$C$7:$C$306,"&gt;="&amp;DATE($B$3,10,8),'Leave log'!$F$7:$F$306,"Pending")&gt;0,"P",""))))</f>
        <v/>
      </c>
      <c r="J336" s="23" t="str">
        <f>IF(A336="","",IF(IF(OR(DATE($B$3,10,9)&gt;EOMONTH(DATE($B$3,10,1),0),NETWORKDAYS.INTL(DATE($B$3,10,9),DATE($B$3,10,9),1,'Non-working days'!$A$6:$A$45)=0),"",IF(COUNTIFS('Leave log'!$A$7:$A$306,Employees!$A$29,'Leave log'!$B$7:$B$306,"&lt;="&amp;DATE($B$3,10,9),'Leave log'!$C$7:$C$306,"&gt;="&amp;DATE($B$3,10,9),'Leave log'!$F$7:$F$306,"Approved")&gt;0,"A",""))="A","A",IF(OR(DATE($B$3,10,9)&gt;EOMONTH(DATE($B$3,10,1),0),NETWORKDAYS.INTL(DATE($B$3,10,9),DATE($B$3,10,9),1,'Non-working days'!$A$6:$A$45)=0),"",IF(COUNTIFS('Leave log'!$A$7:$A$306,Employees!$A$29,'Leave log'!$B$7:$B$306,"&lt;="&amp;DATE($B$3,10,9),'Leave log'!$C$7:$C$306,"&gt;="&amp;DATE($B$3,10,9),'Leave log'!$F$7:$F$306,"Pending")&gt;0,"P",""))))</f>
        <v/>
      </c>
      <c r="K336" s="23" t="str">
        <f>IF(A336="","",IF(IF(OR(DATE($B$3,10,10)&gt;EOMONTH(DATE($B$3,10,1),0),NETWORKDAYS.INTL(DATE($B$3,10,10),DATE($B$3,10,10),1,'Non-working days'!$A$6:$A$45)=0),"",IF(COUNTIFS('Leave log'!$A$7:$A$306,Employees!$A$29,'Leave log'!$B$7:$B$306,"&lt;="&amp;DATE($B$3,10,10),'Leave log'!$C$7:$C$306,"&gt;="&amp;DATE($B$3,10,10),'Leave log'!$F$7:$F$306,"Approved")&gt;0,"A",""))="A","A",IF(OR(DATE($B$3,10,10)&gt;EOMONTH(DATE($B$3,10,1),0),NETWORKDAYS.INTL(DATE($B$3,10,10),DATE($B$3,10,10),1,'Non-working days'!$A$6:$A$45)=0),"",IF(COUNTIFS('Leave log'!$A$7:$A$306,Employees!$A$29,'Leave log'!$B$7:$B$306,"&lt;="&amp;DATE($B$3,10,10),'Leave log'!$C$7:$C$306,"&gt;="&amp;DATE($B$3,10,10),'Leave log'!$F$7:$F$306,"Pending")&gt;0,"P",""))))</f>
        <v/>
      </c>
      <c r="L336" s="23" t="str">
        <f>IF(A336="","",IF(IF(OR(DATE($B$3,10,11)&gt;EOMONTH(DATE($B$3,10,1),0),NETWORKDAYS.INTL(DATE($B$3,10,11),DATE($B$3,10,11),1,'Non-working days'!$A$6:$A$45)=0),"",IF(COUNTIFS('Leave log'!$A$7:$A$306,Employees!$A$29,'Leave log'!$B$7:$B$306,"&lt;="&amp;DATE($B$3,10,11),'Leave log'!$C$7:$C$306,"&gt;="&amp;DATE($B$3,10,11),'Leave log'!$F$7:$F$306,"Approved")&gt;0,"A",""))="A","A",IF(OR(DATE($B$3,10,11)&gt;EOMONTH(DATE($B$3,10,1),0),NETWORKDAYS.INTL(DATE($B$3,10,11),DATE($B$3,10,11),1,'Non-working days'!$A$6:$A$45)=0),"",IF(COUNTIFS('Leave log'!$A$7:$A$306,Employees!$A$29,'Leave log'!$B$7:$B$306,"&lt;="&amp;DATE($B$3,10,11),'Leave log'!$C$7:$C$306,"&gt;="&amp;DATE($B$3,10,11),'Leave log'!$F$7:$F$306,"Pending")&gt;0,"P",""))))</f>
        <v/>
      </c>
      <c r="M336" s="23" t="str">
        <f>IF(A336="","",IF(IF(OR(DATE($B$3,10,12)&gt;EOMONTH(DATE($B$3,10,1),0),NETWORKDAYS.INTL(DATE($B$3,10,12),DATE($B$3,10,12),1,'Non-working days'!$A$6:$A$45)=0),"",IF(COUNTIFS('Leave log'!$A$7:$A$306,Employees!$A$29,'Leave log'!$B$7:$B$306,"&lt;="&amp;DATE($B$3,10,12),'Leave log'!$C$7:$C$306,"&gt;="&amp;DATE($B$3,10,12),'Leave log'!$F$7:$F$306,"Approved")&gt;0,"A",""))="A","A",IF(OR(DATE($B$3,10,12)&gt;EOMONTH(DATE($B$3,10,1),0),NETWORKDAYS.INTL(DATE($B$3,10,12),DATE($B$3,10,12),1,'Non-working days'!$A$6:$A$45)=0),"",IF(COUNTIFS('Leave log'!$A$7:$A$306,Employees!$A$29,'Leave log'!$B$7:$B$306,"&lt;="&amp;DATE($B$3,10,12),'Leave log'!$C$7:$C$306,"&gt;="&amp;DATE($B$3,10,12),'Leave log'!$F$7:$F$306,"Pending")&gt;0,"P",""))))</f>
        <v/>
      </c>
      <c r="N336" s="23" t="str">
        <f>IF(A336="","",IF(IF(OR(DATE($B$3,10,13)&gt;EOMONTH(DATE($B$3,10,1),0),NETWORKDAYS.INTL(DATE($B$3,10,13),DATE($B$3,10,13),1,'Non-working days'!$A$6:$A$45)=0),"",IF(COUNTIFS('Leave log'!$A$7:$A$306,Employees!$A$29,'Leave log'!$B$7:$B$306,"&lt;="&amp;DATE($B$3,10,13),'Leave log'!$C$7:$C$306,"&gt;="&amp;DATE($B$3,10,13),'Leave log'!$F$7:$F$306,"Approved")&gt;0,"A",""))="A","A",IF(OR(DATE($B$3,10,13)&gt;EOMONTH(DATE($B$3,10,1),0),NETWORKDAYS.INTL(DATE($B$3,10,13),DATE($B$3,10,13),1,'Non-working days'!$A$6:$A$45)=0),"",IF(COUNTIFS('Leave log'!$A$7:$A$306,Employees!$A$29,'Leave log'!$B$7:$B$306,"&lt;="&amp;DATE($B$3,10,13),'Leave log'!$C$7:$C$306,"&gt;="&amp;DATE($B$3,10,13),'Leave log'!$F$7:$F$306,"Pending")&gt;0,"P",""))))</f>
        <v/>
      </c>
      <c r="O336" s="23" t="str">
        <f>IF(A336="","",IF(IF(OR(DATE($B$3,10,14)&gt;EOMONTH(DATE($B$3,10,1),0),NETWORKDAYS.INTL(DATE($B$3,10,14),DATE($B$3,10,14),1,'Non-working days'!$A$6:$A$45)=0),"",IF(COUNTIFS('Leave log'!$A$7:$A$306,Employees!$A$29,'Leave log'!$B$7:$B$306,"&lt;="&amp;DATE($B$3,10,14),'Leave log'!$C$7:$C$306,"&gt;="&amp;DATE($B$3,10,14),'Leave log'!$F$7:$F$306,"Approved")&gt;0,"A",""))="A","A",IF(OR(DATE($B$3,10,14)&gt;EOMONTH(DATE($B$3,10,1),0),NETWORKDAYS.INTL(DATE($B$3,10,14),DATE($B$3,10,14),1,'Non-working days'!$A$6:$A$45)=0),"",IF(COUNTIFS('Leave log'!$A$7:$A$306,Employees!$A$29,'Leave log'!$B$7:$B$306,"&lt;="&amp;DATE($B$3,10,14),'Leave log'!$C$7:$C$306,"&gt;="&amp;DATE($B$3,10,14),'Leave log'!$F$7:$F$306,"Pending")&gt;0,"P",""))))</f>
        <v/>
      </c>
      <c r="P336" s="23" t="str">
        <f>IF(A336="","",IF(IF(OR(DATE($B$3,10,15)&gt;EOMONTH(DATE($B$3,10,1),0),NETWORKDAYS.INTL(DATE($B$3,10,15),DATE($B$3,10,15),1,'Non-working days'!$A$6:$A$45)=0),"",IF(COUNTIFS('Leave log'!$A$7:$A$306,Employees!$A$29,'Leave log'!$B$7:$B$306,"&lt;="&amp;DATE($B$3,10,15),'Leave log'!$C$7:$C$306,"&gt;="&amp;DATE($B$3,10,15),'Leave log'!$F$7:$F$306,"Approved")&gt;0,"A",""))="A","A",IF(OR(DATE($B$3,10,15)&gt;EOMONTH(DATE($B$3,10,1),0),NETWORKDAYS.INTL(DATE($B$3,10,15),DATE($B$3,10,15),1,'Non-working days'!$A$6:$A$45)=0),"",IF(COUNTIFS('Leave log'!$A$7:$A$306,Employees!$A$29,'Leave log'!$B$7:$B$306,"&lt;="&amp;DATE($B$3,10,15),'Leave log'!$C$7:$C$306,"&gt;="&amp;DATE($B$3,10,15),'Leave log'!$F$7:$F$306,"Pending")&gt;0,"P",""))))</f>
        <v/>
      </c>
      <c r="Q336" s="23" t="str">
        <f>IF(A336="","",IF(IF(OR(DATE($B$3,10,16)&gt;EOMONTH(DATE($B$3,10,1),0),NETWORKDAYS.INTL(DATE($B$3,10,16),DATE($B$3,10,16),1,'Non-working days'!$A$6:$A$45)=0),"",IF(COUNTIFS('Leave log'!$A$7:$A$306,Employees!$A$29,'Leave log'!$B$7:$B$306,"&lt;="&amp;DATE($B$3,10,16),'Leave log'!$C$7:$C$306,"&gt;="&amp;DATE($B$3,10,16),'Leave log'!$F$7:$F$306,"Approved")&gt;0,"A",""))="A","A",IF(OR(DATE($B$3,10,16)&gt;EOMONTH(DATE($B$3,10,1),0),NETWORKDAYS.INTL(DATE($B$3,10,16),DATE($B$3,10,16),1,'Non-working days'!$A$6:$A$45)=0),"",IF(COUNTIFS('Leave log'!$A$7:$A$306,Employees!$A$29,'Leave log'!$B$7:$B$306,"&lt;="&amp;DATE($B$3,10,16),'Leave log'!$C$7:$C$306,"&gt;="&amp;DATE($B$3,10,16),'Leave log'!$F$7:$F$306,"Pending")&gt;0,"P",""))))</f>
        <v/>
      </c>
      <c r="R336" s="23" t="str">
        <f>IF(A336="","",IF(IF(OR(DATE($B$3,10,17)&gt;EOMONTH(DATE($B$3,10,1),0),NETWORKDAYS.INTL(DATE($B$3,10,17),DATE($B$3,10,17),1,'Non-working days'!$A$6:$A$45)=0),"",IF(COUNTIFS('Leave log'!$A$7:$A$306,Employees!$A$29,'Leave log'!$B$7:$B$306,"&lt;="&amp;DATE($B$3,10,17),'Leave log'!$C$7:$C$306,"&gt;="&amp;DATE($B$3,10,17),'Leave log'!$F$7:$F$306,"Approved")&gt;0,"A",""))="A","A",IF(OR(DATE($B$3,10,17)&gt;EOMONTH(DATE($B$3,10,1),0),NETWORKDAYS.INTL(DATE($B$3,10,17),DATE($B$3,10,17),1,'Non-working days'!$A$6:$A$45)=0),"",IF(COUNTIFS('Leave log'!$A$7:$A$306,Employees!$A$29,'Leave log'!$B$7:$B$306,"&lt;="&amp;DATE($B$3,10,17),'Leave log'!$C$7:$C$306,"&gt;="&amp;DATE($B$3,10,17),'Leave log'!$F$7:$F$306,"Pending")&gt;0,"P",""))))</f>
        <v/>
      </c>
      <c r="S336" s="23" t="str">
        <f>IF(A336="","",IF(IF(OR(DATE($B$3,10,18)&gt;EOMONTH(DATE($B$3,10,1),0),NETWORKDAYS.INTL(DATE($B$3,10,18),DATE($B$3,10,18),1,'Non-working days'!$A$6:$A$45)=0),"",IF(COUNTIFS('Leave log'!$A$7:$A$306,Employees!$A$29,'Leave log'!$B$7:$B$306,"&lt;="&amp;DATE($B$3,10,18),'Leave log'!$C$7:$C$306,"&gt;="&amp;DATE($B$3,10,18),'Leave log'!$F$7:$F$306,"Approved")&gt;0,"A",""))="A","A",IF(OR(DATE($B$3,10,18)&gt;EOMONTH(DATE($B$3,10,1),0),NETWORKDAYS.INTL(DATE($B$3,10,18),DATE($B$3,10,18),1,'Non-working days'!$A$6:$A$45)=0),"",IF(COUNTIFS('Leave log'!$A$7:$A$306,Employees!$A$29,'Leave log'!$B$7:$B$306,"&lt;="&amp;DATE($B$3,10,18),'Leave log'!$C$7:$C$306,"&gt;="&amp;DATE($B$3,10,18),'Leave log'!$F$7:$F$306,"Pending")&gt;0,"P",""))))</f>
        <v/>
      </c>
      <c r="T336" s="23" t="str">
        <f>IF(A336="","",IF(IF(OR(DATE($B$3,10,19)&gt;EOMONTH(DATE($B$3,10,1),0),NETWORKDAYS.INTL(DATE($B$3,10,19),DATE($B$3,10,19),1,'Non-working days'!$A$6:$A$45)=0),"",IF(COUNTIFS('Leave log'!$A$7:$A$306,Employees!$A$29,'Leave log'!$B$7:$B$306,"&lt;="&amp;DATE($B$3,10,19),'Leave log'!$C$7:$C$306,"&gt;="&amp;DATE($B$3,10,19),'Leave log'!$F$7:$F$306,"Approved")&gt;0,"A",""))="A","A",IF(OR(DATE($B$3,10,19)&gt;EOMONTH(DATE($B$3,10,1),0),NETWORKDAYS.INTL(DATE($B$3,10,19),DATE($B$3,10,19),1,'Non-working days'!$A$6:$A$45)=0),"",IF(COUNTIFS('Leave log'!$A$7:$A$306,Employees!$A$29,'Leave log'!$B$7:$B$306,"&lt;="&amp;DATE($B$3,10,19),'Leave log'!$C$7:$C$306,"&gt;="&amp;DATE($B$3,10,19),'Leave log'!$F$7:$F$306,"Pending")&gt;0,"P",""))))</f>
        <v/>
      </c>
      <c r="U336" s="23" t="str">
        <f>IF(A336="","",IF(IF(OR(DATE($B$3,10,20)&gt;EOMONTH(DATE($B$3,10,1),0),NETWORKDAYS.INTL(DATE($B$3,10,20),DATE($B$3,10,20),1,'Non-working days'!$A$6:$A$45)=0),"",IF(COUNTIFS('Leave log'!$A$7:$A$306,Employees!$A$29,'Leave log'!$B$7:$B$306,"&lt;="&amp;DATE($B$3,10,20),'Leave log'!$C$7:$C$306,"&gt;="&amp;DATE($B$3,10,20),'Leave log'!$F$7:$F$306,"Approved")&gt;0,"A",""))="A","A",IF(OR(DATE($B$3,10,20)&gt;EOMONTH(DATE($B$3,10,1),0),NETWORKDAYS.INTL(DATE($B$3,10,20),DATE($B$3,10,20),1,'Non-working days'!$A$6:$A$45)=0),"",IF(COUNTIFS('Leave log'!$A$7:$A$306,Employees!$A$29,'Leave log'!$B$7:$B$306,"&lt;="&amp;DATE($B$3,10,20),'Leave log'!$C$7:$C$306,"&gt;="&amp;DATE($B$3,10,20),'Leave log'!$F$7:$F$306,"Pending")&gt;0,"P",""))))</f>
        <v/>
      </c>
      <c r="V336" s="23" t="str">
        <f>IF(A336="","",IF(IF(OR(DATE($B$3,10,21)&gt;EOMONTH(DATE($B$3,10,1),0),NETWORKDAYS.INTL(DATE($B$3,10,21),DATE($B$3,10,21),1,'Non-working days'!$A$6:$A$45)=0),"",IF(COUNTIFS('Leave log'!$A$7:$A$306,Employees!$A$29,'Leave log'!$B$7:$B$306,"&lt;="&amp;DATE($B$3,10,21),'Leave log'!$C$7:$C$306,"&gt;="&amp;DATE($B$3,10,21),'Leave log'!$F$7:$F$306,"Approved")&gt;0,"A",""))="A","A",IF(OR(DATE($B$3,10,21)&gt;EOMONTH(DATE($B$3,10,1),0),NETWORKDAYS.INTL(DATE($B$3,10,21),DATE($B$3,10,21),1,'Non-working days'!$A$6:$A$45)=0),"",IF(COUNTIFS('Leave log'!$A$7:$A$306,Employees!$A$29,'Leave log'!$B$7:$B$306,"&lt;="&amp;DATE($B$3,10,21),'Leave log'!$C$7:$C$306,"&gt;="&amp;DATE($B$3,10,21),'Leave log'!$F$7:$F$306,"Pending")&gt;0,"P",""))))</f>
        <v/>
      </c>
      <c r="W336" s="23" t="str">
        <f>IF(A336="","",IF(IF(OR(DATE($B$3,10,22)&gt;EOMONTH(DATE($B$3,10,1),0),NETWORKDAYS.INTL(DATE($B$3,10,22),DATE($B$3,10,22),1,'Non-working days'!$A$6:$A$45)=0),"",IF(COUNTIFS('Leave log'!$A$7:$A$306,Employees!$A$29,'Leave log'!$B$7:$B$306,"&lt;="&amp;DATE($B$3,10,22),'Leave log'!$C$7:$C$306,"&gt;="&amp;DATE($B$3,10,22),'Leave log'!$F$7:$F$306,"Approved")&gt;0,"A",""))="A","A",IF(OR(DATE($B$3,10,22)&gt;EOMONTH(DATE($B$3,10,1),0),NETWORKDAYS.INTL(DATE($B$3,10,22),DATE($B$3,10,22),1,'Non-working days'!$A$6:$A$45)=0),"",IF(COUNTIFS('Leave log'!$A$7:$A$306,Employees!$A$29,'Leave log'!$B$7:$B$306,"&lt;="&amp;DATE($B$3,10,22),'Leave log'!$C$7:$C$306,"&gt;="&amp;DATE($B$3,10,22),'Leave log'!$F$7:$F$306,"Pending")&gt;0,"P",""))))</f>
        <v/>
      </c>
      <c r="X336" s="23" t="str">
        <f>IF(A336="","",IF(IF(OR(DATE($B$3,10,23)&gt;EOMONTH(DATE($B$3,10,1),0),NETWORKDAYS.INTL(DATE($B$3,10,23),DATE($B$3,10,23),1,'Non-working days'!$A$6:$A$45)=0),"",IF(COUNTIFS('Leave log'!$A$7:$A$306,Employees!$A$29,'Leave log'!$B$7:$B$306,"&lt;="&amp;DATE($B$3,10,23),'Leave log'!$C$7:$C$306,"&gt;="&amp;DATE($B$3,10,23),'Leave log'!$F$7:$F$306,"Approved")&gt;0,"A",""))="A","A",IF(OR(DATE($B$3,10,23)&gt;EOMONTH(DATE($B$3,10,1),0),NETWORKDAYS.INTL(DATE($B$3,10,23),DATE($B$3,10,23),1,'Non-working days'!$A$6:$A$45)=0),"",IF(COUNTIFS('Leave log'!$A$7:$A$306,Employees!$A$29,'Leave log'!$B$7:$B$306,"&lt;="&amp;DATE($B$3,10,23),'Leave log'!$C$7:$C$306,"&gt;="&amp;DATE($B$3,10,23),'Leave log'!$F$7:$F$306,"Pending")&gt;0,"P",""))))</f>
        <v/>
      </c>
      <c r="Y336" s="23" t="str">
        <f>IF(A336="","",IF(IF(OR(DATE($B$3,10,24)&gt;EOMONTH(DATE($B$3,10,1),0),NETWORKDAYS.INTL(DATE($B$3,10,24),DATE($B$3,10,24),1,'Non-working days'!$A$6:$A$45)=0),"",IF(COUNTIFS('Leave log'!$A$7:$A$306,Employees!$A$29,'Leave log'!$B$7:$B$306,"&lt;="&amp;DATE($B$3,10,24),'Leave log'!$C$7:$C$306,"&gt;="&amp;DATE($B$3,10,24),'Leave log'!$F$7:$F$306,"Approved")&gt;0,"A",""))="A","A",IF(OR(DATE($B$3,10,24)&gt;EOMONTH(DATE($B$3,10,1),0),NETWORKDAYS.INTL(DATE($B$3,10,24),DATE($B$3,10,24),1,'Non-working days'!$A$6:$A$45)=0),"",IF(COUNTIFS('Leave log'!$A$7:$A$306,Employees!$A$29,'Leave log'!$B$7:$B$306,"&lt;="&amp;DATE($B$3,10,24),'Leave log'!$C$7:$C$306,"&gt;="&amp;DATE($B$3,10,24),'Leave log'!$F$7:$F$306,"Pending")&gt;0,"P",""))))</f>
        <v/>
      </c>
      <c r="Z336" s="23" t="str">
        <f>IF(A336="","",IF(IF(OR(DATE($B$3,10,25)&gt;EOMONTH(DATE($B$3,10,1),0),NETWORKDAYS.INTL(DATE($B$3,10,25),DATE($B$3,10,25),1,'Non-working days'!$A$6:$A$45)=0),"",IF(COUNTIFS('Leave log'!$A$7:$A$306,Employees!$A$29,'Leave log'!$B$7:$B$306,"&lt;="&amp;DATE($B$3,10,25),'Leave log'!$C$7:$C$306,"&gt;="&amp;DATE($B$3,10,25),'Leave log'!$F$7:$F$306,"Approved")&gt;0,"A",""))="A","A",IF(OR(DATE($B$3,10,25)&gt;EOMONTH(DATE($B$3,10,1),0),NETWORKDAYS.INTL(DATE($B$3,10,25),DATE($B$3,10,25),1,'Non-working days'!$A$6:$A$45)=0),"",IF(COUNTIFS('Leave log'!$A$7:$A$306,Employees!$A$29,'Leave log'!$B$7:$B$306,"&lt;="&amp;DATE($B$3,10,25),'Leave log'!$C$7:$C$306,"&gt;="&amp;DATE($B$3,10,25),'Leave log'!$F$7:$F$306,"Pending")&gt;0,"P",""))))</f>
        <v/>
      </c>
      <c r="AA336" s="23" t="str">
        <f>IF(A336="","",IF(IF(OR(DATE($B$3,10,26)&gt;EOMONTH(DATE($B$3,10,1),0),NETWORKDAYS.INTL(DATE($B$3,10,26),DATE($B$3,10,26),1,'Non-working days'!$A$6:$A$45)=0),"",IF(COUNTIFS('Leave log'!$A$7:$A$306,Employees!$A$29,'Leave log'!$B$7:$B$306,"&lt;="&amp;DATE($B$3,10,26),'Leave log'!$C$7:$C$306,"&gt;="&amp;DATE($B$3,10,26),'Leave log'!$F$7:$F$306,"Approved")&gt;0,"A",""))="A","A",IF(OR(DATE($B$3,10,26)&gt;EOMONTH(DATE($B$3,10,1),0),NETWORKDAYS.INTL(DATE($B$3,10,26),DATE($B$3,10,26),1,'Non-working days'!$A$6:$A$45)=0),"",IF(COUNTIFS('Leave log'!$A$7:$A$306,Employees!$A$29,'Leave log'!$B$7:$B$306,"&lt;="&amp;DATE($B$3,10,26),'Leave log'!$C$7:$C$306,"&gt;="&amp;DATE($B$3,10,26),'Leave log'!$F$7:$F$306,"Pending")&gt;0,"P",""))))</f>
        <v/>
      </c>
      <c r="AB336" s="23" t="str">
        <f>IF(A336="","",IF(IF(OR(DATE($B$3,10,27)&gt;EOMONTH(DATE($B$3,10,1),0),NETWORKDAYS.INTL(DATE($B$3,10,27),DATE($B$3,10,27),1,'Non-working days'!$A$6:$A$45)=0),"",IF(COUNTIFS('Leave log'!$A$7:$A$306,Employees!$A$29,'Leave log'!$B$7:$B$306,"&lt;="&amp;DATE($B$3,10,27),'Leave log'!$C$7:$C$306,"&gt;="&amp;DATE($B$3,10,27),'Leave log'!$F$7:$F$306,"Approved")&gt;0,"A",""))="A","A",IF(OR(DATE($B$3,10,27)&gt;EOMONTH(DATE($B$3,10,1),0),NETWORKDAYS.INTL(DATE($B$3,10,27),DATE($B$3,10,27),1,'Non-working days'!$A$6:$A$45)=0),"",IF(COUNTIFS('Leave log'!$A$7:$A$306,Employees!$A$29,'Leave log'!$B$7:$B$306,"&lt;="&amp;DATE($B$3,10,27),'Leave log'!$C$7:$C$306,"&gt;="&amp;DATE($B$3,10,27),'Leave log'!$F$7:$F$306,"Pending")&gt;0,"P",""))))</f>
        <v/>
      </c>
      <c r="AC336" s="23" t="str">
        <f>IF(A336="","",IF(IF(OR(DATE($B$3,10,28)&gt;EOMONTH(DATE($B$3,10,1),0),NETWORKDAYS.INTL(DATE($B$3,10,28),DATE($B$3,10,28),1,'Non-working days'!$A$6:$A$45)=0),"",IF(COUNTIFS('Leave log'!$A$7:$A$306,Employees!$A$29,'Leave log'!$B$7:$B$306,"&lt;="&amp;DATE($B$3,10,28),'Leave log'!$C$7:$C$306,"&gt;="&amp;DATE($B$3,10,28),'Leave log'!$F$7:$F$306,"Approved")&gt;0,"A",""))="A","A",IF(OR(DATE($B$3,10,28)&gt;EOMONTH(DATE($B$3,10,1),0),NETWORKDAYS.INTL(DATE($B$3,10,28),DATE($B$3,10,28),1,'Non-working days'!$A$6:$A$45)=0),"",IF(COUNTIFS('Leave log'!$A$7:$A$306,Employees!$A$29,'Leave log'!$B$7:$B$306,"&lt;="&amp;DATE($B$3,10,28),'Leave log'!$C$7:$C$306,"&gt;="&amp;DATE($B$3,10,28),'Leave log'!$F$7:$F$306,"Pending")&gt;0,"P",""))))</f>
        <v/>
      </c>
      <c r="AD336" s="23" t="str">
        <f>IF(A336="","",IF(IF(OR(DATE($B$3,10,29)&gt;EOMONTH(DATE($B$3,10,1),0),NETWORKDAYS.INTL(DATE($B$3,10,29),DATE($B$3,10,29),1,'Non-working days'!$A$6:$A$45)=0),"",IF(COUNTIFS('Leave log'!$A$7:$A$306,Employees!$A$29,'Leave log'!$B$7:$B$306,"&lt;="&amp;DATE($B$3,10,29),'Leave log'!$C$7:$C$306,"&gt;="&amp;DATE($B$3,10,29),'Leave log'!$F$7:$F$306,"Approved")&gt;0,"A",""))="A","A",IF(OR(DATE($B$3,10,29)&gt;EOMONTH(DATE($B$3,10,1),0),NETWORKDAYS.INTL(DATE($B$3,10,29),DATE($B$3,10,29),1,'Non-working days'!$A$6:$A$45)=0),"",IF(COUNTIFS('Leave log'!$A$7:$A$306,Employees!$A$29,'Leave log'!$B$7:$B$306,"&lt;="&amp;DATE($B$3,10,29),'Leave log'!$C$7:$C$306,"&gt;="&amp;DATE($B$3,10,29),'Leave log'!$F$7:$F$306,"Pending")&gt;0,"P",""))))</f>
        <v/>
      </c>
      <c r="AE336" s="23" t="str">
        <f>IF(A336="","",IF(IF(OR(DATE($B$3,10,30)&gt;EOMONTH(DATE($B$3,10,1),0),NETWORKDAYS.INTL(DATE($B$3,10,30),DATE($B$3,10,30),1,'Non-working days'!$A$6:$A$45)=0),"",IF(COUNTIFS('Leave log'!$A$7:$A$306,Employees!$A$29,'Leave log'!$B$7:$B$306,"&lt;="&amp;DATE($B$3,10,30),'Leave log'!$C$7:$C$306,"&gt;="&amp;DATE($B$3,10,30),'Leave log'!$F$7:$F$306,"Approved")&gt;0,"A",""))="A","A",IF(OR(DATE($B$3,10,30)&gt;EOMONTH(DATE($B$3,10,1),0),NETWORKDAYS.INTL(DATE($B$3,10,30),DATE($B$3,10,30),1,'Non-working days'!$A$6:$A$45)=0),"",IF(COUNTIFS('Leave log'!$A$7:$A$306,Employees!$A$29,'Leave log'!$B$7:$B$306,"&lt;="&amp;DATE($B$3,10,30),'Leave log'!$C$7:$C$306,"&gt;="&amp;DATE($B$3,10,30),'Leave log'!$F$7:$F$306,"Pending")&gt;0,"P",""))))</f>
        <v/>
      </c>
      <c r="AF336" s="23" t="str">
        <f>IF(A336="","",IF(IF(OR(DATE($B$3,10,31)&gt;EOMONTH(DATE($B$3,10,1),0),NETWORKDAYS.INTL(DATE($B$3,10,31),DATE($B$3,10,31),1,'Non-working days'!$A$6:$A$45)=0),"",IF(COUNTIFS('Leave log'!$A$7:$A$306,Employees!$A$29,'Leave log'!$B$7:$B$306,"&lt;="&amp;DATE($B$3,10,31),'Leave log'!$C$7:$C$306,"&gt;="&amp;DATE($B$3,10,31),'Leave log'!$F$7:$F$306,"Approved")&gt;0,"A",""))="A","A",IF(OR(DATE($B$3,10,31)&gt;EOMONTH(DATE($B$3,10,1),0),NETWORKDAYS.INTL(DATE($B$3,10,31),DATE($B$3,10,31),1,'Non-working days'!$A$6:$A$45)=0),"",IF(COUNTIFS('Leave log'!$A$7:$A$306,Employees!$A$29,'Leave log'!$B$7:$B$306,"&lt;="&amp;DATE($B$3,10,31),'Leave log'!$C$7:$C$306,"&gt;="&amp;DATE($B$3,10,31),'Leave log'!$F$7:$F$306,"Pending")&gt;0,"P",""))))</f>
        <v/>
      </c>
    </row>
    <row r="337" spans="1:32" ht="18" customHeight="1" x14ac:dyDescent="0.3">
      <c r="A337" s="22" t="str">
        <f>IF(Employees!F30="Yes",Employees!B30,"")</f>
        <v/>
      </c>
      <c r="B337" s="23" t="str">
        <f>IF(A337="","",IF(IF(OR(DATE($B$3,10,1)&gt;EOMONTH(DATE($B$3,10,1),0),NETWORKDAYS.INTL(DATE($B$3,10,1),DATE($B$3,10,1),1,'Non-working days'!$A$6:$A$45)=0),"",IF(COUNTIFS('Leave log'!$A$7:$A$306,Employees!$A$30,'Leave log'!$B$7:$B$306,"&lt;="&amp;DATE($B$3,10,1),'Leave log'!$C$7:$C$306,"&gt;="&amp;DATE($B$3,10,1),'Leave log'!$F$7:$F$306,"Approved")&gt;0,"A",""))="A","A",IF(OR(DATE($B$3,10,1)&gt;EOMONTH(DATE($B$3,10,1),0),NETWORKDAYS.INTL(DATE($B$3,10,1),DATE($B$3,10,1),1,'Non-working days'!$A$6:$A$45)=0),"",IF(COUNTIFS('Leave log'!$A$7:$A$306,Employees!$A$30,'Leave log'!$B$7:$B$306,"&lt;="&amp;DATE($B$3,10,1),'Leave log'!$C$7:$C$306,"&gt;="&amp;DATE($B$3,10,1),'Leave log'!$F$7:$F$306,"Pending")&gt;0,"P",""))))</f>
        <v/>
      </c>
      <c r="C337" s="23" t="str">
        <f>IF(A337="","",IF(IF(OR(DATE($B$3,10,2)&gt;EOMONTH(DATE($B$3,10,1),0),NETWORKDAYS.INTL(DATE($B$3,10,2),DATE($B$3,10,2),1,'Non-working days'!$A$6:$A$45)=0),"",IF(COUNTIFS('Leave log'!$A$7:$A$306,Employees!$A$30,'Leave log'!$B$7:$B$306,"&lt;="&amp;DATE($B$3,10,2),'Leave log'!$C$7:$C$306,"&gt;="&amp;DATE($B$3,10,2),'Leave log'!$F$7:$F$306,"Approved")&gt;0,"A",""))="A","A",IF(OR(DATE($B$3,10,2)&gt;EOMONTH(DATE($B$3,10,1),0),NETWORKDAYS.INTL(DATE($B$3,10,2),DATE($B$3,10,2),1,'Non-working days'!$A$6:$A$45)=0),"",IF(COUNTIFS('Leave log'!$A$7:$A$306,Employees!$A$30,'Leave log'!$B$7:$B$306,"&lt;="&amp;DATE($B$3,10,2),'Leave log'!$C$7:$C$306,"&gt;="&amp;DATE($B$3,10,2),'Leave log'!$F$7:$F$306,"Pending")&gt;0,"P",""))))</f>
        <v/>
      </c>
      <c r="D337" s="23" t="str">
        <f>IF(A337="","",IF(IF(OR(DATE($B$3,10,3)&gt;EOMONTH(DATE($B$3,10,1),0),NETWORKDAYS.INTL(DATE($B$3,10,3),DATE($B$3,10,3),1,'Non-working days'!$A$6:$A$45)=0),"",IF(COUNTIFS('Leave log'!$A$7:$A$306,Employees!$A$30,'Leave log'!$B$7:$B$306,"&lt;="&amp;DATE($B$3,10,3),'Leave log'!$C$7:$C$306,"&gt;="&amp;DATE($B$3,10,3),'Leave log'!$F$7:$F$306,"Approved")&gt;0,"A",""))="A","A",IF(OR(DATE($B$3,10,3)&gt;EOMONTH(DATE($B$3,10,1),0),NETWORKDAYS.INTL(DATE($B$3,10,3),DATE($B$3,10,3),1,'Non-working days'!$A$6:$A$45)=0),"",IF(COUNTIFS('Leave log'!$A$7:$A$306,Employees!$A$30,'Leave log'!$B$7:$B$306,"&lt;="&amp;DATE($B$3,10,3),'Leave log'!$C$7:$C$306,"&gt;="&amp;DATE($B$3,10,3),'Leave log'!$F$7:$F$306,"Pending")&gt;0,"P",""))))</f>
        <v/>
      </c>
      <c r="E337" s="23" t="str">
        <f>IF(A337="","",IF(IF(OR(DATE($B$3,10,4)&gt;EOMONTH(DATE($B$3,10,1),0),NETWORKDAYS.INTL(DATE($B$3,10,4),DATE($B$3,10,4),1,'Non-working days'!$A$6:$A$45)=0),"",IF(COUNTIFS('Leave log'!$A$7:$A$306,Employees!$A$30,'Leave log'!$B$7:$B$306,"&lt;="&amp;DATE($B$3,10,4),'Leave log'!$C$7:$C$306,"&gt;="&amp;DATE($B$3,10,4),'Leave log'!$F$7:$F$306,"Approved")&gt;0,"A",""))="A","A",IF(OR(DATE($B$3,10,4)&gt;EOMONTH(DATE($B$3,10,1),0),NETWORKDAYS.INTL(DATE($B$3,10,4),DATE($B$3,10,4),1,'Non-working days'!$A$6:$A$45)=0),"",IF(COUNTIFS('Leave log'!$A$7:$A$306,Employees!$A$30,'Leave log'!$B$7:$B$306,"&lt;="&amp;DATE($B$3,10,4),'Leave log'!$C$7:$C$306,"&gt;="&amp;DATE($B$3,10,4),'Leave log'!$F$7:$F$306,"Pending")&gt;0,"P",""))))</f>
        <v/>
      </c>
      <c r="F337" s="23" t="str">
        <f>IF(A337="","",IF(IF(OR(DATE($B$3,10,5)&gt;EOMONTH(DATE($B$3,10,1),0),NETWORKDAYS.INTL(DATE($B$3,10,5),DATE($B$3,10,5),1,'Non-working days'!$A$6:$A$45)=0),"",IF(COUNTIFS('Leave log'!$A$7:$A$306,Employees!$A$30,'Leave log'!$B$7:$B$306,"&lt;="&amp;DATE($B$3,10,5),'Leave log'!$C$7:$C$306,"&gt;="&amp;DATE($B$3,10,5),'Leave log'!$F$7:$F$306,"Approved")&gt;0,"A",""))="A","A",IF(OR(DATE($B$3,10,5)&gt;EOMONTH(DATE($B$3,10,1),0),NETWORKDAYS.INTL(DATE($B$3,10,5),DATE($B$3,10,5),1,'Non-working days'!$A$6:$A$45)=0),"",IF(COUNTIFS('Leave log'!$A$7:$A$306,Employees!$A$30,'Leave log'!$B$7:$B$306,"&lt;="&amp;DATE($B$3,10,5),'Leave log'!$C$7:$C$306,"&gt;="&amp;DATE($B$3,10,5),'Leave log'!$F$7:$F$306,"Pending")&gt;0,"P",""))))</f>
        <v/>
      </c>
      <c r="G337" s="23" t="str">
        <f>IF(A337="","",IF(IF(OR(DATE($B$3,10,6)&gt;EOMONTH(DATE($B$3,10,1),0),NETWORKDAYS.INTL(DATE($B$3,10,6),DATE($B$3,10,6),1,'Non-working days'!$A$6:$A$45)=0),"",IF(COUNTIFS('Leave log'!$A$7:$A$306,Employees!$A$30,'Leave log'!$B$7:$B$306,"&lt;="&amp;DATE($B$3,10,6),'Leave log'!$C$7:$C$306,"&gt;="&amp;DATE($B$3,10,6),'Leave log'!$F$7:$F$306,"Approved")&gt;0,"A",""))="A","A",IF(OR(DATE($B$3,10,6)&gt;EOMONTH(DATE($B$3,10,1),0),NETWORKDAYS.INTL(DATE($B$3,10,6),DATE($B$3,10,6),1,'Non-working days'!$A$6:$A$45)=0),"",IF(COUNTIFS('Leave log'!$A$7:$A$306,Employees!$A$30,'Leave log'!$B$7:$B$306,"&lt;="&amp;DATE($B$3,10,6),'Leave log'!$C$7:$C$306,"&gt;="&amp;DATE($B$3,10,6),'Leave log'!$F$7:$F$306,"Pending")&gt;0,"P",""))))</f>
        <v/>
      </c>
      <c r="H337" s="23" t="str">
        <f>IF(A337="","",IF(IF(OR(DATE($B$3,10,7)&gt;EOMONTH(DATE($B$3,10,1),0),NETWORKDAYS.INTL(DATE($B$3,10,7),DATE($B$3,10,7),1,'Non-working days'!$A$6:$A$45)=0),"",IF(COUNTIFS('Leave log'!$A$7:$A$306,Employees!$A$30,'Leave log'!$B$7:$B$306,"&lt;="&amp;DATE($B$3,10,7),'Leave log'!$C$7:$C$306,"&gt;="&amp;DATE($B$3,10,7),'Leave log'!$F$7:$F$306,"Approved")&gt;0,"A",""))="A","A",IF(OR(DATE($B$3,10,7)&gt;EOMONTH(DATE($B$3,10,1),0),NETWORKDAYS.INTL(DATE($B$3,10,7),DATE($B$3,10,7),1,'Non-working days'!$A$6:$A$45)=0),"",IF(COUNTIFS('Leave log'!$A$7:$A$306,Employees!$A$30,'Leave log'!$B$7:$B$306,"&lt;="&amp;DATE($B$3,10,7),'Leave log'!$C$7:$C$306,"&gt;="&amp;DATE($B$3,10,7),'Leave log'!$F$7:$F$306,"Pending")&gt;0,"P",""))))</f>
        <v/>
      </c>
      <c r="I337" s="23" t="str">
        <f>IF(A337="","",IF(IF(OR(DATE($B$3,10,8)&gt;EOMONTH(DATE($B$3,10,1),0),NETWORKDAYS.INTL(DATE($B$3,10,8),DATE($B$3,10,8),1,'Non-working days'!$A$6:$A$45)=0),"",IF(COUNTIFS('Leave log'!$A$7:$A$306,Employees!$A$30,'Leave log'!$B$7:$B$306,"&lt;="&amp;DATE($B$3,10,8),'Leave log'!$C$7:$C$306,"&gt;="&amp;DATE($B$3,10,8),'Leave log'!$F$7:$F$306,"Approved")&gt;0,"A",""))="A","A",IF(OR(DATE($B$3,10,8)&gt;EOMONTH(DATE($B$3,10,1),0),NETWORKDAYS.INTL(DATE($B$3,10,8),DATE($B$3,10,8),1,'Non-working days'!$A$6:$A$45)=0),"",IF(COUNTIFS('Leave log'!$A$7:$A$306,Employees!$A$30,'Leave log'!$B$7:$B$306,"&lt;="&amp;DATE($B$3,10,8),'Leave log'!$C$7:$C$306,"&gt;="&amp;DATE($B$3,10,8),'Leave log'!$F$7:$F$306,"Pending")&gt;0,"P",""))))</f>
        <v/>
      </c>
      <c r="J337" s="23" t="str">
        <f>IF(A337="","",IF(IF(OR(DATE($B$3,10,9)&gt;EOMONTH(DATE($B$3,10,1),0),NETWORKDAYS.INTL(DATE($B$3,10,9),DATE($B$3,10,9),1,'Non-working days'!$A$6:$A$45)=0),"",IF(COUNTIFS('Leave log'!$A$7:$A$306,Employees!$A$30,'Leave log'!$B$7:$B$306,"&lt;="&amp;DATE($B$3,10,9),'Leave log'!$C$7:$C$306,"&gt;="&amp;DATE($B$3,10,9),'Leave log'!$F$7:$F$306,"Approved")&gt;0,"A",""))="A","A",IF(OR(DATE($B$3,10,9)&gt;EOMONTH(DATE($B$3,10,1),0),NETWORKDAYS.INTL(DATE($B$3,10,9),DATE($B$3,10,9),1,'Non-working days'!$A$6:$A$45)=0),"",IF(COUNTIFS('Leave log'!$A$7:$A$306,Employees!$A$30,'Leave log'!$B$7:$B$306,"&lt;="&amp;DATE($B$3,10,9),'Leave log'!$C$7:$C$306,"&gt;="&amp;DATE($B$3,10,9),'Leave log'!$F$7:$F$306,"Pending")&gt;0,"P",""))))</f>
        <v/>
      </c>
      <c r="K337" s="23" t="str">
        <f>IF(A337="","",IF(IF(OR(DATE($B$3,10,10)&gt;EOMONTH(DATE($B$3,10,1),0),NETWORKDAYS.INTL(DATE($B$3,10,10),DATE($B$3,10,10),1,'Non-working days'!$A$6:$A$45)=0),"",IF(COUNTIFS('Leave log'!$A$7:$A$306,Employees!$A$30,'Leave log'!$B$7:$B$306,"&lt;="&amp;DATE($B$3,10,10),'Leave log'!$C$7:$C$306,"&gt;="&amp;DATE($B$3,10,10),'Leave log'!$F$7:$F$306,"Approved")&gt;0,"A",""))="A","A",IF(OR(DATE($B$3,10,10)&gt;EOMONTH(DATE($B$3,10,1),0),NETWORKDAYS.INTL(DATE($B$3,10,10),DATE($B$3,10,10),1,'Non-working days'!$A$6:$A$45)=0),"",IF(COUNTIFS('Leave log'!$A$7:$A$306,Employees!$A$30,'Leave log'!$B$7:$B$306,"&lt;="&amp;DATE($B$3,10,10),'Leave log'!$C$7:$C$306,"&gt;="&amp;DATE($B$3,10,10),'Leave log'!$F$7:$F$306,"Pending")&gt;0,"P",""))))</f>
        <v/>
      </c>
      <c r="L337" s="23" t="str">
        <f>IF(A337="","",IF(IF(OR(DATE($B$3,10,11)&gt;EOMONTH(DATE($B$3,10,1),0),NETWORKDAYS.INTL(DATE($B$3,10,11),DATE($B$3,10,11),1,'Non-working days'!$A$6:$A$45)=0),"",IF(COUNTIFS('Leave log'!$A$7:$A$306,Employees!$A$30,'Leave log'!$B$7:$B$306,"&lt;="&amp;DATE($B$3,10,11),'Leave log'!$C$7:$C$306,"&gt;="&amp;DATE($B$3,10,11),'Leave log'!$F$7:$F$306,"Approved")&gt;0,"A",""))="A","A",IF(OR(DATE($B$3,10,11)&gt;EOMONTH(DATE($B$3,10,1),0),NETWORKDAYS.INTL(DATE($B$3,10,11),DATE($B$3,10,11),1,'Non-working days'!$A$6:$A$45)=0),"",IF(COUNTIFS('Leave log'!$A$7:$A$306,Employees!$A$30,'Leave log'!$B$7:$B$306,"&lt;="&amp;DATE($B$3,10,11),'Leave log'!$C$7:$C$306,"&gt;="&amp;DATE($B$3,10,11),'Leave log'!$F$7:$F$306,"Pending")&gt;0,"P",""))))</f>
        <v/>
      </c>
      <c r="M337" s="23" t="str">
        <f>IF(A337="","",IF(IF(OR(DATE($B$3,10,12)&gt;EOMONTH(DATE($B$3,10,1),0),NETWORKDAYS.INTL(DATE($B$3,10,12),DATE($B$3,10,12),1,'Non-working days'!$A$6:$A$45)=0),"",IF(COUNTIFS('Leave log'!$A$7:$A$306,Employees!$A$30,'Leave log'!$B$7:$B$306,"&lt;="&amp;DATE($B$3,10,12),'Leave log'!$C$7:$C$306,"&gt;="&amp;DATE($B$3,10,12),'Leave log'!$F$7:$F$306,"Approved")&gt;0,"A",""))="A","A",IF(OR(DATE($B$3,10,12)&gt;EOMONTH(DATE($B$3,10,1),0),NETWORKDAYS.INTL(DATE($B$3,10,12),DATE($B$3,10,12),1,'Non-working days'!$A$6:$A$45)=0),"",IF(COUNTIFS('Leave log'!$A$7:$A$306,Employees!$A$30,'Leave log'!$B$7:$B$306,"&lt;="&amp;DATE($B$3,10,12),'Leave log'!$C$7:$C$306,"&gt;="&amp;DATE($B$3,10,12),'Leave log'!$F$7:$F$306,"Pending")&gt;0,"P",""))))</f>
        <v/>
      </c>
      <c r="N337" s="23" t="str">
        <f>IF(A337="","",IF(IF(OR(DATE($B$3,10,13)&gt;EOMONTH(DATE($B$3,10,1),0),NETWORKDAYS.INTL(DATE($B$3,10,13),DATE($B$3,10,13),1,'Non-working days'!$A$6:$A$45)=0),"",IF(COUNTIFS('Leave log'!$A$7:$A$306,Employees!$A$30,'Leave log'!$B$7:$B$306,"&lt;="&amp;DATE($B$3,10,13),'Leave log'!$C$7:$C$306,"&gt;="&amp;DATE($B$3,10,13),'Leave log'!$F$7:$F$306,"Approved")&gt;0,"A",""))="A","A",IF(OR(DATE($B$3,10,13)&gt;EOMONTH(DATE($B$3,10,1),0),NETWORKDAYS.INTL(DATE($B$3,10,13),DATE($B$3,10,13),1,'Non-working days'!$A$6:$A$45)=0),"",IF(COUNTIFS('Leave log'!$A$7:$A$306,Employees!$A$30,'Leave log'!$B$7:$B$306,"&lt;="&amp;DATE($B$3,10,13),'Leave log'!$C$7:$C$306,"&gt;="&amp;DATE($B$3,10,13),'Leave log'!$F$7:$F$306,"Pending")&gt;0,"P",""))))</f>
        <v/>
      </c>
      <c r="O337" s="23" t="str">
        <f>IF(A337="","",IF(IF(OR(DATE($B$3,10,14)&gt;EOMONTH(DATE($B$3,10,1),0),NETWORKDAYS.INTL(DATE($B$3,10,14),DATE($B$3,10,14),1,'Non-working days'!$A$6:$A$45)=0),"",IF(COUNTIFS('Leave log'!$A$7:$A$306,Employees!$A$30,'Leave log'!$B$7:$B$306,"&lt;="&amp;DATE($B$3,10,14),'Leave log'!$C$7:$C$306,"&gt;="&amp;DATE($B$3,10,14),'Leave log'!$F$7:$F$306,"Approved")&gt;0,"A",""))="A","A",IF(OR(DATE($B$3,10,14)&gt;EOMONTH(DATE($B$3,10,1),0),NETWORKDAYS.INTL(DATE($B$3,10,14),DATE($B$3,10,14),1,'Non-working days'!$A$6:$A$45)=0),"",IF(COUNTIFS('Leave log'!$A$7:$A$306,Employees!$A$30,'Leave log'!$B$7:$B$306,"&lt;="&amp;DATE($B$3,10,14),'Leave log'!$C$7:$C$306,"&gt;="&amp;DATE($B$3,10,14),'Leave log'!$F$7:$F$306,"Pending")&gt;0,"P",""))))</f>
        <v/>
      </c>
      <c r="P337" s="23" t="str">
        <f>IF(A337="","",IF(IF(OR(DATE($B$3,10,15)&gt;EOMONTH(DATE($B$3,10,1),0),NETWORKDAYS.INTL(DATE($B$3,10,15),DATE($B$3,10,15),1,'Non-working days'!$A$6:$A$45)=0),"",IF(COUNTIFS('Leave log'!$A$7:$A$306,Employees!$A$30,'Leave log'!$B$7:$B$306,"&lt;="&amp;DATE($B$3,10,15),'Leave log'!$C$7:$C$306,"&gt;="&amp;DATE($B$3,10,15),'Leave log'!$F$7:$F$306,"Approved")&gt;0,"A",""))="A","A",IF(OR(DATE($B$3,10,15)&gt;EOMONTH(DATE($B$3,10,1),0),NETWORKDAYS.INTL(DATE($B$3,10,15),DATE($B$3,10,15),1,'Non-working days'!$A$6:$A$45)=0),"",IF(COUNTIFS('Leave log'!$A$7:$A$306,Employees!$A$30,'Leave log'!$B$7:$B$306,"&lt;="&amp;DATE($B$3,10,15),'Leave log'!$C$7:$C$306,"&gt;="&amp;DATE($B$3,10,15),'Leave log'!$F$7:$F$306,"Pending")&gt;0,"P",""))))</f>
        <v/>
      </c>
      <c r="Q337" s="23" t="str">
        <f>IF(A337="","",IF(IF(OR(DATE($B$3,10,16)&gt;EOMONTH(DATE($B$3,10,1),0),NETWORKDAYS.INTL(DATE($B$3,10,16),DATE($B$3,10,16),1,'Non-working days'!$A$6:$A$45)=0),"",IF(COUNTIFS('Leave log'!$A$7:$A$306,Employees!$A$30,'Leave log'!$B$7:$B$306,"&lt;="&amp;DATE($B$3,10,16),'Leave log'!$C$7:$C$306,"&gt;="&amp;DATE($B$3,10,16),'Leave log'!$F$7:$F$306,"Approved")&gt;0,"A",""))="A","A",IF(OR(DATE($B$3,10,16)&gt;EOMONTH(DATE($B$3,10,1),0),NETWORKDAYS.INTL(DATE($B$3,10,16),DATE($B$3,10,16),1,'Non-working days'!$A$6:$A$45)=0),"",IF(COUNTIFS('Leave log'!$A$7:$A$306,Employees!$A$30,'Leave log'!$B$7:$B$306,"&lt;="&amp;DATE($B$3,10,16),'Leave log'!$C$7:$C$306,"&gt;="&amp;DATE($B$3,10,16),'Leave log'!$F$7:$F$306,"Pending")&gt;0,"P",""))))</f>
        <v/>
      </c>
      <c r="R337" s="23" t="str">
        <f>IF(A337="","",IF(IF(OR(DATE($B$3,10,17)&gt;EOMONTH(DATE($B$3,10,1),0),NETWORKDAYS.INTL(DATE($B$3,10,17),DATE($B$3,10,17),1,'Non-working days'!$A$6:$A$45)=0),"",IF(COUNTIFS('Leave log'!$A$7:$A$306,Employees!$A$30,'Leave log'!$B$7:$B$306,"&lt;="&amp;DATE($B$3,10,17),'Leave log'!$C$7:$C$306,"&gt;="&amp;DATE($B$3,10,17),'Leave log'!$F$7:$F$306,"Approved")&gt;0,"A",""))="A","A",IF(OR(DATE($B$3,10,17)&gt;EOMONTH(DATE($B$3,10,1),0),NETWORKDAYS.INTL(DATE($B$3,10,17),DATE($B$3,10,17),1,'Non-working days'!$A$6:$A$45)=0),"",IF(COUNTIFS('Leave log'!$A$7:$A$306,Employees!$A$30,'Leave log'!$B$7:$B$306,"&lt;="&amp;DATE($B$3,10,17),'Leave log'!$C$7:$C$306,"&gt;="&amp;DATE($B$3,10,17),'Leave log'!$F$7:$F$306,"Pending")&gt;0,"P",""))))</f>
        <v/>
      </c>
      <c r="S337" s="23" t="str">
        <f>IF(A337="","",IF(IF(OR(DATE($B$3,10,18)&gt;EOMONTH(DATE($B$3,10,1),0),NETWORKDAYS.INTL(DATE($B$3,10,18),DATE($B$3,10,18),1,'Non-working days'!$A$6:$A$45)=0),"",IF(COUNTIFS('Leave log'!$A$7:$A$306,Employees!$A$30,'Leave log'!$B$7:$B$306,"&lt;="&amp;DATE($B$3,10,18),'Leave log'!$C$7:$C$306,"&gt;="&amp;DATE($B$3,10,18),'Leave log'!$F$7:$F$306,"Approved")&gt;0,"A",""))="A","A",IF(OR(DATE($B$3,10,18)&gt;EOMONTH(DATE($B$3,10,1),0),NETWORKDAYS.INTL(DATE($B$3,10,18),DATE($B$3,10,18),1,'Non-working days'!$A$6:$A$45)=0),"",IF(COUNTIFS('Leave log'!$A$7:$A$306,Employees!$A$30,'Leave log'!$B$7:$B$306,"&lt;="&amp;DATE($B$3,10,18),'Leave log'!$C$7:$C$306,"&gt;="&amp;DATE($B$3,10,18),'Leave log'!$F$7:$F$306,"Pending")&gt;0,"P",""))))</f>
        <v/>
      </c>
      <c r="T337" s="23" t="str">
        <f>IF(A337="","",IF(IF(OR(DATE($B$3,10,19)&gt;EOMONTH(DATE($B$3,10,1),0),NETWORKDAYS.INTL(DATE($B$3,10,19),DATE($B$3,10,19),1,'Non-working days'!$A$6:$A$45)=0),"",IF(COUNTIFS('Leave log'!$A$7:$A$306,Employees!$A$30,'Leave log'!$B$7:$B$306,"&lt;="&amp;DATE($B$3,10,19),'Leave log'!$C$7:$C$306,"&gt;="&amp;DATE($B$3,10,19),'Leave log'!$F$7:$F$306,"Approved")&gt;0,"A",""))="A","A",IF(OR(DATE($B$3,10,19)&gt;EOMONTH(DATE($B$3,10,1),0),NETWORKDAYS.INTL(DATE($B$3,10,19),DATE($B$3,10,19),1,'Non-working days'!$A$6:$A$45)=0),"",IF(COUNTIFS('Leave log'!$A$7:$A$306,Employees!$A$30,'Leave log'!$B$7:$B$306,"&lt;="&amp;DATE($B$3,10,19),'Leave log'!$C$7:$C$306,"&gt;="&amp;DATE($B$3,10,19),'Leave log'!$F$7:$F$306,"Pending")&gt;0,"P",""))))</f>
        <v/>
      </c>
      <c r="U337" s="23" t="str">
        <f>IF(A337="","",IF(IF(OR(DATE($B$3,10,20)&gt;EOMONTH(DATE($B$3,10,1),0),NETWORKDAYS.INTL(DATE($B$3,10,20),DATE($B$3,10,20),1,'Non-working days'!$A$6:$A$45)=0),"",IF(COUNTIFS('Leave log'!$A$7:$A$306,Employees!$A$30,'Leave log'!$B$7:$B$306,"&lt;="&amp;DATE($B$3,10,20),'Leave log'!$C$7:$C$306,"&gt;="&amp;DATE($B$3,10,20),'Leave log'!$F$7:$F$306,"Approved")&gt;0,"A",""))="A","A",IF(OR(DATE($B$3,10,20)&gt;EOMONTH(DATE($B$3,10,1),0),NETWORKDAYS.INTL(DATE($B$3,10,20),DATE($B$3,10,20),1,'Non-working days'!$A$6:$A$45)=0),"",IF(COUNTIFS('Leave log'!$A$7:$A$306,Employees!$A$30,'Leave log'!$B$7:$B$306,"&lt;="&amp;DATE($B$3,10,20),'Leave log'!$C$7:$C$306,"&gt;="&amp;DATE($B$3,10,20),'Leave log'!$F$7:$F$306,"Pending")&gt;0,"P",""))))</f>
        <v/>
      </c>
      <c r="V337" s="23" t="str">
        <f>IF(A337="","",IF(IF(OR(DATE($B$3,10,21)&gt;EOMONTH(DATE($B$3,10,1),0),NETWORKDAYS.INTL(DATE($B$3,10,21),DATE($B$3,10,21),1,'Non-working days'!$A$6:$A$45)=0),"",IF(COUNTIFS('Leave log'!$A$7:$A$306,Employees!$A$30,'Leave log'!$B$7:$B$306,"&lt;="&amp;DATE($B$3,10,21),'Leave log'!$C$7:$C$306,"&gt;="&amp;DATE($B$3,10,21),'Leave log'!$F$7:$F$306,"Approved")&gt;0,"A",""))="A","A",IF(OR(DATE($B$3,10,21)&gt;EOMONTH(DATE($B$3,10,1),0),NETWORKDAYS.INTL(DATE($B$3,10,21),DATE($B$3,10,21),1,'Non-working days'!$A$6:$A$45)=0),"",IF(COUNTIFS('Leave log'!$A$7:$A$306,Employees!$A$30,'Leave log'!$B$7:$B$306,"&lt;="&amp;DATE($B$3,10,21),'Leave log'!$C$7:$C$306,"&gt;="&amp;DATE($B$3,10,21),'Leave log'!$F$7:$F$306,"Pending")&gt;0,"P",""))))</f>
        <v/>
      </c>
      <c r="W337" s="23" t="str">
        <f>IF(A337="","",IF(IF(OR(DATE($B$3,10,22)&gt;EOMONTH(DATE($B$3,10,1),0),NETWORKDAYS.INTL(DATE($B$3,10,22),DATE($B$3,10,22),1,'Non-working days'!$A$6:$A$45)=0),"",IF(COUNTIFS('Leave log'!$A$7:$A$306,Employees!$A$30,'Leave log'!$B$7:$B$306,"&lt;="&amp;DATE($B$3,10,22),'Leave log'!$C$7:$C$306,"&gt;="&amp;DATE($B$3,10,22),'Leave log'!$F$7:$F$306,"Approved")&gt;0,"A",""))="A","A",IF(OR(DATE($B$3,10,22)&gt;EOMONTH(DATE($B$3,10,1),0),NETWORKDAYS.INTL(DATE($B$3,10,22),DATE($B$3,10,22),1,'Non-working days'!$A$6:$A$45)=0),"",IF(COUNTIFS('Leave log'!$A$7:$A$306,Employees!$A$30,'Leave log'!$B$7:$B$306,"&lt;="&amp;DATE($B$3,10,22),'Leave log'!$C$7:$C$306,"&gt;="&amp;DATE($B$3,10,22),'Leave log'!$F$7:$F$306,"Pending")&gt;0,"P",""))))</f>
        <v/>
      </c>
      <c r="X337" s="23" t="str">
        <f>IF(A337="","",IF(IF(OR(DATE($B$3,10,23)&gt;EOMONTH(DATE($B$3,10,1),0),NETWORKDAYS.INTL(DATE($B$3,10,23),DATE($B$3,10,23),1,'Non-working days'!$A$6:$A$45)=0),"",IF(COUNTIFS('Leave log'!$A$7:$A$306,Employees!$A$30,'Leave log'!$B$7:$B$306,"&lt;="&amp;DATE($B$3,10,23),'Leave log'!$C$7:$C$306,"&gt;="&amp;DATE($B$3,10,23),'Leave log'!$F$7:$F$306,"Approved")&gt;0,"A",""))="A","A",IF(OR(DATE($B$3,10,23)&gt;EOMONTH(DATE($B$3,10,1),0),NETWORKDAYS.INTL(DATE($B$3,10,23),DATE($B$3,10,23),1,'Non-working days'!$A$6:$A$45)=0),"",IF(COUNTIFS('Leave log'!$A$7:$A$306,Employees!$A$30,'Leave log'!$B$7:$B$306,"&lt;="&amp;DATE($B$3,10,23),'Leave log'!$C$7:$C$306,"&gt;="&amp;DATE($B$3,10,23),'Leave log'!$F$7:$F$306,"Pending")&gt;0,"P",""))))</f>
        <v/>
      </c>
      <c r="Y337" s="23" t="str">
        <f>IF(A337="","",IF(IF(OR(DATE($B$3,10,24)&gt;EOMONTH(DATE($B$3,10,1),0),NETWORKDAYS.INTL(DATE($B$3,10,24),DATE($B$3,10,24),1,'Non-working days'!$A$6:$A$45)=0),"",IF(COUNTIFS('Leave log'!$A$7:$A$306,Employees!$A$30,'Leave log'!$B$7:$B$306,"&lt;="&amp;DATE($B$3,10,24),'Leave log'!$C$7:$C$306,"&gt;="&amp;DATE($B$3,10,24),'Leave log'!$F$7:$F$306,"Approved")&gt;0,"A",""))="A","A",IF(OR(DATE($B$3,10,24)&gt;EOMONTH(DATE($B$3,10,1),0),NETWORKDAYS.INTL(DATE($B$3,10,24),DATE($B$3,10,24),1,'Non-working days'!$A$6:$A$45)=0),"",IF(COUNTIFS('Leave log'!$A$7:$A$306,Employees!$A$30,'Leave log'!$B$7:$B$306,"&lt;="&amp;DATE($B$3,10,24),'Leave log'!$C$7:$C$306,"&gt;="&amp;DATE($B$3,10,24),'Leave log'!$F$7:$F$306,"Pending")&gt;0,"P",""))))</f>
        <v/>
      </c>
      <c r="Z337" s="23" t="str">
        <f>IF(A337="","",IF(IF(OR(DATE($B$3,10,25)&gt;EOMONTH(DATE($B$3,10,1),0),NETWORKDAYS.INTL(DATE($B$3,10,25),DATE($B$3,10,25),1,'Non-working days'!$A$6:$A$45)=0),"",IF(COUNTIFS('Leave log'!$A$7:$A$306,Employees!$A$30,'Leave log'!$B$7:$B$306,"&lt;="&amp;DATE($B$3,10,25),'Leave log'!$C$7:$C$306,"&gt;="&amp;DATE($B$3,10,25),'Leave log'!$F$7:$F$306,"Approved")&gt;0,"A",""))="A","A",IF(OR(DATE($B$3,10,25)&gt;EOMONTH(DATE($B$3,10,1),0),NETWORKDAYS.INTL(DATE($B$3,10,25),DATE($B$3,10,25),1,'Non-working days'!$A$6:$A$45)=0),"",IF(COUNTIFS('Leave log'!$A$7:$A$306,Employees!$A$30,'Leave log'!$B$7:$B$306,"&lt;="&amp;DATE($B$3,10,25),'Leave log'!$C$7:$C$306,"&gt;="&amp;DATE($B$3,10,25),'Leave log'!$F$7:$F$306,"Pending")&gt;0,"P",""))))</f>
        <v/>
      </c>
      <c r="AA337" s="23" t="str">
        <f>IF(A337="","",IF(IF(OR(DATE($B$3,10,26)&gt;EOMONTH(DATE($B$3,10,1),0),NETWORKDAYS.INTL(DATE($B$3,10,26),DATE($B$3,10,26),1,'Non-working days'!$A$6:$A$45)=0),"",IF(COUNTIFS('Leave log'!$A$7:$A$306,Employees!$A$30,'Leave log'!$B$7:$B$306,"&lt;="&amp;DATE($B$3,10,26),'Leave log'!$C$7:$C$306,"&gt;="&amp;DATE($B$3,10,26),'Leave log'!$F$7:$F$306,"Approved")&gt;0,"A",""))="A","A",IF(OR(DATE($B$3,10,26)&gt;EOMONTH(DATE($B$3,10,1),0),NETWORKDAYS.INTL(DATE($B$3,10,26),DATE($B$3,10,26),1,'Non-working days'!$A$6:$A$45)=0),"",IF(COUNTIFS('Leave log'!$A$7:$A$306,Employees!$A$30,'Leave log'!$B$7:$B$306,"&lt;="&amp;DATE($B$3,10,26),'Leave log'!$C$7:$C$306,"&gt;="&amp;DATE($B$3,10,26),'Leave log'!$F$7:$F$306,"Pending")&gt;0,"P",""))))</f>
        <v/>
      </c>
      <c r="AB337" s="23" t="str">
        <f>IF(A337="","",IF(IF(OR(DATE($B$3,10,27)&gt;EOMONTH(DATE($B$3,10,1),0),NETWORKDAYS.INTL(DATE($B$3,10,27),DATE($B$3,10,27),1,'Non-working days'!$A$6:$A$45)=0),"",IF(COUNTIFS('Leave log'!$A$7:$A$306,Employees!$A$30,'Leave log'!$B$7:$B$306,"&lt;="&amp;DATE($B$3,10,27),'Leave log'!$C$7:$C$306,"&gt;="&amp;DATE($B$3,10,27),'Leave log'!$F$7:$F$306,"Approved")&gt;0,"A",""))="A","A",IF(OR(DATE($B$3,10,27)&gt;EOMONTH(DATE($B$3,10,1),0),NETWORKDAYS.INTL(DATE($B$3,10,27),DATE($B$3,10,27),1,'Non-working days'!$A$6:$A$45)=0),"",IF(COUNTIFS('Leave log'!$A$7:$A$306,Employees!$A$30,'Leave log'!$B$7:$B$306,"&lt;="&amp;DATE($B$3,10,27),'Leave log'!$C$7:$C$306,"&gt;="&amp;DATE($B$3,10,27),'Leave log'!$F$7:$F$306,"Pending")&gt;0,"P",""))))</f>
        <v/>
      </c>
      <c r="AC337" s="23" t="str">
        <f>IF(A337="","",IF(IF(OR(DATE($B$3,10,28)&gt;EOMONTH(DATE($B$3,10,1),0),NETWORKDAYS.INTL(DATE($B$3,10,28),DATE($B$3,10,28),1,'Non-working days'!$A$6:$A$45)=0),"",IF(COUNTIFS('Leave log'!$A$7:$A$306,Employees!$A$30,'Leave log'!$B$7:$B$306,"&lt;="&amp;DATE($B$3,10,28),'Leave log'!$C$7:$C$306,"&gt;="&amp;DATE($B$3,10,28),'Leave log'!$F$7:$F$306,"Approved")&gt;0,"A",""))="A","A",IF(OR(DATE($B$3,10,28)&gt;EOMONTH(DATE($B$3,10,1),0),NETWORKDAYS.INTL(DATE($B$3,10,28),DATE($B$3,10,28),1,'Non-working days'!$A$6:$A$45)=0),"",IF(COUNTIFS('Leave log'!$A$7:$A$306,Employees!$A$30,'Leave log'!$B$7:$B$306,"&lt;="&amp;DATE($B$3,10,28),'Leave log'!$C$7:$C$306,"&gt;="&amp;DATE($B$3,10,28),'Leave log'!$F$7:$F$306,"Pending")&gt;0,"P",""))))</f>
        <v/>
      </c>
      <c r="AD337" s="23" t="str">
        <f>IF(A337="","",IF(IF(OR(DATE($B$3,10,29)&gt;EOMONTH(DATE($B$3,10,1),0),NETWORKDAYS.INTL(DATE($B$3,10,29),DATE($B$3,10,29),1,'Non-working days'!$A$6:$A$45)=0),"",IF(COUNTIFS('Leave log'!$A$7:$A$306,Employees!$A$30,'Leave log'!$B$7:$B$306,"&lt;="&amp;DATE($B$3,10,29),'Leave log'!$C$7:$C$306,"&gt;="&amp;DATE($B$3,10,29),'Leave log'!$F$7:$F$306,"Approved")&gt;0,"A",""))="A","A",IF(OR(DATE($B$3,10,29)&gt;EOMONTH(DATE($B$3,10,1),0),NETWORKDAYS.INTL(DATE($B$3,10,29),DATE($B$3,10,29),1,'Non-working days'!$A$6:$A$45)=0),"",IF(COUNTIFS('Leave log'!$A$7:$A$306,Employees!$A$30,'Leave log'!$B$7:$B$306,"&lt;="&amp;DATE($B$3,10,29),'Leave log'!$C$7:$C$306,"&gt;="&amp;DATE($B$3,10,29),'Leave log'!$F$7:$F$306,"Pending")&gt;0,"P",""))))</f>
        <v/>
      </c>
      <c r="AE337" s="23" t="str">
        <f>IF(A337="","",IF(IF(OR(DATE($B$3,10,30)&gt;EOMONTH(DATE($B$3,10,1),0),NETWORKDAYS.INTL(DATE($B$3,10,30),DATE($B$3,10,30),1,'Non-working days'!$A$6:$A$45)=0),"",IF(COUNTIFS('Leave log'!$A$7:$A$306,Employees!$A$30,'Leave log'!$B$7:$B$306,"&lt;="&amp;DATE($B$3,10,30),'Leave log'!$C$7:$C$306,"&gt;="&amp;DATE($B$3,10,30),'Leave log'!$F$7:$F$306,"Approved")&gt;0,"A",""))="A","A",IF(OR(DATE($B$3,10,30)&gt;EOMONTH(DATE($B$3,10,1),0),NETWORKDAYS.INTL(DATE($B$3,10,30),DATE($B$3,10,30),1,'Non-working days'!$A$6:$A$45)=0),"",IF(COUNTIFS('Leave log'!$A$7:$A$306,Employees!$A$30,'Leave log'!$B$7:$B$306,"&lt;="&amp;DATE($B$3,10,30),'Leave log'!$C$7:$C$306,"&gt;="&amp;DATE($B$3,10,30),'Leave log'!$F$7:$F$306,"Pending")&gt;0,"P",""))))</f>
        <v/>
      </c>
      <c r="AF337" s="23" t="str">
        <f>IF(A337="","",IF(IF(OR(DATE($B$3,10,31)&gt;EOMONTH(DATE($B$3,10,1),0),NETWORKDAYS.INTL(DATE($B$3,10,31),DATE($B$3,10,31),1,'Non-working days'!$A$6:$A$45)=0),"",IF(COUNTIFS('Leave log'!$A$7:$A$306,Employees!$A$30,'Leave log'!$B$7:$B$306,"&lt;="&amp;DATE($B$3,10,31),'Leave log'!$C$7:$C$306,"&gt;="&amp;DATE($B$3,10,31),'Leave log'!$F$7:$F$306,"Approved")&gt;0,"A",""))="A","A",IF(OR(DATE($B$3,10,31)&gt;EOMONTH(DATE($B$3,10,1),0),NETWORKDAYS.INTL(DATE($B$3,10,31),DATE($B$3,10,31),1,'Non-working days'!$A$6:$A$45)=0),"",IF(COUNTIFS('Leave log'!$A$7:$A$306,Employees!$A$30,'Leave log'!$B$7:$B$306,"&lt;="&amp;DATE($B$3,10,31),'Leave log'!$C$7:$C$306,"&gt;="&amp;DATE($B$3,10,31),'Leave log'!$F$7:$F$306,"Pending")&gt;0,"P",""))))</f>
        <v/>
      </c>
    </row>
    <row r="338" spans="1:32" ht="18" customHeight="1" x14ac:dyDescent="0.3">
      <c r="A338" s="22" t="str">
        <f>IF(Employees!F31="Yes",Employees!B31,"")</f>
        <v/>
      </c>
      <c r="B338" s="23" t="str">
        <f>IF(A338="","",IF(IF(OR(DATE($B$3,10,1)&gt;EOMONTH(DATE($B$3,10,1),0),NETWORKDAYS.INTL(DATE($B$3,10,1),DATE($B$3,10,1),1,'Non-working days'!$A$6:$A$45)=0),"",IF(COUNTIFS('Leave log'!$A$7:$A$306,Employees!$A$31,'Leave log'!$B$7:$B$306,"&lt;="&amp;DATE($B$3,10,1),'Leave log'!$C$7:$C$306,"&gt;="&amp;DATE($B$3,10,1),'Leave log'!$F$7:$F$306,"Approved")&gt;0,"A",""))="A","A",IF(OR(DATE($B$3,10,1)&gt;EOMONTH(DATE($B$3,10,1),0),NETWORKDAYS.INTL(DATE($B$3,10,1),DATE($B$3,10,1),1,'Non-working days'!$A$6:$A$45)=0),"",IF(COUNTIFS('Leave log'!$A$7:$A$306,Employees!$A$31,'Leave log'!$B$7:$B$306,"&lt;="&amp;DATE($B$3,10,1),'Leave log'!$C$7:$C$306,"&gt;="&amp;DATE($B$3,10,1),'Leave log'!$F$7:$F$306,"Pending")&gt;0,"P",""))))</f>
        <v/>
      </c>
      <c r="C338" s="23" t="str">
        <f>IF(A338="","",IF(IF(OR(DATE($B$3,10,2)&gt;EOMONTH(DATE($B$3,10,1),0),NETWORKDAYS.INTL(DATE($B$3,10,2),DATE($B$3,10,2),1,'Non-working days'!$A$6:$A$45)=0),"",IF(COUNTIFS('Leave log'!$A$7:$A$306,Employees!$A$31,'Leave log'!$B$7:$B$306,"&lt;="&amp;DATE($B$3,10,2),'Leave log'!$C$7:$C$306,"&gt;="&amp;DATE($B$3,10,2),'Leave log'!$F$7:$F$306,"Approved")&gt;0,"A",""))="A","A",IF(OR(DATE($B$3,10,2)&gt;EOMONTH(DATE($B$3,10,1),0),NETWORKDAYS.INTL(DATE($B$3,10,2),DATE($B$3,10,2),1,'Non-working days'!$A$6:$A$45)=0),"",IF(COUNTIFS('Leave log'!$A$7:$A$306,Employees!$A$31,'Leave log'!$B$7:$B$306,"&lt;="&amp;DATE($B$3,10,2),'Leave log'!$C$7:$C$306,"&gt;="&amp;DATE($B$3,10,2),'Leave log'!$F$7:$F$306,"Pending")&gt;0,"P",""))))</f>
        <v/>
      </c>
      <c r="D338" s="23" t="str">
        <f>IF(A338="","",IF(IF(OR(DATE($B$3,10,3)&gt;EOMONTH(DATE($B$3,10,1),0),NETWORKDAYS.INTL(DATE($B$3,10,3),DATE($B$3,10,3),1,'Non-working days'!$A$6:$A$45)=0),"",IF(COUNTIFS('Leave log'!$A$7:$A$306,Employees!$A$31,'Leave log'!$B$7:$B$306,"&lt;="&amp;DATE($B$3,10,3),'Leave log'!$C$7:$C$306,"&gt;="&amp;DATE($B$3,10,3),'Leave log'!$F$7:$F$306,"Approved")&gt;0,"A",""))="A","A",IF(OR(DATE($B$3,10,3)&gt;EOMONTH(DATE($B$3,10,1),0),NETWORKDAYS.INTL(DATE($B$3,10,3),DATE($B$3,10,3),1,'Non-working days'!$A$6:$A$45)=0),"",IF(COUNTIFS('Leave log'!$A$7:$A$306,Employees!$A$31,'Leave log'!$B$7:$B$306,"&lt;="&amp;DATE($B$3,10,3),'Leave log'!$C$7:$C$306,"&gt;="&amp;DATE($B$3,10,3),'Leave log'!$F$7:$F$306,"Pending")&gt;0,"P",""))))</f>
        <v/>
      </c>
      <c r="E338" s="23" t="str">
        <f>IF(A338="","",IF(IF(OR(DATE($B$3,10,4)&gt;EOMONTH(DATE($B$3,10,1),0),NETWORKDAYS.INTL(DATE($B$3,10,4),DATE($B$3,10,4),1,'Non-working days'!$A$6:$A$45)=0),"",IF(COUNTIFS('Leave log'!$A$7:$A$306,Employees!$A$31,'Leave log'!$B$7:$B$306,"&lt;="&amp;DATE($B$3,10,4),'Leave log'!$C$7:$C$306,"&gt;="&amp;DATE($B$3,10,4),'Leave log'!$F$7:$F$306,"Approved")&gt;0,"A",""))="A","A",IF(OR(DATE($B$3,10,4)&gt;EOMONTH(DATE($B$3,10,1),0),NETWORKDAYS.INTL(DATE($B$3,10,4),DATE($B$3,10,4),1,'Non-working days'!$A$6:$A$45)=0),"",IF(COUNTIFS('Leave log'!$A$7:$A$306,Employees!$A$31,'Leave log'!$B$7:$B$306,"&lt;="&amp;DATE($B$3,10,4),'Leave log'!$C$7:$C$306,"&gt;="&amp;DATE($B$3,10,4),'Leave log'!$F$7:$F$306,"Pending")&gt;0,"P",""))))</f>
        <v/>
      </c>
      <c r="F338" s="23" t="str">
        <f>IF(A338="","",IF(IF(OR(DATE($B$3,10,5)&gt;EOMONTH(DATE($B$3,10,1),0),NETWORKDAYS.INTL(DATE($B$3,10,5),DATE($B$3,10,5),1,'Non-working days'!$A$6:$A$45)=0),"",IF(COUNTIFS('Leave log'!$A$7:$A$306,Employees!$A$31,'Leave log'!$B$7:$B$306,"&lt;="&amp;DATE($B$3,10,5),'Leave log'!$C$7:$C$306,"&gt;="&amp;DATE($B$3,10,5),'Leave log'!$F$7:$F$306,"Approved")&gt;0,"A",""))="A","A",IF(OR(DATE($B$3,10,5)&gt;EOMONTH(DATE($B$3,10,1),0),NETWORKDAYS.INTL(DATE($B$3,10,5),DATE($B$3,10,5),1,'Non-working days'!$A$6:$A$45)=0),"",IF(COUNTIFS('Leave log'!$A$7:$A$306,Employees!$A$31,'Leave log'!$B$7:$B$306,"&lt;="&amp;DATE($B$3,10,5),'Leave log'!$C$7:$C$306,"&gt;="&amp;DATE($B$3,10,5),'Leave log'!$F$7:$F$306,"Pending")&gt;0,"P",""))))</f>
        <v/>
      </c>
      <c r="G338" s="23" t="str">
        <f>IF(A338="","",IF(IF(OR(DATE($B$3,10,6)&gt;EOMONTH(DATE($B$3,10,1),0),NETWORKDAYS.INTL(DATE($B$3,10,6),DATE($B$3,10,6),1,'Non-working days'!$A$6:$A$45)=0),"",IF(COUNTIFS('Leave log'!$A$7:$A$306,Employees!$A$31,'Leave log'!$B$7:$B$306,"&lt;="&amp;DATE($B$3,10,6),'Leave log'!$C$7:$C$306,"&gt;="&amp;DATE($B$3,10,6),'Leave log'!$F$7:$F$306,"Approved")&gt;0,"A",""))="A","A",IF(OR(DATE($B$3,10,6)&gt;EOMONTH(DATE($B$3,10,1),0),NETWORKDAYS.INTL(DATE($B$3,10,6),DATE($B$3,10,6),1,'Non-working days'!$A$6:$A$45)=0),"",IF(COUNTIFS('Leave log'!$A$7:$A$306,Employees!$A$31,'Leave log'!$B$7:$B$306,"&lt;="&amp;DATE($B$3,10,6),'Leave log'!$C$7:$C$306,"&gt;="&amp;DATE($B$3,10,6),'Leave log'!$F$7:$F$306,"Pending")&gt;0,"P",""))))</f>
        <v/>
      </c>
      <c r="H338" s="23" t="str">
        <f>IF(A338="","",IF(IF(OR(DATE($B$3,10,7)&gt;EOMONTH(DATE($B$3,10,1),0),NETWORKDAYS.INTL(DATE($B$3,10,7),DATE($B$3,10,7),1,'Non-working days'!$A$6:$A$45)=0),"",IF(COUNTIFS('Leave log'!$A$7:$A$306,Employees!$A$31,'Leave log'!$B$7:$B$306,"&lt;="&amp;DATE($B$3,10,7),'Leave log'!$C$7:$C$306,"&gt;="&amp;DATE($B$3,10,7),'Leave log'!$F$7:$F$306,"Approved")&gt;0,"A",""))="A","A",IF(OR(DATE($B$3,10,7)&gt;EOMONTH(DATE($B$3,10,1),0),NETWORKDAYS.INTL(DATE($B$3,10,7),DATE($B$3,10,7),1,'Non-working days'!$A$6:$A$45)=0),"",IF(COUNTIFS('Leave log'!$A$7:$A$306,Employees!$A$31,'Leave log'!$B$7:$B$306,"&lt;="&amp;DATE($B$3,10,7),'Leave log'!$C$7:$C$306,"&gt;="&amp;DATE($B$3,10,7),'Leave log'!$F$7:$F$306,"Pending")&gt;0,"P",""))))</f>
        <v/>
      </c>
      <c r="I338" s="23" t="str">
        <f>IF(A338="","",IF(IF(OR(DATE($B$3,10,8)&gt;EOMONTH(DATE($B$3,10,1),0),NETWORKDAYS.INTL(DATE($B$3,10,8),DATE($B$3,10,8),1,'Non-working days'!$A$6:$A$45)=0),"",IF(COUNTIFS('Leave log'!$A$7:$A$306,Employees!$A$31,'Leave log'!$B$7:$B$306,"&lt;="&amp;DATE($B$3,10,8),'Leave log'!$C$7:$C$306,"&gt;="&amp;DATE($B$3,10,8),'Leave log'!$F$7:$F$306,"Approved")&gt;0,"A",""))="A","A",IF(OR(DATE($B$3,10,8)&gt;EOMONTH(DATE($B$3,10,1),0),NETWORKDAYS.INTL(DATE($B$3,10,8),DATE($B$3,10,8),1,'Non-working days'!$A$6:$A$45)=0),"",IF(COUNTIFS('Leave log'!$A$7:$A$306,Employees!$A$31,'Leave log'!$B$7:$B$306,"&lt;="&amp;DATE($B$3,10,8),'Leave log'!$C$7:$C$306,"&gt;="&amp;DATE($B$3,10,8),'Leave log'!$F$7:$F$306,"Pending")&gt;0,"P",""))))</f>
        <v/>
      </c>
      <c r="J338" s="23" t="str">
        <f>IF(A338="","",IF(IF(OR(DATE($B$3,10,9)&gt;EOMONTH(DATE($B$3,10,1),0),NETWORKDAYS.INTL(DATE($B$3,10,9),DATE($B$3,10,9),1,'Non-working days'!$A$6:$A$45)=0),"",IF(COUNTIFS('Leave log'!$A$7:$A$306,Employees!$A$31,'Leave log'!$B$7:$B$306,"&lt;="&amp;DATE($B$3,10,9),'Leave log'!$C$7:$C$306,"&gt;="&amp;DATE($B$3,10,9),'Leave log'!$F$7:$F$306,"Approved")&gt;0,"A",""))="A","A",IF(OR(DATE($B$3,10,9)&gt;EOMONTH(DATE($B$3,10,1),0),NETWORKDAYS.INTL(DATE($B$3,10,9),DATE($B$3,10,9),1,'Non-working days'!$A$6:$A$45)=0),"",IF(COUNTIFS('Leave log'!$A$7:$A$306,Employees!$A$31,'Leave log'!$B$7:$B$306,"&lt;="&amp;DATE($B$3,10,9),'Leave log'!$C$7:$C$306,"&gt;="&amp;DATE($B$3,10,9),'Leave log'!$F$7:$F$306,"Pending")&gt;0,"P",""))))</f>
        <v/>
      </c>
      <c r="K338" s="23" t="str">
        <f>IF(A338="","",IF(IF(OR(DATE($B$3,10,10)&gt;EOMONTH(DATE($B$3,10,1),0),NETWORKDAYS.INTL(DATE($B$3,10,10),DATE($B$3,10,10),1,'Non-working days'!$A$6:$A$45)=0),"",IF(COUNTIFS('Leave log'!$A$7:$A$306,Employees!$A$31,'Leave log'!$B$7:$B$306,"&lt;="&amp;DATE($B$3,10,10),'Leave log'!$C$7:$C$306,"&gt;="&amp;DATE($B$3,10,10),'Leave log'!$F$7:$F$306,"Approved")&gt;0,"A",""))="A","A",IF(OR(DATE($B$3,10,10)&gt;EOMONTH(DATE($B$3,10,1),0),NETWORKDAYS.INTL(DATE($B$3,10,10),DATE($B$3,10,10),1,'Non-working days'!$A$6:$A$45)=0),"",IF(COUNTIFS('Leave log'!$A$7:$A$306,Employees!$A$31,'Leave log'!$B$7:$B$306,"&lt;="&amp;DATE($B$3,10,10),'Leave log'!$C$7:$C$306,"&gt;="&amp;DATE($B$3,10,10),'Leave log'!$F$7:$F$306,"Pending")&gt;0,"P",""))))</f>
        <v/>
      </c>
      <c r="L338" s="23" t="str">
        <f>IF(A338="","",IF(IF(OR(DATE($B$3,10,11)&gt;EOMONTH(DATE($B$3,10,1),0),NETWORKDAYS.INTL(DATE($B$3,10,11),DATE($B$3,10,11),1,'Non-working days'!$A$6:$A$45)=0),"",IF(COUNTIFS('Leave log'!$A$7:$A$306,Employees!$A$31,'Leave log'!$B$7:$B$306,"&lt;="&amp;DATE($B$3,10,11),'Leave log'!$C$7:$C$306,"&gt;="&amp;DATE($B$3,10,11),'Leave log'!$F$7:$F$306,"Approved")&gt;0,"A",""))="A","A",IF(OR(DATE($B$3,10,11)&gt;EOMONTH(DATE($B$3,10,1),0),NETWORKDAYS.INTL(DATE($B$3,10,11),DATE($B$3,10,11),1,'Non-working days'!$A$6:$A$45)=0),"",IF(COUNTIFS('Leave log'!$A$7:$A$306,Employees!$A$31,'Leave log'!$B$7:$B$306,"&lt;="&amp;DATE($B$3,10,11),'Leave log'!$C$7:$C$306,"&gt;="&amp;DATE($B$3,10,11),'Leave log'!$F$7:$F$306,"Pending")&gt;0,"P",""))))</f>
        <v/>
      </c>
      <c r="M338" s="23" t="str">
        <f>IF(A338="","",IF(IF(OR(DATE($B$3,10,12)&gt;EOMONTH(DATE($B$3,10,1),0),NETWORKDAYS.INTL(DATE($B$3,10,12),DATE($B$3,10,12),1,'Non-working days'!$A$6:$A$45)=0),"",IF(COUNTIFS('Leave log'!$A$7:$A$306,Employees!$A$31,'Leave log'!$B$7:$B$306,"&lt;="&amp;DATE($B$3,10,12),'Leave log'!$C$7:$C$306,"&gt;="&amp;DATE($B$3,10,12),'Leave log'!$F$7:$F$306,"Approved")&gt;0,"A",""))="A","A",IF(OR(DATE($B$3,10,12)&gt;EOMONTH(DATE($B$3,10,1),0),NETWORKDAYS.INTL(DATE($B$3,10,12),DATE($B$3,10,12),1,'Non-working days'!$A$6:$A$45)=0),"",IF(COUNTIFS('Leave log'!$A$7:$A$306,Employees!$A$31,'Leave log'!$B$7:$B$306,"&lt;="&amp;DATE($B$3,10,12),'Leave log'!$C$7:$C$306,"&gt;="&amp;DATE($B$3,10,12),'Leave log'!$F$7:$F$306,"Pending")&gt;0,"P",""))))</f>
        <v/>
      </c>
      <c r="N338" s="23" t="str">
        <f>IF(A338="","",IF(IF(OR(DATE($B$3,10,13)&gt;EOMONTH(DATE($B$3,10,1),0),NETWORKDAYS.INTL(DATE($B$3,10,13),DATE($B$3,10,13),1,'Non-working days'!$A$6:$A$45)=0),"",IF(COUNTIFS('Leave log'!$A$7:$A$306,Employees!$A$31,'Leave log'!$B$7:$B$306,"&lt;="&amp;DATE($B$3,10,13),'Leave log'!$C$7:$C$306,"&gt;="&amp;DATE($B$3,10,13),'Leave log'!$F$7:$F$306,"Approved")&gt;0,"A",""))="A","A",IF(OR(DATE($B$3,10,13)&gt;EOMONTH(DATE($B$3,10,1),0),NETWORKDAYS.INTL(DATE($B$3,10,13),DATE($B$3,10,13),1,'Non-working days'!$A$6:$A$45)=0),"",IF(COUNTIFS('Leave log'!$A$7:$A$306,Employees!$A$31,'Leave log'!$B$7:$B$306,"&lt;="&amp;DATE($B$3,10,13),'Leave log'!$C$7:$C$306,"&gt;="&amp;DATE($B$3,10,13),'Leave log'!$F$7:$F$306,"Pending")&gt;0,"P",""))))</f>
        <v/>
      </c>
      <c r="O338" s="23" t="str">
        <f>IF(A338="","",IF(IF(OR(DATE($B$3,10,14)&gt;EOMONTH(DATE($B$3,10,1),0),NETWORKDAYS.INTL(DATE($B$3,10,14),DATE($B$3,10,14),1,'Non-working days'!$A$6:$A$45)=0),"",IF(COUNTIFS('Leave log'!$A$7:$A$306,Employees!$A$31,'Leave log'!$B$7:$B$306,"&lt;="&amp;DATE($B$3,10,14),'Leave log'!$C$7:$C$306,"&gt;="&amp;DATE($B$3,10,14),'Leave log'!$F$7:$F$306,"Approved")&gt;0,"A",""))="A","A",IF(OR(DATE($B$3,10,14)&gt;EOMONTH(DATE($B$3,10,1),0),NETWORKDAYS.INTL(DATE($B$3,10,14),DATE($B$3,10,14),1,'Non-working days'!$A$6:$A$45)=0),"",IF(COUNTIFS('Leave log'!$A$7:$A$306,Employees!$A$31,'Leave log'!$B$7:$B$306,"&lt;="&amp;DATE($B$3,10,14),'Leave log'!$C$7:$C$306,"&gt;="&amp;DATE($B$3,10,14),'Leave log'!$F$7:$F$306,"Pending")&gt;0,"P",""))))</f>
        <v/>
      </c>
      <c r="P338" s="23" t="str">
        <f>IF(A338="","",IF(IF(OR(DATE($B$3,10,15)&gt;EOMONTH(DATE($B$3,10,1),0),NETWORKDAYS.INTL(DATE($B$3,10,15),DATE($B$3,10,15),1,'Non-working days'!$A$6:$A$45)=0),"",IF(COUNTIFS('Leave log'!$A$7:$A$306,Employees!$A$31,'Leave log'!$B$7:$B$306,"&lt;="&amp;DATE($B$3,10,15),'Leave log'!$C$7:$C$306,"&gt;="&amp;DATE($B$3,10,15),'Leave log'!$F$7:$F$306,"Approved")&gt;0,"A",""))="A","A",IF(OR(DATE($B$3,10,15)&gt;EOMONTH(DATE($B$3,10,1),0),NETWORKDAYS.INTL(DATE($B$3,10,15),DATE($B$3,10,15),1,'Non-working days'!$A$6:$A$45)=0),"",IF(COUNTIFS('Leave log'!$A$7:$A$306,Employees!$A$31,'Leave log'!$B$7:$B$306,"&lt;="&amp;DATE($B$3,10,15),'Leave log'!$C$7:$C$306,"&gt;="&amp;DATE($B$3,10,15),'Leave log'!$F$7:$F$306,"Pending")&gt;0,"P",""))))</f>
        <v/>
      </c>
      <c r="Q338" s="23" t="str">
        <f>IF(A338="","",IF(IF(OR(DATE($B$3,10,16)&gt;EOMONTH(DATE($B$3,10,1),0),NETWORKDAYS.INTL(DATE($B$3,10,16),DATE($B$3,10,16),1,'Non-working days'!$A$6:$A$45)=0),"",IF(COUNTIFS('Leave log'!$A$7:$A$306,Employees!$A$31,'Leave log'!$B$7:$B$306,"&lt;="&amp;DATE($B$3,10,16),'Leave log'!$C$7:$C$306,"&gt;="&amp;DATE($B$3,10,16),'Leave log'!$F$7:$F$306,"Approved")&gt;0,"A",""))="A","A",IF(OR(DATE($B$3,10,16)&gt;EOMONTH(DATE($B$3,10,1),0),NETWORKDAYS.INTL(DATE($B$3,10,16),DATE($B$3,10,16),1,'Non-working days'!$A$6:$A$45)=0),"",IF(COUNTIFS('Leave log'!$A$7:$A$306,Employees!$A$31,'Leave log'!$B$7:$B$306,"&lt;="&amp;DATE($B$3,10,16),'Leave log'!$C$7:$C$306,"&gt;="&amp;DATE($B$3,10,16),'Leave log'!$F$7:$F$306,"Pending")&gt;0,"P",""))))</f>
        <v/>
      </c>
      <c r="R338" s="23" t="str">
        <f>IF(A338="","",IF(IF(OR(DATE($B$3,10,17)&gt;EOMONTH(DATE($B$3,10,1),0),NETWORKDAYS.INTL(DATE($B$3,10,17),DATE($B$3,10,17),1,'Non-working days'!$A$6:$A$45)=0),"",IF(COUNTIFS('Leave log'!$A$7:$A$306,Employees!$A$31,'Leave log'!$B$7:$B$306,"&lt;="&amp;DATE($B$3,10,17),'Leave log'!$C$7:$C$306,"&gt;="&amp;DATE($B$3,10,17),'Leave log'!$F$7:$F$306,"Approved")&gt;0,"A",""))="A","A",IF(OR(DATE($B$3,10,17)&gt;EOMONTH(DATE($B$3,10,1),0),NETWORKDAYS.INTL(DATE($B$3,10,17),DATE($B$3,10,17),1,'Non-working days'!$A$6:$A$45)=0),"",IF(COUNTIFS('Leave log'!$A$7:$A$306,Employees!$A$31,'Leave log'!$B$7:$B$306,"&lt;="&amp;DATE($B$3,10,17),'Leave log'!$C$7:$C$306,"&gt;="&amp;DATE($B$3,10,17),'Leave log'!$F$7:$F$306,"Pending")&gt;0,"P",""))))</f>
        <v/>
      </c>
      <c r="S338" s="23" t="str">
        <f>IF(A338="","",IF(IF(OR(DATE($B$3,10,18)&gt;EOMONTH(DATE($B$3,10,1),0),NETWORKDAYS.INTL(DATE($B$3,10,18),DATE($B$3,10,18),1,'Non-working days'!$A$6:$A$45)=0),"",IF(COUNTIFS('Leave log'!$A$7:$A$306,Employees!$A$31,'Leave log'!$B$7:$B$306,"&lt;="&amp;DATE($B$3,10,18),'Leave log'!$C$7:$C$306,"&gt;="&amp;DATE($B$3,10,18),'Leave log'!$F$7:$F$306,"Approved")&gt;0,"A",""))="A","A",IF(OR(DATE($B$3,10,18)&gt;EOMONTH(DATE($B$3,10,1),0),NETWORKDAYS.INTL(DATE($B$3,10,18),DATE($B$3,10,18),1,'Non-working days'!$A$6:$A$45)=0),"",IF(COUNTIFS('Leave log'!$A$7:$A$306,Employees!$A$31,'Leave log'!$B$7:$B$306,"&lt;="&amp;DATE($B$3,10,18),'Leave log'!$C$7:$C$306,"&gt;="&amp;DATE($B$3,10,18),'Leave log'!$F$7:$F$306,"Pending")&gt;0,"P",""))))</f>
        <v/>
      </c>
      <c r="T338" s="23" t="str">
        <f>IF(A338="","",IF(IF(OR(DATE($B$3,10,19)&gt;EOMONTH(DATE($B$3,10,1),0),NETWORKDAYS.INTL(DATE($B$3,10,19),DATE($B$3,10,19),1,'Non-working days'!$A$6:$A$45)=0),"",IF(COUNTIFS('Leave log'!$A$7:$A$306,Employees!$A$31,'Leave log'!$B$7:$B$306,"&lt;="&amp;DATE($B$3,10,19),'Leave log'!$C$7:$C$306,"&gt;="&amp;DATE($B$3,10,19),'Leave log'!$F$7:$F$306,"Approved")&gt;0,"A",""))="A","A",IF(OR(DATE($B$3,10,19)&gt;EOMONTH(DATE($B$3,10,1),0),NETWORKDAYS.INTL(DATE($B$3,10,19),DATE($B$3,10,19),1,'Non-working days'!$A$6:$A$45)=0),"",IF(COUNTIFS('Leave log'!$A$7:$A$306,Employees!$A$31,'Leave log'!$B$7:$B$306,"&lt;="&amp;DATE($B$3,10,19),'Leave log'!$C$7:$C$306,"&gt;="&amp;DATE($B$3,10,19),'Leave log'!$F$7:$F$306,"Pending")&gt;0,"P",""))))</f>
        <v/>
      </c>
      <c r="U338" s="23" t="str">
        <f>IF(A338="","",IF(IF(OR(DATE($B$3,10,20)&gt;EOMONTH(DATE($B$3,10,1),0),NETWORKDAYS.INTL(DATE($B$3,10,20),DATE($B$3,10,20),1,'Non-working days'!$A$6:$A$45)=0),"",IF(COUNTIFS('Leave log'!$A$7:$A$306,Employees!$A$31,'Leave log'!$B$7:$B$306,"&lt;="&amp;DATE($B$3,10,20),'Leave log'!$C$7:$C$306,"&gt;="&amp;DATE($B$3,10,20),'Leave log'!$F$7:$F$306,"Approved")&gt;0,"A",""))="A","A",IF(OR(DATE($B$3,10,20)&gt;EOMONTH(DATE($B$3,10,1),0),NETWORKDAYS.INTL(DATE($B$3,10,20),DATE($B$3,10,20),1,'Non-working days'!$A$6:$A$45)=0),"",IF(COUNTIFS('Leave log'!$A$7:$A$306,Employees!$A$31,'Leave log'!$B$7:$B$306,"&lt;="&amp;DATE($B$3,10,20),'Leave log'!$C$7:$C$306,"&gt;="&amp;DATE($B$3,10,20),'Leave log'!$F$7:$F$306,"Pending")&gt;0,"P",""))))</f>
        <v/>
      </c>
      <c r="V338" s="23" t="str">
        <f>IF(A338="","",IF(IF(OR(DATE($B$3,10,21)&gt;EOMONTH(DATE($B$3,10,1),0),NETWORKDAYS.INTL(DATE($B$3,10,21),DATE($B$3,10,21),1,'Non-working days'!$A$6:$A$45)=0),"",IF(COUNTIFS('Leave log'!$A$7:$A$306,Employees!$A$31,'Leave log'!$B$7:$B$306,"&lt;="&amp;DATE($B$3,10,21),'Leave log'!$C$7:$C$306,"&gt;="&amp;DATE($B$3,10,21),'Leave log'!$F$7:$F$306,"Approved")&gt;0,"A",""))="A","A",IF(OR(DATE($B$3,10,21)&gt;EOMONTH(DATE($B$3,10,1),0),NETWORKDAYS.INTL(DATE($B$3,10,21),DATE($B$3,10,21),1,'Non-working days'!$A$6:$A$45)=0),"",IF(COUNTIFS('Leave log'!$A$7:$A$306,Employees!$A$31,'Leave log'!$B$7:$B$306,"&lt;="&amp;DATE($B$3,10,21),'Leave log'!$C$7:$C$306,"&gt;="&amp;DATE($B$3,10,21),'Leave log'!$F$7:$F$306,"Pending")&gt;0,"P",""))))</f>
        <v/>
      </c>
      <c r="W338" s="23" t="str">
        <f>IF(A338="","",IF(IF(OR(DATE($B$3,10,22)&gt;EOMONTH(DATE($B$3,10,1),0),NETWORKDAYS.INTL(DATE($B$3,10,22),DATE($B$3,10,22),1,'Non-working days'!$A$6:$A$45)=0),"",IF(COUNTIFS('Leave log'!$A$7:$A$306,Employees!$A$31,'Leave log'!$B$7:$B$306,"&lt;="&amp;DATE($B$3,10,22),'Leave log'!$C$7:$C$306,"&gt;="&amp;DATE($B$3,10,22),'Leave log'!$F$7:$F$306,"Approved")&gt;0,"A",""))="A","A",IF(OR(DATE($B$3,10,22)&gt;EOMONTH(DATE($B$3,10,1),0),NETWORKDAYS.INTL(DATE($B$3,10,22),DATE($B$3,10,22),1,'Non-working days'!$A$6:$A$45)=0),"",IF(COUNTIFS('Leave log'!$A$7:$A$306,Employees!$A$31,'Leave log'!$B$7:$B$306,"&lt;="&amp;DATE($B$3,10,22),'Leave log'!$C$7:$C$306,"&gt;="&amp;DATE($B$3,10,22),'Leave log'!$F$7:$F$306,"Pending")&gt;0,"P",""))))</f>
        <v/>
      </c>
      <c r="X338" s="23" t="str">
        <f>IF(A338="","",IF(IF(OR(DATE($B$3,10,23)&gt;EOMONTH(DATE($B$3,10,1),0),NETWORKDAYS.INTL(DATE($B$3,10,23),DATE($B$3,10,23),1,'Non-working days'!$A$6:$A$45)=0),"",IF(COUNTIFS('Leave log'!$A$7:$A$306,Employees!$A$31,'Leave log'!$B$7:$B$306,"&lt;="&amp;DATE($B$3,10,23),'Leave log'!$C$7:$C$306,"&gt;="&amp;DATE($B$3,10,23),'Leave log'!$F$7:$F$306,"Approved")&gt;0,"A",""))="A","A",IF(OR(DATE($B$3,10,23)&gt;EOMONTH(DATE($B$3,10,1),0),NETWORKDAYS.INTL(DATE($B$3,10,23),DATE($B$3,10,23),1,'Non-working days'!$A$6:$A$45)=0),"",IF(COUNTIFS('Leave log'!$A$7:$A$306,Employees!$A$31,'Leave log'!$B$7:$B$306,"&lt;="&amp;DATE($B$3,10,23),'Leave log'!$C$7:$C$306,"&gt;="&amp;DATE($B$3,10,23),'Leave log'!$F$7:$F$306,"Pending")&gt;0,"P",""))))</f>
        <v/>
      </c>
      <c r="Y338" s="23" t="str">
        <f>IF(A338="","",IF(IF(OR(DATE($B$3,10,24)&gt;EOMONTH(DATE($B$3,10,1),0),NETWORKDAYS.INTL(DATE($B$3,10,24),DATE($B$3,10,24),1,'Non-working days'!$A$6:$A$45)=0),"",IF(COUNTIFS('Leave log'!$A$7:$A$306,Employees!$A$31,'Leave log'!$B$7:$B$306,"&lt;="&amp;DATE($B$3,10,24),'Leave log'!$C$7:$C$306,"&gt;="&amp;DATE($B$3,10,24),'Leave log'!$F$7:$F$306,"Approved")&gt;0,"A",""))="A","A",IF(OR(DATE($B$3,10,24)&gt;EOMONTH(DATE($B$3,10,1),0),NETWORKDAYS.INTL(DATE($B$3,10,24),DATE($B$3,10,24),1,'Non-working days'!$A$6:$A$45)=0),"",IF(COUNTIFS('Leave log'!$A$7:$A$306,Employees!$A$31,'Leave log'!$B$7:$B$306,"&lt;="&amp;DATE($B$3,10,24),'Leave log'!$C$7:$C$306,"&gt;="&amp;DATE($B$3,10,24),'Leave log'!$F$7:$F$306,"Pending")&gt;0,"P",""))))</f>
        <v/>
      </c>
      <c r="Z338" s="23" t="str">
        <f>IF(A338="","",IF(IF(OR(DATE($B$3,10,25)&gt;EOMONTH(DATE($B$3,10,1),0),NETWORKDAYS.INTL(DATE($B$3,10,25),DATE($B$3,10,25),1,'Non-working days'!$A$6:$A$45)=0),"",IF(COUNTIFS('Leave log'!$A$7:$A$306,Employees!$A$31,'Leave log'!$B$7:$B$306,"&lt;="&amp;DATE($B$3,10,25),'Leave log'!$C$7:$C$306,"&gt;="&amp;DATE($B$3,10,25),'Leave log'!$F$7:$F$306,"Approved")&gt;0,"A",""))="A","A",IF(OR(DATE($B$3,10,25)&gt;EOMONTH(DATE($B$3,10,1),0),NETWORKDAYS.INTL(DATE($B$3,10,25),DATE($B$3,10,25),1,'Non-working days'!$A$6:$A$45)=0),"",IF(COUNTIFS('Leave log'!$A$7:$A$306,Employees!$A$31,'Leave log'!$B$7:$B$306,"&lt;="&amp;DATE($B$3,10,25),'Leave log'!$C$7:$C$306,"&gt;="&amp;DATE($B$3,10,25),'Leave log'!$F$7:$F$306,"Pending")&gt;0,"P",""))))</f>
        <v/>
      </c>
      <c r="AA338" s="23" t="str">
        <f>IF(A338="","",IF(IF(OR(DATE($B$3,10,26)&gt;EOMONTH(DATE($B$3,10,1),0),NETWORKDAYS.INTL(DATE($B$3,10,26),DATE($B$3,10,26),1,'Non-working days'!$A$6:$A$45)=0),"",IF(COUNTIFS('Leave log'!$A$7:$A$306,Employees!$A$31,'Leave log'!$B$7:$B$306,"&lt;="&amp;DATE($B$3,10,26),'Leave log'!$C$7:$C$306,"&gt;="&amp;DATE($B$3,10,26),'Leave log'!$F$7:$F$306,"Approved")&gt;0,"A",""))="A","A",IF(OR(DATE($B$3,10,26)&gt;EOMONTH(DATE($B$3,10,1),0),NETWORKDAYS.INTL(DATE($B$3,10,26),DATE($B$3,10,26),1,'Non-working days'!$A$6:$A$45)=0),"",IF(COUNTIFS('Leave log'!$A$7:$A$306,Employees!$A$31,'Leave log'!$B$7:$B$306,"&lt;="&amp;DATE($B$3,10,26),'Leave log'!$C$7:$C$306,"&gt;="&amp;DATE($B$3,10,26),'Leave log'!$F$7:$F$306,"Pending")&gt;0,"P",""))))</f>
        <v/>
      </c>
      <c r="AB338" s="23" t="str">
        <f>IF(A338="","",IF(IF(OR(DATE($B$3,10,27)&gt;EOMONTH(DATE($B$3,10,1),0),NETWORKDAYS.INTL(DATE($B$3,10,27),DATE($B$3,10,27),1,'Non-working days'!$A$6:$A$45)=0),"",IF(COUNTIFS('Leave log'!$A$7:$A$306,Employees!$A$31,'Leave log'!$B$7:$B$306,"&lt;="&amp;DATE($B$3,10,27),'Leave log'!$C$7:$C$306,"&gt;="&amp;DATE($B$3,10,27),'Leave log'!$F$7:$F$306,"Approved")&gt;0,"A",""))="A","A",IF(OR(DATE($B$3,10,27)&gt;EOMONTH(DATE($B$3,10,1),0),NETWORKDAYS.INTL(DATE($B$3,10,27),DATE($B$3,10,27),1,'Non-working days'!$A$6:$A$45)=0),"",IF(COUNTIFS('Leave log'!$A$7:$A$306,Employees!$A$31,'Leave log'!$B$7:$B$306,"&lt;="&amp;DATE($B$3,10,27),'Leave log'!$C$7:$C$306,"&gt;="&amp;DATE($B$3,10,27),'Leave log'!$F$7:$F$306,"Pending")&gt;0,"P",""))))</f>
        <v/>
      </c>
      <c r="AC338" s="23" t="str">
        <f>IF(A338="","",IF(IF(OR(DATE($B$3,10,28)&gt;EOMONTH(DATE($B$3,10,1),0),NETWORKDAYS.INTL(DATE($B$3,10,28),DATE($B$3,10,28),1,'Non-working days'!$A$6:$A$45)=0),"",IF(COUNTIFS('Leave log'!$A$7:$A$306,Employees!$A$31,'Leave log'!$B$7:$B$306,"&lt;="&amp;DATE($B$3,10,28),'Leave log'!$C$7:$C$306,"&gt;="&amp;DATE($B$3,10,28),'Leave log'!$F$7:$F$306,"Approved")&gt;0,"A",""))="A","A",IF(OR(DATE($B$3,10,28)&gt;EOMONTH(DATE($B$3,10,1),0),NETWORKDAYS.INTL(DATE($B$3,10,28),DATE($B$3,10,28),1,'Non-working days'!$A$6:$A$45)=0),"",IF(COUNTIFS('Leave log'!$A$7:$A$306,Employees!$A$31,'Leave log'!$B$7:$B$306,"&lt;="&amp;DATE($B$3,10,28),'Leave log'!$C$7:$C$306,"&gt;="&amp;DATE($B$3,10,28),'Leave log'!$F$7:$F$306,"Pending")&gt;0,"P",""))))</f>
        <v/>
      </c>
      <c r="AD338" s="23" t="str">
        <f>IF(A338="","",IF(IF(OR(DATE($B$3,10,29)&gt;EOMONTH(DATE($B$3,10,1),0),NETWORKDAYS.INTL(DATE($B$3,10,29),DATE($B$3,10,29),1,'Non-working days'!$A$6:$A$45)=0),"",IF(COUNTIFS('Leave log'!$A$7:$A$306,Employees!$A$31,'Leave log'!$B$7:$B$306,"&lt;="&amp;DATE($B$3,10,29),'Leave log'!$C$7:$C$306,"&gt;="&amp;DATE($B$3,10,29),'Leave log'!$F$7:$F$306,"Approved")&gt;0,"A",""))="A","A",IF(OR(DATE($B$3,10,29)&gt;EOMONTH(DATE($B$3,10,1),0),NETWORKDAYS.INTL(DATE($B$3,10,29),DATE($B$3,10,29),1,'Non-working days'!$A$6:$A$45)=0),"",IF(COUNTIFS('Leave log'!$A$7:$A$306,Employees!$A$31,'Leave log'!$B$7:$B$306,"&lt;="&amp;DATE($B$3,10,29),'Leave log'!$C$7:$C$306,"&gt;="&amp;DATE($B$3,10,29),'Leave log'!$F$7:$F$306,"Pending")&gt;0,"P",""))))</f>
        <v/>
      </c>
      <c r="AE338" s="23" t="str">
        <f>IF(A338="","",IF(IF(OR(DATE($B$3,10,30)&gt;EOMONTH(DATE($B$3,10,1),0),NETWORKDAYS.INTL(DATE($B$3,10,30),DATE($B$3,10,30),1,'Non-working days'!$A$6:$A$45)=0),"",IF(COUNTIFS('Leave log'!$A$7:$A$306,Employees!$A$31,'Leave log'!$B$7:$B$306,"&lt;="&amp;DATE($B$3,10,30),'Leave log'!$C$7:$C$306,"&gt;="&amp;DATE($B$3,10,30),'Leave log'!$F$7:$F$306,"Approved")&gt;0,"A",""))="A","A",IF(OR(DATE($B$3,10,30)&gt;EOMONTH(DATE($B$3,10,1),0),NETWORKDAYS.INTL(DATE($B$3,10,30),DATE($B$3,10,30),1,'Non-working days'!$A$6:$A$45)=0),"",IF(COUNTIFS('Leave log'!$A$7:$A$306,Employees!$A$31,'Leave log'!$B$7:$B$306,"&lt;="&amp;DATE($B$3,10,30),'Leave log'!$C$7:$C$306,"&gt;="&amp;DATE($B$3,10,30),'Leave log'!$F$7:$F$306,"Pending")&gt;0,"P",""))))</f>
        <v/>
      </c>
      <c r="AF338" s="23" t="str">
        <f>IF(A338="","",IF(IF(OR(DATE($B$3,10,31)&gt;EOMONTH(DATE($B$3,10,1),0),NETWORKDAYS.INTL(DATE($B$3,10,31),DATE($B$3,10,31),1,'Non-working days'!$A$6:$A$45)=0),"",IF(COUNTIFS('Leave log'!$A$7:$A$306,Employees!$A$31,'Leave log'!$B$7:$B$306,"&lt;="&amp;DATE($B$3,10,31),'Leave log'!$C$7:$C$306,"&gt;="&amp;DATE($B$3,10,31),'Leave log'!$F$7:$F$306,"Approved")&gt;0,"A",""))="A","A",IF(OR(DATE($B$3,10,31)&gt;EOMONTH(DATE($B$3,10,1),0),NETWORKDAYS.INTL(DATE($B$3,10,31),DATE($B$3,10,31),1,'Non-working days'!$A$6:$A$45)=0),"",IF(COUNTIFS('Leave log'!$A$7:$A$306,Employees!$A$31,'Leave log'!$B$7:$B$306,"&lt;="&amp;DATE($B$3,10,31),'Leave log'!$C$7:$C$306,"&gt;="&amp;DATE($B$3,10,31),'Leave log'!$F$7:$F$306,"Pending")&gt;0,"P",""))))</f>
        <v/>
      </c>
    </row>
    <row r="339" spans="1:32" ht="18" customHeight="1" x14ac:dyDescent="0.3">
      <c r="A339" s="22" t="str">
        <f>IF(Employees!F32="Yes",Employees!B32,"")</f>
        <v/>
      </c>
      <c r="B339" s="23" t="str">
        <f>IF(A339="","",IF(IF(OR(DATE($B$3,10,1)&gt;EOMONTH(DATE($B$3,10,1),0),NETWORKDAYS.INTL(DATE($B$3,10,1),DATE($B$3,10,1),1,'Non-working days'!$A$6:$A$45)=0),"",IF(COUNTIFS('Leave log'!$A$7:$A$306,Employees!$A$32,'Leave log'!$B$7:$B$306,"&lt;="&amp;DATE($B$3,10,1),'Leave log'!$C$7:$C$306,"&gt;="&amp;DATE($B$3,10,1),'Leave log'!$F$7:$F$306,"Approved")&gt;0,"A",""))="A","A",IF(OR(DATE($B$3,10,1)&gt;EOMONTH(DATE($B$3,10,1),0),NETWORKDAYS.INTL(DATE($B$3,10,1),DATE($B$3,10,1),1,'Non-working days'!$A$6:$A$45)=0),"",IF(COUNTIFS('Leave log'!$A$7:$A$306,Employees!$A$32,'Leave log'!$B$7:$B$306,"&lt;="&amp;DATE($B$3,10,1),'Leave log'!$C$7:$C$306,"&gt;="&amp;DATE($B$3,10,1),'Leave log'!$F$7:$F$306,"Pending")&gt;0,"P",""))))</f>
        <v/>
      </c>
      <c r="C339" s="23" t="str">
        <f>IF(A339="","",IF(IF(OR(DATE($B$3,10,2)&gt;EOMONTH(DATE($B$3,10,1),0),NETWORKDAYS.INTL(DATE($B$3,10,2),DATE($B$3,10,2),1,'Non-working days'!$A$6:$A$45)=0),"",IF(COUNTIFS('Leave log'!$A$7:$A$306,Employees!$A$32,'Leave log'!$B$7:$B$306,"&lt;="&amp;DATE($B$3,10,2),'Leave log'!$C$7:$C$306,"&gt;="&amp;DATE($B$3,10,2),'Leave log'!$F$7:$F$306,"Approved")&gt;0,"A",""))="A","A",IF(OR(DATE($B$3,10,2)&gt;EOMONTH(DATE($B$3,10,1),0),NETWORKDAYS.INTL(DATE($B$3,10,2),DATE($B$3,10,2),1,'Non-working days'!$A$6:$A$45)=0),"",IF(COUNTIFS('Leave log'!$A$7:$A$306,Employees!$A$32,'Leave log'!$B$7:$B$306,"&lt;="&amp;DATE($B$3,10,2),'Leave log'!$C$7:$C$306,"&gt;="&amp;DATE($B$3,10,2),'Leave log'!$F$7:$F$306,"Pending")&gt;0,"P",""))))</f>
        <v/>
      </c>
      <c r="D339" s="23" t="str">
        <f>IF(A339="","",IF(IF(OR(DATE($B$3,10,3)&gt;EOMONTH(DATE($B$3,10,1),0),NETWORKDAYS.INTL(DATE($B$3,10,3),DATE($B$3,10,3),1,'Non-working days'!$A$6:$A$45)=0),"",IF(COUNTIFS('Leave log'!$A$7:$A$306,Employees!$A$32,'Leave log'!$B$7:$B$306,"&lt;="&amp;DATE($B$3,10,3),'Leave log'!$C$7:$C$306,"&gt;="&amp;DATE($B$3,10,3),'Leave log'!$F$7:$F$306,"Approved")&gt;0,"A",""))="A","A",IF(OR(DATE($B$3,10,3)&gt;EOMONTH(DATE($B$3,10,1),0),NETWORKDAYS.INTL(DATE($B$3,10,3),DATE($B$3,10,3),1,'Non-working days'!$A$6:$A$45)=0),"",IF(COUNTIFS('Leave log'!$A$7:$A$306,Employees!$A$32,'Leave log'!$B$7:$B$306,"&lt;="&amp;DATE($B$3,10,3),'Leave log'!$C$7:$C$306,"&gt;="&amp;DATE($B$3,10,3),'Leave log'!$F$7:$F$306,"Pending")&gt;0,"P",""))))</f>
        <v/>
      </c>
      <c r="E339" s="23" t="str">
        <f>IF(A339="","",IF(IF(OR(DATE($B$3,10,4)&gt;EOMONTH(DATE($B$3,10,1),0),NETWORKDAYS.INTL(DATE($B$3,10,4),DATE($B$3,10,4),1,'Non-working days'!$A$6:$A$45)=0),"",IF(COUNTIFS('Leave log'!$A$7:$A$306,Employees!$A$32,'Leave log'!$B$7:$B$306,"&lt;="&amp;DATE($B$3,10,4),'Leave log'!$C$7:$C$306,"&gt;="&amp;DATE($B$3,10,4),'Leave log'!$F$7:$F$306,"Approved")&gt;0,"A",""))="A","A",IF(OR(DATE($B$3,10,4)&gt;EOMONTH(DATE($B$3,10,1),0),NETWORKDAYS.INTL(DATE($B$3,10,4),DATE($B$3,10,4),1,'Non-working days'!$A$6:$A$45)=0),"",IF(COUNTIFS('Leave log'!$A$7:$A$306,Employees!$A$32,'Leave log'!$B$7:$B$306,"&lt;="&amp;DATE($B$3,10,4),'Leave log'!$C$7:$C$306,"&gt;="&amp;DATE($B$3,10,4),'Leave log'!$F$7:$F$306,"Pending")&gt;0,"P",""))))</f>
        <v/>
      </c>
      <c r="F339" s="23" t="str">
        <f>IF(A339="","",IF(IF(OR(DATE($B$3,10,5)&gt;EOMONTH(DATE($B$3,10,1),0),NETWORKDAYS.INTL(DATE($B$3,10,5),DATE($B$3,10,5),1,'Non-working days'!$A$6:$A$45)=0),"",IF(COUNTIFS('Leave log'!$A$7:$A$306,Employees!$A$32,'Leave log'!$B$7:$B$306,"&lt;="&amp;DATE($B$3,10,5),'Leave log'!$C$7:$C$306,"&gt;="&amp;DATE($B$3,10,5),'Leave log'!$F$7:$F$306,"Approved")&gt;0,"A",""))="A","A",IF(OR(DATE($B$3,10,5)&gt;EOMONTH(DATE($B$3,10,1),0),NETWORKDAYS.INTL(DATE($B$3,10,5),DATE($B$3,10,5),1,'Non-working days'!$A$6:$A$45)=0),"",IF(COUNTIFS('Leave log'!$A$7:$A$306,Employees!$A$32,'Leave log'!$B$7:$B$306,"&lt;="&amp;DATE($B$3,10,5),'Leave log'!$C$7:$C$306,"&gt;="&amp;DATE($B$3,10,5),'Leave log'!$F$7:$F$306,"Pending")&gt;0,"P",""))))</f>
        <v/>
      </c>
      <c r="G339" s="23" t="str">
        <f>IF(A339="","",IF(IF(OR(DATE($B$3,10,6)&gt;EOMONTH(DATE($B$3,10,1),0),NETWORKDAYS.INTL(DATE($B$3,10,6),DATE($B$3,10,6),1,'Non-working days'!$A$6:$A$45)=0),"",IF(COUNTIFS('Leave log'!$A$7:$A$306,Employees!$A$32,'Leave log'!$B$7:$B$306,"&lt;="&amp;DATE($B$3,10,6),'Leave log'!$C$7:$C$306,"&gt;="&amp;DATE($B$3,10,6),'Leave log'!$F$7:$F$306,"Approved")&gt;0,"A",""))="A","A",IF(OR(DATE($B$3,10,6)&gt;EOMONTH(DATE($B$3,10,1),0),NETWORKDAYS.INTL(DATE($B$3,10,6),DATE($B$3,10,6),1,'Non-working days'!$A$6:$A$45)=0),"",IF(COUNTIFS('Leave log'!$A$7:$A$306,Employees!$A$32,'Leave log'!$B$7:$B$306,"&lt;="&amp;DATE($B$3,10,6),'Leave log'!$C$7:$C$306,"&gt;="&amp;DATE($B$3,10,6),'Leave log'!$F$7:$F$306,"Pending")&gt;0,"P",""))))</f>
        <v/>
      </c>
      <c r="H339" s="23" t="str">
        <f>IF(A339="","",IF(IF(OR(DATE($B$3,10,7)&gt;EOMONTH(DATE($B$3,10,1),0),NETWORKDAYS.INTL(DATE($B$3,10,7),DATE($B$3,10,7),1,'Non-working days'!$A$6:$A$45)=0),"",IF(COUNTIFS('Leave log'!$A$7:$A$306,Employees!$A$32,'Leave log'!$B$7:$B$306,"&lt;="&amp;DATE($B$3,10,7),'Leave log'!$C$7:$C$306,"&gt;="&amp;DATE($B$3,10,7),'Leave log'!$F$7:$F$306,"Approved")&gt;0,"A",""))="A","A",IF(OR(DATE($B$3,10,7)&gt;EOMONTH(DATE($B$3,10,1),0),NETWORKDAYS.INTL(DATE($B$3,10,7),DATE($B$3,10,7),1,'Non-working days'!$A$6:$A$45)=0),"",IF(COUNTIFS('Leave log'!$A$7:$A$306,Employees!$A$32,'Leave log'!$B$7:$B$306,"&lt;="&amp;DATE($B$3,10,7),'Leave log'!$C$7:$C$306,"&gt;="&amp;DATE($B$3,10,7),'Leave log'!$F$7:$F$306,"Pending")&gt;0,"P",""))))</f>
        <v/>
      </c>
      <c r="I339" s="23" t="str">
        <f>IF(A339="","",IF(IF(OR(DATE($B$3,10,8)&gt;EOMONTH(DATE($B$3,10,1),0),NETWORKDAYS.INTL(DATE($B$3,10,8),DATE($B$3,10,8),1,'Non-working days'!$A$6:$A$45)=0),"",IF(COUNTIFS('Leave log'!$A$7:$A$306,Employees!$A$32,'Leave log'!$B$7:$B$306,"&lt;="&amp;DATE($B$3,10,8),'Leave log'!$C$7:$C$306,"&gt;="&amp;DATE($B$3,10,8),'Leave log'!$F$7:$F$306,"Approved")&gt;0,"A",""))="A","A",IF(OR(DATE($B$3,10,8)&gt;EOMONTH(DATE($B$3,10,1),0),NETWORKDAYS.INTL(DATE($B$3,10,8),DATE($B$3,10,8),1,'Non-working days'!$A$6:$A$45)=0),"",IF(COUNTIFS('Leave log'!$A$7:$A$306,Employees!$A$32,'Leave log'!$B$7:$B$306,"&lt;="&amp;DATE($B$3,10,8),'Leave log'!$C$7:$C$306,"&gt;="&amp;DATE($B$3,10,8),'Leave log'!$F$7:$F$306,"Pending")&gt;0,"P",""))))</f>
        <v/>
      </c>
      <c r="J339" s="23" t="str">
        <f>IF(A339="","",IF(IF(OR(DATE($B$3,10,9)&gt;EOMONTH(DATE($B$3,10,1),0),NETWORKDAYS.INTL(DATE($B$3,10,9),DATE($B$3,10,9),1,'Non-working days'!$A$6:$A$45)=0),"",IF(COUNTIFS('Leave log'!$A$7:$A$306,Employees!$A$32,'Leave log'!$B$7:$B$306,"&lt;="&amp;DATE($B$3,10,9),'Leave log'!$C$7:$C$306,"&gt;="&amp;DATE($B$3,10,9),'Leave log'!$F$7:$F$306,"Approved")&gt;0,"A",""))="A","A",IF(OR(DATE($B$3,10,9)&gt;EOMONTH(DATE($B$3,10,1),0),NETWORKDAYS.INTL(DATE($B$3,10,9),DATE($B$3,10,9),1,'Non-working days'!$A$6:$A$45)=0),"",IF(COUNTIFS('Leave log'!$A$7:$A$306,Employees!$A$32,'Leave log'!$B$7:$B$306,"&lt;="&amp;DATE($B$3,10,9),'Leave log'!$C$7:$C$306,"&gt;="&amp;DATE($B$3,10,9),'Leave log'!$F$7:$F$306,"Pending")&gt;0,"P",""))))</f>
        <v/>
      </c>
      <c r="K339" s="23" t="str">
        <f>IF(A339="","",IF(IF(OR(DATE($B$3,10,10)&gt;EOMONTH(DATE($B$3,10,1),0),NETWORKDAYS.INTL(DATE($B$3,10,10),DATE($B$3,10,10),1,'Non-working days'!$A$6:$A$45)=0),"",IF(COUNTIFS('Leave log'!$A$7:$A$306,Employees!$A$32,'Leave log'!$B$7:$B$306,"&lt;="&amp;DATE($B$3,10,10),'Leave log'!$C$7:$C$306,"&gt;="&amp;DATE($B$3,10,10),'Leave log'!$F$7:$F$306,"Approved")&gt;0,"A",""))="A","A",IF(OR(DATE($B$3,10,10)&gt;EOMONTH(DATE($B$3,10,1),0),NETWORKDAYS.INTL(DATE($B$3,10,10),DATE($B$3,10,10),1,'Non-working days'!$A$6:$A$45)=0),"",IF(COUNTIFS('Leave log'!$A$7:$A$306,Employees!$A$32,'Leave log'!$B$7:$B$306,"&lt;="&amp;DATE($B$3,10,10),'Leave log'!$C$7:$C$306,"&gt;="&amp;DATE($B$3,10,10),'Leave log'!$F$7:$F$306,"Pending")&gt;0,"P",""))))</f>
        <v/>
      </c>
      <c r="L339" s="23" t="str">
        <f>IF(A339="","",IF(IF(OR(DATE($B$3,10,11)&gt;EOMONTH(DATE($B$3,10,1),0),NETWORKDAYS.INTL(DATE($B$3,10,11),DATE($B$3,10,11),1,'Non-working days'!$A$6:$A$45)=0),"",IF(COUNTIFS('Leave log'!$A$7:$A$306,Employees!$A$32,'Leave log'!$B$7:$B$306,"&lt;="&amp;DATE($B$3,10,11),'Leave log'!$C$7:$C$306,"&gt;="&amp;DATE($B$3,10,11),'Leave log'!$F$7:$F$306,"Approved")&gt;0,"A",""))="A","A",IF(OR(DATE($B$3,10,11)&gt;EOMONTH(DATE($B$3,10,1),0),NETWORKDAYS.INTL(DATE($B$3,10,11),DATE($B$3,10,11),1,'Non-working days'!$A$6:$A$45)=0),"",IF(COUNTIFS('Leave log'!$A$7:$A$306,Employees!$A$32,'Leave log'!$B$7:$B$306,"&lt;="&amp;DATE($B$3,10,11),'Leave log'!$C$7:$C$306,"&gt;="&amp;DATE($B$3,10,11),'Leave log'!$F$7:$F$306,"Pending")&gt;0,"P",""))))</f>
        <v/>
      </c>
      <c r="M339" s="23" t="str">
        <f>IF(A339="","",IF(IF(OR(DATE($B$3,10,12)&gt;EOMONTH(DATE($B$3,10,1),0),NETWORKDAYS.INTL(DATE($B$3,10,12),DATE($B$3,10,12),1,'Non-working days'!$A$6:$A$45)=0),"",IF(COUNTIFS('Leave log'!$A$7:$A$306,Employees!$A$32,'Leave log'!$B$7:$B$306,"&lt;="&amp;DATE($B$3,10,12),'Leave log'!$C$7:$C$306,"&gt;="&amp;DATE($B$3,10,12),'Leave log'!$F$7:$F$306,"Approved")&gt;0,"A",""))="A","A",IF(OR(DATE($B$3,10,12)&gt;EOMONTH(DATE($B$3,10,1),0),NETWORKDAYS.INTL(DATE($B$3,10,12),DATE($B$3,10,12),1,'Non-working days'!$A$6:$A$45)=0),"",IF(COUNTIFS('Leave log'!$A$7:$A$306,Employees!$A$32,'Leave log'!$B$7:$B$306,"&lt;="&amp;DATE($B$3,10,12),'Leave log'!$C$7:$C$306,"&gt;="&amp;DATE($B$3,10,12),'Leave log'!$F$7:$F$306,"Pending")&gt;0,"P",""))))</f>
        <v/>
      </c>
      <c r="N339" s="23" t="str">
        <f>IF(A339="","",IF(IF(OR(DATE($B$3,10,13)&gt;EOMONTH(DATE($B$3,10,1),0),NETWORKDAYS.INTL(DATE($B$3,10,13),DATE($B$3,10,13),1,'Non-working days'!$A$6:$A$45)=0),"",IF(COUNTIFS('Leave log'!$A$7:$A$306,Employees!$A$32,'Leave log'!$B$7:$B$306,"&lt;="&amp;DATE($B$3,10,13),'Leave log'!$C$7:$C$306,"&gt;="&amp;DATE($B$3,10,13),'Leave log'!$F$7:$F$306,"Approved")&gt;0,"A",""))="A","A",IF(OR(DATE($B$3,10,13)&gt;EOMONTH(DATE($B$3,10,1),0),NETWORKDAYS.INTL(DATE($B$3,10,13),DATE($B$3,10,13),1,'Non-working days'!$A$6:$A$45)=0),"",IF(COUNTIFS('Leave log'!$A$7:$A$306,Employees!$A$32,'Leave log'!$B$7:$B$306,"&lt;="&amp;DATE($B$3,10,13),'Leave log'!$C$7:$C$306,"&gt;="&amp;DATE($B$3,10,13),'Leave log'!$F$7:$F$306,"Pending")&gt;0,"P",""))))</f>
        <v/>
      </c>
      <c r="O339" s="23" t="str">
        <f>IF(A339="","",IF(IF(OR(DATE($B$3,10,14)&gt;EOMONTH(DATE($B$3,10,1),0),NETWORKDAYS.INTL(DATE($B$3,10,14),DATE($B$3,10,14),1,'Non-working days'!$A$6:$A$45)=0),"",IF(COUNTIFS('Leave log'!$A$7:$A$306,Employees!$A$32,'Leave log'!$B$7:$B$306,"&lt;="&amp;DATE($B$3,10,14),'Leave log'!$C$7:$C$306,"&gt;="&amp;DATE($B$3,10,14),'Leave log'!$F$7:$F$306,"Approved")&gt;0,"A",""))="A","A",IF(OR(DATE($B$3,10,14)&gt;EOMONTH(DATE($B$3,10,1),0),NETWORKDAYS.INTL(DATE($B$3,10,14),DATE($B$3,10,14),1,'Non-working days'!$A$6:$A$45)=0),"",IF(COUNTIFS('Leave log'!$A$7:$A$306,Employees!$A$32,'Leave log'!$B$7:$B$306,"&lt;="&amp;DATE($B$3,10,14),'Leave log'!$C$7:$C$306,"&gt;="&amp;DATE($B$3,10,14),'Leave log'!$F$7:$F$306,"Pending")&gt;0,"P",""))))</f>
        <v/>
      </c>
      <c r="P339" s="23" t="str">
        <f>IF(A339="","",IF(IF(OR(DATE($B$3,10,15)&gt;EOMONTH(DATE($B$3,10,1),0),NETWORKDAYS.INTL(DATE($B$3,10,15),DATE($B$3,10,15),1,'Non-working days'!$A$6:$A$45)=0),"",IF(COUNTIFS('Leave log'!$A$7:$A$306,Employees!$A$32,'Leave log'!$B$7:$B$306,"&lt;="&amp;DATE($B$3,10,15),'Leave log'!$C$7:$C$306,"&gt;="&amp;DATE($B$3,10,15),'Leave log'!$F$7:$F$306,"Approved")&gt;0,"A",""))="A","A",IF(OR(DATE($B$3,10,15)&gt;EOMONTH(DATE($B$3,10,1),0),NETWORKDAYS.INTL(DATE($B$3,10,15),DATE($B$3,10,15),1,'Non-working days'!$A$6:$A$45)=0),"",IF(COUNTIFS('Leave log'!$A$7:$A$306,Employees!$A$32,'Leave log'!$B$7:$B$306,"&lt;="&amp;DATE($B$3,10,15),'Leave log'!$C$7:$C$306,"&gt;="&amp;DATE($B$3,10,15),'Leave log'!$F$7:$F$306,"Pending")&gt;0,"P",""))))</f>
        <v/>
      </c>
      <c r="Q339" s="23" t="str">
        <f>IF(A339="","",IF(IF(OR(DATE($B$3,10,16)&gt;EOMONTH(DATE($B$3,10,1),0),NETWORKDAYS.INTL(DATE($B$3,10,16),DATE($B$3,10,16),1,'Non-working days'!$A$6:$A$45)=0),"",IF(COUNTIFS('Leave log'!$A$7:$A$306,Employees!$A$32,'Leave log'!$B$7:$B$306,"&lt;="&amp;DATE($B$3,10,16),'Leave log'!$C$7:$C$306,"&gt;="&amp;DATE($B$3,10,16),'Leave log'!$F$7:$F$306,"Approved")&gt;0,"A",""))="A","A",IF(OR(DATE($B$3,10,16)&gt;EOMONTH(DATE($B$3,10,1),0),NETWORKDAYS.INTL(DATE($B$3,10,16),DATE($B$3,10,16),1,'Non-working days'!$A$6:$A$45)=0),"",IF(COUNTIFS('Leave log'!$A$7:$A$306,Employees!$A$32,'Leave log'!$B$7:$B$306,"&lt;="&amp;DATE($B$3,10,16),'Leave log'!$C$7:$C$306,"&gt;="&amp;DATE($B$3,10,16),'Leave log'!$F$7:$F$306,"Pending")&gt;0,"P",""))))</f>
        <v/>
      </c>
      <c r="R339" s="23" t="str">
        <f>IF(A339="","",IF(IF(OR(DATE($B$3,10,17)&gt;EOMONTH(DATE($B$3,10,1),0),NETWORKDAYS.INTL(DATE($B$3,10,17),DATE($B$3,10,17),1,'Non-working days'!$A$6:$A$45)=0),"",IF(COUNTIFS('Leave log'!$A$7:$A$306,Employees!$A$32,'Leave log'!$B$7:$B$306,"&lt;="&amp;DATE($B$3,10,17),'Leave log'!$C$7:$C$306,"&gt;="&amp;DATE($B$3,10,17),'Leave log'!$F$7:$F$306,"Approved")&gt;0,"A",""))="A","A",IF(OR(DATE($B$3,10,17)&gt;EOMONTH(DATE($B$3,10,1),0),NETWORKDAYS.INTL(DATE($B$3,10,17),DATE($B$3,10,17),1,'Non-working days'!$A$6:$A$45)=0),"",IF(COUNTIFS('Leave log'!$A$7:$A$306,Employees!$A$32,'Leave log'!$B$7:$B$306,"&lt;="&amp;DATE($B$3,10,17),'Leave log'!$C$7:$C$306,"&gt;="&amp;DATE($B$3,10,17),'Leave log'!$F$7:$F$306,"Pending")&gt;0,"P",""))))</f>
        <v/>
      </c>
      <c r="S339" s="23" t="str">
        <f>IF(A339="","",IF(IF(OR(DATE($B$3,10,18)&gt;EOMONTH(DATE($B$3,10,1),0),NETWORKDAYS.INTL(DATE($B$3,10,18),DATE($B$3,10,18),1,'Non-working days'!$A$6:$A$45)=0),"",IF(COUNTIFS('Leave log'!$A$7:$A$306,Employees!$A$32,'Leave log'!$B$7:$B$306,"&lt;="&amp;DATE($B$3,10,18),'Leave log'!$C$7:$C$306,"&gt;="&amp;DATE($B$3,10,18),'Leave log'!$F$7:$F$306,"Approved")&gt;0,"A",""))="A","A",IF(OR(DATE($B$3,10,18)&gt;EOMONTH(DATE($B$3,10,1),0),NETWORKDAYS.INTL(DATE($B$3,10,18),DATE($B$3,10,18),1,'Non-working days'!$A$6:$A$45)=0),"",IF(COUNTIFS('Leave log'!$A$7:$A$306,Employees!$A$32,'Leave log'!$B$7:$B$306,"&lt;="&amp;DATE($B$3,10,18),'Leave log'!$C$7:$C$306,"&gt;="&amp;DATE($B$3,10,18),'Leave log'!$F$7:$F$306,"Pending")&gt;0,"P",""))))</f>
        <v/>
      </c>
      <c r="T339" s="23" t="str">
        <f>IF(A339="","",IF(IF(OR(DATE($B$3,10,19)&gt;EOMONTH(DATE($B$3,10,1),0),NETWORKDAYS.INTL(DATE($B$3,10,19),DATE($B$3,10,19),1,'Non-working days'!$A$6:$A$45)=0),"",IF(COUNTIFS('Leave log'!$A$7:$A$306,Employees!$A$32,'Leave log'!$B$7:$B$306,"&lt;="&amp;DATE($B$3,10,19),'Leave log'!$C$7:$C$306,"&gt;="&amp;DATE($B$3,10,19),'Leave log'!$F$7:$F$306,"Approved")&gt;0,"A",""))="A","A",IF(OR(DATE($B$3,10,19)&gt;EOMONTH(DATE($B$3,10,1),0),NETWORKDAYS.INTL(DATE($B$3,10,19),DATE($B$3,10,19),1,'Non-working days'!$A$6:$A$45)=0),"",IF(COUNTIFS('Leave log'!$A$7:$A$306,Employees!$A$32,'Leave log'!$B$7:$B$306,"&lt;="&amp;DATE($B$3,10,19),'Leave log'!$C$7:$C$306,"&gt;="&amp;DATE($B$3,10,19),'Leave log'!$F$7:$F$306,"Pending")&gt;0,"P",""))))</f>
        <v/>
      </c>
      <c r="U339" s="23" t="str">
        <f>IF(A339="","",IF(IF(OR(DATE($B$3,10,20)&gt;EOMONTH(DATE($B$3,10,1),0),NETWORKDAYS.INTL(DATE($B$3,10,20),DATE($B$3,10,20),1,'Non-working days'!$A$6:$A$45)=0),"",IF(COUNTIFS('Leave log'!$A$7:$A$306,Employees!$A$32,'Leave log'!$B$7:$B$306,"&lt;="&amp;DATE($B$3,10,20),'Leave log'!$C$7:$C$306,"&gt;="&amp;DATE($B$3,10,20),'Leave log'!$F$7:$F$306,"Approved")&gt;0,"A",""))="A","A",IF(OR(DATE($B$3,10,20)&gt;EOMONTH(DATE($B$3,10,1),0),NETWORKDAYS.INTL(DATE($B$3,10,20),DATE($B$3,10,20),1,'Non-working days'!$A$6:$A$45)=0),"",IF(COUNTIFS('Leave log'!$A$7:$A$306,Employees!$A$32,'Leave log'!$B$7:$B$306,"&lt;="&amp;DATE($B$3,10,20),'Leave log'!$C$7:$C$306,"&gt;="&amp;DATE($B$3,10,20),'Leave log'!$F$7:$F$306,"Pending")&gt;0,"P",""))))</f>
        <v/>
      </c>
      <c r="V339" s="23" t="str">
        <f>IF(A339="","",IF(IF(OR(DATE($B$3,10,21)&gt;EOMONTH(DATE($B$3,10,1),0),NETWORKDAYS.INTL(DATE($B$3,10,21),DATE($B$3,10,21),1,'Non-working days'!$A$6:$A$45)=0),"",IF(COUNTIFS('Leave log'!$A$7:$A$306,Employees!$A$32,'Leave log'!$B$7:$B$306,"&lt;="&amp;DATE($B$3,10,21),'Leave log'!$C$7:$C$306,"&gt;="&amp;DATE($B$3,10,21),'Leave log'!$F$7:$F$306,"Approved")&gt;0,"A",""))="A","A",IF(OR(DATE($B$3,10,21)&gt;EOMONTH(DATE($B$3,10,1),0),NETWORKDAYS.INTL(DATE($B$3,10,21),DATE($B$3,10,21),1,'Non-working days'!$A$6:$A$45)=0),"",IF(COUNTIFS('Leave log'!$A$7:$A$306,Employees!$A$32,'Leave log'!$B$7:$B$306,"&lt;="&amp;DATE($B$3,10,21),'Leave log'!$C$7:$C$306,"&gt;="&amp;DATE($B$3,10,21),'Leave log'!$F$7:$F$306,"Pending")&gt;0,"P",""))))</f>
        <v/>
      </c>
      <c r="W339" s="23" t="str">
        <f>IF(A339="","",IF(IF(OR(DATE($B$3,10,22)&gt;EOMONTH(DATE($B$3,10,1),0),NETWORKDAYS.INTL(DATE($B$3,10,22),DATE($B$3,10,22),1,'Non-working days'!$A$6:$A$45)=0),"",IF(COUNTIFS('Leave log'!$A$7:$A$306,Employees!$A$32,'Leave log'!$B$7:$B$306,"&lt;="&amp;DATE($B$3,10,22),'Leave log'!$C$7:$C$306,"&gt;="&amp;DATE($B$3,10,22),'Leave log'!$F$7:$F$306,"Approved")&gt;0,"A",""))="A","A",IF(OR(DATE($B$3,10,22)&gt;EOMONTH(DATE($B$3,10,1),0),NETWORKDAYS.INTL(DATE($B$3,10,22),DATE($B$3,10,22),1,'Non-working days'!$A$6:$A$45)=0),"",IF(COUNTIFS('Leave log'!$A$7:$A$306,Employees!$A$32,'Leave log'!$B$7:$B$306,"&lt;="&amp;DATE($B$3,10,22),'Leave log'!$C$7:$C$306,"&gt;="&amp;DATE($B$3,10,22),'Leave log'!$F$7:$F$306,"Pending")&gt;0,"P",""))))</f>
        <v/>
      </c>
      <c r="X339" s="23" t="str">
        <f>IF(A339="","",IF(IF(OR(DATE($B$3,10,23)&gt;EOMONTH(DATE($B$3,10,1),0),NETWORKDAYS.INTL(DATE($B$3,10,23),DATE($B$3,10,23),1,'Non-working days'!$A$6:$A$45)=0),"",IF(COUNTIFS('Leave log'!$A$7:$A$306,Employees!$A$32,'Leave log'!$B$7:$B$306,"&lt;="&amp;DATE($B$3,10,23),'Leave log'!$C$7:$C$306,"&gt;="&amp;DATE($B$3,10,23),'Leave log'!$F$7:$F$306,"Approved")&gt;0,"A",""))="A","A",IF(OR(DATE($B$3,10,23)&gt;EOMONTH(DATE($B$3,10,1),0),NETWORKDAYS.INTL(DATE($B$3,10,23),DATE($B$3,10,23),1,'Non-working days'!$A$6:$A$45)=0),"",IF(COUNTIFS('Leave log'!$A$7:$A$306,Employees!$A$32,'Leave log'!$B$7:$B$306,"&lt;="&amp;DATE($B$3,10,23),'Leave log'!$C$7:$C$306,"&gt;="&amp;DATE($B$3,10,23),'Leave log'!$F$7:$F$306,"Pending")&gt;0,"P",""))))</f>
        <v/>
      </c>
      <c r="Y339" s="23" t="str">
        <f>IF(A339="","",IF(IF(OR(DATE($B$3,10,24)&gt;EOMONTH(DATE($B$3,10,1),0),NETWORKDAYS.INTL(DATE($B$3,10,24),DATE($B$3,10,24),1,'Non-working days'!$A$6:$A$45)=0),"",IF(COUNTIFS('Leave log'!$A$7:$A$306,Employees!$A$32,'Leave log'!$B$7:$B$306,"&lt;="&amp;DATE($B$3,10,24),'Leave log'!$C$7:$C$306,"&gt;="&amp;DATE($B$3,10,24),'Leave log'!$F$7:$F$306,"Approved")&gt;0,"A",""))="A","A",IF(OR(DATE($B$3,10,24)&gt;EOMONTH(DATE($B$3,10,1),0),NETWORKDAYS.INTL(DATE($B$3,10,24),DATE($B$3,10,24),1,'Non-working days'!$A$6:$A$45)=0),"",IF(COUNTIFS('Leave log'!$A$7:$A$306,Employees!$A$32,'Leave log'!$B$7:$B$306,"&lt;="&amp;DATE($B$3,10,24),'Leave log'!$C$7:$C$306,"&gt;="&amp;DATE($B$3,10,24),'Leave log'!$F$7:$F$306,"Pending")&gt;0,"P",""))))</f>
        <v/>
      </c>
      <c r="Z339" s="23" t="str">
        <f>IF(A339="","",IF(IF(OR(DATE($B$3,10,25)&gt;EOMONTH(DATE($B$3,10,1),0),NETWORKDAYS.INTL(DATE($B$3,10,25),DATE($B$3,10,25),1,'Non-working days'!$A$6:$A$45)=0),"",IF(COUNTIFS('Leave log'!$A$7:$A$306,Employees!$A$32,'Leave log'!$B$7:$B$306,"&lt;="&amp;DATE($B$3,10,25),'Leave log'!$C$7:$C$306,"&gt;="&amp;DATE($B$3,10,25),'Leave log'!$F$7:$F$306,"Approved")&gt;0,"A",""))="A","A",IF(OR(DATE($B$3,10,25)&gt;EOMONTH(DATE($B$3,10,1),0),NETWORKDAYS.INTL(DATE($B$3,10,25),DATE($B$3,10,25),1,'Non-working days'!$A$6:$A$45)=0),"",IF(COUNTIFS('Leave log'!$A$7:$A$306,Employees!$A$32,'Leave log'!$B$7:$B$306,"&lt;="&amp;DATE($B$3,10,25),'Leave log'!$C$7:$C$306,"&gt;="&amp;DATE($B$3,10,25),'Leave log'!$F$7:$F$306,"Pending")&gt;0,"P",""))))</f>
        <v/>
      </c>
      <c r="AA339" s="23" t="str">
        <f>IF(A339="","",IF(IF(OR(DATE($B$3,10,26)&gt;EOMONTH(DATE($B$3,10,1),0),NETWORKDAYS.INTL(DATE($B$3,10,26),DATE($B$3,10,26),1,'Non-working days'!$A$6:$A$45)=0),"",IF(COUNTIFS('Leave log'!$A$7:$A$306,Employees!$A$32,'Leave log'!$B$7:$B$306,"&lt;="&amp;DATE($B$3,10,26),'Leave log'!$C$7:$C$306,"&gt;="&amp;DATE($B$3,10,26),'Leave log'!$F$7:$F$306,"Approved")&gt;0,"A",""))="A","A",IF(OR(DATE($B$3,10,26)&gt;EOMONTH(DATE($B$3,10,1),0),NETWORKDAYS.INTL(DATE($B$3,10,26),DATE($B$3,10,26),1,'Non-working days'!$A$6:$A$45)=0),"",IF(COUNTIFS('Leave log'!$A$7:$A$306,Employees!$A$32,'Leave log'!$B$7:$B$306,"&lt;="&amp;DATE($B$3,10,26),'Leave log'!$C$7:$C$306,"&gt;="&amp;DATE($B$3,10,26),'Leave log'!$F$7:$F$306,"Pending")&gt;0,"P",""))))</f>
        <v/>
      </c>
      <c r="AB339" s="23" t="str">
        <f>IF(A339="","",IF(IF(OR(DATE($B$3,10,27)&gt;EOMONTH(DATE($B$3,10,1),0),NETWORKDAYS.INTL(DATE($B$3,10,27),DATE($B$3,10,27),1,'Non-working days'!$A$6:$A$45)=0),"",IF(COUNTIFS('Leave log'!$A$7:$A$306,Employees!$A$32,'Leave log'!$B$7:$B$306,"&lt;="&amp;DATE($B$3,10,27),'Leave log'!$C$7:$C$306,"&gt;="&amp;DATE($B$3,10,27),'Leave log'!$F$7:$F$306,"Approved")&gt;0,"A",""))="A","A",IF(OR(DATE($B$3,10,27)&gt;EOMONTH(DATE($B$3,10,1),0),NETWORKDAYS.INTL(DATE($B$3,10,27),DATE($B$3,10,27),1,'Non-working days'!$A$6:$A$45)=0),"",IF(COUNTIFS('Leave log'!$A$7:$A$306,Employees!$A$32,'Leave log'!$B$7:$B$306,"&lt;="&amp;DATE($B$3,10,27),'Leave log'!$C$7:$C$306,"&gt;="&amp;DATE($B$3,10,27),'Leave log'!$F$7:$F$306,"Pending")&gt;0,"P",""))))</f>
        <v/>
      </c>
      <c r="AC339" s="23" t="str">
        <f>IF(A339="","",IF(IF(OR(DATE($B$3,10,28)&gt;EOMONTH(DATE($B$3,10,1),0),NETWORKDAYS.INTL(DATE($B$3,10,28),DATE($B$3,10,28),1,'Non-working days'!$A$6:$A$45)=0),"",IF(COUNTIFS('Leave log'!$A$7:$A$306,Employees!$A$32,'Leave log'!$B$7:$B$306,"&lt;="&amp;DATE($B$3,10,28),'Leave log'!$C$7:$C$306,"&gt;="&amp;DATE($B$3,10,28),'Leave log'!$F$7:$F$306,"Approved")&gt;0,"A",""))="A","A",IF(OR(DATE($B$3,10,28)&gt;EOMONTH(DATE($B$3,10,1),0),NETWORKDAYS.INTL(DATE($B$3,10,28),DATE($B$3,10,28),1,'Non-working days'!$A$6:$A$45)=0),"",IF(COUNTIFS('Leave log'!$A$7:$A$306,Employees!$A$32,'Leave log'!$B$7:$B$306,"&lt;="&amp;DATE($B$3,10,28),'Leave log'!$C$7:$C$306,"&gt;="&amp;DATE($B$3,10,28),'Leave log'!$F$7:$F$306,"Pending")&gt;0,"P",""))))</f>
        <v/>
      </c>
      <c r="AD339" s="23" t="str">
        <f>IF(A339="","",IF(IF(OR(DATE($B$3,10,29)&gt;EOMONTH(DATE($B$3,10,1),0),NETWORKDAYS.INTL(DATE($B$3,10,29),DATE($B$3,10,29),1,'Non-working days'!$A$6:$A$45)=0),"",IF(COUNTIFS('Leave log'!$A$7:$A$306,Employees!$A$32,'Leave log'!$B$7:$B$306,"&lt;="&amp;DATE($B$3,10,29),'Leave log'!$C$7:$C$306,"&gt;="&amp;DATE($B$3,10,29),'Leave log'!$F$7:$F$306,"Approved")&gt;0,"A",""))="A","A",IF(OR(DATE($B$3,10,29)&gt;EOMONTH(DATE($B$3,10,1),0),NETWORKDAYS.INTL(DATE($B$3,10,29),DATE($B$3,10,29),1,'Non-working days'!$A$6:$A$45)=0),"",IF(COUNTIFS('Leave log'!$A$7:$A$306,Employees!$A$32,'Leave log'!$B$7:$B$306,"&lt;="&amp;DATE($B$3,10,29),'Leave log'!$C$7:$C$306,"&gt;="&amp;DATE($B$3,10,29),'Leave log'!$F$7:$F$306,"Pending")&gt;0,"P",""))))</f>
        <v/>
      </c>
      <c r="AE339" s="23" t="str">
        <f>IF(A339="","",IF(IF(OR(DATE($B$3,10,30)&gt;EOMONTH(DATE($B$3,10,1),0),NETWORKDAYS.INTL(DATE($B$3,10,30),DATE($B$3,10,30),1,'Non-working days'!$A$6:$A$45)=0),"",IF(COUNTIFS('Leave log'!$A$7:$A$306,Employees!$A$32,'Leave log'!$B$7:$B$306,"&lt;="&amp;DATE($B$3,10,30),'Leave log'!$C$7:$C$306,"&gt;="&amp;DATE($B$3,10,30),'Leave log'!$F$7:$F$306,"Approved")&gt;0,"A",""))="A","A",IF(OR(DATE($B$3,10,30)&gt;EOMONTH(DATE($B$3,10,1),0),NETWORKDAYS.INTL(DATE($B$3,10,30),DATE($B$3,10,30),1,'Non-working days'!$A$6:$A$45)=0),"",IF(COUNTIFS('Leave log'!$A$7:$A$306,Employees!$A$32,'Leave log'!$B$7:$B$306,"&lt;="&amp;DATE($B$3,10,30),'Leave log'!$C$7:$C$306,"&gt;="&amp;DATE($B$3,10,30),'Leave log'!$F$7:$F$306,"Pending")&gt;0,"P",""))))</f>
        <v/>
      </c>
      <c r="AF339" s="23" t="str">
        <f>IF(A339="","",IF(IF(OR(DATE($B$3,10,31)&gt;EOMONTH(DATE($B$3,10,1),0),NETWORKDAYS.INTL(DATE($B$3,10,31),DATE($B$3,10,31),1,'Non-working days'!$A$6:$A$45)=0),"",IF(COUNTIFS('Leave log'!$A$7:$A$306,Employees!$A$32,'Leave log'!$B$7:$B$306,"&lt;="&amp;DATE($B$3,10,31),'Leave log'!$C$7:$C$306,"&gt;="&amp;DATE($B$3,10,31),'Leave log'!$F$7:$F$306,"Approved")&gt;0,"A",""))="A","A",IF(OR(DATE($B$3,10,31)&gt;EOMONTH(DATE($B$3,10,1),0),NETWORKDAYS.INTL(DATE($B$3,10,31),DATE($B$3,10,31),1,'Non-working days'!$A$6:$A$45)=0),"",IF(COUNTIFS('Leave log'!$A$7:$A$306,Employees!$A$32,'Leave log'!$B$7:$B$306,"&lt;="&amp;DATE($B$3,10,31),'Leave log'!$C$7:$C$306,"&gt;="&amp;DATE($B$3,10,31),'Leave log'!$F$7:$F$306,"Pending")&gt;0,"P",""))))</f>
        <v/>
      </c>
    </row>
    <row r="340" spans="1:32" ht="18" customHeight="1" x14ac:dyDescent="0.3">
      <c r="A340" s="22" t="str">
        <f>IF(Employees!F33="Yes",Employees!B33,"")</f>
        <v/>
      </c>
      <c r="B340" s="23" t="str">
        <f>IF(A340="","",IF(IF(OR(DATE($B$3,10,1)&gt;EOMONTH(DATE($B$3,10,1),0),NETWORKDAYS.INTL(DATE($B$3,10,1),DATE($B$3,10,1),1,'Non-working days'!$A$6:$A$45)=0),"",IF(COUNTIFS('Leave log'!$A$7:$A$306,Employees!$A$33,'Leave log'!$B$7:$B$306,"&lt;="&amp;DATE($B$3,10,1),'Leave log'!$C$7:$C$306,"&gt;="&amp;DATE($B$3,10,1),'Leave log'!$F$7:$F$306,"Approved")&gt;0,"A",""))="A","A",IF(OR(DATE($B$3,10,1)&gt;EOMONTH(DATE($B$3,10,1),0),NETWORKDAYS.INTL(DATE($B$3,10,1),DATE($B$3,10,1),1,'Non-working days'!$A$6:$A$45)=0),"",IF(COUNTIFS('Leave log'!$A$7:$A$306,Employees!$A$33,'Leave log'!$B$7:$B$306,"&lt;="&amp;DATE($B$3,10,1),'Leave log'!$C$7:$C$306,"&gt;="&amp;DATE($B$3,10,1),'Leave log'!$F$7:$F$306,"Pending")&gt;0,"P",""))))</f>
        <v/>
      </c>
      <c r="C340" s="23" t="str">
        <f>IF(A340="","",IF(IF(OR(DATE($B$3,10,2)&gt;EOMONTH(DATE($B$3,10,1),0),NETWORKDAYS.INTL(DATE($B$3,10,2),DATE($B$3,10,2),1,'Non-working days'!$A$6:$A$45)=0),"",IF(COUNTIFS('Leave log'!$A$7:$A$306,Employees!$A$33,'Leave log'!$B$7:$B$306,"&lt;="&amp;DATE($B$3,10,2),'Leave log'!$C$7:$C$306,"&gt;="&amp;DATE($B$3,10,2),'Leave log'!$F$7:$F$306,"Approved")&gt;0,"A",""))="A","A",IF(OR(DATE($B$3,10,2)&gt;EOMONTH(DATE($B$3,10,1),0),NETWORKDAYS.INTL(DATE($B$3,10,2),DATE($B$3,10,2),1,'Non-working days'!$A$6:$A$45)=0),"",IF(COUNTIFS('Leave log'!$A$7:$A$306,Employees!$A$33,'Leave log'!$B$7:$B$306,"&lt;="&amp;DATE($B$3,10,2),'Leave log'!$C$7:$C$306,"&gt;="&amp;DATE($B$3,10,2),'Leave log'!$F$7:$F$306,"Pending")&gt;0,"P",""))))</f>
        <v/>
      </c>
      <c r="D340" s="23" t="str">
        <f>IF(A340="","",IF(IF(OR(DATE($B$3,10,3)&gt;EOMONTH(DATE($B$3,10,1),0),NETWORKDAYS.INTL(DATE($B$3,10,3),DATE($B$3,10,3),1,'Non-working days'!$A$6:$A$45)=0),"",IF(COUNTIFS('Leave log'!$A$7:$A$306,Employees!$A$33,'Leave log'!$B$7:$B$306,"&lt;="&amp;DATE($B$3,10,3),'Leave log'!$C$7:$C$306,"&gt;="&amp;DATE($B$3,10,3),'Leave log'!$F$7:$F$306,"Approved")&gt;0,"A",""))="A","A",IF(OR(DATE($B$3,10,3)&gt;EOMONTH(DATE($B$3,10,1),0),NETWORKDAYS.INTL(DATE($B$3,10,3),DATE($B$3,10,3),1,'Non-working days'!$A$6:$A$45)=0),"",IF(COUNTIFS('Leave log'!$A$7:$A$306,Employees!$A$33,'Leave log'!$B$7:$B$306,"&lt;="&amp;DATE($B$3,10,3),'Leave log'!$C$7:$C$306,"&gt;="&amp;DATE($B$3,10,3),'Leave log'!$F$7:$F$306,"Pending")&gt;0,"P",""))))</f>
        <v/>
      </c>
      <c r="E340" s="23" t="str">
        <f>IF(A340="","",IF(IF(OR(DATE($B$3,10,4)&gt;EOMONTH(DATE($B$3,10,1),0),NETWORKDAYS.INTL(DATE($B$3,10,4),DATE($B$3,10,4),1,'Non-working days'!$A$6:$A$45)=0),"",IF(COUNTIFS('Leave log'!$A$7:$A$306,Employees!$A$33,'Leave log'!$B$7:$B$306,"&lt;="&amp;DATE($B$3,10,4),'Leave log'!$C$7:$C$306,"&gt;="&amp;DATE($B$3,10,4),'Leave log'!$F$7:$F$306,"Approved")&gt;0,"A",""))="A","A",IF(OR(DATE($B$3,10,4)&gt;EOMONTH(DATE($B$3,10,1),0),NETWORKDAYS.INTL(DATE($B$3,10,4),DATE($B$3,10,4),1,'Non-working days'!$A$6:$A$45)=0),"",IF(COUNTIFS('Leave log'!$A$7:$A$306,Employees!$A$33,'Leave log'!$B$7:$B$306,"&lt;="&amp;DATE($B$3,10,4),'Leave log'!$C$7:$C$306,"&gt;="&amp;DATE($B$3,10,4),'Leave log'!$F$7:$F$306,"Pending")&gt;0,"P",""))))</f>
        <v/>
      </c>
      <c r="F340" s="23" t="str">
        <f>IF(A340="","",IF(IF(OR(DATE($B$3,10,5)&gt;EOMONTH(DATE($B$3,10,1),0),NETWORKDAYS.INTL(DATE($B$3,10,5),DATE($B$3,10,5),1,'Non-working days'!$A$6:$A$45)=0),"",IF(COUNTIFS('Leave log'!$A$7:$A$306,Employees!$A$33,'Leave log'!$B$7:$B$306,"&lt;="&amp;DATE($B$3,10,5),'Leave log'!$C$7:$C$306,"&gt;="&amp;DATE($B$3,10,5),'Leave log'!$F$7:$F$306,"Approved")&gt;0,"A",""))="A","A",IF(OR(DATE($B$3,10,5)&gt;EOMONTH(DATE($B$3,10,1),0),NETWORKDAYS.INTL(DATE($B$3,10,5),DATE($B$3,10,5),1,'Non-working days'!$A$6:$A$45)=0),"",IF(COUNTIFS('Leave log'!$A$7:$A$306,Employees!$A$33,'Leave log'!$B$7:$B$306,"&lt;="&amp;DATE($B$3,10,5),'Leave log'!$C$7:$C$306,"&gt;="&amp;DATE($B$3,10,5),'Leave log'!$F$7:$F$306,"Pending")&gt;0,"P",""))))</f>
        <v/>
      </c>
      <c r="G340" s="23" t="str">
        <f>IF(A340="","",IF(IF(OR(DATE($B$3,10,6)&gt;EOMONTH(DATE($B$3,10,1),0),NETWORKDAYS.INTL(DATE($B$3,10,6),DATE($B$3,10,6),1,'Non-working days'!$A$6:$A$45)=0),"",IF(COUNTIFS('Leave log'!$A$7:$A$306,Employees!$A$33,'Leave log'!$B$7:$B$306,"&lt;="&amp;DATE($B$3,10,6),'Leave log'!$C$7:$C$306,"&gt;="&amp;DATE($B$3,10,6),'Leave log'!$F$7:$F$306,"Approved")&gt;0,"A",""))="A","A",IF(OR(DATE($B$3,10,6)&gt;EOMONTH(DATE($B$3,10,1),0),NETWORKDAYS.INTL(DATE($B$3,10,6),DATE($B$3,10,6),1,'Non-working days'!$A$6:$A$45)=0),"",IF(COUNTIFS('Leave log'!$A$7:$A$306,Employees!$A$33,'Leave log'!$B$7:$B$306,"&lt;="&amp;DATE($B$3,10,6),'Leave log'!$C$7:$C$306,"&gt;="&amp;DATE($B$3,10,6),'Leave log'!$F$7:$F$306,"Pending")&gt;0,"P",""))))</f>
        <v/>
      </c>
      <c r="H340" s="23" t="str">
        <f>IF(A340="","",IF(IF(OR(DATE($B$3,10,7)&gt;EOMONTH(DATE($B$3,10,1),0),NETWORKDAYS.INTL(DATE($B$3,10,7),DATE($B$3,10,7),1,'Non-working days'!$A$6:$A$45)=0),"",IF(COUNTIFS('Leave log'!$A$7:$A$306,Employees!$A$33,'Leave log'!$B$7:$B$306,"&lt;="&amp;DATE($B$3,10,7),'Leave log'!$C$7:$C$306,"&gt;="&amp;DATE($B$3,10,7),'Leave log'!$F$7:$F$306,"Approved")&gt;0,"A",""))="A","A",IF(OR(DATE($B$3,10,7)&gt;EOMONTH(DATE($B$3,10,1),0),NETWORKDAYS.INTL(DATE($B$3,10,7),DATE($B$3,10,7),1,'Non-working days'!$A$6:$A$45)=0),"",IF(COUNTIFS('Leave log'!$A$7:$A$306,Employees!$A$33,'Leave log'!$B$7:$B$306,"&lt;="&amp;DATE($B$3,10,7),'Leave log'!$C$7:$C$306,"&gt;="&amp;DATE($B$3,10,7),'Leave log'!$F$7:$F$306,"Pending")&gt;0,"P",""))))</f>
        <v/>
      </c>
      <c r="I340" s="23" t="str">
        <f>IF(A340="","",IF(IF(OR(DATE($B$3,10,8)&gt;EOMONTH(DATE($B$3,10,1),0),NETWORKDAYS.INTL(DATE($B$3,10,8),DATE($B$3,10,8),1,'Non-working days'!$A$6:$A$45)=0),"",IF(COUNTIFS('Leave log'!$A$7:$A$306,Employees!$A$33,'Leave log'!$B$7:$B$306,"&lt;="&amp;DATE($B$3,10,8),'Leave log'!$C$7:$C$306,"&gt;="&amp;DATE($B$3,10,8),'Leave log'!$F$7:$F$306,"Approved")&gt;0,"A",""))="A","A",IF(OR(DATE($B$3,10,8)&gt;EOMONTH(DATE($B$3,10,1),0),NETWORKDAYS.INTL(DATE($B$3,10,8),DATE($B$3,10,8),1,'Non-working days'!$A$6:$A$45)=0),"",IF(COUNTIFS('Leave log'!$A$7:$A$306,Employees!$A$33,'Leave log'!$B$7:$B$306,"&lt;="&amp;DATE($B$3,10,8),'Leave log'!$C$7:$C$306,"&gt;="&amp;DATE($B$3,10,8),'Leave log'!$F$7:$F$306,"Pending")&gt;0,"P",""))))</f>
        <v/>
      </c>
      <c r="J340" s="23" t="str">
        <f>IF(A340="","",IF(IF(OR(DATE($B$3,10,9)&gt;EOMONTH(DATE($B$3,10,1),0),NETWORKDAYS.INTL(DATE($B$3,10,9),DATE($B$3,10,9),1,'Non-working days'!$A$6:$A$45)=0),"",IF(COUNTIFS('Leave log'!$A$7:$A$306,Employees!$A$33,'Leave log'!$B$7:$B$306,"&lt;="&amp;DATE($B$3,10,9),'Leave log'!$C$7:$C$306,"&gt;="&amp;DATE($B$3,10,9),'Leave log'!$F$7:$F$306,"Approved")&gt;0,"A",""))="A","A",IF(OR(DATE($B$3,10,9)&gt;EOMONTH(DATE($B$3,10,1),0),NETWORKDAYS.INTL(DATE($B$3,10,9),DATE($B$3,10,9),1,'Non-working days'!$A$6:$A$45)=0),"",IF(COUNTIFS('Leave log'!$A$7:$A$306,Employees!$A$33,'Leave log'!$B$7:$B$306,"&lt;="&amp;DATE($B$3,10,9),'Leave log'!$C$7:$C$306,"&gt;="&amp;DATE($B$3,10,9),'Leave log'!$F$7:$F$306,"Pending")&gt;0,"P",""))))</f>
        <v/>
      </c>
      <c r="K340" s="23" t="str">
        <f>IF(A340="","",IF(IF(OR(DATE($B$3,10,10)&gt;EOMONTH(DATE($B$3,10,1),0),NETWORKDAYS.INTL(DATE($B$3,10,10),DATE($B$3,10,10),1,'Non-working days'!$A$6:$A$45)=0),"",IF(COUNTIFS('Leave log'!$A$7:$A$306,Employees!$A$33,'Leave log'!$B$7:$B$306,"&lt;="&amp;DATE($B$3,10,10),'Leave log'!$C$7:$C$306,"&gt;="&amp;DATE($B$3,10,10),'Leave log'!$F$7:$F$306,"Approved")&gt;0,"A",""))="A","A",IF(OR(DATE($B$3,10,10)&gt;EOMONTH(DATE($B$3,10,1),0),NETWORKDAYS.INTL(DATE($B$3,10,10),DATE($B$3,10,10),1,'Non-working days'!$A$6:$A$45)=0),"",IF(COUNTIFS('Leave log'!$A$7:$A$306,Employees!$A$33,'Leave log'!$B$7:$B$306,"&lt;="&amp;DATE($B$3,10,10),'Leave log'!$C$7:$C$306,"&gt;="&amp;DATE($B$3,10,10),'Leave log'!$F$7:$F$306,"Pending")&gt;0,"P",""))))</f>
        <v/>
      </c>
      <c r="L340" s="23" t="str">
        <f>IF(A340="","",IF(IF(OR(DATE($B$3,10,11)&gt;EOMONTH(DATE($B$3,10,1),0),NETWORKDAYS.INTL(DATE($B$3,10,11),DATE($B$3,10,11),1,'Non-working days'!$A$6:$A$45)=0),"",IF(COUNTIFS('Leave log'!$A$7:$A$306,Employees!$A$33,'Leave log'!$B$7:$B$306,"&lt;="&amp;DATE($B$3,10,11),'Leave log'!$C$7:$C$306,"&gt;="&amp;DATE($B$3,10,11),'Leave log'!$F$7:$F$306,"Approved")&gt;0,"A",""))="A","A",IF(OR(DATE($B$3,10,11)&gt;EOMONTH(DATE($B$3,10,1),0),NETWORKDAYS.INTL(DATE($B$3,10,11),DATE($B$3,10,11),1,'Non-working days'!$A$6:$A$45)=0),"",IF(COUNTIFS('Leave log'!$A$7:$A$306,Employees!$A$33,'Leave log'!$B$7:$B$306,"&lt;="&amp;DATE($B$3,10,11),'Leave log'!$C$7:$C$306,"&gt;="&amp;DATE($B$3,10,11),'Leave log'!$F$7:$F$306,"Pending")&gt;0,"P",""))))</f>
        <v/>
      </c>
      <c r="M340" s="23" t="str">
        <f>IF(A340="","",IF(IF(OR(DATE($B$3,10,12)&gt;EOMONTH(DATE($B$3,10,1),0),NETWORKDAYS.INTL(DATE($B$3,10,12),DATE($B$3,10,12),1,'Non-working days'!$A$6:$A$45)=0),"",IF(COUNTIFS('Leave log'!$A$7:$A$306,Employees!$A$33,'Leave log'!$B$7:$B$306,"&lt;="&amp;DATE($B$3,10,12),'Leave log'!$C$7:$C$306,"&gt;="&amp;DATE($B$3,10,12),'Leave log'!$F$7:$F$306,"Approved")&gt;0,"A",""))="A","A",IF(OR(DATE($B$3,10,12)&gt;EOMONTH(DATE($B$3,10,1),0),NETWORKDAYS.INTL(DATE($B$3,10,12),DATE($B$3,10,12),1,'Non-working days'!$A$6:$A$45)=0),"",IF(COUNTIFS('Leave log'!$A$7:$A$306,Employees!$A$33,'Leave log'!$B$7:$B$306,"&lt;="&amp;DATE($B$3,10,12),'Leave log'!$C$7:$C$306,"&gt;="&amp;DATE($B$3,10,12),'Leave log'!$F$7:$F$306,"Pending")&gt;0,"P",""))))</f>
        <v/>
      </c>
      <c r="N340" s="23" t="str">
        <f>IF(A340="","",IF(IF(OR(DATE($B$3,10,13)&gt;EOMONTH(DATE($B$3,10,1),0),NETWORKDAYS.INTL(DATE($B$3,10,13),DATE($B$3,10,13),1,'Non-working days'!$A$6:$A$45)=0),"",IF(COUNTIFS('Leave log'!$A$7:$A$306,Employees!$A$33,'Leave log'!$B$7:$B$306,"&lt;="&amp;DATE($B$3,10,13),'Leave log'!$C$7:$C$306,"&gt;="&amp;DATE($B$3,10,13),'Leave log'!$F$7:$F$306,"Approved")&gt;0,"A",""))="A","A",IF(OR(DATE($B$3,10,13)&gt;EOMONTH(DATE($B$3,10,1),0),NETWORKDAYS.INTL(DATE($B$3,10,13),DATE($B$3,10,13),1,'Non-working days'!$A$6:$A$45)=0),"",IF(COUNTIFS('Leave log'!$A$7:$A$306,Employees!$A$33,'Leave log'!$B$7:$B$306,"&lt;="&amp;DATE($B$3,10,13),'Leave log'!$C$7:$C$306,"&gt;="&amp;DATE($B$3,10,13),'Leave log'!$F$7:$F$306,"Pending")&gt;0,"P",""))))</f>
        <v/>
      </c>
      <c r="O340" s="23" t="str">
        <f>IF(A340="","",IF(IF(OR(DATE($B$3,10,14)&gt;EOMONTH(DATE($B$3,10,1),0),NETWORKDAYS.INTL(DATE($B$3,10,14),DATE($B$3,10,14),1,'Non-working days'!$A$6:$A$45)=0),"",IF(COUNTIFS('Leave log'!$A$7:$A$306,Employees!$A$33,'Leave log'!$B$7:$B$306,"&lt;="&amp;DATE($B$3,10,14),'Leave log'!$C$7:$C$306,"&gt;="&amp;DATE($B$3,10,14),'Leave log'!$F$7:$F$306,"Approved")&gt;0,"A",""))="A","A",IF(OR(DATE($B$3,10,14)&gt;EOMONTH(DATE($B$3,10,1),0),NETWORKDAYS.INTL(DATE($B$3,10,14),DATE($B$3,10,14),1,'Non-working days'!$A$6:$A$45)=0),"",IF(COUNTIFS('Leave log'!$A$7:$A$306,Employees!$A$33,'Leave log'!$B$7:$B$306,"&lt;="&amp;DATE($B$3,10,14),'Leave log'!$C$7:$C$306,"&gt;="&amp;DATE($B$3,10,14),'Leave log'!$F$7:$F$306,"Pending")&gt;0,"P",""))))</f>
        <v/>
      </c>
      <c r="P340" s="23" t="str">
        <f>IF(A340="","",IF(IF(OR(DATE($B$3,10,15)&gt;EOMONTH(DATE($B$3,10,1),0),NETWORKDAYS.INTL(DATE($B$3,10,15),DATE($B$3,10,15),1,'Non-working days'!$A$6:$A$45)=0),"",IF(COUNTIFS('Leave log'!$A$7:$A$306,Employees!$A$33,'Leave log'!$B$7:$B$306,"&lt;="&amp;DATE($B$3,10,15),'Leave log'!$C$7:$C$306,"&gt;="&amp;DATE($B$3,10,15),'Leave log'!$F$7:$F$306,"Approved")&gt;0,"A",""))="A","A",IF(OR(DATE($B$3,10,15)&gt;EOMONTH(DATE($B$3,10,1),0),NETWORKDAYS.INTL(DATE($B$3,10,15),DATE($B$3,10,15),1,'Non-working days'!$A$6:$A$45)=0),"",IF(COUNTIFS('Leave log'!$A$7:$A$306,Employees!$A$33,'Leave log'!$B$7:$B$306,"&lt;="&amp;DATE($B$3,10,15),'Leave log'!$C$7:$C$306,"&gt;="&amp;DATE($B$3,10,15),'Leave log'!$F$7:$F$306,"Pending")&gt;0,"P",""))))</f>
        <v/>
      </c>
      <c r="Q340" s="23" t="str">
        <f>IF(A340="","",IF(IF(OR(DATE($B$3,10,16)&gt;EOMONTH(DATE($B$3,10,1),0),NETWORKDAYS.INTL(DATE($B$3,10,16),DATE($B$3,10,16),1,'Non-working days'!$A$6:$A$45)=0),"",IF(COUNTIFS('Leave log'!$A$7:$A$306,Employees!$A$33,'Leave log'!$B$7:$B$306,"&lt;="&amp;DATE($B$3,10,16),'Leave log'!$C$7:$C$306,"&gt;="&amp;DATE($B$3,10,16),'Leave log'!$F$7:$F$306,"Approved")&gt;0,"A",""))="A","A",IF(OR(DATE($B$3,10,16)&gt;EOMONTH(DATE($B$3,10,1),0),NETWORKDAYS.INTL(DATE($B$3,10,16),DATE($B$3,10,16),1,'Non-working days'!$A$6:$A$45)=0),"",IF(COUNTIFS('Leave log'!$A$7:$A$306,Employees!$A$33,'Leave log'!$B$7:$B$306,"&lt;="&amp;DATE($B$3,10,16),'Leave log'!$C$7:$C$306,"&gt;="&amp;DATE($B$3,10,16),'Leave log'!$F$7:$F$306,"Pending")&gt;0,"P",""))))</f>
        <v/>
      </c>
      <c r="R340" s="23" t="str">
        <f>IF(A340="","",IF(IF(OR(DATE($B$3,10,17)&gt;EOMONTH(DATE($B$3,10,1),0),NETWORKDAYS.INTL(DATE($B$3,10,17),DATE($B$3,10,17),1,'Non-working days'!$A$6:$A$45)=0),"",IF(COUNTIFS('Leave log'!$A$7:$A$306,Employees!$A$33,'Leave log'!$B$7:$B$306,"&lt;="&amp;DATE($B$3,10,17),'Leave log'!$C$7:$C$306,"&gt;="&amp;DATE($B$3,10,17),'Leave log'!$F$7:$F$306,"Approved")&gt;0,"A",""))="A","A",IF(OR(DATE($B$3,10,17)&gt;EOMONTH(DATE($B$3,10,1),0),NETWORKDAYS.INTL(DATE($B$3,10,17),DATE($B$3,10,17),1,'Non-working days'!$A$6:$A$45)=0),"",IF(COUNTIFS('Leave log'!$A$7:$A$306,Employees!$A$33,'Leave log'!$B$7:$B$306,"&lt;="&amp;DATE($B$3,10,17),'Leave log'!$C$7:$C$306,"&gt;="&amp;DATE($B$3,10,17),'Leave log'!$F$7:$F$306,"Pending")&gt;0,"P",""))))</f>
        <v/>
      </c>
      <c r="S340" s="23" t="str">
        <f>IF(A340="","",IF(IF(OR(DATE($B$3,10,18)&gt;EOMONTH(DATE($B$3,10,1),0),NETWORKDAYS.INTL(DATE($B$3,10,18),DATE($B$3,10,18),1,'Non-working days'!$A$6:$A$45)=0),"",IF(COUNTIFS('Leave log'!$A$7:$A$306,Employees!$A$33,'Leave log'!$B$7:$B$306,"&lt;="&amp;DATE($B$3,10,18),'Leave log'!$C$7:$C$306,"&gt;="&amp;DATE($B$3,10,18),'Leave log'!$F$7:$F$306,"Approved")&gt;0,"A",""))="A","A",IF(OR(DATE($B$3,10,18)&gt;EOMONTH(DATE($B$3,10,1),0),NETWORKDAYS.INTL(DATE($B$3,10,18),DATE($B$3,10,18),1,'Non-working days'!$A$6:$A$45)=0),"",IF(COUNTIFS('Leave log'!$A$7:$A$306,Employees!$A$33,'Leave log'!$B$7:$B$306,"&lt;="&amp;DATE($B$3,10,18),'Leave log'!$C$7:$C$306,"&gt;="&amp;DATE($B$3,10,18),'Leave log'!$F$7:$F$306,"Pending")&gt;0,"P",""))))</f>
        <v/>
      </c>
      <c r="T340" s="23" t="str">
        <f>IF(A340="","",IF(IF(OR(DATE($B$3,10,19)&gt;EOMONTH(DATE($B$3,10,1),0),NETWORKDAYS.INTL(DATE($B$3,10,19),DATE($B$3,10,19),1,'Non-working days'!$A$6:$A$45)=0),"",IF(COUNTIFS('Leave log'!$A$7:$A$306,Employees!$A$33,'Leave log'!$B$7:$B$306,"&lt;="&amp;DATE($B$3,10,19),'Leave log'!$C$7:$C$306,"&gt;="&amp;DATE($B$3,10,19),'Leave log'!$F$7:$F$306,"Approved")&gt;0,"A",""))="A","A",IF(OR(DATE($B$3,10,19)&gt;EOMONTH(DATE($B$3,10,1),0),NETWORKDAYS.INTL(DATE($B$3,10,19),DATE($B$3,10,19),1,'Non-working days'!$A$6:$A$45)=0),"",IF(COUNTIFS('Leave log'!$A$7:$A$306,Employees!$A$33,'Leave log'!$B$7:$B$306,"&lt;="&amp;DATE($B$3,10,19),'Leave log'!$C$7:$C$306,"&gt;="&amp;DATE($B$3,10,19),'Leave log'!$F$7:$F$306,"Pending")&gt;0,"P",""))))</f>
        <v/>
      </c>
      <c r="U340" s="23" t="str">
        <f>IF(A340="","",IF(IF(OR(DATE($B$3,10,20)&gt;EOMONTH(DATE($B$3,10,1),0),NETWORKDAYS.INTL(DATE($B$3,10,20),DATE($B$3,10,20),1,'Non-working days'!$A$6:$A$45)=0),"",IF(COUNTIFS('Leave log'!$A$7:$A$306,Employees!$A$33,'Leave log'!$B$7:$B$306,"&lt;="&amp;DATE($B$3,10,20),'Leave log'!$C$7:$C$306,"&gt;="&amp;DATE($B$3,10,20),'Leave log'!$F$7:$F$306,"Approved")&gt;0,"A",""))="A","A",IF(OR(DATE($B$3,10,20)&gt;EOMONTH(DATE($B$3,10,1),0),NETWORKDAYS.INTL(DATE($B$3,10,20),DATE($B$3,10,20),1,'Non-working days'!$A$6:$A$45)=0),"",IF(COUNTIFS('Leave log'!$A$7:$A$306,Employees!$A$33,'Leave log'!$B$7:$B$306,"&lt;="&amp;DATE($B$3,10,20),'Leave log'!$C$7:$C$306,"&gt;="&amp;DATE($B$3,10,20),'Leave log'!$F$7:$F$306,"Pending")&gt;0,"P",""))))</f>
        <v/>
      </c>
      <c r="V340" s="23" t="str">
        <f>IF(A340="","",IF(IF(OR(DATE($B$3,10,21)&gt;EOMONTH(DATE($B$3,10,1),0),NETWORKDAYS.INTL(DATE($B$3,10,21),DATE($B$3,10,21),1,'Non-working days'!$A$6:$A$45)=0),"",IF(COUNTIFS('Leave log'!$A$7:$A$306,Employees!$A$33,'Leave log'!$B$7:$B$306,"&lt;="&amp;DATE($B$3,10,21),'Leave log'!$C$7:$C$306,"&gt;="&amp;DATE($B$3,10,21),'Leave log'!$F$7:$F$306,"Approved")&gt;0,"A",""))="A","A",IF(OR(DATE($B$3,10,21)&gt;EOMONTH(DATE($B$3,10,1),0),NETWORKDAYS.INTL(DATE($B$3,10,21),DATE($B$3,10,21),1,'Non-working days'!$A$6:$A$45)=0),"",IF(COUNTIFS('Leave log'!$A$7:$A$306,Employees!$A$33,'Leave log'!$B$7:$B$306,"&lt;="&amp;DATE($B$3,10,21),'Leave log'!$C$7:$C$306,"&gt;="&amp;DATE($B$3,10,21),'Leave log'!$F$7:$F$306,"Pending")&gt;0,"P",""))))</f>
        <v/>
      </c>
      <c r="W340" s="23" t="str">
        <f>IF(A340="","",IF(IF(OR(DATE($B$3,10,22)&gt;EOMONTH(DATE($B$3,10,1),0),NETWORKDAYS.INTL(DATE($B$3,10,22),DATE($B$3,10,22),1,'Non-working days'!$A$6:$A$45)=0),"",IF(COUNTIFS('Leave log'!$A$7:$A$306,Employees!$A$33,'Leave log'!$B$7:$B$306,"&lt;="&amp;DATE($B$3,10,22),'Leave log'!$C$7:$C$306,"&gt;="&amp;DATE($B$3,10,22),'Leave log'!$F$7:$F$306,"Approved")&gt;0,"A",""))="A","A",IF(OR(DATE($B$3,10,22)&gt;EOMONTH(DATE($B$3,10,1),0),NETWORKDAYS.INTL(DATE($B$3,10,22),DATE($B$3,10,22),1,'Non-working days'!$A$6:$A$45)=0),"",IF(COUNTIFS('Leave log'!$A$7:$A$306,Employees!$A$33,'Leave log'!$B$7:$B$306,"&lt;="&amp;DATE($B$3,10,22),'Leave log'!$C$7:$C$306,"&gt;="&amp;DATE($B$3,10,22),'Leave log'!$F$7:$F$306,"Pending")&gt;0,"P",""))))</f>
        <v/>
      </c>
      <c r="X340" s="23" t="str">
        <f>IF(A340="","",IF(IF(OR(DATE($B$3,10,23)&gt;EOMONTH(DATE($B$3,10,1),0),NETWORKDAYS.INTL(DATE($B$3,10,23),DATE($B$3,10,23),1,'Non-working days'!$A$6:$A$45)=0),"",IF(COUNTIFS('Leave log'!$A$7:$A$306,Employees!$A$33,'Leave log'!$B$7:$B$306,"&lt;="&amp;DATE($B$3,10,23),'Leave log'!$C$7:$C$306,"&gt;="&amp;DATE($B$3,10,23),'Leave log'!$F$7:$F$306,"Approved")&gt;0,"A",""))="A","A",IF(OR(DATE($B$3,10,23)&gt;EOMONTH(DATE($B$3,10,1),0),NETWORKDAYS.INTL(DATE($B$3,10,23),DATE($B$3,10,23),1,'Non-working days'!$A$6:$A$45)=0),"",IF(COUNTIFS('Leave log'!$A$7:$A$306,Employees!$A$33,'Leave log'!$B$7:$B$306,"&lt;="&amp;DATE($B$3,10,23),'Leave log'!$C$7:$C$306,"&gt;="&amp;DATE($B$3,10,23),'Leave log'!$F$7:$F$306,"Pending")&gt;0,"P",""))))</f>
        <v/>
      </c>
      <c r="Y340" s="23" t="str">
        <f>IF(A340="","",IF(IF(OR(DATE($B$3,10,24)&gt;EOMONTH(DATE($B$3,10,1),0),NETWORKDAYS.INTL(DATE($B$3,10,24),DATE($B$3,10,24),1,'Non-working days'!$A$6:$A$45)=0),"",IF(COUNTIFS('Leave log'!$A$7:$A$306,Employees!$A$33,'Leave log'!$B$7:$B$306,"&lt;="&amp;DATE($B$3,10,24),'Leave log'!$C$7:$C$306,"&gt;="&amp;DATE($B$3,10,24),'Leave log'!$F$7:$F$306,"Approved")&gt;0,"A",""))="A","A",IF(OR(DATE($B$3,10,24)&gt;EOMONTH(DATE($B$3,10,1),0),NETWORKDAYS.INTL(DATE($B$3,10,24),DATE($B$3,10,24),1,'Non-working days'!$A$6:$A$45)=0),"",IF(COUNTIFS('Leave log'!$A$7:$A$306,Employees!$A$33,'Leave log'!$B$7:$B$306,"&lt;="&amp;DATE($B$3,10,24),'Leave log'!$C$7:$C$306,"&gt;="&amp;DATE($B$3,10,24),'Leave log'!$F$7:$F$306,"Pending")&gt;0,"P",""))))</f>
        <v/>
      </c>
      <c r="Z340" s="23" t="str">
        <f>IF(A340="","",IF(IF(OR(DATE($B$3,10,25)&gt;EOMONTH(DATE($B$3,10,1),0),NETWORKDAYS.INTL(DATE($B$3,10,25),DATE($B$3,10,25),1,'Non-working days'!$A$6:$A$45)=0),"",IF(COUNTIFS('Leave log'!$A$7:$A$306,Employees!$A$33,'Leave log'!$B$7:$B$306,"&lt;="&amp;DATE($B$3,10,25),'Leave log'!$C$7:$C$306,"&gt;="&amp;DATE($B$3,10,25),'Leave log'!$F$7:$F$306,"Approved")&gt;0,"A",""))="A","A",IF(OR(DATE($B$3,10,25)&gt;EOMONTH(DATE($B$3,10,1),0),NETWORKDAYS.INTL(DATE($B$3,10,25),DATE($B$3,10,25),1,'Non-working days'!$A$6:$A$45)=0),"",IF(COUNTIFS('Leave log'!$A$7:$A$306,Employees!$A$33,'Leave log'!$B$7:$B$306,"&lt;="&amp;DATE($B$3,10,25),'Leave log'!$C$7:$C$306,"&gt;="&amp;DATE($B$3,10,25),'Leave log'!$F$7:$F$306,"Pending")&gt;0,"P",""))))</f>
        <v/>
      </c>
      <c r="AA340" s="23" t="str">
        <f>IF(A340="","",IF(IF(OR(DATE($B$3,10,26)&gt;EOMONTH(DATE($B$3,10,1),0),NETWORKDAYS.INTL(DATE($B$3,10,26),DATE($B$3,10,26),1,'Non-working days'!$A$6:$A$45)=0),"",IF(COUNTIFS('Leave log'!$A$7:$A$306,Employees!$A$33,'Leave log'!$B$7:$B$306,"&lt;="&amp;DATE($B$3,10,26),'Leave log'!$C$7:$C$306,"&gt;="&amp;DATE($B$3,10,26),'Leave log'!$F$7:$F$306,"Approved")&gt;0,"A",""))="A","A",IF(OR(DATE($B$3,10,26)&gt;EOMONTH(DATE($B$3,10,1),0),NETWORKDAYS.INTL(DATE($B$3,10,26),DATE($B$3,10,26),1,'Non-working days'!$A$6:$A$45)=0),"",IF(COUNTIFS('Leave log'!$A$7:$A$306,Employees!$A$33,'Leave log'!$B$7:$B$306,"&lt;="&amp;DATE($B$3,10,26),'Leave log'!$C$7:$C$306,"&gt;="&amp;DATE($B$3,10,26),'Leave log'!$F$7:$F$306,"Pending")&gt;0,"P",""))))</f>
        <v/>
      </c>
      <c r="AB340" s="23" t="str">
        <f>IF(A340="","",IF(IF(OR(DATE($B$3,10,27)&gt;EOMONTH(DATE($B$3,10,1),0),NETWORKDAYS.INTL(DATE($B$3,10,27),DATE($B$3,10,27),1,'Non-working days'!$A$6:$A$45)=0),"",IF(COUNTIFS('Leave log'!$A$7:$A$306,Employees!$A$33,'Leave log'!$B$7:$B$306,"&lt;="&amp;DATE($B$3,10,27),'Leave log'!$C$7:$C$306,"&gt;="&amp;DATE($B$3,10,27),'Leave log'!$F$7:$F$306,"Approved")&gt;0,"A",""))="A","A",IF(OR(DATE($B$3,10,27)&gt;EOMONTH(DATE($B$3,10,1),0),NETWORKDAYS.INTL(DATE($B$3,10,27),DATE($B$3,10,27),1,'Non-working days'!$A$6:$A$45)=0),"",IF(COUNTIFS('Leave log'!$A$7:$A$306,Employees!$A$33,'Leave log'!$B$7:$B$306,"&lt;="&amp;DATE($B$3,10,27),'Leave log'!$C$7:$C$306,"&gt;="&amp;DATE($B$3,10,27),'Leave log'!$F$7:$F$306,"Pending")&gt;0,"P",""))))</f>
        <v/>
      </c>
      <c r="AC340" s="23" t="str">
        <f>IF(A340="","",IF(IF(OR(DATE($B$3,10,28)&gt;EOMONTH(DATE($B$3,10,1),0),NETWORKDAYS.INTL(DATE($B$3,10,28),DATE($B$3,10,28),1,'Non-working days'!$A$6:$A$45)=0),"",IF(COUNTIFS('Leave log'!$A$7:$A$306,Employees!$A$33,'Leave log'!$B$7:$B$306,"&lt;="&amp;DATE($B$3,10,28),'Leave log'!$C$7:$C$306,"&gt;="&amp;DATE($B$3,10,28),'Leave log'!$F$7:$F$306,"Approved")&gt;0,"A",""))="A","A",IF(OR(DATE($B$3,10,28)&gt;EOMONTH(DATE($B$3,10,1),0),NETWORKDAYS.INTL(DATE($B$3,10,28),DATE($B$3,10,28),1,'Non-working days'!$A$6:$A$45)=0),"",IF(COUNTIFS('Leave log'!$A$7:$A$306,Employees!$A$33,'Leave log'!$B$7:$B$306,"&lt;="&amp;DATE($B$3,10,28),'Leave log'!$C$7:$C$306,"&gt;="&amp;DATE($B$3,10,28),'Leave log'!$F$7:$F$306,"Pending")&gt;0,"P",""))))</f>
        <v/>
      </c>
      <c r="AD340" s="23" t="str">
        <f>IF(A340="","",IF(IF(OR(DATE($B$3,10,29)&gt;EOMONTH(DATE($B$3,10,1),0),NETWORKDAYS.INTL(DATE($B$3,10,29),DATE($B$3,10,29),1,'Non-working days'!$A$6:$A$45)=0),"",IF(COUNTIFS('Leave log'!$A$7:$A$306,Employees!$A$33,'Leave log'!$B$7:$B$306,"&lt;="&amp;DATE($B$3,10,29),'Leave log'!$C$7:$C$306,"&gt;="&amp;DATE($B$3,10,29),'Leave log'!$F$7:$F$306,"Approved")&gt;0,"A",""))="A","A",IF(OR(DATE($B$3,10,29)&gt;EOMONTH(DATE($B$3,10,1),0),NETWORKDAYS.INTL(DATE($B$3,10,29),DATE($B$3,10,29),1,'Non-working days'!$A$6:$A$45)=0),"",IF(COUNTIFS('Leave log'!$A$7:$A$306,Employees!$A$33,'Leave log'!$B$7:$B$306,"&lt;="&amp;DATE($B$3,10,29),'Leave log'!$C$7:$C$306,"&gt;="&amp;DATE($B$3,10,29),'Leave log'!$F$7:$F$306,"Pending")&gt;0,"P",""))))</f>
        <v/>
      </c>
      <c r="AE340" s="23" t="str">
        <f>IF(A340="","",IF(IF(OR(DATE($B$3,10,30)&gt;EOMONTH(DATE($B$3,10,1),0),NETWORKDAYS.INTL(DATE($B$3,10,30),DATE($B$3,10,30),1,'Non-working days'!$A$6:$A$45)=0),"",IF(COUNTIFS('Leave log'!$A$7:$A$306,Employees!$A$33,'Leave log'!$B$7:$B$306,"&lt;="&amp;DATE($B$3,10,30),'Leave log'!$C$7:$C$306,"&gt;="&amp;DATE($B$3,10,30),'Leave log'!$F$7:$F$306,"Approved")&gt;0,"A",""))="A","A",IF(OR(DATE($B$3,10,30)&gt;EOMONTH(DATE($B$3,10,1),0),NETWORKDAYS.INTL(DATE($B$3,10,30),DATE($B$3,10,30),1,'Non-working days'!$A$6:$A$45)=0),"",IF(COUNTIFS('Leave log'!$A$7:$A$306,Employees!$A$33,'Leave log'!$B$7:$B$306,"&lt;="&amp;DATE($B$3,10,30),'Leave log'!$C$7:$C$306,"&gt;="&amp;DATE($B$3,10,30),'Leave log'!$F$7:$F$306,"Pending")&gt;0,"P",""))))</f>
        <v/>
      </c>
      <c r="AF340" s="23" t="str">
        <f>IF(A340="","",IF(IF(OR(DATE($B$3,10,31)&gt;EOMONTH(DATE($B$3,10,1),0),NETWORKDAYS.INTL(DATE($B$3,10,31),DATE($B$3,10,31),1,'Non-working days'!$A$6:$A$45)=0),"",IF(COUNTIFS('Leave log'!$A$7:$A$306,Employees!$A$33,'Leave log'!$B$7:$B$306,"&lt;="&amp;DATE($B$3,10,31),'Leave log'!$C$7:$C$306,"&gt;="&amp;DATE($B$3,10,31),'Leave log'!$F$7:$F$306,"Approved")&gt;0,"A",""))="A","A",IF(OR(DATE($B$3,10,31)&gt;EOMONTH(DATE($B$3,10,1),0),NETWORKDAYS.INTL(DATE($B$3,10,31),DATE($B$3,10,31),1,'Non-working days'!$A$6:$A$45)=0),"",IF(COUNTIFS('Leave log'!$A$7:$A$306,Employees!$A$33,'Leave log'!$B$7:$B$306,"&lt;="&amp;DATE($B$3,10,31),'Leave log'!$C$7:$C$306,"&gt;="&amp;DATE($B$3,10,31),'Leave log'!$F$7:$F$306,"Pending")&gt;0,"P",""))))</f>
        <v/>
      </c>
    </row>
    <row r="341" spans="1:32" ht="18" customHeight="1" x14ac:dyDescent="0.3">
      <c r="A341" s="22" t="str">
        <f>IF(Employees!F34="Yes",Employees!B34,"")</f>
        <v/>
      </c>
      <c r="B341" s="23" t="str">
        <f>IF(A341="","",IF(IF(OR(DATE($B$3,10,1)&gt;EOMONTH(DATE($B$3,10,1),0),NETWORKDAYS.INTL(DATE($B$3,10,1),DATE($B$3,10,1),1,'Non-working days'!$A$6:$A$45)=0),"",IF(COUNTIFS('Leave log'!$A$7:$A$306,Employees!$A$34,'Leave log'!$B$7:$B$306,"&lt;="&amp;DATE($B$3,10,1),'Leave log'!$C$7:$C$306,"&gt;="&amp;DATE($B$3,10,1),'Leave log'!$F$7:$F$306,"Approved")&gt;0,"A",""))="A","A",IF(OR(DATE($B$3,10,1)&gt;EOMONTH(DATE($B$3,10,1),0),NETWORKDAYS.INTL(DATE($B$3,10,1),DATE($B$3,10,1),1,'Non-working days'!$A$6:$A$45)=0),"",IF(COUNTIFS('Leave log'!$A$7:$A$306,Employees!$A$34,'Leave log'!$B$7:$B$306,"&lt;="&amp;DATE($B$3,10,1),'Leave log'!$C$7:$C$306,"&gt;="&amp;DATE($B$3,10,1),'Leave log'!$F$7:$F$306,"Pending")&gt;0,"P",""))))</f>
        <v/>
      </c>
      <c r="C341" s="23" t="str">
        <f>IF(A341="","",IF(IF(OR(DATE($B$3,10,2)&gt;EOMONTH(DATE($B$3,10,1),0),NETWORKDAYS.INTL(DATE($B$3,10,2),DATE($B$3,10,2),1,'Non-working days'!$A$6:$A$45)=0),"",IF(COUNTIFS('Leave log'!$A$7:$A$306,Employees!$A$34,'Leave log'!$B$7:$B$306,"&lt;="&amp;DATE($B$3,10,2),'Leave log'!$C$7:$C$306,"&gt;="&amp;DATE($B$3,10,2),'Leave log'!$F$7:$F$306,"Approved")&gt;0,"A",""))="A","A",IF(OR(DATE($B$3,10,2)&gt;EOMONTH(DATE($B$3,10,1),0),NETWORKDAYS.INTL(DATE($B$3,10,2),DATE($B$3,10,2),1,'Non-working days'!$A$6:$A$45)=0),"",IF(COUNTIFS('Leave log'!$A$7:$A$306,Employees!$A$34,'Leave log'!$B$7:$B$306,"&lt;="&amp;DATE($B$3,10,2),'Leave log'!$C$7:$C$306,"&gt;="&amp;DATE($B$3,10,2),'Leave log'!$F$7:$F$306,"Pending")&gt;0,"P",""))))</f>
        <v/>
      </c>
      <c r="D341" s="23" t="str">
        <f>IF(A341="","",IF(IF(OR(DATE($B$3,10,3)&gt;EOMONTH(DATE($B$3,10,1),0),NETWORKDAYS.INTL(DATE($B$3,10,3),DATE($B$3,10,3),1,'Non-working days'!$A$6:$A$45)=0),"",IF(COUNTIFS('Leave log'!$A$7:$A$306,Employees!$A$34,'Leave log'!$B$7:$B$306,"&lt;="&amp;DATE($B$3,10,3),'Leave log'!$C$7:$C$306,"&gt;="&amp;DATE($B$3,10,3),'Leave log'!$F$7:$F$306,"Approved")&gt;0,"A",""))="A","A",IF(OR(DATE($B$3,10,3)&gt;EOMONTH(DATE($B$3,10,1),0),NETWORKDAYS.INTL(DATE($B$3,10,3),DATE($B$3,10,3),1,'Non-working days'!$A$6:$A$45)=0),"",IF(COUNTIFS('Leave log'!$A$7:$A$306,Employees!$A$34,'Leave log'!$B$7:$B$306,"&lt;="&amp;DATE($B$3,10,3),'Leave log'!$C$7:$C$306,"&gt;="&amp;DATE($B$3,10,3),'Leave log'!$F$7:$F$306,"Pending")&gt;0,"P",""))))</f>
        <v/>
      </c>
      <c r="E341" s="23" t="str">
        <f>IF(A341="","",IF(IF(OR(DATE($B$3,10,4)&gt;EOMONTH(DATE($B$3,10,1),0),NETWORKDAYS.INTL(DATE($B$3,10,4),DATE($B$3,10,4),1,'Non-working days'!$A$6:$A$45)=0),"",IF(COUNTIFS('Leave log'!$A$7:$A$306,Employees!$A$34,'Leave log'!$B$7:$B$306,"&lt;="&amp;DATE($B$3,10,4),'Leave log'!$C$7:$C$306,"&gt;="&amp;DATE($B$3,10,4),'Leave log'!$F$7:$F$306,"Approved")&gt;0,"A",""))="A","A",IF(OR(DATE($B$3,10,4)&gt;EOMONTH(DATE($B$3,10,1),0),NETWORKDAYS.INTL(DATE($B$3,10,4),DATE($B$3,10,4),1,'Non-working days'!$A$6:$A$45)=0),"",IF(COUNTIFS('Leave log'!$A$7:$A$306,Employees!$A$34,'Leave log'!$B$7:$B$306,"&lt;="&amp;DATE($B$3,10,4),'Leave log'!$C$7:$C$306,"&gt;="&amp;DATE($B$3,10,4),'Leave log'!$F$7:$F$306,"Pending")&gt;0,"P",""))))</f>
        <v/>
      </c>
      <c r="F341" s="23" t="str">
        <f>IF(A341="","",IF(IF(OR(DATE($B$3,10,5)&gt;EOMONTH(DATE($B$3,10,1),0),NETWORKDAYS.INTL(DATE($B$3,10,5),DATE($B$3,10,5),1,'Non-working days'!$A$6:$A$45)=0),"",IF(COUNTIFS('Leave log'!$A$7:$A$306,Employees!$A$34,'Leave log'!$B$7:$B$306,"&lt;="&amp;DATE($B$3,10,5),'Leave log'!$C$7:$C$306,"&gt;="&amp;DATE($B$3,10,5),'Leave log'!$F$7:$F$306,"Approved")&gt;0,"A",""))="A","A",IF(OR(DATE($B$3,10,5)&gt;EOMONTH(DATE($B$3,10,1),0),NETWORKDAYS.INTL(DATE($B$3,10,5),DATE($B$3,10,5),1,'Non-working days'!$A$6:$A$45)=0),"",IF(COUNTIFS('Leave log'!$A$7:$A$306,Employees!$A$34,'Leave log'!$B$7:$B$306,"&lt;="&amp;DATE($B$3,10,5),'Leave log'!$C$7:$C$306,"&gt;="&amp;DATE($B$3,10,5),'Leave log'!$F$7:$F$306,"Pending")&gt;0,"P",""))))</f>
        <v/>
      </c>
      <c r="G341" s="23" t="str">
        <f>IF(A341="","",IF(IF(OR(DATE($B$3,10,6)&gt;EOMONTH(DATE($B$3,10,1),0),NETWORKDAYS.INTL(DATE($B$3,10,6),DATE($B$3,10,6),1,'Non-working days'!$A$6:$A$45)=0),"",IF(COUNTIFS('Leave log'!$A$7:$A$306,Employees!$A$34,'Leave log'!$B$7:$B$306,"&lt;="&amp;DATE($B$3,10,6),'Leave log'!$C$7:$C$306,"&gt;="&amp;DATE($B$3,10,6),'Leave log'!$F$7:$F$306,"Approved")&gt;0,"A",""))="A","A",IF(OR(DATE($B$3,10,6)&gt;EOMONTH(DATE($B$3,10,1),0),NETWORKDAYS.INTL(DATE($B$3,10,6),DATE($B$3,10,6),1,'Non-working days'!$A$6:$A$45)=0),"",IF(COUNTIFS('Leave log'!$A$7:$A$306,Employees!$A$34,'Leave log'!$B$7:$B$306,"&lt;="&amp;DATE($B$3,10,6),'Leave log'!$C$7:$C$306,"&gt;="&amp;DATE($B$3,10,6),'Leave log'!$F$7:$F$306,"Pending")&gt;0,"P",""))))</f>
        <v/>
      </c>
      <c r="H341" s="23" t="str">
        <f>IF(A341="","",IF(IF(OR(DATE($B$3,10,7)&gt;EOMONTH(DATE($B$3,10,1),0),NETWORKDAYS.INTL(DATE($B$3,10,7),DATE($B$3,10,7),1,'Non-working days'!$A$6:$A$45)=0),"",IF(COUNTIFS('Leave log'!$A$7:$A$306,Employees!$A$34,'Leave log'!$B$7:$B$306,"&lt;="&amp;DATE($B$3,10,7),'Leave log'!$C$7:$C$306,"&gt;="&amp;DATE($B$3,10,7),'Leave log'!$F$7:$F$306,"Approved")&gt;0,"A",""))="A","A",IF(OR(DATE($B$3,10,7)&gt;EOMONTH(DATE($B$3,10,1),0),NETWORKDAYS.INTL(DATE($B$3,10,7),DATE($B$3,10,7),1,'Non-working days'!$A$6:$A$45)=0),"",IF(COUNTIFS('Leave log'!$A$7:$A$306,Employees!$A$34,'Leave log'!$B$7:$B$306,"&lt;="&amp;DATE($B$3,10,7),'Leave log'!$C$7:$C$306,"&gt;="&amp;DATE($B$3,10,7),'Leave log'!$F$7:$F$306,"Pending")&gt;0,"P",""))))</f>
        <v/>
      </c>
      <c r="I341" s="23" t="str">
        <f>IF(A341="","",IF(IF(OR(DATE($B$3,10,8)&gt;EOMONTH(DATE($B$3,10,1),0),NETWORKDAYS.INTL(DATE($B$3,10,8),DATE($B$3,10,8),1,'Non-working days'!$A$6:$A$45)=0),"",IF(COUNTIFS('Leave log'!$A$7:$A$306,Employees!$A$34,'Leave log'!$B$7:$B$306,"&lt;="&amp;DATE($B$3,10,8),'Leave log'!$C$7:$C$306,"&gt;="&amp;DATE($B$3,10,8),'Leave log'!$F$7:$F$306,"Approved")&gt;0,"A",""))="A","A",IF(OR(DATE($B$3,10,8)&gt;EOMONTH(DATE($B$3,10,1),0),NETWORKDAYS.INTL(DATE($B$3,10,8),DATE($B$3,10,8),1,'Non-working days'!$A$6:$A$45)=0),"",IF(COUNTIFS('Leave log'!$A$7:$A$306,Employees!$A$34,'Leave log'!$B$7:$B$306,"&lt;="&amp;DATE($B$3,10,8),'Leave log'!$C$7:$C$306,"&gt;="&amp;DATE($B$3,10,8),'Leave log'!$F$7:$F$306,"Pending")&gt;0,"P",""))))</f>
        <v/>
      </c>
      <c r="J341" s="23" t="str">
        <f>IF(A341="","",IF(IF(OR(DATE($B$3,10,9)&gt;EOMONTH(DATE($B$3,10,1),0),NETWORKDAYS.INTL(DATE($B$3,10,9),DATE($B$3,10,9),1,'Non-working days'!$A$6:$A$45)=0),"",IF(COUNTIFS('Leave log'!$A$7:$A$306,Employees!$A$34,'Leave log'!$B$7:$B$306,"&lt;="&amp;DATE($B$3,10,9),'Leave log'!$C$7:$C$306,"&gt;="&amp;DATE($B$3,10,9),'Leave log'!$F$7:$F$306,"Approved")&gt;0,"A",""))="A","A",IF(OR(DATE($B$3,10,9)&gt;EOMONTH(DATE($B$3,10,1),0),NETWORKDAYS.INTL(DATE($B$3,10,9),DATE($B$3,10,9),1,'Non-working days'!$A$6:$A$45)=0),"",IF(COUNTIFS('Leave log'!$A$7:$A$306,Employees!$A$34,'Leave log'!$B$7:$B$306,"&lt;="&amp;DATE($B$3,10,9),'Leave log'!$C$7:$C$306,"&gt;="&amp;DATE($B$3,10,9),'Leave log'!$F$7:$F$306,"Pending")&gt;0,"P",""))))</f>
        <v/>
      </c>
      <c r="K341" s="23" t="str">
        <f>IF(A341="","",IF(IF(OR(DATE($B$3,10,10)&gt;EOMONTH(DATE($B$3,10,1),0),NETWORKDAYS.INTL(DATE($B$3,10,10),DATE($B$3,10,10),1,'Non-working days'!$A$6:$A$45)=0),"",IF(COUNTIFS('Leave log'!$A$7:$A$306,Employees!$A$34,'Leave log'!$B$7:$B$306,"&lt;="&amp;DATE($B$3,10,10),'Leave log'!$C$7:$C$306,"&gt;="&amp;DATE($B$3,10,10),'Leave log'!$F$7:$F$306,"Approved")&gt;0,"A",""))="A","A",IF(OR(DATE($B$3,10,10)&gt;EOMONTH(DATE($B$3,10,1),0),NETWORKDAYS.INTL(DATE($B$3,10,10),DATE($B$3,10,10),1,'Non-working days'!$A$6:$A$45)=0),"",IF(COUNTIFS('Leave log'!$A$7:$A$306,Employees!$A$34,'Leave log'!$B$7:$B$306,"&lt;="&amp;DATE($B$3,10,10),'Leave log'!$C$7:$C$306,"&gt;="&amp;DATE($B$3,10,10),'Leave log'!$F$7:$F$306,"Pending")&gt;0,"P",""))))</f>
        <v/>
      </c>
      <c r="L341" s="23" t="str">
        <f>IF(A341="","",IF(IF(OR(DATE($B$3,10,11)&gt;EOMONTH(DATE($B$3,10,1),0),NETWORKDAYS.INTL(DATE($B$3,10,11),DATE($B$3,10,11),1,'Non-working days'!$A$6:$A$45)=0),"",IF(COUNTIFS('Leave log'!$A$7:$A$306,Employees!$A$34,'Leave log'!$B$7:$B$306,"&lt;="&amp;DATE($B$3,10,11),'Leave log'!$C$7:$C$306,"&gt;="&amp;DATE($B$3,10,11),'Leave log'!$F$7:$F$306,"Approved")&gt;0,"A",""))="A","A",IF(OR(DATE($B$3,10,11)&gt;EOMONTH(DATE($B$3,10,1),0),NETWORKDAYS.INTL(DATE($B$3,10,11),DATE($B$3,10,11),1,'Non-working days'!$A$6:$A$45)=0),"",IF(COUNTIFS('Leave log'!$A$7:$A$306,Employees!$A$34,'Leave log'!$B$7:$B$306,"&lt;="&amp;DATE($B$3,10,11),'Leave log'!$C$7:$C$306,"&gt;="&amp;DATE($B$3,10,11),'Leave log'!$F$7:$F$306,"Pending")&gt;0,"P",""))))</f>
        <v/>
      </c>
      <c r="M341" s="23" t="str">
        <f>IF(A341="","",IF(IF(OR(DATE($B$3,10,12)&gt;EOMONTH(DATE($B$3,10,1),0),NETWORKDAYS.INTL(DATE($B$3,10,12),DATE($B$3,10,12),1,'Non-working days'!$A$6:$A$45)=0),"",IF(COUNTIFS('Leave log'!$A$7:$A$306,Employees!$A$34,'Leave log'!$B$7:$B$306,"&lt;="&amp;DATE($B$3,10,12),'Leave log'!$C$7:$C$306,"&gt;="&amp;DATE($B$3,10,12),'Leave log'!$F$7:$F$306,"Approved")&gt;0,"A",""))="A","A",IF(OR(DATE($B$3,10,12)&gt;EOMONTH(DATE($B$3,10,1),0),NETWORKDAYS.INTL(DATE($B$3,10,12),DATE($B$3,10,12),1,'Non-working days'!$A$6:$A$45)=0),"",IF(COUNTIFS('Leave log'!$A$7:$A$306,Employees!$A$34,'Leave log'!$B$7:$B$306,"&lt;="&amp;DATE($B$3,10,12),'Leave log'!$C$7:$C$306,"&gt;="&amp;DATE($B$3,10,12),'Leave log'!$F$7:$F$306,"Pending")&gt;0,"P",""))))</f>
        <v/>
      </c>
      <c r="N341" s="23" t="str">
        <f>IF(A341="","",IF(IF(OR(DATE($B$3,10,13)&gt;EOMONTH(DATE($B$3,10,1),0),NETWORKDAYS.INTL(DATE($B$3,10,13),DATE($B$3,10,13),1,'Non-working days'!$A$6:$A$45)=0),"",IF(COUNTIFS('Leave log'!$A$7:$A$306,Employees!$A$34,'Leave log'!$B$7:$B$306,"&lt;="&amp;DATE($B$3,10,13),'Leave log'!$C$7:$C$306,"&gt;="&amp;DATE($B$3,10,13),'Leave log'!$F$7:$F$306,"Approved")&gt;0,"A",""))="A","A",IF(OR(DATE($B$3,10,13)&gt;EOMONTH(DATE($B$3,10,1),0),NETWORKDAYS.INTL(DATE($B$3,10,13),DATE($B$3,10,13),1,'Non-working days'!$A$6:$A$45)=0),"",IF(COUNTIFS('Leave log'!$A$7:$A$306,Employees!$A$34,'Leave log'!$B$7:$B$306,"&lt;="&amp;DATE($B$3,10,13),'Leave log'!$C$7:$C$306,"&gt;="&amp;DATE($B$3,10,13),'Leave log'!$F$7:$F$306,"Pending")&gt;0,"P",""))))</f>
        <v/>
      </c>
      <c r="O341" s="23" t="str">
        <f>IF(A341="","",IF(IF(OR(DATE($B$3,10,14)&gt;EOMONTH(DATE($B$3,10,1),0),NETWORKDAYS.INTL(DATE($B$3,10,14),DATE($B$3,10,14),1,'Non-working days'!$A$6:$A$45)=0),"",IF(COUNTIFS('Leave log'!$A$7:$A$306,Employees!$A$34,'Leave log'!$B$7:$B$306,"&lt;="&amp;DATE($B$3,10,14),'Leave log'!$C$7:$C$306,"&gt;="&amp;DATE($B$3,10,14),'Leave log'!$F$7:$F$306,"Approved")&gt;0,"A",""))="A","A",IF(OR(DATE($B$3,10,14)&gt;EOMONTH(DATE($B$3,10,1),0),NETWORKDAYS.INTL(DATE($B$3,10,14),DATE($B$3,10,14),1,'Non-working days'!$A$6:$A$45)=0),"",IF(COUNTIFS('Leave log'!$A$7:$A$306,Employees!$A$34,'Leave log'!$B$7:$B$306,"&lt;="&amp;DATE($B$3,10,14),'Leave log'!$C$7:$C$306,"&gt;="&amp;DATE($B$3,10,14),'Leave log'!$F$7:$F$306,"Pending")&gt;0,"P",""))))</f>
        <v/>
      </c>
      <c r="P341" s="23" t="str">
        <f>IF(A341="","",IF(IF(OR(DATE($B$3,10,15)&gt;EOMONTH(DATE($B$3,10,1),0),NETWORKDAYS.INTL(DATE($B$3,10,15),DATE($B$3,10,15),1,'Non-working days'!$A$6:$A$45)=0),"",IF(COUNTIFS('Leave log'!$A$7:$A$306,Employees!$A$34,'Leave log'!$B$7:$B$306,"&lt;="&amp;DATE($B$3,10,15),'Leave log'!$C$7:$C$306,"&gt;="&amp;DATE($B$3,10,15),'Leave log'!$F$7:$F$306,"Approved")&gt;0,"A",""))="A","A",IF(OR(DATE($B$3,10,15)&gt;EOMONTH(DATE($B$3,10,1),0),NETWORKDAYS.INTL(DATE($B$3,10,15),DATE($B$3,10,15),1,'Non-working days'!$A$6:$A$45)=0),"",IF(COUNTIFS('Leave log'!$A$7:$A$306,Employees!$A$34,'Leave log'!$B$7:$B$306,"&lt;="&amp;DATE($B$3,10,15),'Leave log'!$C$7:$C$306,"&gt;="&amp;DATE($B$3,10,15),'Leave log'!$F$7:$F$306,"Pending")&gt;0,"P",""))))</f>
        <v/>
      </c>
      <c r="Q341" s="23" t="str">
        <f>IF(A341="","",IF(IF(OR(DATE($B$3,10,16)&gt;EOMONTH(DATE($B$3,10,1),0),NETWORKDAYS.INTL(DATE($B$3,10,16),DATE($B$3,10,16),1,'Non-working days'!$A$6:$A$45)=0),"",IF(COUNTIFS('Leave log'!$A$7:$A$306,Employees!$A$34,'Leave log'!$B$7:$B$306,"&lt;="&amp;DATE($B$3,10,16),'Leave log'!$C$7:$C$306,"&gt;="&amp;DATE($B$3,10,16),'Leave log'!$F$7:$F$306,"Approved")&gt;0,"A",""))="A","A",IF(OR(DATE($B$3,10,16)&gt;EOMONTH(DATE($B$3,10,1),0),NETWORKDAYS.INTL(DATE($B$3,10,16),DATE($B$3,10,16),1,'Non-working days'!$A$6:$A$45)=0),"",IF(COUNTIFS('Leave log'!$A$7:$A$306,Employees!$A$34,'Leave log'!$B$7:$B$306,"&lt;="&amp;DATE($B$3,10,16),'Leave log'!$C$7:$C$306,"&gt;="&amp;DATE($B$3,10,16),'Leave log'!$F$7:$F$306,"Pending")&gt;0,"P",""))))</f>
        <v/>
      </c>
      <c r="R341" s="23" t="str">
        <f>IF(A341="","",IF(IF(OR(DATE($B$3,10,17)&gt;EOMONTH(DATE($B$3,10,1),0),NETWORKDAYS.INTL(DATE($B$3,10,17),DATE($B$3,10,17),1,'Non-working days'!$A$6:$A$45)=0),"",IF(COUNTIFS('Leave log'!$A$7:$A$306,Employees!$A$34,'Leave log'!$B$7:$B$306,"&lt;="&amp;DATE($B$3,10,17),'Leave log'!$C$7:$C$306,"&gt;="&amp;DATE($B$3,10,17),'Leave log'!$F$7:$F$306,"Approved")&gt;0,"A",""))="A","A",IF(OR(DATE($B$3,10,17)&gt;EOMONTH(DATE($B$3,10,1),0),NETWORKDAYS.INTL(DATE($B$3,10,17),DATE($B$3,10,17),1,'Non-working days'!$A$6:$A$45)=0),"",IF(COUNTIFS('Leave log'!$A$7:$A$306,Employees!$A$34,'Leave log'!$B$7:$B$306,"&lt;="&amp;DATE($B$3,10,17),'Leave log'!$C$7:$C$306,"&gt;="&amp;DATE($B$3,10,17),'Leave log'!$F$7:$F$306,"Pending")&gt;0,"P",""))))</f>
        <v/>
      </c>
      <c r="S341" s="23" t="str">
        <f>IF(A341="","",IF(IF(OR(DATE($B$3,10,18)&gt;EOMONTH(DATE($B$3,10,1),0),NETWORKDAYS.INTL(DATE($B$3,10,18),DATE($B$3,10,18),1,'Non-working days'!$A$6:$A$45)=0),"",IF(COUNTIFS('Leave log'!$A$7:$A$306,Employees!$A$34,'Leave log'!$B$7:$B$306,"&lt;="&amp;DATE($B$3,10,18),'Leave log'!$C$7:$C$306,"&gt;="&amp;DATE($B$3,10,18),'Leave log'!$F$7:$F$306,"Approved")&gt;0,"A",""))="A","A",IF(OR(DATE($B$3,10,18)&gt;EOMONTH(DATE($B$3,10,1),0),NETWORKDAYS.INTL(DATE($B$3,10,18),DATE($B$3,10,18),1,'Non-working days'!$A$6:$A$45)=0),"",IF(COUNTIFS('Leave log'!$A$7:$A$306,Employees!$A$34,'Leave log'!$B$7:$B$306,"&lt;="&amp;DATE($B$3,10,18),'Leave log'!$C$7:$C$306,"&gt;="&amp;DATE($B$3,10,18),'Leave log'!$F$7:$F$306,"Pending")&gt;0,"P",""))))</f>
        <v/>
      </c>
      <c r="T341" s="23" t="str">
        <f>IF(A341="","",IF(IF(OR(DATE($B$3,10,19)&gt;EOMONTH(DATE($B$3,10,1),0),NETWORKDAYS.INTL(DATE($B$3,10,19),DATE($B$3,10,19),1,'Non-working days'!$A$6:$A$45)=0),"",IF(COUNTIFS('Leave log'!$A$7:$A$306,Employees!$A$34,'Leave log'!$B$7:$B$306,"&lt;="&amp;DATE($B$3,10,19),'Leave log'!$C$7:$C$306,"&gt;="&amp;DATE($B$3,10,19),'Leave log'!$F$7:$F$306,"Approved")&gt;0,"A",""))="A","A",IF(OR(DATE($B$3,10,19)&gt;EOMONTH(DATE($B$3,10,1),0),NETWORKDAYS.INTL(DATE($B$3,10,19),DATE($B$3,10,19),1,'Non-working days'!$A$6:$A$45)=0),"",IF(COUNTIFS('Leave log'!$A$7:$A$306,Employees!$A$34,'Leave log'!$B$7:$B$306,"&lt;="&amp;DATE($B$3,10,19),'Leave log'!$C$7:$C$306,"&gt;="&amp;DATE($B$3,10,19),'Leave log'!$F$7:$F$306,"Pending")&gt;0,"P",""))))</f>
        <v/>
      </c>
      <c r="U341" s="23" t="str">
        <f>IF(A341="","",IF(IF(OR(DATE($B$3,10,20)&gt;EOMONTH(DATE($B$3,10,1),0),NETWORKDAYS.INTL(DATE($B$3,10,20),DATE($B$3,10,20),1,'Non-working days'!$A$6:$A$45)=0),"",IF(COUNTIFS('Leave log'!$A$7:$A$306,Employees!$A$34,'Leave log'!$B$7:$B$306,"&lt;="&amp;DATE($B$3,10,20),'Leave log'!$C$7:$C$306,"&gt;="&amp;DATE($B$3,10,20),'Leave log'!$F$7:$F$306,"Approved")&gt;0,"A",""))="A","A",IF(OR(DATE($B$3,10,20)&gt;EOMONTH(DATE($B$3,10,1),0),NETWORKDAYS.INTL(DATE($B$3,10,20),DATE($B$3,10,20),1,'Non-working days'!$A$6:$A$45)=0),"",IF(COUNTIFS('Leave log'!$A$7:$A$306,Employees!$A$34,'Leave log'!$B$7:$B$306,"&lt;="&amp;DATE($B$3,10,20),'Leave log'!$C$7:$C$306,"&gt;="&amp;DATE($B$3,10,20),'Leave log'!$F$7:$F$306,"Pending")&gt;0,"P",""))))</f>
        <v/>
      </c>
      <c r="V341" s="23" t="str">
        <f>IF(A341="","",IF(IF(OR(DATE($B$3,10,21)&gt;EOMONTH(DATE($B$3,10,1),0),NETWORKDAYS.INTL(DATE($B$3,10,21),DATE($B$3,10,21),1,'Non-working days'!$A$6:$A$45)=0),"",IF(COUNTIFS('Leave log'!$A$7:$A$306,Employees!$A$34,'Leave log'!$B$7:$B$306,"&lt;="&amp;DATE($B$3,10,21),'Leave log'!$C$7:$C$306,"&gt;="&amp;DATE($B$3,10,21),'Leave log'!$F$7:$F$306,"Approved")&gt;0,"A",""))="A","A",IF(OR(DATE($B$3,10,21)&gt;EOMONTH(DATE($B$3,10,1),0),NETWORKDAYS.INTL(DATE($B$3,10,21),DATE($B$3,10,21),1,'Non-working days'!$A$6:$A$45)=0),"",IF(COUNTIFS('Leave log'!$A$7:$A$306,Employees!$A$34,'Leave log'!$B$7:$B$306,"&lt;="&amp;DATE($B$3,10,21),'Leave log'!$C$7:$C$306,"&gt;="&amp;DATE($B$3,10,21),'Leave log'!$F$7:$F$306,"Pending")&gt;0,"P",""))))</f>
        <v/>
      </c>
      <c r="W341" s="23" t="str">
        <f>IF(A341="","",IF(IF(OR(DATE($B$3,10,22)&gt;EOMONTH(DATE($B$3,10,1),0),NETWORKDAYS.INTL(DATE($B$3,10,22),DATE($B$3,10,22),1,'Non-working days'!$A$6:$A$45)=0),"",IF(COUNTIFS('Leave log'!$A$7:$A$306,Employees!$A$34,'Leave log'!$B$7:$B$306,"&lt;="&amp;DATE($B$3,10,22),'Leave log'!$C$7:$C$306,"&gt;="&amp;DATE($B$3,10,22),'Leave log'!$F$7:$F$306,"Approved")&gt;0,"A",""))="A","A",IF(OR(DATE($B$3,10,22)&gt;EOMONTH(DATE($B$3,10,1),0),NETWORKDAYS.INTL(DATE($B$3,10,22),DATE($B$3,10,22),1,'Non-working days'!$A$6:$A$45)=0),"",IF(COUNTIFS('Leave log'!$A$7:$A$306,Employees!$A$34,'Leave log'!$B$7:$B$306,"&lt;="&amp;DATE($B$3,10,22),'Leave log'!$C$7:$C$306,"&gt;="&amp;DATE($B$3,10,22),'Leave log'!$F$7:$F$306,"Pending")&gt;0,"P",""))))</f>
        <v/>
      </c>
      <c r="X341" s="23" t="str">
        <f>IF(A341="","",IF(IF(OR(DATE($B$3,10,23)&gt;EOMONTH(DATE($B$3,10,1),0),NETWORKDAYS.INTL(DATE($B$3,10,23),DATE($B$3,10,23),1,'Non-working days'!$A$6:$A$45)=0),"",IF(COUNTIFS('Leave log'!$A$7:$A$306,Employees!$A$34,'Leave log'!$B$7:$B$306,"&lt;="&amp;DATE($B$3,10,23),'Leave log'!$C$7:$C$306,"&gt;="&amp;DATE($B$3,10,23),'Leave log'!$F$7:$F$306,"Approved")&gt;0,"A",""))="A","A",IF(OR(DATE($B$3,10,23)&gt;EOMONTH(DATE($B$3,10,1),0),NETWORKDAYS.INTL(DATE($B$3,10,23),DATE($B$3,10,23),1,'Non-working days'!$A$6:$A$45)=0),"",IF(COUNTIFS('Leave log'!$A$7:$A$306,Employees!$A$34,'Leave log'!$B$7:$B$306,"&lt;="&amp;DATE($B$3,10,23),'Leave log'!$C$7:$C$306,"&gt;="&amp;DATE($B$3,10,23),'Leave log'!$F$7:$F$306,"Pending")&gt;0,"P",""))))</f>
        <v/>
      </c>
      <c r="Y341" s="23" t="str">
        <f>IF(A341="","",IF(IF(OR(DATE($B$3,10,24)&gt;EOMONTH(DATE($B$3,10,1),0),NETWORKDAYS.INTL(DATE($B$3,10,24),DATE($B$3,10,24),1,'Non-working days'!$A$6:$A$45)=0),"",IF(COUNTIFS('Leave log'!$A$7:$A$306,Employees!$A$34,'Leave log'!$B$7:$B$306,"&lt;="&amp;DATE($B$3,10,24),'Leave log'!$C$7:$C$306,"&gt;="&amp;DATE($B$3,10,24),'Leave log'!$F$7:$F$306,"Approved")&gt;0,"A",""))="A","A",IF(OR(DATE($B$3,10,24)&gt;EOMONTH(DATE($B$3,10,1),0),NETWORKDAYS.INTL(DATE($B$3,10,24),DATE($B$3,10,24),1,'Non-working days'!$A$6:$A$45)=0),"",IF(COUNTIFS('Leave log'!$A$7:$A$306,Employees!$A$34,'Leave log'!$B$7:$B$306,"&lt;="&amp;DATE($B$3,10,24),'Leave log'!$C$7:$C$306,"&gt;="&amp;DATE($B$3,10,24),'Leave log'!$F$7:$F$306,"Pending")&gt;0,"P",""))))</f>
        <v/>
      </c>
      <c r="Z341" s="23" t="str">
        <f>IF(A341="","",IF(IF(OR(DATE($B$3,10,25)&gt;EOMONTH(DATE($B$3,10,1),0),NETWORKDAYS.INTL(DATE($B$3,10,25),DATE($B$3,10,25),1,'Non-working days'!$A$6:$A$45)=0),"",IF(COUNTIFS('Leave log'!$A$7:$A$306,Employees!$A$34,'Leave log'!$B$7:$B$306,"&lt;="&amp;DATE($B$3,10,25),'Leave log'!$C$7:$C$306,"&gt;="&amp;DATE($B$3,10,25),'Leave log'!$F$7:$F$306,"Approved")&gt;0,"A",""))="A","A",IF(OR(DATE($B$3,10,25)&gt;EOMONTH(DATE($B$3,10,1),0),NETWORKDAYS.INTL(DATE($B$3,10,25),DATE($B$3,10,25),1,'Non-working days'!$A$6:$A$45)=0),"",IF(COUNTIFS('Leave log'!$A$7:$A$306,Employees!$A$34,'Leave log'!$B$7:$B$306,"&lt;="&amp;DATE($B$3,10,25),'Leave log'!$C$7:$C$306,"&gt;="&amp;DATE($B$3,10,25),'Leave log'!$F$7:$F$306,"Pending")&gt;0,"P",""))))</f>
        <v/>
      </c>
      <c r="AA341" s="23" t="str">
        <f>IF(A341="","",IF(IF(OR(DATE($B$3,10,26)&gt;EOMONTH(DATE($B$3,10,1),0),NETWORKDAYS.INTL(DATE($B$3,10,26),DATE($B$3,10,26),1,'Non-working days'!$A$6:$A$45)=0),"",IF(COUNTIFS('Leave log'!$A$7:$A$306,Employees!$A$34,'Leave log'!$B$7:$B$306,"&lt;="&amp;DATE($B$3,10,26),'Leave log'!$C$7:$C$306,"&gt;="&amp;DATE($B$3,10,26),'Leave log'!$F$7:$F$306,"Approved")&gt;0,"A",""))="A","A",IF(OR(DATE($B$3,10,26)&gt;EOMONTH(DATE($B$3,10,1),0),NETWORKDAYS.INTL(DATE($B$3,10,26),DATE($B$3,10,26),1,'Non-working days'!$A$6:$A$45)=0),"",IF(COUNTIFS('Leave log'!$A$7:$A$306,Employees!$A$34,'Leave log'!$B$7:$B$306,"&lt;="&amp;DATE($B$3,10,26),'Leave log'!$C$7:$C$306,"&gt;="&amp;DATE($B$3,10,26),'Leave log'!$F$7:$F$306,"Pending")&gt;0,"P",""))))</f>
        <v/>
      </c>
      <c r="AB341" s="23" t="str">
        <f>IF(A341="","",IF(IF(OR(DATE($B$3,10,27)&gt;EOMONTH(DATE($B$3,10,1),0),NETWORKDAYS.INTL(DATE($B$3,10,27),DATE($B$3,10,27),1,'Non-working days'!$A$6:$A$45)=0),"",IF(COUNTIFS('Leave log'!$A$7:$A$306,Employees!$A$34,'Leave log'!$B$7:$B$306,"&lt;="&amp;DATE($B$3,10,27),'Leave log'!$C$7:$C$306,"&gt;="&amp;DATE($B$3,10,27),'Leave log'!$F$7:$F$306,"Approved")&gt;0,"A",""))="A","A",IF(OR(DATE($B$3,10,27)&gt;EOMONTH(DATE($B$3,10,1),0),NETWORKDAYS.INTL(DATE($B$3,10,27),DATE($B$3,10,27),1,'Non-working days'!$A$6:$A$45)=0),"",IF(COUNTIFS('Leave log'!$A$7:$A$306,Employees!$A$34,'Leave log'!$B$7:$B$306,"&lt;="&amp;DATE($B$3,10,27),'Leave log'!$C$7:$C$306,"&gt;="&amp;DATE($B$3,10,27),'Leave log'!$F$7:$F$306,"Pending")&gt;0,"P",""))))</f>
        <v/>
      </c>
      <c r="AC341" s="23" t="str">
        <f>IF(A341="","",IF(IF(OR(DATE($B$3,10,28)&gt;EOMONTH(DATE($B$3,10,1),0),NETWORKDAYS.INTL(DATE($B$3,10,28),DATE($B$3,10,28),1,'Non-working days'!$A$6:$A$45)=0),"",IF(COUNTIFS('Leave log'!$A$7:$A$306,Employees!$A$34,'Leave log'!$B$7:$B$306,"&lt;="&amp;DATE($B$3,10,28),'Leave log'!$C$7:$C$306,"&gt;="&amp;DATE($B$3,10,28),'Leave log'!$F$7:$F$306,"Approved")&gt;0,"A",""))="A","A",IF(OR(DATE($B$3,10,28)&gt;EOMONTH(DATE($B$3,10,1),0),NETWORKDAYS.INTL(DATE($B$3,10,28),DATE($B$3,10,28),1,'Non-working days'!$A$6:$A$45)=0),"",IF(COUNTIFS('Leave log'!$A$7:$A$306,Employees!$A$34,'Leave log'!$B$7:$B$306,"&lt;="&amp;DATE($B$3,10,28),'Leave log'!$C$7:$C$306,"&gt;="&amp;DATE($B$3,10,28),'Leave log'!$F$7:$F$306,"Pending")&gt;0,"P",""))))</f>
        <v/>
      </c>
      <c r="AD341" s="23" t="str">
        <f>IF(A341="","",IF(IF(OR(DATE($B$3,10,29)&gt;EOMONTH(DATE($B$3,10,1),0),NETWORKDAYS.INTL(DATE($B$3,10,29),DATE($B$3,10,29),1,'Non-working days'!$A$6:$A$45)=0),"",IF(COUNTIFS('Leave log'!$A$7:$A$306,Employees!$A$34,'Leave log'!$B$7:$B$306,"&lt;="&amp;DATE($B$3,10,29),'Leave log'!$C$7:$C$306,"&gt;="&amp;DATE($B$3,10,29),'Leave log'!$F$7:$F$306,"Approved")&gt;0,"A",""))="A","A",IF(OR(DATE($B$3,10,29)&gt;EOMONTH(DATE($B$3,10,1),0),NETWORKDAYS.INTL(DATE($B$3,10,29),DATE($B$3,10,29),1,'Non-working days'!$A$6:$A$45)=0),"",IF(COUNTIFS('Leave log'!$A$7:$A$306,Employees!$A$34,'Leave log'!$B$7:$B$306,"&lt;="&amp;DATE($B$3,10,29),'Leave log'!$C$7:$C$306,"&gt;="&amp;DATE($B$3,10,29),'Leave log'!$F$7:$F$306,"Pending")&gt;0,"P",""))))</f>
        <v/>
      </c>
      <c r="AE341" s="23" t="str">
        <f>IF(A341="","",IF(IF(OR(DATE($B$3,10,30)&gt;EOMONTH(DATE($B$3,10,1),0),NETWORKDAYS.INTL(DATE($B$3,10,30),DATE($B$3,10,30),1,'Non-working days'!$A$6:$A$45)=0),"",IF(COUNTIFS('Leave log'!$A$7:$A$306,Employees!$A$34,'Leave log'!$B$7:$B$306,"&lt;="&amp;DATE($B$3,10,30),'Leave log'!$C$7:$C$306,"&gt;="&amp;DATE($B$3,10,30),'Leave log'!$F$7:$F$306,"Approved")&gt;0,"A",""))="A","A",IF(OR(DATE($B$3,10,30)&gt;EOMONTH(DATE($B$3,10,1),0),NETWORKDAYS.INTL(DATE($B$3,10,30),DATE($B$3,10,30),1,'Non-working days'!$A$6:$A$45)=0),"",IF(COUNTIFS('Leave log'!$A$7:$A$306,Employees!$A$34,'Leave log'!$B$7:$B$306,"&lt;="&amp;DATE($B$3,10,30),'Leave log'!$C$7:$C$306,"&gt;="&amp;DATE($B$3,10,30),'Leave log'!$F$7:$F$306,"Pending")&gt;0,"P",""))))</f>
        <v/>
      </c>
      <c r="AF341" s="23" t="str">
        <f>IF(A341="","",IF(IF(OR(DATE($B$3,10,31)&gt;EOMONTH(DATE($B$3,10,1),0),NETWORKDAYS.INTL(DATE($B$3,10,31),DATE($B$3,10,31),1,'Non-working days'!$A$6:$A$45)=0),"",IF(COUNTIFS('Leave log'!$A$7:$A$306,Employees!$A$34,'Leave log'!$B$7:$B$306,"&lt;="&amp;DATE($B$3,10,31),'Leave log'!$C$7:$C$306,"&gt;="&amp;DATE($B$3,10,31),'Leave log'!$F$7:$F$306,"Approved")&gt;0,"A",""))="A","A",IF(OR(DATE($B$3,10,31)&gt;EOMONTH(DATE($B$3,10,1),0),NETWORKDAYS.INTL(DATE($B$3,10,31),DATE($B$3,10,31),1,'Non-working days'!$A$6:$A$45)=0),"",IF(COUNTIFS('Leave log'!$A$7:$A$306,Employees!$A$34,'Leave log'!$B$7:$B$306,"&lt;="&amp;DATE($B$3,10,31),'Leave log'!$C$7:$C$306,"&gt;="&amp;DATE($B$3,10,31),'Leave log'!$F$7:$F$306,"Pending")&gt;0,"P",""))))</f>
        <v/>
      </c>
    </row>
    <row r="342" spans="1:32" ht="18" customHeight="1" x14ac:dyDescent="0.3">
      <c r="A342" s="22" t="str">
        <f>IF(Employees!F35="Yes",Employees!B35,"")</f>
        <v/>
      </c>
      <c r="B342" s="23" t="str">
        <f>IF(A342="","",IF(IF(OR(DATE($B$3,10,1)&gt;EOMONTH(DATE($B$3,10,1),0),NETWORKDAYS.INTL(DATE($B$3,10,1),DATE($B$3,10,1),1,'Non-working days'!$A$6:$A$45)=0),"",IF(COUNTIFS('Leave log'!$A$7:$A$306,Employees!$A$35,'Leave log'!$B$7:$B$306,"&lt;="&amp;DATE($B$3,10,1),'Leave log'!$C$7:$C$306,"&gt;="&amp;DATE($B$3,10,1),'Leave log'!$F$7:$F$306,"Approved")&gt;0,"A",""))="A","A",IF(OR(DATE($B$3,10,1)&gt;EOMONTH(DATE($B$3,10,1),0),NETWORKDAYS.INTL(DATE($B$3,10,1),DATE($B$3,10,1),1,'Non-working days'!$A$6:$A$45)=0),"",IF(COUNTIFS('Leave log'!$A$7:$A$306,Employees!$A$35,'Leave log'!$B$7:$B$306,"&lt;="&amp;DATE($B$3,10,1),'Leave log'!$C$7:$C$306,"&gt;="&amp;DATE($B$3,10,1),'Leave log'!$F$7:$F$306,"Pending")&gt;0,"P",""))))</f>
        <v/>
      </c>
      <c r="C342" s="23" t="str">
        <f>IF(A342="","",IF(IF(OR(DATE($B$3,10,2)&gt;EOMONTH(DATE($B$3,10,1),0),NETWORKDAYS.INTL(DATE($B$3,10,2),DATE($B$3,10,2),1,'Non-working days'!$A$6:$A$45)=0),"",IF(COUNTIFS('Leave log'!$A$7:$A$306,Employees!$A$35,'Leave log'!$B$7:$B$306,"&lt;="&amp;DATE($B$3,10,2),'Leave log'!$C$7:$C$306,"&gt;="&amp;DATE($B$3,10,2),'Leave log'!$F$7:$F$306,"Approved")&gt;0,"A",""))="A","A",IF(OR(DATE($B$3,10,2)&gt;EOMONTH(DATE($B$3,10,1),0),NETWORKDAYS.INTL(DATE($B$3,10,2),DATE($B$3,10,2),1,'Non-working days'!$A$6:$A$45)=0),"",IF(COUNTIFS('Leave log'!$A$7:$A$306,Employees!$A$35,'Leave log'!$B$7:$B$306,"&lt;="&amp;DATE($B$3,10,2),'Leave log'!$C$7:$C$306,"&gt;="&amp;DATE($B$3,10,2),'Leave log'!$F$7:$F$306,"Pending")&gt;0,"P",""))))</f>
        <v/>
      </c>
      <c r="D342" s="23" t="str">
        <f>IF(A342="","",IF(IF(OR(DATE($B$3,10,3)&gt;EOMONTH(DATE($B$3,10,1),0),NETWORKDAYS.INTL(DATE($B$3,10,3),DATE($B$3,10,3),1,'Non-working days'!$A$6:$A$45)=0),"",IF(COUNTIFS('Leave log'!$A$7:$A$306,Employees!$A$35,'Leave log'!$B$7:$B$306,"&lt;="&amp;DATE($B$3,10,3),'Leave log'!$C$7:$C$306,"&gt;="&amp;DATE($B$3,10,3),'Leave log'!$F$7:$F$306,"Approved")&gt;0,"A",""))="A","A",IF(OR(DATE($B$3,10,3)&gt;EOMONTH(DATE($B$3,10,1),0),NETWORKDAYS.INTL(DATE($B$3,10,3),DATE($B$3,10,3),1,'Non-working days'!$A$6:$A$45)=0),"",IF(COUNTIFS('Leave log'!$A$7:$A$306,Employees!$A$35,'Leave log'!$B$7:$B$306,"&lt;="&amp;DATE($B$3,10,3),'Leave log'!$C$7:$C$306,"&gt;="&amp;DATE($B$3,10,3),'Leave log'!$F$7:$F$306,"Pending")&gt;0,"P",""))))</f>
        <v/>
      </c>
      <c r="E342" s="23" t="str">
        <f>IF(A342="","",IF(IF(OR(DATE($B$3,10,4)&gt;EOMONTH(DATE($B$3,10,1),0),NETWORKDAYS.INTL(DATE($B$3,10,4),DATE($B$3,10,4),1,'Non-working days'!$A$6:$A$45)=0),"",IF(COUNTIFS('Leave log'!$A$7:$A$306,Employees!$A$35,'Leave log'!$B$7:$B$306,"&lt;="&amp;DATE($B$3,10,4),'Leave log'!$C$7:$C$306,"&gt;="&amp;DATE($B$3,10,4),'Leave log'!$F$7:$F$306,"Approved")&gt;0,"A",""))="A","A",IF(OR(DATE($B$3,10,4)&gt;EOMONTH(DATE($B$3,10,1),0),NETWORKDAYS.INTL(DATE($B$3,10,4),DATE($B$3,10,4),1,'Non-working days'!$A$6:$A$45)=0),"",IF(COUNTIFS('Leave log'!$A$7:$A$306,Employees!$A$35,'Leave log'!$B$7:$B$306,"&lt;="&amp;DATE($B$3,10,4),'Leave log'!$C$7:$C$306,"&gt;="&amp;DATE($B$3,10,4),'Leave log'!$F$7:$F$306,"Pending")&gt;0,"P",""))))</f>
        <v/>
      </c>
      <c r="F342" s="23" t="str">
        <f>IF(A342="","",IF(IF(OR(DATE($B$3,10,5)&gt;EOMONTH(DATE($B$3,10,1),0),NETWORKDAYS.INTL(DATE($B$3,10,5),DATE($B$3,10,5),1,'Non-working days'!$A$6:$A$45)=0),"",IF(COUNTIFS('Leave log'!$A$7:$A$306,Employees!$A$35,'Leave log'!$B$7:$B$306,"&lt;="&amp;DATE($B$3,10,5),'Leave log'!$C$7:$C$306,"&gt;="&amp;DATE($B$3,10,5),'Leave log'!$F$7:$F$306,"Approved")&gt;0,"A",""))="A","A",IF(OR(DATE($B$3,10,5)&gt;EOMONTH(DATE($B$3,10,1),0),NETWORKDAYS.INTL(DATE($B$3,10,5),DATE($B$3,10,5),1,'Non-working days'!$A$6:$A$45)=0),"",IF(COUNTIFS('Leave log'!$A$7:$A$306,Employees!$A$35,'Leave log'!$B$7:$B$306,"&lt;="&amp;DATE($B$3,10,5),'Leave log'!$C$7:$C$306,"&gt;="&amp;DATE($B$3,10,5),'Leave log'!$F$7:$F$306,"Pending")&gt;0,"P",""))))</f>
        <v/>
      </c>
      <c r="G342" s="23" t="str">
        <f>IF(A342="","",IF(IF(OR(DATE($B$3,10,6)&gt;EOMONTH(DATE($B$3,10,1),0),NETWORKDAYS.INTL(DATE($B$3,10,6),DATE($B$3,10,6),1,'Non-working days'!$A$6:$A$45)=0),"",IF(COUNTIFS('Leave log'!$A$7:$A$306,Employees!$A$35,'Leave log'!$B$7:$B$306,"&lt;="&amp;DATE($B$3,10,6),'Leave log'!$C$7:$C$306,"&gt;="&amp;DATE($B$3,10,6),'Leave log'!$F$7:$F$306,"Approved")&gt;0,"A",""))="A","A",IF(OR(DATE($B$3,10,6)&gt;EOMONTH(DATE($B$3,10,1),0),NETWORKDAYS.INTL(DATE($B$3,10,6),DATE($B$3,10,6),1,'Non-working days'!$A$6:$A$45)=0),"",IF(COUNTIFS('Leave log'!$A$7:$A$306,Employees!$A$35,'Leave log'!$B$7:$B$306,"&lt;="&amp;DATE($B$3,10,6),'Leave log'!$C$7:$C$306,"&gt;="&amp;DATE($B$3,10,6),'Leave log'!$F$7:$F$306,"Pending")&gt;0,"P",""))))</f>
        <v/>
      </c>
      <c r="H342" s="23" t="str">
        <f>IF(A342="","",IF(IF(OR(DATE($B$3,10,7)&gt;EOMONTH(DATE($B$3,10,1),0),NETWORKDAYS.INTL(DATE($B$3,10,7),DATE($B$3,10,7),1,'Non-working days'!$A$6:$A$45)=0),"",IF(COUNTIFS('Leave log'!$A$7:$A$306,Employees!$A$35,'Leave log'!$B$7:$B$306,"&lt;="&amp;DATE($B$3,10,7),'Leave log'!$C$7:$C$306,"&gt;="&amp;DATE($B$3,10,7),'Leave log'!$F$7:$F$306,"Approved")&gt;0,"A",""))="A","A",IF(OR(DATE($B$3,10,7)&gt;EOMONTH(DATE($B$3,10,1),0),NETWORKDAYS.INTL(DATE($B$3,10,7),DATE($B$3,10,7),1,'Non-working days'!$A$6:$A$45)=0),"",IF(COUNTIFS('Leave log'!$A$7:$A$306,Employees!$A$35,'Leave log'!$B$7:$B$306,"&lt;="&amp;DATE($B$3,10,7),'Leave log'!$C$7:$C$306,"&gt;="&amp;DATE($B$3,10,7),'Leave log'!$F$7:$F$306,"Pending")&gt;0,"P",""))))</f>
        <v/>
      </c>
      <c r="I342" s="23" t="str">
        <f>IF(A342="","",IF(IF(OR(DATE($B$3,10,8)&gt;EOMONTH(DATE($B$3,10,1),0),NETWORKDAYS.INTL(DATE($B$3,10,8),DATE($B$3,10,8),1,'Non-working days'!$A$6:$A$45)=0),"",IF(COUNTIFS('Leave log'!$A$7:$A$306,Employees!$A$35,'Leave log'!$B$7:$B$306,"&lt;="&amp;DATE($B$3,10,8),'Leave log'!$C$7:$C$306,"&gt;="&amp;DATE($B$3,10,8),'Leave log'!$F$7:$F$306,"Approved")&gt;0,"A",""))="A","A",IF(OR(DATE($B$3,10,8)&gt;EOMONTH(DATE($B$3,10,1),0),NETWORKDAYS.INTL(DATE($B$3,10,8),DATE($B$3,10,8),1,'Non-working days'!$A$6:$A$45)=0),"",IF(COUNTIFS('Leave log'!$A$7:$A$306,Employees!$A$35,'Leave log'!$B$7:$B$306,"&lt;="&amp;DATE($B$3,10,8),'Leave log'!$C$7:$C$306,"&gt;="&amp;DATE($B$3,10,8),'Leave log'!$F$7:$F$306,"Pending")&gt;0,"P",""))))</f>
        <v/>
      </c>
      <c r="J342" s="23" t="str">
        <f>IF(A342="","",IF(IF(OR(DATE($B$3,10,9)&gt;EOMONTH(DATE($B$3,10,1),0),NETWORKDAYS.INTL(DATE($B$3,10,9),DATE($B$3,10,9),1,'Non-working days'!$A$6:$A$45)=0),"",IF(COUNTIFS('Leave log'!$A$7:$A$306,Employees!$A$35,'Leave log'!$B$7:$B$306,"&lt;="&amp;DATE($B$3,10,9),'Leave log'!$C$7:$C$306,"&gt;="&amp;DATE($B$3,10,9),'Leave log'!$F$7:$F$306,"Approved")&gt;0,"A",""))="A","A",IF(OR(DATE($B$3,10,9)&gt;EOMONTH(DATE($B$3,10,1),0),NETWORKDAYS.INTL(DATE($B$3,10,9),DATE($B$3,10,9),1,'Non-working days'!$A$6:$A$45)=0),"",IF(COUNTIFS('Leave log'!$A$7:$A$306,Employees!$A$35,'Leave log'!$B$7:$B$306,"&lt;="&amp;DATE($B$3,10,9),'Leave log'!$C$7:$C$306,"&gt;="&amp;DATE($B$3,10,9),'Leave log'!$F$7:$F$306,"Pending")&gt;0,"P",""))))</f>
        <v/>
      </c>
      <c r="K342" s="23" t="str">
        <f>IF(A342="","",IF(IF(OR(DATE($B$3,10,10)&gt;EOMONTH(DATE($B$3,10,1),0),NETWORKDAYS.INTL(DATE($B$3,10,10),DATE($B$3,10,10),1,'Non-working days'!$A$6:$A$45)=0),"",IF(COUNTIFS('Leave log'!$A$7:$A$306,Employees!$A$35,'Leave log'!$B$7:$B$306,"&lt;="&amp;DATE($B$3,10,10),'Leave log'!$C$7:$C$306,"&gt;="&amp;DATE($B$3,10,10),'Leave log'!$F$7:$F$306,"Approved")&gt;0,"A",""))="A","A",IF(OR(DATE($B$3,10,10)&gt;EOMONTH(DATE($B$3,10,1),0),NETWORKDAYS.INTL(DATE($B$3,10,10),DATE($B$3,10,10),1,'Non-working days'!$A$6:$A$45)=0),"",IF(COUNTIFS('Leave log'!$A$7:$A$306,Employees!$A$35,'Leave log'!$B$7:$B$306,"&lt;="&amp;DATE($B$3,10,10),'Leave log'!$C$7:$C$306,"&gt;="&amp;DATE($B$3,10,10),'Leave log'!$F$7:$F$306,"Pending")&gt;0,"P",""))))</f>
        <v/>
      </c>
      <c r="L342" s="23" t="str">
        <f>IF(A342="","",IF(IF(OR(DATE($B$3,10,11)&gt;EOMONTH(DATE($B$3,10,1),0),NETWORKDAYS.INTL(DATE($B$3,10,11),DATE($B$3,10,11),1,'Non-working days'!$A$6:$A$45)=0),"",IF(COUNTIFS('Leave log'!$A$7:$A$306,Employees!$A$35,'Leave log'!$B$7:$B$306,"&lt;="&amp;DATE($B$3,10,11),'Leave log'!$C$7:$C$306,"&gt;="&amp;DATE($B$3,10,11),'Leave log'!$F$7:$F$306,"Approved")&gt;0,"A",""))="A","A",IF(OR(DATE($B$3,10,11)&gt;EOMONTH(DATE($B$3,10,1),0),NETWORKDAYS.INTL(DATE($B$3,10,11),DATE($B$3,10,11),1,'Non-working days'!$A$6:$A$45)=0),"",IF(COUNTIFS('Leave log'!$A$7:$A$306,Employees!$A$35,'Leave log'!$B$7:$B$306,"&lt;="&amp;DATE($B$3,10,11),'Leave log'!$C$7:$C$306,"&gt;="&amp;DATE($B$3,10,11),'Leave log'!$F$7:$F$306,"Pending")&gt;0,"P",""))))</f>
        <v/>
      </c>
      <c r="M342" s="23" t="str">
        <f>IF(A342="","",IF(IF(OR(DATE($B$3,10,12)&gt;EOMONTH(DATE($B$3,10,1),0),NETWORKDAYS.INTL(DATE($B$3,10,12),DATE($B$3,10,12),1,'Non-working days'!$A$6:$A$45)=0),"",IF(COUNTIFS('Leave log'!$A$7:$A$306,Employees!$A$35,'Leave log'!$B$7:$B$306,"&lt;="&amp;DATE($B$3,10,12),'Leave log'!$C$7:$C$306,"&gt;="&amp;DATE($B$3,10,12),'Leave log'!$F$7:$F$306,"Approved")&gt;0,"A",""))="A","A",IF(OR(DATE($B$3,10,12)&gt;EOMONTH(DATE($B$3,10,1),0),NETWORKDAYS.INTL(DATE($B$3,10,12),DATE($B$3,10,12),1,'Non-working days'!$A$6:$A$45)=0),"",IF(COUNTIFS('Leave log'!$A$7:$A$306,Employees!$A$35,'Leave log'!$B$7:$B$306,"&lt;="&amp;DATE($B$3,10,12),'Leave log'!$C$7:$C$306,"&gt;="&amp;DATE($B$3,10,12),'Leave log'!$F$7:$F$306,"Pending")&gt;0,"P",""))))</f>
        <v/>
      </c>
      <c r="N342" s="23" t="str">
        <f>IF(A342="","",IF(IF(OR(DATE($B$3,10,13)&gt;EOMONTH(DATE($B$3,10,1),0),NETWORKDAYS.INTL(DATE($B$3,10,13),DATE($B$3,10,13),1,'Non-working days'!$A$6:$A$45)=0),"",IF(COUNTIFS('Leave log'!$A$7:$A$306,Employees!$A$35,'Leave log'!$B$7:$B$306,"&lt;="&amp;DATE($B$3,10,13),'Leave log'!$C$7:$C$306,"&gt;="&amp;DATE($B$3,10,13),'Leave log'!$F$7:$F$306,"Approved")&gt;0,"A",""))="A","A",IF(OR(DATE($B$3,10,13)&gt;EOMONTH(DATE($B$3,10,1),0),NETWORKDAYS.INTL(DATE($B$3,10,13),DATE($B$3,10,13),1,'Non-working days'!$A$6:$A$45)=0),"",IF(COUNTIFS('Leave log'!$A$7:$A$306,Employees!$A$35,'Leave log'!$B$7:$B$306,"&lt;="&amp;DATE($B$3,10,13),'Leave log'!$C$7:$C$306,"&gt;="&amp;DATE($B$3,10,13),'Leave log'!$F$7:$F$306,"Pending")&gt;0,"P",""))))</f>
        <v/>
      </c>
      <c r="O342" s="23" t="str">
        <f>IF(A342="","",IF(IF(OR(DATE($B$3,10,14)&gt;EOMONTH(DATE($B$3,10,1),0),NETWORKDAYS.INTL(DATE($B$3,10,14),DATE($B$3,10,14),1,'Non-working days'!$A$6:$A$45)=0),"",IF(COUNTIFS('Leave log'!$A$7:$A$306,Employees!$A$35,'Leave log'!$B$7:$B$306,"&lt;="&amp;DATE($B$3,10,14),'Leave log'!$C$7:$C$306,"&gt;="&amp;DATE($B$3,10,14),'Leave log'!$F$7:$F$306,"Approved")&gt;0,"A",""))="A","A",IF(OR(DATE($B$3,10,14)&gt;EOMONTH(DATE($B$3,10,1),0),NETWORKDAYS.INTL(DATE($B$3,10,14),DATE($B$3,10,14),1,'Non-working days'!$A$6:$A$45)=0),"",IF(COUNTIFS('Leave log'!$A$7:$A$306,Employees!$A$35,'Leave log'!$B$7:$B$306,"&lt;="&amp;DATE($B$3,10,14),'Leave log'!$C$7:$C$306,"&gt;="&amp;DATE($B$3,10,14),'Leave log'!$F$7:$F$306,"Pending")&gt;0,"P",""))))</f>
        <v/>
      </c>
      <c r="P342" s="23" t="str">
        <f>IF(A342="","",IF(IF(OR(DATE($B$3,10,15)&gt;EOMONTH(DATE($B$3,10,1),0),NETWORKDAYS.INTL(DATE($B$3,10,15),DATE($B$3,10,15),1,'Non-working days'!$A$6:$A$45)=0),"",IF(COUNTIFS('Leave log'!$A$7:$A$306,Employees!$A$35,'Leave log'!$B$7:$B$306,"&lt;="&amp;DATE($B$3,10,15),'Leave log'!$C$7:$C$306,"&gt;="&amp;DATE($B$3,10,15),'Leave log'!$F$7:$F$306,"Approved")&gt;0,"A",""))="A","A",IF(OR(DATE($B$3,10,15)&gt;EOMONTH(DATE($B$3,10,1),0),NETWORKDAYS.INTL(DATE($B$3,10,15),DATE($B$3,10,15),1,'Non-working days'!$A$6:$A$45)=0),"",IF(COUNTIFS('Leave log'!$A$7:$A$306,Employees!$A$35,'Leave log'!$B$7:$B$306,"&lt;="&amp;DATE($B$3,10,15),'Leave log'!$C$7:$C$306,"&gt;="&amp;DATE($B$3,10,15),'Leave log'!$F$7:$F$306,"Pending")&gt;0,"P",""))))</f>
        <v/>
      </c>
      <c r="Q342" s="23" t="str">
        <f>IF(A342="","",IF(IF(OR(DATE($B$3,10,16)&gt;EOMONTH(DATE($B$3,10,1),0),NETWORKDAYS.INTL(DATE($B$3,10,16),DATE($B$3,10,16),1,'Non-working days'!$A$6:$A$45)=0),"",IF(COUNTIFS('Leave log'!$A$7:$A$306,Employees!$A$35,'Leave log'!$B$7:$B$306,"&lt;="&amp;DATE($B$3,10,16),'Leave log'!$C$7:$C$306,"&gt;="&amp;DATE($B$3,10,16),'Leave log'!$F$7:$F$306,"Approved")&gt;0,"A",""))="A","A",IF(OR(DATE($B$3,10,16)&gt;EOMONTH(DATE($B$3,10,1),0),NETWORKDAYS.INTL(DATE($B$3,10,16),DATE($B$3,10,16),1,'Non-working days'!$A$6:$A$45)=0),"",IF(COUNTIFS('Leave log'!$A$7:$A$306,Employees!$A$35,'Leave log'!$B$7:$B$306,"&lt;="&amp;DATE($B$3,10,16),'Leave log'!$C$7:$C$306,"&gt;="&amp;DATE($B$3,10,16),'Leave log'!$F$7:$F$306,"Pending")&gt;0,"P",""))))</f>
        <v/>
      </c>
      <c r="R342" s="23" t="str">
        <f>IF(A342="","",IF(IF(OR(DATE($B$3,10,17)&gt;EOMONTH(DATE($B$3,10,1),0),NETWORKDAYS.INTL(DATE($B$3,10,17),DATE($B$3,10,17),1,'Non-working days'!$A$6:$A$45)=0),"",IF(COUNTIFS('Leave log'!$A$7:$A$306,Employees!$A$35,'Leave log'!$B$7:$B$306,"&lt;="&amp;DATE($B$3,10,17),'Leave log'!$C$7:$C$306,"&gt;="&amp;DATE($B$3,10,17),'Leave log'!$F$7:$F$306,"Approved")&gt;0,"A",""))="A","A",IF(OR(DATE($B$3,10,17)&gt;EOMONTH(DATE($B$3,10,1),0),NETWORKDAYS.INTL(DATE($B$3,10,17),DATE($B$3,10,17),1,'Non-working days'!$A$6:$A$45)=0),"",IF(COUNTIFS('Leave log'!$A$7:$A$306,Employees!$A$35,'Leave log'!$B$7:$B$306,"&lt;="&amp;DATE($B$3,10,17),'Leave log'!$C$7:$C$306,"&gt;="&amp;DATE($B$3,10,17),'Leave log'!$F$7:$F$306,"Pending")&gt;0,"P",""))))</f>
        <v/>
      </c>
      <c r="S342" s="23" t="str">
        <f>IF(A342="","",IF(IF(OR(DATE($B$3,10,18)&gt;EOMONTH(DATE($B$3,10,1),0),NETWORKDAYS.INTL(DATE($B$3,10,18),DATE($B$3,10,18),1,'Non-working days'!$A$6:$A$45)=0),"",IF(COUNTIFS('Leave log'!$A$7:$A$306,Employees!$A$35,'Leave log'!$B$7:$B$306,"&lt;="&amp;DATE($B$3,10,18),'Leave log'!$C$7:$C$306,"&gt;="&amp;DATE($B$3,10,18),'Leave log'!$F$7:$F$306,"Approved")&gt;0,"A",""))="A","A",IF(OR(DATE($B$3,10,18)&gt;EOMONTH(DATE($B$3,10,1),0),NETWORKDAYS.INTL(DATE($B$3,10,18),DATE($B$3,10,18),1,'Non-working days'!$A$6:$A$45)=0),"",IF(COUNTIFS('Leave log'!$A$7:$A$306,Employees!$A$35,'Leave log'!$B$7:$B$306,"&lt;="&amp;DATE($B$3,10,18),'Leave log'!$C$7:$C$306,"&gt;="&amp;DATE($B$3,10,18),'Leave log'!$F$7:$F$306,"Pending")&gt;0,"P",""))))</f>
        <v/>
      </c>
      <c r="T342" s="23" t="str">
        <f>IF(A342="","",IF(IF(OR(DATE($B$3,10,19)&gt;EOMONTH(DATE($B$3,10,1),0),NETWORKDAYS.INTL(DATE($B$3,10,19),DATE($B$3,10,19),1,'Non-working days'!$A$6:$A$45)=0),"",IF(COUNTIFS('Leave log'!$A$7:$A$306,Employees!$A$35,'Leave log'!$B$7:$B$306,"&lt;="&amp;DATE($B$3,10,19),'Leave log'!$C$7:$C$306,"&gt;="&amp;DATE($B$3,10,19),'Leave log'!$F$7:$F$306,"Approved")&gt;0,"A",""))="A","A",IF(OR(DATE($B$3,10,19)&gt;EOMONTH(DATE($B$3,10,1),0),NETWORKDAYS.INTL(DATE($B$3,10,19),DATE($B$3,10,19),1,'Non-working days'!$A$6:$A$45)=0),"",IF(COUNTIFS('Leave log'!$A$7:$A$306,Employees!$A$35,'Leave log'!$B$7:$B$306,"&lt;="&amp;DATE($B$3,10,19),'Leave log'!$C$7:$C$306,"&gt;="&amp;DATE($B$3,10,19),'Leave log'!$F$7:$F$306,"Pending")&gt;0,"P",""))))</f>
        <v/>
      </c>
      <c r="U342" s="23" t="str">
        <f>IF(A342="","",IF(IF(OR(DATE($B$3,10,20)&gt;EOMONTH(DATE($B$3,10,1),0),NETWORKDAYS.INTL(DATE($B$3,10,20),DATE($B$3,10,20),1,'Non-working days'!$A$6:$A$45)=0),"",IF(COUNTIFS('Leave log'!$A$7:$A$306,Employees!$A$35,'Leave log'!$B$7:$B$306,"&lt;="&amp;DATE($B$3,10,20),'Leave log'!$C$7:$C$306,"&gt;="&amp;DATE($B$3,10,20),'Leave log'!$F$7:$F$306,"Approved")&gt;0,"A",""))="A","A",IF(OR(DATE($B$3,10,20)&gt;EOMONTH(DATE($B$3,10,1),0),NETWORKDAYS.INTL(DATE($B$3,10,20),DATE($B$3,10,20),1,'Non-working days'!$A$6:$A$45)=0),"",IF(COUNTIFS('Leave log'!$A$7:$A$306,Employees!$A$35,'Leave log'!$B$7:$B$306,"&lt;="&amp;DATE($B$3,10,20),'Leave log'!$C$7:$C$306,"&gt;="&amp;DATE($B$3,10,20),'Leave log'!$F$7:$F$306,"Pending")&gt;0,"P",""))))</f>
        <v/>
      </c>
      <c r="V342" s="23" t="str">
        <f>IF(A342="","",IF(IF(OR(DATE($B$3,10,21)&gt;EOMONTH(DATE($B$3,10,1),0),NETWORKDAYS.INTL(DATE($B$3,10,21),DATE($B$3,10,21),1,'Non-working days'!$A$6:$A$45)=0),"",IF(COUNTIFS('Leave log'!$A$7:$A$306,Employees!$A$35,'Leave log'!$B$7:$B$306,"&lt;="&amp;DATE($B$3,10,21),'Leave log'!$C$7:$C$306,"&gt;="&amp;DATE($B$3,10,21),'Leave log'!$F$7:$F$306,"Approved")&gt;0,"A",""))="A","A",IF(OR(DATE($B$3,10,21)&gt;EOMONTH(DATE($B$3,10,1),0),NETWORKDAYS.INTL(DATE($B$3,10,21),DATE($B$3,10,21),1,'Non-working days'!$A$6:$A$45)=0),"",IF(COUNTIFS('Leave log'!$A$7:$A$306,Employees!$A$35,'Leave log'!$B$7:$B$306,"&lt;="&amp;DATE($B$3,10,21),'Leave log'!$C$7:$C$306,"&gt;="&amp;DATE($B$3,10,21),'Leave log'!$F$7:$F$306,"Pending")&gt;0,"P",""))))</f>
        <v/>
      </c>
      <c r="W342" s="23" t="str">
        <f>IF(A342="","",IF(IF(OR(DATE($B$3,10,22)&gt;EOMONTH(DATE($B$3,10,1),0),NETWORKDAYS.INTL(DATE($B$3,10,22),DATE($B$3,10,22),1,'Non-working days'!$A$6:$A$45)=0),"",IF(COUNTIFS('Leave log'!$A$7:$A$306,Employees!$A$35,'Leave log'!$B$7:$B$306,"&lt;="&amp;DATE($B$3,10,22),'Leave log'!$C$7:$C$306,"&gt;="&amp;DATE($B$3,10,22),'Leave log'!$F$7:$F$306,"Approved")&gt;0,"A",""))="A","A",IF(OR(DATE($B$3,10,22)&gt;EOMONTH(DATE($B$3,10,1),0),NETWORKDAYS.INTL(DATE($B$3,10,22),DATE($B$3,10,22),1,'Non-working days'!$A$6:$A$45)=0),"",IF(COUNTIFS('Leave log'!$A$7:$A$306,Employees!$A$35,'Leave log'!$B$7:$B$306,"&lt;="&amp;DATE($B$3,10,22),'Leave log'!$C$7:$C$306,"&gt;="&amp;DATE($B$3,10,22),'Leave log'!$F$7:$F$306,"Pending")&gt;0,"P",""))))</f>
        <v/>
      </c>
      <c r="X342" s="23" t="str">
        <f>IF(A342="","",IF(IF(OR(DATE($B$3,10,23)&gt;EOMONTH(DATE($B$3,10,1),0),NETWORKDAYS.INTL(DATE($B$3,10,23),DATE($B$3,10,23),1,'Non-working days'!$A$6:$A$45)=0),"",IF(COUNTIFS('Leave log'!$A$7:$A$306,Employees!$A$35,'Leave log'!$B$7:$B$306,"&lt;="&amp;DATE($B$3,10,23),'Leave log'!$C$7:$C$306,"&gt;="&amp;DATE($B$3,10,23),'Leave log'!$F$7:$F$306,"Approved")&gt;0,"A",""))="A","A",IF(OR(DATE($B$3,10,23)&gt;EOMONTH(DATE($B$3,10,1),0),NETWORKDAYS.INTL(DATE($B$3,10,23),DATE($B$3,10,23),1,'Non-working days'!$A$6:$A$45)=0),"",IF(COUNTIFS('Leave log'!$A$7:$A$306,Employees!$A$35,'Leave log'!$B$7:$B$306,"&lt;="&amp;DATE($B$3,10,23),'Leave log'!$C$7:$C$306,"&gt;="&amp;DATE($B$3,10,23),'Leave log'!$F$7:$F$306,"Pending")&gt;0,"P",""))))</f>
        <v/>
      </c>
      <c r="Y342" s="23" t="str">
        <f>IF(A342="","",IF(IF(OR(DATE($B$3,10,24)&gt;EOMONTH(DATE($B$3,10,1),0),NETWORKDAYS.INTL(DATE($B$3,10,24),DATE($B$3,10,24),1,'Non-working days'!$A$6:$A$45)=0),"",IF(COUNTIFS('Leave log'!$A$7:$A$306,Employees!$A$35,'Leave log'!$B$7:$B$306,"&lt;="&amp;DATE($B$3,10,24),'Leave log'!$C$7:$C$306,"&gt;="&amp;DATE($B$3,10,24),'Leave log'!$F$7:$F$306,"Approved")&gt;0,"A",""))="A","A",IF(OR(DATE($B$3,10,24)&gt;EOMONTH(DATE($B$3,10,1),0),NETWORKDAYS.INTL(DATE($B$3,10,24),DATE($B$3,10,24),1,'Non-working days'!$A$6:$A$45)=0),"",IF(COUNTIFS('Leave log'!$A$7:$A$306,Employees!$A$35,'Leave log'!$B$7:$B$306,"&lt;="&amp;DATE($B$3,10,24),'Leave log'!$C$7:$C$306,"&gt;="&amp;DATE($B$3,10,24),'Leave log'!$F$7:$F$306,"Pending")&gt;0,"P",""))))</f>
        <v/>
      </c>
      <c r="Z342" s="23" t="str">
        <f>IF(A342="","",IF(IF(OR(DATE($B$3,10,25)&gt;EOMONTH(DATE($B$3,10,1),0),NETWORKDAYS.INTL(DATE($B$3,10,25),DATE($B$3,10,25),1,'Non-working days'!$A$6:$A$45)=0),"",IF(COUNTIFS('Leave log'!$A$7:$A$306,Employees!$A$35,'Leave log'!$B$7:$B$306,"&lt;="&amp;DATE($B$3,10,25),'Leave log'!$C$7:$C$306,"&gt;="&amp;DATE($B$3,10,25),'Leave log'!$F$7:$F$306,"Approved")&gt;0,"A",""))="A","A",IF(OR(DATE($B$3,10,25)&gt;EOMONTH(DATE($B$3,10,1),0),NETWORKDAYS.INTL(DATE($B$3,10,25),DATE($B$3,10,25),1,'Non-working days'!$A$6:$A$45)=0),"",IF(COUNTIFS('Leave log'!$A$7:$A$306,Employees!$A$35,'Leave log'!$B$7:$B$306,"&lt;="&amp;DATE($B$3,10,25),'Leave log'!$C$7:$C$306,"&gt;="&amp;DATE($B$3,10,25),'Leave log'!$F$7:$F$306,"Pending")&gt;0,"P",""))))</f>
        <v/>
      </c>
      <c r="AA342" s="23" t="str">
        <f>IF(A342="","",IF(IF(OR(DATE($B$3,10,26)&gt;EOMONTH(DATE($B$3,10,1),0),NETWORKDAYS.INTL(DATE($B$3,10,26),DATE($B$3,10,26),1,'Non-working days'!$A$6:$A$45)=0),"",IF(COUNTIFS('Leave log'!$A$7:$A$306,Employees!$A$35,'Leave log'!$B$7:$B$306,"&lt;="&amp;DATE($B$3,10,26),'Leave log'!$C$7:$C$306,"&gt;="&amp;DATE($B$3,10,26),'Leave log'!$F$7:$F$306,"Approved")&gt;0,"A",""))="A","A",IF(OR(DATE($B$3,10,26)&gt;EOMONTH(DATE($B$3,10,1),0),NETWORKDAYS.INTL(DATE($B$3,10,26),DATE($B$3,10,26),1,'Non-working days'!$A$6:$A$45)=0),"",IF(COUNTIFS('Leave log'!$A$7:$A$306,Employees!$A$35,'Leave log'!$B$7:$B$306,"&lt;="&amp;DATE($B$3,10,26),'Leave log'!$C$7:$C$306,"&gt;="&amp;DATE($B$3,10,26),'Leave log'!$F$7:$F$306,"Pending")&gt;0,"P",""))))</f>
        <v/>
      </c>
      <c r="AB342" s="23" t="str">
        <f>IF(A342="","",IF(IF(OR(DATE($B$3,10,27)&gt;EOMONTH(DATE($B$3,10,1),0),NETWORKDAYS.INTL(DATE($B$3,10,27),DATE($B$3,10,27),1,'Non-working days'!$A$6:$A$45)=0),"",IF(COUNTIFS('Leave log'!$A$7:$A$306,Employees!$A$35,'Leave log'!$B$7:$B$306,"&lt;="&amp;DATE($B$3,10,27),'Leave log'!$C$7:$C$306,"&gt;="&amp;DATE($B$3,10,27),'Leave log'!$F$7:$F$306,"Approved")&gt;0,"A",""))="A","A",IF(OR(DATE($B$3,10,27)&gt;EOMONTH(DATE($B$3,10,1),0),NETWORKDAYS.INTL(DATE($B$3,10,27),DATE($B$3,10,27),1,'Non-working days'!$A$6:$A$45)=0),"",IF(COUNTIFS('Leave log'!$A$7:$A$306,Employees!$A$35,'Leave log'!$B$7:$B$306,"&lt;="&amp;DATE($B$3,10,27),'Leave log'!$C$7:$C$306,"&gt;="&amp;DATE($B$3,10,27),'Leave log'!$F$7:$F$306,"Pending")&gt;0,"P",""))))</f>
        <v/>
      </c>
      <c r="AC342" s="23" t="str">
        <f>IF(A342="","",IF(IF(OR(DATE($B$3,10,28)&gt;EOMONTH(DATE($B$3,10,1),0),NETWORKDAYS.INTL(DATE($B$3,10,28),DATE($B$3,10,28),1,'Non-working days'!$A$6:$A$45)=0),"",IF(COUNTIFS('Leave log'!$A$7:$A$306,Employees!$A$35,'Leave log'!$B$7:$B$306,"&lt;="&amp;DATE($B$3,10,28),'Leave log'!$C$7:$C$306,"&gt;="&amp;DATE($B$3,10,28),'Leave log'!$F$7:$F$306,"Approved")&gt;0,"A",""))="A","A",IF(OR(DATE($B$3,10,28)&gt;EOMONTH(DATE($B$3,10,1),0),NETWORKDAYS.INTL(DATE($B$3,10,28),DATE($B$3,10,28),1,'Non-working days'!$A$6:$A$45)=0),"",IF(COUNTIFS('Leave log'!$A$7:$A$306,Employees!$A$35,'Leave log'!$B$7:$B$306,"&lt;="&amp;DATE($B$3,10,28),'Leave log'!$C$7:$C$306,"&gt;="&amp;DATE($B$3,10,28),'Leave log'!$F$7:$F$306,"Pending")&gt;0,"P",""))))</f>
        <v/>
      </c>
      <c r="AD342" s="23" t="str">
        <f>IF(A342="","",IF(IF(OR(DATE($B$3,10,29)&gt;EOMONTH(DATE($B$3,10,1),0),NETWORKDAYS.INTL(DATE($B$3,10,29),DATE($B$3,10,29),1,'Non-working days'!$A$6:$A$45)=0),"",IF(COUNTIFS('Leave log'!$A$7:$A$306,Employees!$A$35,'Leave log'!$B$7:$B$306,"&lt;="&amp;DATE($B$3,10,29),'Leave log'!$C$7:$C$306,"&gt;="&amp;DATE($B$3,10,29),'Leave log'!$F$7:$F$306,"Approved")&gt;0,"A",""))="A","A",IF(OR(DATE($B$3,10,29)&gt;EOMONTH(DATE($B$3,10,1),0),NETWORKDAYS.INTL(DATE($B$3,10,29),DATE($B$3,10,29),1,'Non-working days'!$A$6:$A$45)=0),"",IF(COUNTIFS('Leave log'!$A$7:$A$306,Employees!$A$35,'Leave log'!$B$7:$B$306,"&lt;="&amp;DATE($B$3,10,29),'Leave log'!$C$7:$C$306,"&gt;="&amp;DATE($B$3,10,29),'Leave log'!$F$7:$F$306,"Pending")&gt;0,"P",""))))</f>
        <v/>
      </c>
      <c r="AE342" s="23" t="str">
        <f>IF(A342="","",IF(IF(OR(DATE($B$3,10,30)&gt;EOMONTH(DATE($B$3,10,1),0),NETWORKDAYS.INTL(DATE($B$3,10,30),DATE($B$3,10,30),1,'Non-working days'!$A$6:$A$45)=0),"",IF(COUNTIFS('Leave log'!$A$7:$A$306,Employees!$A$35,'Leave log'!$B$7:$B$306,"&lt;="&amp;DATE($B$3,10,30),'Leave log'!$C$7:$C$306,"&gt;="&amp;DATE($B$3,10,30),'Leave log'!$F$7:$F$306,"Approved")&gt;0,"A",""))="A","A",IF(OR(DATE($B$3,10,30)&gt;EOMONTH(DATE($B$3,10,1),0),NETWORKDAYS.INTL(DATE($B$3,10,30),DATE($B$3,10,30),1,'Non-working days'!$A$6:$A$45)=0),"",IF(COUNTIFS('Leave log'!$A$7:$A$306,Employees!$A$35,'Leave log'!$B$7:$B$306,"&lt;="&amp;DATE($B$3,10,30),'Leave log'!$C$7:$C$306,"&gt;="&amp;DATE($B$3,10,30),'Leave log'!$F$7:$F$306,"Pending")&gt;0,"P",""))))</f>
        <v/>
      </c>
      <c r="AF342" s="23" t="str">
        <f>IF(A342="","",IF(IF(OR(DATE($B$3,10,31)&gt;EOMONTH(DATE($B$3,10,1),0),NETWORKDAYS.INTL(DATE($B$3,10,31),DATE($B$3,10,31),1,'Non-working days'!$A$6:$A$45)=0),"",IF(COUNTIFS('Leave log'!$A$7:$A$306,Employees!$A$35,'Leave log'!$B$7:$B$306,"&lt;="&amp;DATE($B$3,10,31),'Leave log'!$C$7:$C$306,"&gt;="&amp;DATE($B$3,10,31),'Leave log'!$F$7:$F$306,"Approved")&gt;0,"A",""))="A","A",IF(OR(DATE($B$3,10,31)&gt;EOMONTH(DATE($B$3,10,1),0),NETWORKDAYS.INTL(DATE($B$3,10,31),DATE($B$3,10,31),1,'Non-working days'!$A$6:$A$45)=0),"",IF(COUNTIFS('Leave log'!$A$7:$A$306,Employees!$A$35,'Leave log'!$B$7:$B$306,"&lt;="&amp;DATE($B$3,10,31),'Leave log'!$C$7:$C$306,"&gt;="&amp;DATE($B$3,10,31),'Leave log'!$F$7:$F$306,"Pending")&gt;0,"P",""))))</f>
        <v/>
      </c>
    </row>
    <row r="345" spans="1:32" ht="15.6" x14ac:dyDescent="0.3">
      <c r="A345" s="31" t="s">
        <v>85</v>
      </c>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row>
    <row r="346" spans="1:32" x14ac:dyDescent="0.3">
      <c r="A346" s="20" t="s">
        <v>75</v>
      </c>
      <c r="B346" s="21">
        <v>1</v>
      </c>
      <c r="C346" s="21">
        <v>2</v>
      </c>
      <c r="D346" s="21">
        <v>3</v>
      </c>
      <c r="E346" s="21">
        <v>4</v>
      </c>
      <c r="F346" s="21">
        <v>5</v>
      </c>
      <c r="G346" s="21">
        <v>6</v>
      </c>
      <c r="H346" s="21">
        <v>7</v>
      </c>
      <c r="I346" s="21">
        <v>8</v>
      </c>
      <c r="J346" s="21">
        <v>9</v>
      </c>
      <c r="K346" s="21">
        <v>10</v>
      </c>
      <c r="L346" s="21">
        <v>11</v>
      </c>
      <c r="M346" s="21">
        <v>12</v>
      </c>
      <c r="N346" s="21">
        <v>13</v>
      </c>
      <c r="O346" s="21">
        <v>14</v>
      </c>
      <c r="P346" s="21">
        <v>15</v>
      </c>
      <c r="Q346" s="21">
        <v>16</v>
      </c>
      <c r="R346" s="21">
        <v>17</v>
      </c>
      <c r="S346" s="21">
        <v>18</v>
      </c>
      <c r="T346" s="21">
        <v>19</v>
      </c>
      <c r="U346" s="21">
        <v>20</v>
      </c>
      <c r="V346" s="21">
        <v>21</v>
      </c>
      <c r="W346" s="21">
        <v>22</v>
      </c>
      <c r="X346" s="21">
        <v>23</v>
      </c>
      <c r="Y346" s="21">
        <v>24</v>
      </c>
      <c r="Z346" s="21">
        <v>25</v>
      </c>
      <c r="AA346" s="21">
        <v>26</v>
      </c>
      <c r="AB346" s="21">
        <v>27</v>
      </c>
      <c r="AC346" s="21">
        <v>28</v>
      </c>
      <c r="AD346" s="21">
        <v>29</v>
      </c>
      <c r="AE346" s="21">
        <v>30</v>
      </c>
      <c r="AF346" s="21">
        <v>31</v>
      </c>
    </row>
    <row r="347" spans="1:32" ht="18" customHeight="1" x14ac:dyDescent="0.3">
      <c r="A347" s="22" t="str">
        <f>IF(Employees!F6="Yes",Employees!B6,"")</f>
        <v>Alex Morgan</v>
      </c>
      <c r="B347" s="23" t="str">
        <f>IF(A347="","",IF(IF(OR(DATE($B$3,11,1)&gt;EOMONTH(DATE($B$3,11,1),0),NETWORKDAYS.INTL(DATE($B$3,11,1),DATE($B$3,11,1),1,'Non-working days'!$A$6:$A$45)=0),"",IF(COUNTIFS('Leave log'!$A$7:$A$306,Employees!$A$6,'Leave log'!$B$7:$B$306,"&lt;="&amp;DATE($B$3,11,1),'Leave log'!$C$7:$C$306,"&gt;="&amp;DATE($B$3,11,1),'Leave log'!$F$7:$F$306,"Approved")&gt;0,"A",""))="A","A",IF(OR(DATE($B$3,11,1)&gt;EOMONTH(DATE($B$3,11,1),0),NETWORKDAYS.INTL(DATE($B$3,11,1),DATE($B$3,11,1),1,'Non-working days'!$A$6:$A$45)=0),"",IF(COUNTIFS('Leave log'!$A$7:$A$306,Employees!$A$6,'Leave log'!$B$7:$B$306,"&lt;="&amp;DATE($B$3,11,1),'Leave log'!$C$7:$C$306,"&gt;="&amp;DATE($B$3,11,1),'Leave log'!$F$7:$F$306,"Pending")&gt;0,"P",""))))</f>
        <v/>
      </c>
      <c r="C347" s="23" t="str">
        <f>IF(A347="","",IF(IF(OR(DATE($B$3,11,2)&gt;EOMONTH(DATE($B$3,11,1),0),NETWORKDAYS.INTL(DATE($B$3,11,2),DATE($B$3,11,2),1,'Non-working days'!$A$6:$A$45)=0),"",IF(COUNTIFS('Leave log'!$A$7:$A$306,Employees!$A$6,'Leave log'!$B$7:$B$306,"&lt;="&amp;DATE($B$3,11,2),'Leave log'!$C$7:$C$306,"&gt;="&amp;DATE($B$3,11,2),'Leave log'!$F$7:$F$306,"Approved")&gt;0,"A",""))="A","A",IF(OR(DATE($B$3,11,2)&gt;EOMONTH(DATE($B$3,11,1),0),NETWORKDAYS.INTL(DATE($B$3,11,2),DATE($B$3,11,2),1,'Non-working days'!$A$6:$A$45)=0),"",IF(COUNTIFS('Leave log'!$A$7:$A$306,Employees!$A$6,'Leave log'!$B$7:$B$306,"&lt;="&amp;DATE($B$3,11,2),'Leave log'!$C$7:$C$306,"&gt;="&amp;DATE($B$3,11,2),'Leave log'!$F$7:$F$306,"Pending")&gt;0,"P",""))))</f>
        <v/>
      </c>
      <c r="D347" s="23" t="str">
        <f>IF(A347="","",IF(IF(OR(DATE($B$3,11,3)&gt;EOMONTH(DATE($B$3,11,1),0),NETWORKDAYS.INTL(DATE($B$3,11,3),DATE($B$3,11,3),1,'Non-working days'!$A$6:$A$45)=0),"",IF(COUNTIFS('Leave log'!$A$7:$A$306,Employees!$A$6,'Leave log'!$B$7:$B$306,"&lt;="&amp;DATE($B$3,11,3),'Leave log'!$C$7:$C$306,"&gt;="&amp;DATE($B$3,11,3),'Leave log'!$F$7:$F$306,"Approved")&gt;0,"A",""))="A","A",IF(OR(DATE($B$3,11,3)&gt;EOMONTH(DATE($B$3,11,1),0),NETWORKDAYS.INTL(DATE($B$3,11,3),DATE($B$3,11,3),1,'Non-working days'!$A$6:$A$45)=0),"",IF(COUNTIFS('Leave log'!$A$7:$A$306,Employees!$A$6,'Leave log'!$B$7:$B$306,"&lt;="&amp;DATE($B$3,11,3),'Leave log'!$C$7:$C$306,"&gt;="&amp;DATE($B$3,11,3),'Leave log'!$F$7:$F$306,"Pending")&gt;0,"P",""))))</f>
        <v/>
      </c>
      <c r="E347" s="23" t="str">
        <f>IF(A347="","",IF(IF(OR(DATE($B$3,11,4)&gt;EOMONTH(DATE($B$3,11,1),0),NETWORKDAYS.INTL(DATE($B$3,11,4),DATE($B$3,11,4),1,'Non-working days'!$A$6:$A$45)=0),"",IF(COUNTIFS('Leave log'!$A$7:$A$306,Employees!$A$6,'Leave log'!$B$7:$B$306,"&lt;="&amp;DATE($B$3,11,4),'Leave log'!$C$7:$C$306,"&gt;="&amp;DATE($B$3,11,4),'Leave log'!$F$7:$F$306,"Approved")&gt;0,"A",""))="A","A",IF(OR(DATE($B$3,11,4)&gt;EOMONTH(DATE($B$3,11,1),0),NETWORKDAYS.INTL(DATE($B$3,11,4),DATE($B$3,11,4),1,'Non-working days'!$A$6:$A$45)=0),"",IF(COUNTIFS('Leave log'!$A$7:$A$306,Employees!$A$6,'Leave log'!$B$7:$B$306,"&lt;="&amp;DATE($B$3,11,4),'Leave log'!$C$7:$C$306,"&gt;="&amp;DATE($B$3,11,4),'Leave log'!$F$7:$F$306,"Pending")&gt;0,"P",""))))</f>
        <v/>
      </c>
      <c r="F347" s="23" t="str">
        <f>IF(A347="","",IF(IF(OR(DATE($B$3,11,5)&gt;EOMONTH(DATE($B$3,11,1),0),NETWORKDAYS.INTL(DATE($B$3,11,5),DATE($B$3,11,5),1,'Non-working days'!$A$6:$A$45)=0),"",IF(COUNTIFS('Leave log'!$A$7:$A$306,Employees!$A$6,'Leave log'!$B$7:$B$306,"&lt;="&amp;DATE($B$3,11,5),'Leave log'!$C$7:$C$306,"&gt;="&amp;DATE($B$3,11,5),'Leave log'!$F$7:$F$306,"Approved")&gt;0,"A",""))="A","A",IF(OR(DATE($B$3,11,5)&gt;EOMONTH(DATE($B$3,11,1),0),NETWORKDAYS.INTL(DATE($B$3,11,5),DATE($B$3,11,5),1,'Non-working days'!$A$6:$A$45)=0),"",IF(COUNTIFS('Leave log'!$A$7:$A$306,Employees!$A$6,'Leave log'!$B$7:$B$306,"&lt;="&amp;DATE($B$3,11,5),'Leave log'!$C$7:$C$306,"&gt;="&amp;DATE($B$3,11,5),'Leave log'!$F$7:$F$306,"Pending")&gt;0,"P",""))))</f>
        <v/>
      </c>
      <c r="G347" s="23" t="str">
        <f>IF(A347="","",IF(IF(OR(DATE($B$3,11,6)&gt;EOMONTH(DATE($B$3,11,1),0),NETWORKDAYS.INTL(DATE($B$3,11,6),DATE($B$3,11,6),1,'Non-working days'!$A$6:$A$45)=0),"",IF(COUNTIFS('Leave log'!$A$7:$A$306,Employees!$A$6,'Leave log'!$B$7:$B$306,"&lt;="&amp;DATE($B$3,11,6),'Leave log'!$C$7:$C$306,"&gt;="&amp;DATE($B$3,11,6),'Leave log'!$F$7:$F$306,"Approved")&gt;0,"A",""))="A","A",IF(OR(DATE($B$3,11,6)&gt;EOMONTH(DATE($B$3,11,1),0),NETWORKDAYS.INTL(DATE($B$3,11,6),DATE($B$3,11,6),1,'Non-working days'!$A$6:$A$45)=0),"",IF(COUNTIFS('Leave log'!$A$7:$A$306,Employees!$A$6,'Leave log'!$B$7:$B$306,"&lt;="&amp;DATE($B$3,11,6),'Leave log'!$C$7:$C$306,"&gt;="&amp;DATE($B$3,11,6),'Leave log'!$F$7:$F$306,"Pending")&gt;0,"P",""))))</f>
        <v/>
      </c>
      <c r="H347" s="23" t="str">
        <f>IF(A347="","",IF(IF(OR(DATE($B$3,11,7)&gt;EOMONTH(DATE($B$3,11,1),0),NETWORKDAYS.INTL(DATE($B$3,11,7),DATE($B$3,11,7),1,'Non-working days'!$A$6:$A$45)=0),"",IF(COUNTIFS('Leave log'!$A$7:$A$306,Employees!$A$6,'Leave log'!$B$7:$B$306,"&lt;="&amp;DATE($B$3,11,7),'Leave log'!$C$7:$C$306,"&gt;="&amp;DATE($B$3,11,7),'Leave log'!$F$7:$F$306,"Approved")&gt;0,"A",""))="A","A",IF(OR(DATE($B$3,11,7)&gt;EOMONTH(DATE($B$3,11,1),0),NETWORKDAYS.INTL(DATE($B$3,11,7),DATE($B$3,11,7),1,'Non-working days'!$A$6:$A$45)=0),"",IF(COUNTIFS('Leave log'!$A$7:$A$306,Employees!$A$6,'Leave log'!$B$7:$B$306,"&lt;="&amp;DATE($B$3,11,7),'Leave log'!$C$7:$C$306,"&gt;="&amp;DATE($B$3,11,7),'Leave log'!$F$7:$F$306,"Pending")&gt;0,"P",""))))</f>
        <v/>
      </c>
      <c r="I347" s="23" t="str">
        <f>IF(A347="","",IF(IF(OR(DATE($B$3,11,8)&gt;EOMONTH(DATE($B$3,11,1),0),NETWORKDAYS.INTL(DATE($B$3,11,8),DATE($B$3,11,8),1,'Non-working days'!$A$6:$A$45)=0),"",IF(COUNTIFS('Leave log'!$A$7:$A$306,Employees!$A$6,'Leave log'!$B$7:$B$306,"&lt;="&amp;DATE($B$3,11,8),'Leave log'!$C$7:$C$306,"&gt;="&amp;DATE($B$3,11,8),'Leave log'!$F$7:$F$306,"Approved")&gt;0,"A",""))="A","A",IF(OR(DATE($B$3,11,8)&gt;EOMONTH(DATE($B$3,11,1),0),NETWORKDAYS.INTL(DATE($B$3,11,8),DATE($B$3,11,8),1,'Non-working days'!$A$6:$A$45)=0),"",IF(COUNTIFS('Leave log'!$A$7:$A$306,Employees!$A$6,'Leave log'!$B$7:$B$306,"&lt;="&amp;DATE($B$3,11,8),'Leave log'!$C$7:$C$306,"&gt;="&amp;DATE($B$3,11,8),'Leave log'!$F$7:$F$306,"Pending")&gt;0,"P",""))))</f>
        <v/>
      </c>
      <c r="J347" s="23" t="str">
        <f>IF(A347="","",IF(IF(OR(DATE($B$3,11,9)&gt;EOMONTH(DATE($B$3,11,1),0),NETWORKDAYS.INTL(DATE($B$3,11,9),DATE($B$3,11,9),1,'Non-working days'!$A$6:$A$45)=0),"",IF(COUNTIFS('Leave log'!$A$7:$A$306,Employees!$A$6,'Leave log'!$B$7:$B$306,"&lt;="&amp;DATE($B$3,11,9),'Leave log'!$C$7:$C$306,"&gt;="&amp;DATE($B$3,11,9),'Leave log'!$F$7:$F$306,"Approved")&gt;0,"A",""))="A","A",IF(OR(DATE($B$3,11,9)&gt;EOMONTH(DATE($B$3,11,1),0),NETWORKDAYS.INTL(DATE($B$3,11,9),DATE($B$3,11,9),1,'Non-working days'!$A$6:$A$45)=0),"",IF(COUNTIFS('Leave log'!$A$7:$A$306,Employees!$A$6,'Leave log'!$B$7:$B$306,"&lt;="&amp;DATE($B$3,11,9),'Leave log'!$C$7:$C$306,"&gt;="&amp;DATE($B$3,11,9),'Leave log'!$F$7:$F$306,"Pending")&gt;0,"P",""))))</f>
        <v/>
      </c>
      <c r="K347" s="23" t="str">
        <f>IF(A347="","",IF(IF(OR(DATE($B$3,11,10)&gt;EOMONTH(DATE($B$3,11,1),0),NETWORKDAYS.INTL(DATE($B$3,11,10),DATE($B$3,11,10),1,'Non-working days'!$A$6:$A$45)=0),"",IF(COUNTIFS('Leave log'!$A$7:$A$306,Employees!$A$6,'Leave log'!$B$7:$B$306,"&lt;="&amp;DATE($B$3,11,10),'Leave log'!$C$7:$C$306,"&gt;="&amp;DATE($B$3,11,10),'Leave log'!$F$7:$F$306,"Approved")&gt;0,"A",""))="A","A",IF(OR(DATE($B$3,11,10)&gt;EOMONTH(DATE($B$3,11,1),0),NETWORKDAYS.INTL(DATE($B$3,11,10),DATE($B$3,11,10),1,'Non-working days'!$A$6:$A$45)=0),"",IF(COUNTIFS('Leave log'!$A$7:$A$306,Employees!$A$6,'Leave log'!$B$7:$B$306,"&lt;="&amp;DATE($B$3,11,10),'Leave log'!$C$7:$C$306,"&gt;="&amp;DATE($B$3,11,10),'Leave log'!$F$7:$F$306,"Pending")&gt;0,"P",""))))</f>
        <v/>
      </c>
      <c r="L347" s="23" t="str">
        <f>IF(A347="","",IF(IF(OR(DATE($B$3,11,11)&gt;EOMONTH(DATE($B$3,11,1),0),NETWORKDAYS.INTL(DATE($B$3,11,11),DATE($B$3,11,11),1,'Non-working days'!$A$6:$A$45)=0),"",IF(COUNTIFS('Leave log'!$A$7:$A$306,Employees!$A$6,'Leave log'!$B$7:$B$306,"&lt;="&amp;DATE($B$3,11,11),'Leave log'!$C$7:$C$306,"&gt;="&amp;DATE($B$3,11,11),'Leave log'!$F$7:$F$306,"Approved")&gt;0,"A",""))="A","A",IF(OR(DATE($B$3,11,11)&gt;EOMONTH(DATE($B$3,11,1),0),NETWORKDAYS.INTL(DATE($B$3,11,11),DATE($B$3,11,11),1,'Non-working days'!$A$6:$A$45)=0),"",IF(COUNTIFS('Leave log'!$A$7:$A$306,Employees!$A$6,'Leave log'!$B$7:$B$306,"&lt;="&amp;DATE($B$3,11,11),'Leave log'!$C$7:$C$306,"&gt;="&amp;DATE($B$3,11,11),'Leave log'!$F$7:$F$306,"Pending")&gt;0,"P",""))))</f>
        <v/>
      </c>
      <c r="M347" s="23" t="str">
        <f>IF(A347="","",IF(IF(OR(DATE($B$3,11,12)&gt;EOMONTH(DATE($B$3,11,1),0),NETWORKDAYS.INTL(DATE($B$3,11,12),DATE($B$3,11,12),1,'Non-working days'!$A$6:$A$45)=0),"",IF(COUNTIFS('Leave log'!$A$7:$A$306,Employees!$A$6,'Leave log'!$B$7:$B$306,"&lt;="&amp;DATE($B$3,11,12),'Leave log'!$C$7:$C$306,"&gt;="&amp;DATE($B$3,11,12),'Leave log'!$F$7:$F$306,"Approved")&gt;0,"A",""))="A","A",IF(OR(DATE($B$3,11,12)&gt;EOMONTH(DATE($B$3,11,1),0),NETWORKDAYS.INTL(DATE($B$3,11,12),DATE($B$3,11,12),1,'Non-working days'!$A$6:$A$45)=0),"",IF(COUNTIFS('Leave log'!$A$7:$A$306,Employees!$A$6,'Leave log'!$B$7:$B$306,"&lt;="&amp;DATE($B$3,11,12),'Leave log'!$C$7:$C$306,"&gt;="&amp;DATE($B$3,11,12),'Leave log'!$F$7:$F$306,"Pending")&gt;0,"P",""))))</f>
        <v/>
      </c>
      <c r="N347" s="23" t="str">
        <f>IF(A347="","",IF(IF(OR(DATE($B$3,11,13)&gt;EOMONTH(DATE($B$3,11,1),0),NETWORKDAYS.INTL(DATE($B$3,11,13),DATE($B$3,11,13),1,'Non-working days'!$A$6:$A$45)=0),"",IF(COUNTIFS('Leave log'!$A$7:$A$306,Employees!$A$6,'Leave log'!$B$7:$B$306,"&lt;="&amp;DATE($B$3,11,13),'Leave log'!$C$7:$C$306,"&gt;="&amp;DATE($B$3,11,13),'Leave log'!$F$7:$F$306,"Approved")&gt;0,"A",""))="A","A",IF(OR(DATE($B$3,11,13)&gt;EOMONTH(DATE($B$3,11,1),0),NETWORKDAYS.INTL(DATE($B$3,11,13),DATE($B$3,11,13),1,'Non-working days'!$A$6:$A$45)=0),"",IF(COUNTIFS('Leave log'!$A$7:$A$306,Employees!$A$6,'Leave log'!$B$7:$B$306,"&lt;="&amp;DATE($B$3,11,13),'Leave log'!$C$7:$C$306,"&gt;="&amp;DATE($B$3,11,13),'Leave log'!$F$7:$F$306,"Pending")&gt;0,"P",""))))</f>
        <v/>
      </c>
      <c r="O347" s="23" t="str">
        <f>IF(A347="","",IF(IF(OR(DATE($B$3,11,14)&gt;EOMONTH(DATE($B$3,11,1),0),NETWORKDAYS.INTL(DATE($B$3,11,14),DATE($B$3,11,14),1,'Non-working days'!$A$6:$A$45)=0),"",IF(COUNTIFS('Leave log'!$A$7:$A$306,Employees!$A$6,'Leave log'!$B$7:$B$306,"&lt;="&amp;DATE($B$3,11,14),'Leave log'!$C$7:$C$306,"&gt;="&amp;DATE($B$3,11,14),'Leave log'!$F$7:$F$306,"Approved")&gt;0,"A",""))="A","A",IF(OR(DATE($B$3,11,14)&gt;EOMONTH(DATE($B$3,11,1),0),NETWORKDAYS.INTL(DATE($B$3,11,14),DATE($B$3,11,14),1,'Non-working days'!$A$6:$A$45)=0),"",IF(COUNTIFS('Leave log'!$A$7:$A$306,Employees!$A$6,'Leave log'!$B$7:$B$306,"&lt;="&amp;DATE($B$3,11,14),'Leave log'!$C$7:$C$306,"&gt;="&amp;DATE($B$3,11,14),'Leave log'!$F$7:$F$306,"Pending")&gt;0,"P",""))))</f>
        <v/>
      </c>
      <c r="P347" s="23" t="str">
        <f>IF(A347="","",IF(IF(OR(DATE($B$3,11,15)&gt;EOMONTH(DATE($B$3,11,1),0),NETWORKDAYS.INTL(DATE($B$3,11,15),DATE($B$3,11,15),1,'Non-working days'!$A$6:$A$45)=0),"",IF(COUNTIFS('Leave log'!$A$7:$A$306,Employees!$A$6,'Leave log'!$B$7:$B$306,"&lt;="&amp;DATE($B$3,11,15),'Leave log'!$C$7:$C$306,"&gt;="&amp;DATE($B$3,11,15),'Leave log'!$F$7:$F$306,"Approved")&gt;0,"A",""))="A","A",IF(OR(DATE($B$3,11,15)&gt;EOMONTH(DATE($B$3,11,1),0),NETWORKDAYS.INTL(DATE($B$3,11,15),DATE($B$3,11,15),1,'Non-working days'!$A$6:$A$45)=0),"",IF(COUNTIFS('Leave log'!$A$7:$A$306,Employees!$A$6,'Leave log'!$B$7:$B$306,"&lt;="&amp;DATE($B$3,11,15),'Leave log'!$C$7:$C$306,"&gt;="&amp;DATE($B$3,11,15),'Leave log'!$F$7:$F$306,"Pending")&gt;0,"P",""))))</f>
        <v/>
      </c>
      <c r="Q347" s="23" t="str">
        <f>IF(A347="","",IF(IF(OR(DATE($B$3,11,16)&gt;EOMONTH(DATE($B$3,11,1),0),NETWORKDAYS.INTL(DATE($B$3,11,16),DATE($B$3,11,16),1,'Non-working days'!$A$6:$A$45)=0),"",IF(COUNTIFS('Leave log'!$A$7:$A$306,Employees!$A$6,'Leave log'!$B$7:$B$306,"&lt;="&amp;DATE($B$3,11,16),'Leave log'!$C$7:$C$306,"&gt;="&amp;DATE($B$3,11,16),'Leave log'!$F$7:$F$306,"Approved")&gt;0,"A",""))="A","A",IF(OR(DATE($B$3,11,16)&gt;EOMONTH(DATE($B$3,11,1),0),NETWORKDAYS.INTL(DATE($B$3,11,16),DATE($B$3,11,16),1,'Non-working days'!$A$6:$A$45)=0),"",IF(COUNTIFS('Leave log'!$A$7:$A$306,Employees!$A$6,'Leave log'!$B$7:$B$306,"&lt;="&amp;DATE($B$3,11,16),'Leave log'!$C$7:$C$306,"&gt;="&amp;DATE($B$3,11,16),'Leave log'!$F$7:$F$306,"Pending")&gt;0,"P",""))))</f>
        <v/>
      </c>
      <c r="R347" s="23" t="str">
        <f>IF(A347="","",IF(IF(OR(DATE($B$3,11,17)&gt;EOMONTH(DATE($B$3,11,1),0),NETWORKDAYS.INTL(DATE($B$3,11,17),DATE($B$3,11,17),1,'Non-working days'!$A$6:$A$45)=0),"",IF(COUNTIFS('Leave log'!$A$7:$A$306,Employees!$A$6,'Leave log'!$B$7:$B$306,"&lt;="&amp;DATE($B$3,11,17),'Leave log'!$C$7:$C$306,"&gt;="&amp;DATE($B$3,11,17),'Leave log'!$F$7:$F$306,"Approved")&gt;0,"A",""))="A","A",IF(OR(DATE($B$3,11,17)&gt;EOMONTH(DATE($B$3,11,1),0),NETWORKDAYS.INTL(DATE($B$3,11,17),DATE($B$3,11,17),1,'Non-working days'!$A$6:$A$45)=0),"",IF(COUNTIFS('Leave log'!$A$7:$A$306,Employees!$A$6,'Leave log'!$B$7:$B$306,"&lt;="&amp;DATE($B$3,11,17),'Leave log'!$C$7:$C$306,"&gt;="&amp;DATE($B$3,11,17),'Leave log'!$F$7:$F$306,"Pending")&gt;0,"P",""))))</f>
        <v/>
      </c>
      <c r="S347" s="23" t="str">
        <f>IF(A347="","",IF(IF(OR(DATE($B$3,11,18)&gt;EOMONTH(DATE($B$3,11,1),0),NETWORKDAYS.INTL(DATE($B$3,11,18),DATE($B$3,11,18),1,'Non-working days'!$A$6:$A$45)=0),"",IF(COUNTIFS('Leave log'!$A$7:$A$306,Employees!$A$6,'Leave log'!$B$7:$B$306,"&lt;="&amp;DATE($B$3,11,18),'Leave log'!$C$7:$C$306,"&gt;="&amp;DATE($B$3,11,18),'Leave log'!$F$7:$F$306,"Approved")&gt;0,"A",""))="A","A",IF(OR(DATE($B$3,11,18)&gt;EOMONTH(DATE($B$3,11,1),0),NETWORKDAYS.INTL(DATE($B$3,11,18),DATE($B$3,11,18),1,'Non-working days'!$A$6:$A$45)=0),"",IF(COUNTIFS('Leave log'!$A$7:$A$306,Employees!$A$6,'Leave log'!$B$7:$B$306,"&lt;="&amp;DATE($B$3,11,18),'Leave log'!$C$7:$C$306,"&gt;="&amp;DATE($B$3,11,18),'Leave log'!$F$7:$F$306,"Pending")&gt;0,"P",""))))</f>
        <v/>
      </c>
      <c r="T347" s="23" t="str">
        <f>IF(A347="","",IF(IF(OR(DATE($B$3,11,19)&gt;EOMONTH(DATE($B$3,11,1),0),NETWORKDAYS.INTL(DATE($B$3,11,19),DATE($B$3,11,19),1,'Non-working days'!$A$6:$A$45)=0),"",IF(COUNTIFS('Leave log'!$A$7:$A$306,Employees!$A$6,'Leave log'!$B$7:$B$306,"&lt;="&amp;DATE($B$3,11,19),'Leave log'!$C$7:$C$306,"&gt;="&amp;DATE($B$3,11,19),'Leave log'!$F$7:$F$306,"Approved")&gt;0,"A",""))="A","A",IF(OR(DATE($B$3,11,19)&gt;EOMONTH(DATE($B$3,11,1),0),NETWORKDAYS.INTL(DATE($B$3,11,19),DATE($B$3,11,19),1,'Non-working days'!$A$6:$A$45)=0),"",IF(COUNTIFS('Leave log'!$A$7:$A$306,Employees!$A$6,'Leave log'!$B$7:$B$306,"&lt;="&amp;DATE($B$3,11,19),'Leave log'!$C$7:$C$306,"&gt;="&amp;DATE($B$3,11,19),'Leave log'!$F$7:$F$306,"Pending")&gt;0,"P",""))))</f>
        <v/>
      </c>
      <c r="U347" s="23" t="str">
        <f>IF(A347="","",IF(IF(OR(DATE($B$3,11,20)&gt;EOMONTH(DATE($B$3,11,1),0),NETWORKDAYS.INTL(DATE($B$3,11,20),DATE($B$3,11,20),1,'Non-working days'!$A$6:$A$45)=0),"",IF(COUNTIFS('Leave log'!$A$7:$A$306,Employees!$A$6,'Leave log'!$B$7:$B$306,"&lt;="&amp;DATE($B$3,11,20),'Leave log'!$C$7:$C$306,"&gt;="&amp;DATE($B$3,11,20),'Leave log'!$F$7:$F$306,"Approved")&gt;0,"A",""))="A","A",IF(OR(DATE($B$3,11,20)&gt;EOMONTH(DATE($B$3,11,1),0),NETWORKDAYS.INTL(DATE($B$3,11,20),DATE($B$3,11,20),1,'Non-working days'!$A$6:$A$45)=0),"",IF(COUNTIFS('Leave log'!$A$7:$A$306,Employees!$A$6,'Leave log'!$B$7:$B$306,"&lt;="&amp;DATE($B$3,11,20),'Leave log'!$C$7:$C$306,"&gt;="&amp;DATE($B$3,11,20),'Leave log'!$F$7:$F$306,"Pending")&gt;0,"P",""))))</f>
        <v/>
      </c>
      <c r="V347" s="23" t="str">
        <f>IF(A347="","",IF(IF(OR(DATE($B$3,11,21)&gt;EOMONTH(DATE($B$3,11,1),0),NETWORKDAYS.INTL(DATE($B$3,11,21),DATE($B$3,11,21),1,'Non-working days'!$A$6:$A$45)=0),"",IF(COUNTIFS('Leave log'!$A$7:$A$306,Employees!$A$6,'Leave log'!$B$7:$B$306,"&lt;="&amp;DATE($B$3,11,21),'Leave log'!$C$7:$C$306,"&gt;="&amp;DATE($B$3,11,21),'Leave log'!$F$7:$F$306,"Approved")&gt;0,"A",""))="A","A",IF(OR(DATE($B$3,11,21)&gt;EOMONTH(DATE($B$3,11,1),0),NETWORKDAYS.INTL(DATE($B$3,11,21),DATE($B$3,11,21),1,'Non-working days'!$A$6:$A$45)=0),"",IF(COUNTIFS('Leave log'!$A$7:$A$306,Employees!$A$6,'Leave log'!$B$7:$B$306,"&lt;="&amp;DATE($B$3,11,21),'Leave log'!$C$7:$C$306,"&gt;="&amp;DATE($B$3,11,21),'Leave log'!$F$7:$F$306,"Pending")&gt;0,"P",""))))</f>
        <v/>
      </c>
      <c r="W347" s="23" t="str">
        <f>IF(A347="","",IF(IF(OR(DATE($B$3,11,22)&gt;EOMONTH(DATE($B$3,11,1),0),NETWORKDAYS.INTL(DATE($B$3,11,22),DATE($B$3,11,22),1,'Non-working days'!$A$6:$A$45)=0),"",IF(COUNTIFS('Leave log'!$A$7:$A$306,Employees!$A$6,'Leave log'!$B$7:$B$306,"&lt;="&amp;DATE($B$3,11,22),'Leave log'!$C$7:$C$306,"&gt;="&amp;DATE($B$3,11,22),'Leave log'!$F$7:$F$306,"Approved")&gt;0,"A",""))="A","A",IF(OR(DATE($B$3,11,22)&gt;EOMONTH(DATE($B$3,11,1),0),NETWORKDAYS.INTL(DATE($B$3,11,22),DATE($B$3,11,22),1,'Non-working days'!$A$6:$A$45)=0),"",IF(COUNTIFS('Leave log'!$A$7:$A$306,Employees!$A$6,'Leave log'!$B$7:$B$306,"&lt;="&amp;DATE($B$3,11,22),'Leave log'!$C$7:$C$306,"&gt;="&amp;DATE($B$3,11,22),'Leave log'!$F$7:$F$306,"Pending")&gt;0,"P",""))))</f>
        <v/>
      </c>
      <c r="X347" s="23" t="str">
        <f>IF(A347="","",IF(IF(OR(DATE($B$3,11,23)&gt;EOMONTH(DATE($B$3,11,1),0),NETWORKDAYS.INTL(DATE($B$3,11,23),DATE($B$3,11,23),1,'Non-working days'!$A$6:$A$45)=0),"",IF(COUNTIFS('Leave log'!$A$7:$A$306,Employees!$A$6,'Leave log'!$B$7:$B$306,"&lt;="&amp;DATE($B$3,11,23),'Leave log'!$C$7:$C$306,"&gt;="&amp;DATE($B$3,11,23),'Leave log'!$F$7:$F$306,"Approved")&gt;0,"A",""))="A","A",IF(OR(DATE($B$3,11,23)&gt;EOMONTH(DATE($B$3,11,1),0),NETWORKDAYS.INTL(DATE($B$3,11,23),DATE($B$3,11,23),1,'Non-working days'!$A$6:$A$45)=0),"",IF(COUNTIFS('Leave log'!$A$7:$A$306,Employees!$A$6,'Leave log'!$B$7:$B$306,"&lt;="&amp;DATE($B$3,11,23),'Leave log'!$C$7:$C$306,"&gt;="&amp;DATE($B$3,11,23),'Leave log'!$F$7:$F$306,"Pending")&gt;0,"P",""))))</f>
        <v/>
      </c>
      <c r="Y347" s="23" t="str">
        <f>IF(A347="","",IF(IF(OR(DATE($B$3,11,24)&gt;EOMONTH(DATE($B$3,11,1),0),NETWORKDAYS.INTL(DATE($B$3,11,24),DATE($B$3,11,24),1,'Non-working days'!$A$6:$A$45)=0),"",IF(COUNTIFS('Leave log'!$A$7:$A$306,Employees!$A$6,'Leave log'!$B$7:$B$306,"&lt;="&amp;DATE($B$3,11,24),'Leave log'!$C$7:$C$306,"&gt;="&amp;DATE($B$3,11,24),'Leave log'!$F$7:$F$306,"Approved")&gt;0,"A",""))="A","A",IF(OR(DATE($B$3,11,24)&gt;EOMONTH(DATE($B$3,11,1),0),NETWORKDAYS.INTL(DATE($B$3,11,24),DATE($B$3,11,24),1,'Non-working days'!$A$6:$A$45)=0),"",IF(COUNTIFS('Leave log'!$A$7:$A$306,Employees!$A$6,'Leave log'!$B$7:$B$306,"&lt;="&amp;DATE($B$3,11,24),'Leave log'!$C$7:$C$306,"&gt;="&amp;DATE($B$3,11,24),'Leave log'!$F$7:$F$306,"Pending")&gt;0,"P",""))))</f>
        <v/>
      </c>
      <c r="Z347" s="23" t="str">
        <f>IF(A347="","",IF(IF(OR(DATE($B$3,11,25)&gt;EOMONTH(DATE($B$3,11,1),0),NETWORKDAYS.INTL(DATE($B$3,11,25),DATE($B$3,11,25),1,'Non-working days'!$A$6:$A$45)=0),"",IF(COUNTIFS('Leave log'!$A$7:$A$306,Employees!$A$6,'Leave log'!$B$7:$B$306,"&lt;="&amp;DATE($B$3,11,25),'Leave log'!$C$7:$C$306,"&gt;="&amp;DATE($B$3,11,25),'Leave log'!$F$7:$F$306,"Approved")&gt;0,"A",""))="A","A",IF(OR(DATE($B$3,11,25)&gt;EOMONTH(DATE($B$3,11,1),0),NETWORKDAYS.INTL(DATE($B$3,11,25),DATE($B$3,11,25),1,'Non-working days'!$A$6:$A$45)=0),"",IF(COUNTIFS('Leave log'!$A$7:$A$306,Employees!$A$6,'Leave log'!$B$7:$B$306,"&lt;="&amp;DATE($B$3,11,25),'Leave log'!$C$7:$C$306,"&gt;="&amp;DATE($B$3,11,25),'Leave log'!$F$7:$F$306,"Pending")&gt;0,"P",""))))</f>
        <v/>
      </c>
      <c r="AA347" s="23" t="str">
        <f>IF(A347="","",IF(IF(OR(DATE($B$3,11,26)&gt;EOMONTH(DATE($B$3,11,1),0),NETWORKDAYS.INTL(DATE($B$3,11,26),DATE($B$3,11,26),1,'Non-working days'!$A$6:$A$45)=0),"",IF(COUNTIFS('Leave log'!$A$7:$A$306,Employees!$A$6,'Leave log'!$B$7:$B$306,"&lt;="&amp;DATE($B$3,11,26),'Leave log'!$C$7:$C$306,"&gt;="&amp;DATE($B$3,11,26),'Leave log'!$F$7:$F$306,"Approved")&gt;0,"A",""))="A","A",IF(OR(DATE($B$3,11,26)&gt;EOMONTH(DATE($B$3,11,1),0),NETWORKDAYS.INTL(DATE($B$3,11,26),DATE($B$3,11,26),1,'Non-working days'!$A$6:$A$45)=0),"",IF(COUNTIFS('Leave log'!$A$7:$A$306,Employees!$A$6,'Leave log'!$B$7:$B$306,"&lt;="&amp;DATE($B$3,11,26),'Leave log'!$C$7:$C$306,"&gt;="&amp;DATE($B$3,11,26),'Leave log'!$F$7:$F$306,"Pending")&gt;0,"P",""))))</f>
        <v/>
      </c>
      <c r="AB347" s="23" t="str">
        <f>IF(A347="","",IF(IF(OR(DATE($B$3,11,27)&gt;EOMONTH(DATE($B$3,11,1),0),NETWORKDAYS.INTL(DATE($B$3,11,27),DATE($B$3,11,27),1,'Non-working days'!$A$6:$A$45)=0),"",IF(COUNTIFS('Leave log'!$A$7:$A$306,Employees!$A$6,'Leave log'!$B$7:$B$306,"&lt;="&amp;DATE($B$3,11,27),'Leave log'!$C$7:$C$306,"&gt;="&amp;DATE($B$3,11,27),'Leave log'!$F$7:$F$306,"Approved")&gt;0,"A",""))="A","A",IF(OR(DATE($B$3,11,27)&gt;EOMONTH(DATE($B$3,11,1),0),NETWORKDAYS.INTL(DATE($B$3,11,27),DATE($B$3,11,27),1,'Non-working days'!$A$6:$A$45)=0),"",IF(COUNTIFS('Leave log'!$A$7:$A$306,Employees!$A$6,'Leave log'!$B$7:$B$306,"&lt;="&amp;DATE($B$3,11,27),'Leave log'!$C$7:$C$306,"&gt;="&amp;DATE($B$3,11,27),'Leave log'!$F$7:$F$306,"Pending")&gt;0,"P",""))))</f>
        <v/>
      </c>
      <c r="AC347" s="23" t="str">
        <f>IF(A347="","",IF(IF(OR(DATE($B$3,11,28)&gt;EOMONTH(DATE($B$3,11,1),0),NETWORKDAYS.INTL(DATE($B$3,11,28),DATE($B$3,11,28),1,'Non-working days'!$A$6:$A$45)=0),"",IF(COUNTIFS('Leave log'!$A$7:$A$306,Employees!$A$6,'Leave log'!$B$7:$B$306,"&lt;="&amp;DATE($B$3,11,28),'Leave log'!$C$7:$C$306,"&gt;="&amp;DATE($B$3,11,28),'Leave log'!$F$7:$F$306,"Approved")&gt;0,"A",""))="A","A",IF(OR(DATE($B$3,11,28)&gt;EOMONTH(DATE($B$3,11,1),0),NETWORKDAYS.INTL(DATE($B$3,11,28),DATE($B$3,11,28),1,'Non-working days'!$A$6:$A$45)=0),"",IF(COUNTIFS('Leave log'!$A$7:$A$306,Employees!$A$6,'Leave log'!$B$7:$B$306,"&lt;="&amp;DATE($B$3,11,28),'Leave log'!$C$7:$C$306,"&gt;="&amp;DATE($B$3,11,28),'Leave log'!$F$7:$F$306,"Pending")&gt;0,"P",""))))</f>
        <v/>
      </c>
      <c r="AD347" s="23" t="str">
        <f>IF(A347="","",IF(IF(OR(DATE($B$3,11,29)&gt;EOMONTH(DATE($B$3,11,1),0),NETWORKDAYS.INTL(DATE($B$3,11,29),DATE($B$3,11,29),1,'Non-working days'!$A$6:$A$45)=0),"",IF(COUNTIFS('Leave log'!$A$7:$A$306,Employees!$A$6,'Leave log'!$B$7:$B$306,"&lt;="&amp;DATE($B$3,11,29),'Leave log'!$C$7:$C$306,"&gt;="&amp;DATE($B$3,11,29),'Leave log'!$F$7:$F$306,"Approved")&gt;0,"A",""))="A","A",IF(OR(DATE($B$3,11,29)&gt;EOMONTH(DATE($B$3,11,1),0),NETWORKDAYS.INTL(DATE($B$3,11,29),DATE($B$3,11,29),1,'Non-working days'!$A$6:$A$45)=0),"",IF(COUNTIFS('Leave log'!$A$7:$A$306,Employees!$A$6,'Leave log'!$B$7:$B$306,"&lt;="&amp;DATE($B$3,11,29),'Leave log'!$C$7:$C$306,"&gt;="&amp;DATE($B$3,11,29),'Leave log'!$F$7:$F$306,"Pending")&gt;0,"P",""))))</f>
        <v/>
      </c>
      <c r="AE347" s="23" t="str">
        <f>IF(A347="","",IF(IF(OR(DATE($B$3,11,30)&gt;EOMONTH(DATE($B$3,11,1),0),NETWORKDAYS.INTL(DATE($B$3,11,30),DATE($B$3,11,30),1,'Non-working days'!$A$6:$A$45)=0),"",IF(COUNTIFS('Leave log'!$A$7:$A$306,Employees!$A$6,'Leave log'!$B$7:$B$306,"&lt;="&amp;DATE($B$3,11,30),'Leave log'!$C$7:$C$306,"&gt;="&amp;DATE($B$3,11,30),'Leave log'!$F$7:$F$306,"Approved")&gt;0,"A",""))="A","A",IF(OR(DATE($B$3,11,30)&gt;EOMONTH(DATE($B$3,11,1),0),NETWORKDAYS.INTL(DATE($B$3,11,30),DATE($B$3,11,30),1,'Non-working days'!$A$6:$A$45)=0),"",IF(COUNTIFS('Leave log'!$A$7:$A$306,Employees!$A$6,'Leave log'!$B$7:$B$306,"&lt;="&amp;DATE($B$3,11,30),'Leave log'!$C$7:$C$306,"&gt;="&amp;DATE($B$3,11,30),'Leave log'!$F$7:$F$306,"Pending")&gt;0,"P",""))))</f>
        <v/>
      </c>
      <c r="AF347" s="23" t="str">
        <f>IF(A347="","",IF(IF(OR(DATE($B$3,11,31)&gt;EOMONTH(DATE($B$3,11,1),0),NETWORKDAYS.INTL(DATE($B$3,11,31),DATE($B$3,11,31),1,'Non-working days'!$A$6:$A$45)=0),"",IF(COUNTIFS('Leave log'!$A$7:$A$306,Employees!$A$6,'Leave log'!$B$7:$B$306,"&lt;="&amp;DATE($B$3,11,31),'Leave log'!$C$7:$C$306,"&gt;="&amp;DATE($B$3,11,31),'Leave log'!$F$7:$F$306,"Approved")&gt;0,"A",""))="A","A",IF(OR(DATE($B$3,11,31)&gt;EOMONTH(DATE($B$3,11,1),0),NETWORKDAYS.INTL(DATE($B$3,11,31),DATE($B$3,11,31),1,'Non-working days'!$A$6:$A$45)=0),"",IF(COUNTIFS('Leave log'!$A$7:$A$306,Employees!$A$6,'Leave log'!$B$7:$B$306,"&lt;="&amp;DATE($B$3,11,31),'Leave log'!$C$7:$C$306,"&gt;="&amp;DATE($B$3,11,31),'Leave log'!$F$7:$F$306,"Pending")&gt;0,"P",""))))</f>
        <v/>
      </c>
    </row>
    <row r="348" spans="1:32" ht="18" customHeight="1" x14ac:dyDescent="0.3">
      <c r="A348" s="22" t="str">
        <f>IF(Employees!F7="Yes",Employees!B7,"")</f>
        <v/>
      </c>
      <c r="B348" s="23" t="str">
        <f>IF(A348="","",IF(IF(OR(DATE($B$3,11,1)&gt;EOMONTH(DATE($B$3,11,1),0),NETWORKDAYS.INTL(DATE($B$3,11,1),DATE($B$3,11,1),1,'Non-working days'!$A$6:$A$45)=0),"",IF(COUNTIFS('Leave log'!$A$7:$A$306,Employees!$A$7,'Leave log'!$B$7:$B$306,"&lt;="&amp;DATE($B$3,11,1),'Leave log'!$C$7:$C$306,"&gt;="&amp;DATE($B$3,11,1),'Leave log'!$F$7:$F$306,"Approved")&gt;0,"A",""))="A","A",IF(OR(DATE($B$3,11,1)&gt;EOMONTH(DATE($B$3,11,1),0),NETWORKDAYS.INTL(DATE($B$3,11,1),DATE($B$3,11,1),1,'Non-working days'!$A$6:$A$45)=0),"",IF(COUNTIFS('Leave log'!$A$7:$A$306,Employees!$A$7,'Leave log'!$B$7:$B$306,"&lt;="&amp;DATE($B$3,11,1),'Leave log'!$C$7:$C$306,"&gt;="&amp;DATE($B$3,11,1),'Leave log'!$F$7:$F$306,"Pending")&gt;0,"P",""))))</f>
        <v/>
      </c>
      <c r="C348" s="23" t="str">
        <f>IF(A348="","",IF(IF(OR(DATE($B$3,11,2)&gt;EOMONTH(DATE($B$3,11,1),0),NETWORKDAYS.INTL(DATE($B$3,11,2),DATE($B$3,11,2),1,'Non-working days'!$A$6:$A$45)=0),"",IF(COUNTIFS('Leave log'!$A$7:$A$306,Employees!$A$7,'Leave log'!$B$7:$B$306,"&lt;="&amp;DATE($B$3,11,2),'Leave log'!$C$7:$C$306,"&gt;="&amp;DATE($B$3,11,2),'Leave log'!$F$7:$F$306,"Approved")&gt;0,"A",""))="A","A",IF(OR(DATE($B$3,11,2)&gt;EOMONTH(DATE($B$3,11,1),0),NETWORKDAYS.INTL(DATE($B$3,11,2),DATE($B$3,11,2),1,'Non-working days'!$A$6:$A$45)=0),"",IF(COUNTIFS('Leave log'!$A$7:$A$306,Employees!$A$7,'Leave log'!$B$7:$B$306,"&lt;="&amp;DATE($B$3,11,2),'Leave log'!$C$7:$C$306,"&gt;="&amp;DATE($B$3,11,2),'Leave log'!$F$7:$F$306,"Pending")&gt;0,"P",""))))</f>
        <v/>
      </c>
      <c r="D348" s="23" t="str">
        <f>IF(A348="","",IF(IF(OR(DATE($B$3,11,3)&gt;EOMONTH(DATE($B$3,11,1),0),NETWORKDAYS.INTL(DATE($B$3,11,3),DATE($B$3,11,3),1,'Non-working days'!$A$6:$A$45)=0),"",IF(COUNTIFS('Leave log'!$A$7:$A$306,Employees!$A$7,'Leave log'!$B$7:$B$306,"&lt;="&amp;DATE($B$3,11,3),'Leave log'!$C$7:$C$306,"&gt;="&amp;DATE($B$3,11,3),'Leave log'!$F$7:$F$306,"Approved")&gt;0,"A",""))="A","A",IF(OR(DATE($B$3,11,3)&gt;EOMONTH(DATE($B$3,11,1),0),NETWORKDAYS.INTL(DATE($B$3,11,3),DATE($B$3,11,3),1,'Non-working days'!$A$6:$A$45)=0),"",IF(COUNTIFS('Leave log'!$A$7:$A$306,Employees!$A$7,'Leave log'!$B$7:$B$306,"&lt;="&amp;DATE($B$3,11,3),'Leave log'!$C$7:$C$306,"&gt;="&amp;DATE($B$3,11,3),'Leave log'!$F$7:$F$306,"Pending")&gt;0,"P",""))))</f>
        <v/>
      </c>
      <c r="E348" s="23" t="str">
        <f>IF(A348="","",IF(IF(OR(DATE($B$3,11,4)&gt;EOMONTH(DATE($B$3,11,1),0),NETWORKDAYS.INTL(DATE($B$3,11,4),DATE($B$3,11,4),1,'Non-working days'!$A$6:$A$45)=0),"",IF(COUNTIFS('Leave log'!$A$7:$A$306,Employees!$A$7,'Leave log'!$B$7:$B$306,"&lt;="&amp;DATE($B$3,11,4),'Leave log'!$C$7:$C$306,"&gt;="&amp;DATE($B$3,11,4),'Leave log'!$F$7:$F$306,"Approved")&gt;0,"A",""))="A","A",IF(OR(DATE($B$3,11,4)&gt;EOMONTH(DATE($B$3,11,1),0),NETWORKDAYS.INTL(DATE($B$3,11,4),DATE($B$3,11,4),1,'Non-working days'!$A$6:$A$45)=0),"",IF(COUNTIFS('Leave log'!$A$7:$A$306,Employees!$A$7,'Leave log'!$B$7:$B$306,"&lt;="&amp;DATE($B$3,11,4),'Leave log'!$C$7:$C$306,"&gt;="&amp;DATE($B$3,11,4),'Leave log'!$F$7:$F$306,"Pending")&gt;0,"P",""))))</f>
        <v/>
      </c>
      <c r="F348" s="23" t="str">
        <f>IF(A348="","",IF(IF(OR(DATE($B$3,11,5)&gt;EOMONTH(DATE($B$3,11,1),0),NETWORKDAYS.INTL(DATE($B$3,11,5),DATE($B$3,11,5),1,'Non-working days'!$A$6:$A$45)=0),"",IF(COUNTIFS('Leave log'!$A$7:$A$306,Employees!$A$7,'Leave log'!$B$7:$B$306,"&lt;="&amp;DATE($B$3,11,5),'Leave log'!$C$7:$C$306,"&gt;="&amp;DATE($B$3,11,5),'Leave log'!$F$7:$F$306,"Approved")&gt;0,"A",""))="A","A",IF(OR(DATE($B$3,11,5)&gt;EOMONTH(DATE($B$3,11,1),0),NETWORKDAYS.INTL(DATE($B$3,11,5),DATE($B$3,11,5),1,'Non-working days'!$A$6:$A$45)=0),"",IF(COUNTIFS('Leave log'!$A$7:$A$306,Employees!$A$7,'Leave log'!$B$7:$B$306,"&lt;="&amp;DATE($B$3,11,5),'Leave log'!$C$7:$C$306,"&gt;="&amp;DATE($B$3,11,5),'Leave log'!$F$7:$F$306,"Pending")&gt;0,"P",""))))</f>
        <v/>
      </c>
      <c r="G348" s="23" t="str">
        <f>IF(A348="","",IF(IF(OR(DATE($B$3,11,6)&gt;EOMONTH(DATE($B$3,11,1),0),NETWORKDAYS.INTL(DATE($B$3,11,6),DATE($B$3,11,6),1,'Non-working days'!$A$6:$A$45)=0),"",IF(COUNTIFS('Leave log'!$A$7:$A$306,Employees!$A$7,'Leave log'!$B$7:$B$306,"&lt;="&amp;DATE($B$3,11,6),'Leave log'!$C$7:$C$306,"&gt;="&amp;DATE($B$3,11,6),'Leave log'!$F$7:$F$306,"Approved")&gt;0,"A",""))="A","A",IF(OR(DATE($B$3,11,6)&gt;EOMONTH(DATE($B$3,11,1),0),NETWORKDAYS.INTL(DATE($B$3,11,6),DATE($B$3,11,6),1,'Non-working days'!$A$6:$A$45)=0),"",IF(COUNTIFS('Leave log'!$A$7:$A$306,Employees!$A$7,'Leave log'!$B$7:$B$306,"&lt;="&amp;DATE($B$3,11,6),'Leave log'!$C$7:$C$306,"&gt;="&amp;DATE($B$3,11,6),'Leave log'!$F$7:$F$306,"Pending")&gt;0,"P",""))))</f>
        <v/>
      </c>
      <c r="H348" s="23" t="str">
        <f>IF(A348="","",IF(IF(OR(DATE($B$3,11,7)&gt;EOMONTH(DATE($B$3,11,1),0),NETWORKDAYS.INTL(DATE($B$3,11,7),DATE($B$3,11,7),1,'Non-working days'!$A$6:$A$45)=0),"",IF(COUNTIFS('Leave log'!$A$7:$A$306,Employees!$A$7,'Leave log'!$B$7:$B$306,"&lt;="&amp;DATE($B$3,11,7),'Leave log'!$C$7:$C$306,"&gt;="&amp;DATE($B$3,11,7),'Leave log'!$F$7:$F$306,"Approved")&gt;0,"A",""))="A","A",IF(OR(DATE($B$3,11,7)&gt;EOMONTH(DATE($B$3,11,1),0),NETWORKDAYS.INTL(DATE($B$3,11,7),DATE($B$3,11,7),1,'Non-working days'!$A$6:$A$45)=0),"",IF(COUNTIFS('Leave log'!$A$7:$A$306,Employees!$A$7,'Leave log'!$B$7:$B$306,"&lt;="&amp;DATE($B$3,11,7),'Leave log'!$C$7:$C$306,"&gt;="&amp;DATE($B$3,11,7),'Leave log'!$F$7:$F$306,"Pending")&gt;0,"P",""))))</f>
        <v/>
      </c>
      <c r="I348" s="23" t="str">
        <f>IF(A348="","",IF(IF(OR(DATE($B$3,11,8)&gt;EOMONTH(DATE($B$3,11,1),0),NETWORKDAYS.INTL(DATE($B$3,11,8),DATE($B$3,11,8),1,'Non-working days'!$A$6:$A$45)=0),"",IF(COUNTIFS('Leave log'!$A$7:$A$306,Employees!$A$7,'Leave log'!$B$7:$B$306,"&lt;="&amp;DATE($B$3,11,8),'Leave log'!$C$7:$C$306,"&gt;="&amp;DATE($B$3,11,8),'Leave log'!$F$7:$F$306,"Approved")&gt;0,"A",""))="A","A",IF(OR(DATE($B$3,11,8)&gt;EOMONTH(DATE($B$3,11,1),0),NETWORKDAYS.INTL(DATE($B$3,11,8),DATE($B$3,11,8),1,'Non-working days'!$A$6:$A$45)=0),"",IF(COUNTIFS('Leave log'!$A$7:$A$306,Employees!$A$7,'Leave log'!$B$7:$B$306,"&lt;="&amp;DATE($B$3,11,8),'Leave log'!$C$7:$C$306,"&gt;="&amp;DATE($B$3,11,8),'Leave log'!$F$7:$F$306,"Pending")&gt;0,"P",""))))</f>
        <v/>
      </c>
      <c r="J348" s="23" t="str">
        <f>IF(A348="","",IF(IF(OR(DATE($B$3,11,9)&gt;EOMONTH(DATE($B$3,11,1),0),NETWORKDAYS.INTL(DATE($B$3,11,9),DATE($B$3,11,9),1,'Non-working days'!$A$6:$A$45)=0),"",IF(COUNTIFS('Leave log'!$A$7:$A$306,Employees!$A$7,'Leave log'!$B$7:$B$306,"&lt;="&amp;DATE($B$3,11,9),'Leave log'!$C$7:$C$306,"&gt;="&amp;DATE($B$3,11,9),'Leave log'!$F$7:$F$306,"Approved")&gt;0,"A",""))="A","A",IF(OR(DATE($B$3,11,9)&gt;EOMONTH(DATE($B$3,11,1),0),NETWORKDAYS.INTL(DATE($B$3,11,9),DATE($B$3,11,9),1,'Non-working days'!$A$6:$A$45)=0),"",IF(COUNTIFS('Leave log'!$A$7:$A$306,Employees!$A$7,'Leave log'!$B$7:$B$306,"&lt;="&amp;DATE($B$3,11,9),'Leave log'!$C$7:$C$306,"&gt;="&amp;DATE($B$3,11,9),'Leave log'!$F$7:$F$306,"Pending")&gt;0,"P",""))))</f>
        <v/>
      </c>
      <c r="K348" s="23" t="str">
        <f>IF(A348="","",IF(IF(OR(DATE($B$3,11,10)&gt;EOMONTH(DATE($B$3,11,1),0),NETWORKDAYS.INTL(DATE($B$3,11,10),DATE($B$3,11,10),1,'Non-working days'!$A$6:$A$45)=0),"",IF(COUNTIFS('Leave log'!$A$7:$A$306,Employees!$A$7,'Leave log'!$B$7:$B$306,"&lt;="&amp;DATE($B$3,11,10),'Leave log'!$C$7:$C$306,"&gt;="&amp;DATE($B$3,11,10),'Leave log'!$F$7:$F$306,"Approved")&gt;0,"A",""))="A","A",IF(OR(DATE($B$3,11,10)&gt;EOMONTH(DATE($B$3,11,1),0),NETWORKDAYS.INTL(DATE($B$3,11,10),DATE($B$3,11,10),1,'Non-working days'!$A$6:$A$45)=0),"",IF(COUNTIFS('Leave log'!$A$7:$A$306,Employees!$A$7,'Leave log'!$B$7:$B$306,"&lt;="&amp;DATE($B$3,11,10),'Leave log'!$C$7:$C$306,"&gt;="&amp;DATE($B$3,11,10),'Leave log'!$F$7:$F$306,"Pending")&gt;0,"P",""))))</f>
        <v/>
      </c>
      <c r="L348" s="23" t="str">
        <f>IF(A348="","",IF(IF(OR(DATE($B$3,11,11)&gt;EOMONTH(DATE($B$3,11,1),0),NETWORKDAYS.INTL(DATE($B$3,11,11),DATE($B$3,11,11),1,'Non-working days'!$A$6:$A$45)=0),"",IF(COUNTIFS('Leave log'!$A$7:$A$306,Employees!$A$7,'Leave log'!$B$7:$B$306,"&lt;="&amp;DATE($B$3,11,11),'Leave log'!$C$7:$C$306,"&gt;="&amp;DATE($B$3,11,11),'Leave log'!$F$7:$F$306,"Approved")&gt;0,"A",""))="A","A",IF(OR(DATE($B$3,11,11)&gt;EOMONTH(DATE($B$3,11,1),0),NETWORKDAYS.INTL(DATE($B$3,11,11),DATE($B$3,11,11),1,'Non-working days'!$A$6:$A$45)=0),"",IF(COUNTIFS('Leave log'!$A$7:$A$306,Employees!$A$7,'Leave log'!$B$7:$B$306,"&lt;="&amp;DATE($B$3,11,11),'Leave log'!$C$7:$C$306,"&gt;="&amp;DATE($B$3,11,11),'Leave log'!$F$7:$F$306,"Pending")&gt;0,"P",""))))</f>
        <v/>
      </c>
      <c r="M348" s="23" t="str">
        <f>IF(A348="","",IF(IF(OR(DATE($B$3,11,12)&gt;EOMONTH(DATE($B$3,11,1),0),NETWORKDAYS.INTL(DATE($B$3,11,12),DATE($B$3,11,12),1,'Non-working days'!$A$6:$A$45)=0),"",IF(COUNTIFS('Leave log'!$A$7:$A$306,Employees!$A$7,'Leave log'!$B$7:$B$306,"&lt;="&amp;DATE($B$3,11,12),'Leave log'!$C$7:$C$306,"&gt;="&amp;DATE($B$3,11,12),'Leave log'!$F$7:$F$306,"Approved")&gt;0,"A",""))="A","A",IF(OR(DATE($B$3,11,12)&gt;EOMONTH(DATE($B$3,11,1),0),NETWORKDAYS.INTL(DATE($B$3,11,12),DATE($B$3,11,12),1,'Non-working days'!$A$6:$A$45)=0),"",IF(COUNTIFS('Leave log'!$A$7:$A$306,Employees!$A$7,'Leave log'!$B$7:$B$306,"&lt;="&amp;DATE($B$3,11,12),'Leave log'!$C$7:$C$306,"&gt;="&amp;DATE($B$3,11,12),'Leave log'!$F$7:$F$306,"Pending")&gt;0,"P",""))))</f>
        <v/>
      </c>
      <c r="N348" s="23" t="str">
        <f>IF(A348="","",IF(IF(OR(DATE($B$3,11,13)&gt;EOMONTH(DATE($B$3,11,1),0),NETWORKDAYS.INTL(DATE($B$3,11,13),DATE($B$3,11,13),1,'Non-working days'!$A$6:$A$45)=0),"",IF(COUNTIFS('Leave log'!$A$7:$A$306,Employees!$A$7,'Leave log'!$B$7:$B$306,"&lt;="&amp;DATE($B$3,11,13),'Leave log'!$C$7:$C$306,"&gt;="&amp;DATE($B$3,11,13),'Leave log'!$F$7:$F$306,"Approved")&gt;0,"A",""))="A","A",IF(OR(DATE($B$3,11,13)&gt;EOMONTH(DATE($B$3,11,1),0),NETWORKDAYS.INTL(DATE($B$3,11,13),DATE($B$3,11,13),1,'Non-working days'!$A$6:$A$45)=0),"",IF(COUNTIFS('Leave log'!$A$7:$A$306,Employees!$A$7,'Leave log'!$B$7:$B$306,"&lt;="&amp;DATE($B$3,11,13),'Leave log'!$C$7:$C$306,"&gt;="&amp;DATE($B$3,11,13),'Leave log'!$F$7:$F$306,"Pending")&gt;0,"P",""))))</f>
        <v/>
      </c>
      <c r="O348" s="23" t="str">
        <f>IF(A348="","",IF(IF(OR(DATE($B$3,11,14)&gt;EOMONTH(DATE($B$3,11,1),0),NETWORKDAYS.INTL(DATE($B$3,11,14),DATE($B$3,11,14),1,'Non-working days'!$A$6:$A$45)=0),"",IF(COUNTIFS('Leave log'!$A$7:$A$306,Employees!$A$7,'Leave log'!$B$7:$B$306,"&lt;="&amp;DATE($B$3,11,14),'Leave log'!$C$7:$C$306,"&gt;="&amp;DATE($B$3,11,14),'Leave log'!$F$7:$F$306,"Approved")&gt;0,"A",""))="A","A",IF(OR(DATE($B$3,11,14)&gt;EOMONTH(DATE($B$3,11,1),0),NETWORKDAYS.INTL(DATE($B$3,11,14),DATE($B$3,11,14),1,'Non-working days'!$A$6:$A$45)=0),"",IF(COUNTIFS('Leave log'!$A$7:$A$306,Employees!$A$7,'Leave log'!$B$7:$B$306,"&lt;="&amp;DATE($B$3,11,14),'Leave log'!$C$7:$C$306,"&gt;="&amp;DATE($B$3,11,14),'Leave log'!$F$7:$F$306,"Pending")&gt;0,"P",""))))</f>
        <v/>
      </c>
      <c r="P348" s="23" t="str">
        <f>IF(A348="","",IF(IF(OR(DATE($B$3,11,15)&gt;EOMONTH(DATE($B$3,11,1),0),NETWORKDAYS.INTL(DATE($B$3,11,15),DATE($B$3,11,15),1,'Non-working days'!$A$6:$A$45)=0),"",IF(COUNTIFS('Leave log'!$A$7:$A$306,Employees!$A$7,'Leave log'!$B$7:$B$306,"&lt;="&amp;DATE($B$3,11,15),'Leave log'!$C$7:$C$306,"&gt;="&amp;DATE($B$3,11,15),'Leave log'!$F$7:$F$306,"Approved")&gt;0,"A",""))="A","A",IF(OR(DATE($B$3,11,15)&gt;EOMONTH(DATE($B$3,11,1),0),NETWORKDAYS.INTL(DATE($B$3,11,15),DATE($B$3,11,15),1,'Non-working days'!$A$6:$A$45)=0),"",IF(COUNTIFS('Leave log'!$A$7:$A$306,Employees!$A$7,'Leave log'!$B$7:$B$306,"&lt;="&amp;DATE($B$3,11,15),'Leave log'!$C$7:$C$306,"&gt;="&amp;DATE($B$3,11,15),'Leave log'!$F$7:$F$306,"Pending")&gt;0,"P",""))))</f>
        <v/>
      </c>
      <c r="Q348" s="23" t="str">
        <f>IF(A348="","",IF(IF(OR(DATE($B$3,11,16)&gt;EOMONTH(DATE($B$3,11,1),0),NETWORKDAYS.INTL(DATE($B$3,11,16),DATE($B$3,11,16),1,'Non-working days'!$A$6:$A$45)=0),"",IF(COUNTIFS('Leave log'!$A$7:$A$306,Employees!$A$7,'Leave log'!$B$7:$B$306,"&lt;="&amp;DATE($B$3,11,16),'Leave log'!$C$7:$C$306,"&gt;="&amp;DATE($B$3,11,16),'Leave log'!$F$7:$F$306,"Approved")&gt;0,"A",""))="A","A",IF(OR(DATE($B$3,11,16)&gt;EOMONTH(DATE($B$3,11,1),0),NETWORKDAYS.INTL(DATE($B$3,11,16),DATE($B$3,11,16),1,'Non-working days'!$A$6:$A$45)=0),"",IF(COUNTIFS('Leave log'!$A$7:$A$306,Employees!$A$7,'Leave log'!$B$7:$B$306,"&lt;="&amp;DATE($B$3,11,16),'Leave log'!$C$7:$C$306,"&gt;="&amp;DATE($B$3,11,16),'Leave log'!$F$7:$F$306,"Pending")&gt;0,"P",""))))</f>
        <v/>
      </c>
      <c r="R348" s="23" t="str">
        <f>IF(A348="","",IF(IF(OR(DATE($B$3,11,17)&gt;EOMONTH(DATE($B$3,11,1),0),NETWORKDAYS.INTL(DATE($B$3,11,17),DATE($B$3,11,17),1,'Non-working days'!$A$6:$A$45)=0),"",IF(COUNTIFS('Leave log'!$A$7:$A$306,Employees!$A$7,'Leave log'!$B$7:$B$306,"&lt;="&amp;DATE($B$3,11,17),'Leave log'!$C$7:$C$306,"&gt;="&amp;DATE($B$3,11,17),'Leave log'!$F$7:$F$306,"Approved")&gt;0,"A",""))="A","A",IF(OR(DATE($B$3,11,17)&gt;EOMONTH(DATE($B$3,11,1),0),NETWORKDAYS.INTL(DATE($B$3,11,17),DATE($B$3,11,17),1,'Non-working days'!$A$6:$A$45)=0),"",IF(COUNTIFS('Leave log'!$A$7:$A$306,Employees!$A$7,'Leave log'!$B$7:$B$306,"&lt;="&amp;DATE($B$3,11,17),'Leave log'!$C$7:$C$306,"&gt;="&amp;DATE($B$3,11,17),'Leave log'!$F$7:$F$306,"Pending")&gt;0,"P",""))))</f>
        <v/>
      </c>
      <c r="S348" s="23" t="str">
        <f>IF(A348="","",IF(IF(OR(DATE($B$3,11,18)&gt;EOMONTH(DATE($B$3,11,1),0),NETWORKDAYS.INTL(DATE($B$3,11,18),DATE($B$3,11,18),1,'Non-working days'!$A$6:$A$45)=0),"",IF(COUNTIFS('Leave log'!$A$7:$A$306,Employees!$A$7,'Leave log'!$B$7:$B$306,"&lt;="&amp;DATE($B$3,11,18),'Leave log'!$C$7:$C$306,"&gt;="&amp;DATE($B$3,11,18),'Leave log'!$F$7:$F$306,"Approved")&gt;0,"A",""))="A","A",IF(OR(DATE($B$3,11,18)&gt;EOMONTH(DATE($B$3,11,1),0),NETWORKDAYS.INTL(DATE($B$3,11,18),DATE($B$3,11,18),1,'Non-working days'!$A$6:$A$45)=0),"",IF(COUNTIFS('Leave log'!$A$7:$A$306,Employees!$A$7,'Leave log'!$B$7:$B$306,"&lt;="&amp;DATE($B$3,11,18),'Leave log'!$C$7:$C$306,"&gt;="&amp;DATE($B$3,11,18),'Leave log'!$F$7:$F$306,"Pending")&gt;0,"P",""))))</f>
        <v/>
      </c>
      <c r="T348" s="23" t="str">
        <f>IF(A348="","",IF(IF(OR(DATE($B$3,11,19)&gt;EOMONTH(DATE($B$3,11,1),0),NETWORKDAYS.INTL(DATE($B$3,11,19),DATE($B$3,11,19),1,'Non-working days'!$A$6:$A$45)=0),"",IF(COUNTIFS('Leave log'!$A$7:$A$306,Employees!$A$7,'Leave log'!$B$7:$B$306,"&lt;="&amp;DATE($B$3,11,19),'Leave log'!$C$7:$C$306,"&gt;="&amp;DATE($B$3,11,19),'Leave log'!$F$7:$F$306,"Approved")&gt;0,"A",""))="A","A",IF(OR(DATE($B$3,11,19)&gt;EOMONTH(DATE($B$3,11,1),0),NETWORKDAYS.INTL(DATE($B$3,11,19),DATE($B$3,11,19),1,'Non-working days'!$A$6:$A$45)=0),"",IF(COUNTIFS('Leave log'!$A$7:$A$306,Employees!$A$7,'Leave log'!$B$7:$B$306,"&lt;="&amp;DATE($B$3,11,19),'Leave log'!$C$7:$C$306,"&gt;="&amp;DATE($B$3,11,19),'Leave log'!$F$7:$F$306,"Pending")&gt;0,"P",""))))</f>
        <v/>
      </c>
      <c r="U348" s="23" t="str">
        <f>IF(A348="","",IF(IF(OR(DATE($B$3,11,20)&gt;EOMONTH(DATE($B$3,11,1),0),NETWORKDAYS.INTL(DATE($B$3,11,20),DATE($B$3,11,20),1,'Non-working days'!$A$6:$A$45)=0),"",IF(COUNTIFS('Leave log'!$A$7:$A$306,Employees!$A$7,'Leave log'!$B$7:$B$306,"&lt;="&amp;DATE($B$3,11,20),'Leave log'!$C$7:$C$306,"&gt;="&amp;DATE($B$3,11,20),'Leave log'!$F$7:$F$306,"Approved")&gt;0,"A",""))="A","A",IF(OR(DATE($B$3,11,20)&gt;EOMONTH(DATE($B$3,11,1),0),NETWORKDAYS.INTL(DATE($B$3,11,20),DATE($B$3,11,20),1,'Non-working days'!$A$6:$A$45)=0),"",IF(COUNTIFS('Leave log'!$A$7:$A$306,Employees!$A$7,'Leave log'!$B$7:$B$306,"&lt;="&amp;DATE($B$3,11,20),'Leave log'!$C$7:$C$306,"&gt;="&amp;DATE($B$3,11,20),'Leave log'!$F$7:$F$306,"Pending")&gt;0,"P",""))))</f>
        <v/>
      </c>
      <c r="V348" s="23" t="str">
        <f>IF(A348="","",IF(IF(OR(DATE($B$3,11,21)&gt;EOMONTH(DATE($B$3,11,1),0),NETWORKDAYS.INTL(DATE($B$3,11,21),DATE($B$3,11,21),1,'Non-working days'!$A$6:$A$45)=0),"",IF(COUNTIFS('Leave log'!$A$7:$A$306,Employees!$A$7,'Leave log'!$B$7:$B$306,"&lt;="&amp;DATE($B$3,11,21),'Leave log'!$C$7:$C$306,"&gt;="&amp;DATE($B$3,11,21),'Leave log'!$F$7:$F$306,"Approved")&gt;0,"A",""))="A","A",IF(OR(DATE($B$3,11,21)&gt;EOMONTH(DATE($B$3,11,1),0),NETWORKDAYS.INTL(DATE($B$3,11,21),DATE($B$3,11,21),1,'Non-working days'!$A$6:$A$45)=0),"",IF(COUNTIFS('Leave log'!$A$7:$A$306,Employees!$A$7,'Leave log'!$B$7:$B$306,"&lt;="&amp;DATE($B$3,11,21),'Leave log'!$C$7:$C$306,"&gt;="&amp;DATE($B$3,11,21),'Leave log'!$F$7:$F$306,"Pending")&gt;0,"P",""))))</f>
        <v/>
      </c>
      <c r="W348" s="23" t="str">
        <f>IF(A348="","",IF(IF(OR(DATE($B$3,11,22)&gt;EOMONTH(DATE($B$3,11,1),0),NETWORKDAYS.INTL(DATE($B$3,11,22),DATE($B$3,11,22),1,'Non-working days'!$A$6:$A$45)=0),"",IF(COUNTIFS('Leave log'!$A$7:$A$306,Employees!$A$7,'Leave log'!$B$7:$B$306,"&lt;="&amp;DATE($B$3,11,22),'Leave log'!$C$7:$C$306,"&gt;="&amp;DATE($B$3,11,22),'Leave log'!$F$7:$F$306,"Approved")&gt;0,"A",""))="A","A",IF(OR(DATE($B$3,11,22)&gt;EOMONTH(DATE($B$3,11,1),0),NETWORKDAYS.INTL(DATE($B$3,11,22),DATE($B$3,11,22),1,'Non-working days'!$A$6:$A$45)=0),"",IF(COUNTIFS('Leave log'!$A$7:$A$306,Employees!$A$7,'Leave log'!$B$7:$B$306,"&lt;="&amp;DATE($B$3,11,22),'Leave log'!$C$7:$C$306,"&gt;="&amp;DATE($B$3,11,22),'Leave log'!$F$7:$F$306,"Pending")&gt;0,"P",""))))</f>
        <v/>
      </c>
      <c r="X348" s="23" t="str">
        <f>IF(A348="","",IF(IF(OR(DATE($B$3,11,23)&gt;EOMONTH(DATE($B$3,11,1),0),NETWORKDAYS.INTL(DATE($B$3,11,23),DATE($B$3,11,23),1,'Non-working days'!$A$6:$A$45)=0),"",IF(COUNTIFS('Leave log'!$A$7:$A$306,Employees!$A$7,'Leave log'!$B$7:$B$306,"&lt;="&amp;DATE($B$3,11,23),'Leave log'!$C$7:$C$306,"&gt;="&amp;DATE($B$3,11,23),'Leave log'!$F$7:$F$306,"Approved")&gt;0,"A",""))="A","A",IF(OR(DATE($B$3,11,23)&gt;EOMONTH(DATE($B$3,11,1),0),NETWORKDAYS.INTL(DATE($B$3,11,23),DATE($B$3,11,23),1,'Non-working days'!$A$6:$A$45)=0),"",IF(COUNTIFS('Leave log'!$A$7:$A$306,Employees!$A$7,'Leave log'!$B$7:$B$306,"&lt;="&amp;DATE($B$3,11,23),'Leave log'!$C$7:$C$306,"&gt;="&amp;DATE($B$3,11,23),'Leave log'!$F$7:$F$306,"Pending")&gt;0,"P",""))))</f>
        <v/>
      </c>
      <c r="Y348" s="23" t="str">
        <f>IF(A348="","",IF(IF(OR(DATE($B$3,11,24)&gt;EOMONTH(DATE($B$3,11,1),0),NETWORKDAYS.INTL(DATE($B$3,11,24),DATE($B$3,11,24),1,'Non-working days'!$A$6:$A$45)=0),"",IF(COUNTIFS('Leave log'!$A$7:$A$306,Employees!$A$7,'Leave log'!$B$7:$B$306,"&lt;="&amp;DATE($B$3,11,24),'Leave log'!$C$7:$C$306,"&gt;="&amp;DATE($B$3,11,24),'Leave log'!$F$7:$F$306,"Approved")&gt;0,"A",""))="A","A",IF(OR(DATE($B$3,11,24)&gt;EOMONTH(DATE($B$3,11,1),0),NETWORKDAYS.INTL(DATE($B$3,11,24),DATE($B$3,11,24),1,'Non-working days'!$A$6:$A$45)=0),"",IF(COUNTIFS('Leave log'!$A$7:$A$306,Employees!$A$7,'Leave log'!$B$7:$B$306,"&lt;="&amp;DATE($B$3,11,24),'Leave log'!$C$7:$C$306,"&gt;="&amp;DATE($B$3,11,24),'Leave log'!$F$7:$F$306,"Pending")&gt;0,"P",""))))</f>
        <v/>
      </c>
      <c r="Z348" s="23" t="str">
        <f>IF(A348="","",IF(IF(OR(DATE($B$3,11,25)&gt;EOMONTH(DATE($B$3,11,1),0),NETWORKDAYS.INTL(DATE($B$3,11,25),DATE($B$3,11,25),1,'Non-working days'!$A$6:$A$45)=0),"",IF(COUNTIFS('Leave log'!$A$7:$A$306,Employees!$A$7,'Leave log'!$B$7:$B$306,"&lt;="&amp;DATE($B$3,11,25),'Leave log'!$C$7:$C$306,"&gt;="&amp;DATE($B$3,11,25),'Leave log'!$F$7:$F$306,"Approved")&gt;0,"A",""))="A","A",IF(OR(DATE($B$3,11,25)&gt;EOMONTH(DATE($B$3,11,1),0),NETWORKDAYS.INTL(DATE($B$3,11,25),DATE($B$3,11,25),1,'Non-working days'!$A$6:$A$45)=0),"",IF(COUNTIFS('Leave log'!$A$7:$A$306,Employees!$A$7,'Leave log'!$B$7:$B$306,"&lt;="&amp;DATE($B$3,11,25),'Leave log'!$C$7:$C$306,"&gt;="&amp;DATE($B$3,11,25),'Leave log'!$F$7:$F$306,"Pending")&gt;0,"P",""))))</f>
        <v/>
      </c>
      <c r="AA348" s="23" t="str">
        <f>IF(A348="","",IF(IF(OR(DATE($B$3,11,26)&gt;EOMONTH(DATE($B$3,11,1),0),NETWORKDAYS.INTL(DATE($B$3,11,26),DATE($B$3,11,26),1,'Non-working days'!$A$6:$A$45)=0),"",IF(COUNTIFS('Leave log'!$A$7:$A$306,Employees!$A$7,'Leave log'!$B$7:$B$306,"&lt;="&amp;DATE($B$3,11,26),'Leave log'!$C$7:$C$306,"&gt;="&amp;DATE($B$3,11,26),'Leave log'!$F$7:$F$306,"Approved")&gt;0,"A",""))="A","A",IF(OR(DATE($B$3,11,26)&gt;EOMONTH(DATE($B$3,11,1),0),NETWORKDAYS.INTL(DATE($B$3,11,26),DATE($B$3,11,26),1,'Non-working days'!$A$6:$A$45)=0),"",IF(COUNTIFS('Leave log'!$A$7:$A$306,Employees!$A$7,'Leave log'!$B$7:$B$306,"&lt;="&amp;DATE($B$3,11,26),'Leave log'!$C$7:$C$306,"&gt;="&amp;DATE($B$3,11,26),'Leave log'!$F$7:$F$306,"Pending")&gt;0,"P",""))))</f>
        <v/>
      </c>
      <c r="AB348" s="23" t="str">
        <f>IF(A348="","",IF(IF(OR(DATE($B$3,11,27)&gt;EOMONTH(DATE($B$3,11,1),0),NETWORKDAYS.INTL(DATE($B$3,11,27),DATE($B$3,11,27),1,'Non-working days'!$A$6:$A$45)=0),"",IF(COUNTIFS('Leave log'!$A$7:$A$306,Employees!$A$7,'Leave log'!$B$7:$B$306,"&lt;="&amp;DATE($B$3,11,27),'Leave log'!$C$7:$C$306,"&gt;="&amp;DATE($B$3,11,27),'Leave log'!$F$7:$F$306,"Approved")&gt;0,"A",""))="A","A",IF(OR(DATE($B$3,11,27)&gt;EOMONTH(DATE($B$3,11,1),0),NETWORKDAYS.INTL(DATE($B$3,11,27),DATE($B$3,11,27),1,'Non-working days'!$A$6:$A$45)=0),"",IF(COUNTIFS('Leave log'!$A$7:$A$306,Employees!$A$7,'Leave log'!$B$7:$B$306,"&lt;="&amp;DATE($B$3,11,27),'Leave log'!$C$7:$C$306,"&gt;="&amp;DATE($B$3,11,27),'Leave log'!$F$7:$F$306,"Pending")&gt;0,"P",""))))</f>
        <v/>
      </c>
      <c r="AC348" s="23" t="str">
        <f>IF(A348="","",IF(IF(OR(DATE($B$3,11,28)&gt;EOMONTH(DATE($B$3,11,1),0),NETWORKDAYS.INTL(DATE($B$3,11,28),DATE($B$3,11,28),1,'Non-working days'!$A$6:$A$45)=0),"",IF(COUNTIFS('Leave log'!$A$7:$A$306,Employees!$A$7,'Leave log'!$B$7:$B$306,"&lt;="&amp;DATE($B$3,11,28),'Leave log'!$C$7:$C$306,"&gt;="&amp;DATE($B$3,11,28),'Leave log'!$F$7:$F$306,"Approved")&gt;0,"A",""))="A","A",IF(OR(DATE($B$3,11,28)&gt;EOMONTH(DATE($B$3,11,1),0),NETWORKDAYS.INTL(DATE($B$3,11,28),DATE($B$3,11,28),1,'Non-working days'!$A$6:$A$45)=0),"",IF(COUNTIFS('Leave log'!$A$7:$A$306,Employees!$A$7,'Leave log'!$B$7:$B$306,"&lt;="&amp;DATE($B$3,11,28),'Leave log'!$C$7:$C$306,"&gt;="&amp;DATE($B$3,11,28),'Leave log'!$F$7:$F$306,"Pending")&gt;0,"P",""))))</f>
        <v/>
      </c>
      <c r="AD348" s="23" t="str">
        <f>IF(A348="","",IF(IF(OR(DATE($B$3,11,29)&gt;EOMONTH(DATE($B$3,11,1),0),NETWORKDAYS.INTL(DATE($B$3,11,29),DATE($B$3,11,29),1,'Non-working days'!$A$6:$A$45)=0),"",IF(COUNTIFS('Leave log'!$A$7:$A$306,Employees!$A$7,'Leave log'!$B$7:$B$306,"&lt;="&amp;DATE($B$3,11,29),'Leave log'!$C$7:$C$306,"&gt;="&amp;DATE($B$3,11,29),'Leave log'!$F$7:$F$306,"Approved")&gt;0,"A",""))="A","A",IF(OR(DATE($B$3,11,29)&gt;EOMONTH(DATE($B$3,11,1),0),NETWORKDAYS.INTL(DATE($B$3,11,29),DATE($B$3,11,29),1,'Non-working days'!$A$6:$A$45)=0),"",IF(COUNTIFS('Leave log'!$A$7:$A$306,Employees!$A$7,'Leave log'!$B$7:$B$306,"&lt;="&amp;DATE($B$3,11,29),'Leave log'!$C$7:$C$306,"&gt;="&amp;DATE($B$3,11,29),'Leave log'!$F$7:$F$306,"Pending")&gt;0,"P",""))))</f>
        <v/>
      </c>
      <c r="AE348" s="23" t="str">
        <f>IF(A348="","",IF(IF(OR(DATE($B$3,11,30)&gt;EOMONTH(DATE($B$3,11,1),0),NETWORKDAYS.INTL(DATE($B$3,11,30),DATE($B$3,11,30),1,'Non-working days'!$A$6:$A$45)=0),"",IF(COUNTIFS('Leave log'!$A$7:$A$306,Employees!$A$7,'Leave log'!$B$7:$B$306,"&lt;="&amp;DATE($B$3,11,30),'Leave log'!$C$7:$C$306,"&gt;="&amp;DATE($B$3,11,30),'Leave log'!$F$7:$F$306,"Approved")&gt;0,"A",""))="A","A",IF(OR(DATE($B$3,11,30)&gt;EOMONTH(DATE($B$3,11,1),0),NETWORKDAYS.INTL(DATE($B$3,11,30),DATE($B$3,11,30),1,'Non-working days'!$A$6:$A$45)=0),"",IF(COUNTIFS('Leave log'!$A$7:$A$306,Employees!$A$7,'Leave log'!$B$7:$B$306,"&lt;="&amp;DATE($B$3,11,30),'Leave log'!$C$7:$C$306,"&gt;="&amp;DATE($B$3,11,30),'Leave log'!$F$7:$F$306,"Pending")&gt;0,"P",""))))</f>
        <v/>
      </c>
      <c r="AF348" s="23" t="str">
        <f>IF(A348="","",IF(IF(OR(DATE($B$3,11,31)&gt;EOMONTH(DATE($B$3,11,1),0),NETWORKDAYS.INTL(DATE($B$3,11,31),DATE($B$3,11,31),1,'Non-working days'!$A$6:$A$45)=0),"",IF(COUNTIFS('Leave log'!$A$7:$A$306,Employees!$A$7,'Leave log'!$B$7:$B$306,"&lt;="&amp;DATE($B$3,11,31),'Leave log'!$C$7:$C$306,"&gt;="&amp;DATE($B$3,11,31),'Leave log'!$F$7:$F$306,"Approved")&gt;0,"A",""))="A","A",IF(OR(DATE($B$3,11,31)&gt;EOMONTH(DATE($B$3,11,1),0),NETWORKDAYS.INTL(DATE($B$3,11,31),DATE($B$3,11,31),1,'Non-working days'!$A$6:$A$45)=0),"",IF(COUNTIFS('Leave log'!$A$7:$A$306,Employees!$A$7,'Leave log'!$B$7:$B$306,"&lt;="&amp;DATE($B$3,11,31),'Leave log'!$C$7:$C$306,"&gt;="&amp;DATE($B$3,11,31),'Leave log'!$F$7:$F$306,"Pending")&gt;0,"P",""))))</f>
        <v/>
      </c>
    </row>
    <row r="349" spans="1:32" ht="18" customHeight="1" x14ac:dyDescent="0.3">
      <c r="A349" s="22" t="str">
        <f>IF(Employees!F8="Yes",Employees!B8,"")</f>
        <v/>
      </c>
      <c r="B349" s="23" t="str">
        <f>IF(A349="","",IF(IF(OR(DATE($B$3,11,1)&gt;EOMONTH(DATE($B$3,11,1),0),NETWORKDAYS.INTL(DATE($B$3,11,1),DATE($B$3,11,1),1,'Non-working days'!$A$6:$A$45)=0),"",IF(COUNTIFS('Leave log'!$A$7:$A$306,Employees!$A$8,'Leave log'!$B$7:$B$306,"&lt;="&amp;DATE($B$3,11,1),'Leave log'!$C$7:$C$306,"&gt;="&amp;DATE($B$3,11,1),'Leave log'!$F$7:$F$306,"Approved")&gt;0,"A",""))="A","A",IF(OR(DATE($B$3,11,1)&gt;EOMONTH(DATE($B$3,11,1),0),NETWORKDAYS.INTL(DATE($B$3,11,1),DATE($B$3,11,1),1,'Non-working days'!$A$6:$A$45)=0),"",IF(COUNTIFS('Leave log'!$A$7:$A$306,Employees!$A$8,'Leave log'!$B$7:$B$306,"&lt;="&amp;DATE($B$3,11,1),'Leave log'!$C$7:$C$306,"&gt;="&amp;DATE($B$3,11,1),'Leave log'!$F$7:$F$306,"Pending")&gt;0,"P",""))))</f>
        <v/>
      </c>
      <c r="C349" s="23" t="str">
        <f>IF(A349="","",IF(IF(OR(DATE($B$3,11,2)&gt;EOMONTH(DATE($B$3,11,1),0),NETWORKDAYS.INTL(DATE($B$3,11,2),DATE($B$3,11,2),1,'Non-working days'!$A$6:$A$45)=0),"",IF(COUNTIFS('Leave log'!$A$7:$A$306,Employees!$A$8,'Leave log'!$B$7:$B$306,"&lt;="&amp;DATE($B$3,11,2),'Leave log'!$C$7:$C$306,"&gt;="&amp;DATE($B$3,11,2),'Leave log'!$F$7:$F$306,"Approved")&gt;0,"A",""))="A","A",IF(OR(DATE($B$3,11,2)&gt;EOMONTH(DATE($B$3,11,1),0),NETWORKDAYS.INTL(DATE($B$3,11,2),DATE($B$3,11,2),1,'Non-working days'!$A$6:$A$45)=0),"",IF(COUNTIFS('Leave log'!$A$7:$A$306,Employees!$A$8,'Leave log'!$B$7:$B$306,"&lt;="&amp;DATE($B$3,11,2),'Leave log'!$C$7:$C$306,"&gt;="&amp;DATE($B$3,11,2),'Leave log'!$F$7:$F$306,"Pending")&gt;0,"P",""))))</f>
        <v/>
      </c>
      <c r="D349" s="23" t="str">
        <f>IF(A349="","",IF(IF(OR(DATE($B$3,11,3)&gt;EOMONTH(DATE($B$3,11,1),0),NETWORKDAYS.INTL(DATE($B$3,11,3),DATE($B$3,11,3),1,'Non-working days'!$A$6:$A$45)=0),"",IF(COUNTIFS('Leave log'!$A$7:$A$306,Employees!$A$8,'Leave log'!$B$7:$B$306,"&lt;="&amp;DATE($B$3,11,3),'Leave log'!$C$7:$C$306,"&gt;="&amp;DATE($B$3,11,3),'Leave log'!$F$7:$F$306,"Approved")&gt;0,"A",""))="A","A",IF(OR(DATE($B$3,11,3)&gt;EOMONTH(DATE($B$3,11,1),0),NETWORKDAYS.INTL(DATE($B$3,11,3),DATE($B$3,11,3),1,'Non-working days'!$A$6:$A$45)=0),"",IF(COUNTIFS('Leave log'!$A$7:$A$306,Employees!$A$8,'Leave log'!$B$7:$B$306,"&lt;="&amp;DATE($B$3,11,3),'Leave log'!$C$7:$C$306,"&gt;="&amp;DATE($B$3,11,3),'Leave log'!$F$7:$F$306,"Pending")&gt;0,"P",""))))</f>
        <v/>
      </c>
      <c r="E349" s="23" t="str">
        <f>IF(A349="","",IF(IF(OR(DATE($B$3,11,4)&gt;EOMONTH(DATE($B$3,11,1),0),NETWORKDAYS.INTL(DATE($B$3,11,4),DATE($B$3,11,4),1,'Non-working days'!$A$6:$A$45)=0),"",IF(COUNTIFS('Leave log'!$A$7:$A$306,Employees!$A$8,'Leave log'!$B$7:$B$306,"&lt;="&amp;DATE($B$3,11,4),'Leave log'!$C$7:$C$306,"&gt;="&amp;DATE($B$3,11,4),'Leave log'!$F$7:$F$306,"Approved")&gt;0,"A",""))="A","A",IF(OR(DATE($B$3,11,4)&gt;EOMONTH(DATE($B$3,11,1),0),NETWORKDAYS.INTL(DATE($B$3,11,4),DATE($B$3,11,4),1,'Non-working days'!$A$6:$A$45)=0),"",IF(COUNTIFS('Leave log'!$A$7:$A$306,Employees!$A$8,'Leave log'!$B$7:$B$306,"&lt;="&amp;DATE($B$3,11,4),'Leave log'!$C$7:$C$306,"&gt;="&amp;DATE($B$3,11,4),'Leave log'!$F$7:$F$306,"Pending")&gt;0,"P",""))))</f>
        <v/>
      </c>
      <c r="F349" s="23" t="str">
        <f>IF(A349="","",IF(IF(OR(DATE($B$3,11,5)&gt;EOMONTH(DATE($B$3,11,1),0),NETWORKDAYS.INTL(DATE($B$3,11,5),DATE($B$3,11,5),1,'Non-working days'!$A$6:$A$45)=0),"",IF(COUNTIFS('Leave log'!$A$7:$A$306,Employees!$A$8,'Leave log'!$B$7:$B$306,"&lt;="&amp;DATE($B$3,11,5),'Leave log'!$C$7:$C$306,"&gt;="&amp;DATE($B$3,11,5),'Leave log'!$F$7:$F$306,"Approved")&gt;0,"A",""))="A","A",IF(OR(DATE($B$3,11,5)&gt;EOMONTH(DATE($B$3,11,1),0),NETWORKDAYS.INTL(DATE($B$3,11,5),DATE($B$3,11,5),1,'Non-working days'!$A$6:$A$45)=0),"",IF(COUNTIFS('Leave log'!$A$7:$A$306,Employees!$A$8,'Leave log'!$B$7:$B$306,"&lt;="&amp;DATE($B$3,11,5),'Leave log'!$C$7:$C$306,"&gt;="&amp;DATE($B$3,11,5),'Leave log'!$F$7:$F$306,"Pending")&gt;0,"P",""))))</f>
        <v/>
      </c>
      <c r="G349" s="23" t="str">
        <f>IF(A349="","",IF(IF(OR(DATE($B$3,11,6)&gt;EOMONTH(DATE($B$3,11,1),0),NETWORKDAYS.INTL(DATE($B$3,11,6),DATE($B$3,11,6),1,'Non-working days'!$A$6:$A$45)=0),"",IF(COUNTIFS('Leave log'!$A$7:$A$306,Employees!$A$8,'Leave log'!$B$7:$B$306,"&lt;="&amp;DATE($B$3,11,6),'Leave log'!$C$7:$C$306,"&gt;="&amp;DATE($B$3,11,6),'Leave log'!$F$7:$F$306,"Approved")&gt;0,"A",""))="A","A",IF(OR(DATE($B$3,11,6)&gt;EOMONTH(DATE($B$3,11,1),0),NETWORKDAYS.INTL(DATE($B$3,11,6),DATE($B$3,11,6),1,'Non-working days'!$A$6:$A$45)=0),"",IF(COUNTIFS('Leave log'!$A$7:$A$306,Employees!$A$8,'Leave log'!$B$7:$B$306,"&lt;="&amp;DATE($B$3,11,6),'Leave log'!$C$7:$C$306,"&gt;="&amp;DATE($B$3,11,6),'Leave log'!$F$7:$F$306,"Pending")&gt;0,"P",""))))</f>
        <v/>
      </c>
      <c r="H349" s="23" t="str">
        <f>IF(A349="","",IF(IF(OR(DATE($B$3,11,7)&gt;EOMONTH(DATE($B$3,11,1),0),NETWORKDAYS.INTL(DATE($B$3,11,7),DATE($B$3,11,7),1,'Non-working days'!$A$6:$A$45)=0),"",IF(COUNTIFS('Leave log'!$A$7:$A$306,Employees!$A$8,'Leave log'!$B$7:$B$306,"&lt;="&amp;DATE($B$3,11,7),'Leave log'!$C$7:$C$306,"&gt;="&amp;DATE($B$3,11,7),'Leave log'!$F$7:$F$306,"Approved")&gt;0,"A",""))="A","A",IF(OR(DATE($B$3,11,7)&gt;EOMONTH(DATE($B$3,11,1),0),NETWORKDAYS.INTL(DATE($B$3,11,7),DATE($B$3,11,7),1,'Non-working days'!$A$6:$A$45)=0),"",IF(COUNTIFS('Leave log'!$A$7:$A$306,Employees!$A$8,'Leave log'!$B$7:$B$306,"&lt;="&amp;DATE($B$3,11,7),'Leave log'!$C$7:$C$306,"&gt;="&amp;DATE($B$3,11,7),'Leave log'!$F$7:$F$306,"Pending")&gt;0,"P",""))))</f>
        <v/>
      </c>
      <c r="I349" s="23" t="str">
        <f>IF(A349="","",IF(IF(OR(DATE($B$3,11,8)&gt;EOMONTH(DATE($B$3,11,1),0),NETWORKDAYS.INTL(DATE($B$3,11,8),DATE($B$3,11,8),1,'Non-working days'!$A$6:$A$45)=0),"",IF(COUNTIFS('Leave log'!$A$7:$A$306,Employees!$A$8,'Leave log'!$B$7:$B$306,"&lt;="&amp;DATE($B$3,11,8),'Leave log'!$C$7:$C$306,"&gt;="&amp;DATE($B$3,11,8),'Leave log'!$F$7:$F$306,"Approved")&gt;0,"A",""))="A","A",IF(OR(DATE($B$3,11,8)&gt;EOMONTH(DATE($B$3,11,1),0),NETWORKDAYS.INTL(DATE($B$3,11,8),DATE($B$3,11,8),1,'Non-working days'!$A$6:$A$45)=0),"",IF(COUNTIFS('Leave log'!$A$7:$A$306,Employees!$A$8,'Leave log'!$B$7:$B$306,"&lt;="&amp;DATE($B$3,11,8),'Leave log'!$C$7:$C$306,"&gt;="&amp;DATE($B$3,11,8),'Leave log'!$F$7:$F$306,"Pending")&gt;0,"P",""))))</f>
        <v/>
      </c>
      <c r="J349" s="23" t="str">
        <f>IF(A349="","",IF(IF(OR(DATE($B$3,11,9)&gt;EOMONTH(DATE($B$3,11,1),0),NETWORKDAYS.INTL(DATE($B$3,11,9),DATE($B$3,11,9),1,'Non-working days'!$A$6:$A$45)=0),"",IF(COUNTIFS('Leave log'!$A$7:$A$306,Employees!$A$8,'Leave log'!$B$7:$B$306,"&lt;="&amp;DATE($B$3,11,9),'Leave log'!$C$7:$C$306,"&gt;="&amp;DATE($B$3,11,9),'Leave log'!$F$7:$F$306,"Approved")&gt;0,"A",""))="A","A",IF(OR(DATE($B$3,11,9)&gt;EOMONTH(DATE($B$3,11,1),0),NETWORKDAYS.INTL(DATE($B$3,11,9),DATE($B$3,11,9),1,'Non-working days'!$A$6:$A$45)=0),"",IF(COUNTIFS('Leave log'!$A$7:$A$306,Employees!$A$8,'Leave log'!$B$7:$B$306,"&lt;="&amp;DATE($B$3,11,9),'Leave log'!$C$7:$C$306,"&gt;="&amp;DATE($B$3,11,9),'Leave log'!$F$7:$F$306,"Pending")&gt;0,"P",""))))</f>
        <v/>
      </c>
      <c r="K349" s="23" t="str">
        <f>IF(A349="","",IF(IF(OR(DATE($B$3,11,10)&gt;EOMONTH(DATE($B$3,11,1),0),NETWORKDAYS.INTL(DATE($B$3,11,10),DATE($B$3,11,10),1,'Non-working days'!$A$6:$A$45)=0),"",IF(COUNTIFS('Leave log'!$A$7:$A$306,Employees!$A$8,'Leave log'!$B$7:$B$306,"&lt;="&amp;DATE($B$3,11,10),'Leave log'!$C$7:$C$306,"&gt;="&amp;DATE($B$3,11,10),'Leave log'!$F$7:$F$306,"Approved")&gt;0,"A",""))="A","A",IF(OR(DATE($B$3,11,10)&gt;EOMONTH(DATE($B$3,11,1),0),NETWORKDAYS.INTL(DATE($B$3,11,10),DATE($B$3,11,10),1,'Non-working days'!$A$6:$A$45)=0),"",IF(COUNTIFS('Leave log'!$A$7:$A$306,Employees!$A$8,'Leave log'!$B$7:$B$306,"&lt;="&amp;DATE($B$3,11,10),'Leave log'!$C$7:$C$306,"&gt;="&amp;DATE($B$3,11,10),'Leave log'!$F$7:$F$306,"Pending")&gt;0,"P",""))))</f>
        <v/>
      </c>
      <c r="L349" s="23" t="str">
        <f>IF(A349="","",IF(IF(OR(DATE($B$3,11,11)&gt;EOMONTH(DATE($B$3,11,1),0),NETWORKDAYS.INTL(DATE($B$3,11,11),DATE($B$3,11,11),1,'Non-working days'!$A$6:$A$45)=0),"",IF(COUNTIFS('Leave log'!$A$7:$A$306,Employees!$A$8,'Leave log'!$B$7:$B$306,"&lt;="&amp;DATE($B$3,11,11),'Leave log'!$C$7:$C$306,"&gt;="&amp;DATE($B$3,11,11),'Leave log'!$F$7:$F$306,"Approved")&gt;0,"A",""))="A","A",IF(OR(DATE($B$3,11,11)&gt;EOMONTH(DATE($B$3,11,1),0),NETWORKDAYS.INTL(DATE($B$3,11,11),DATE($B$3,11,11),1,'Non-working days'!$A$6:$A$45)=0),"",IF(COUNTIFS('Leave log'!$A$7:$A$306,Employees!$A$8,'Leave log'!$B$7:$B$306,"&lt;="&amp;DATE($B$3,11,11),'Leave log'!$C$7:$C$306,"&gt;="&amp;DATE($B$3,11,11),'Leave log'!$F$7:$F$306,"Pending")&gt;0,"P",""))))</f>
        <v/>
      </c>
      <c r="M349" s="23" t="str">
        <f>IF(A349="","",IF(IF(OR(DATE($B$3,11,12)&gt;EOMONTH(DATE($B$3,11,1),0),NETWORKDAYS.INTL(DATE($B$3,11,12),DATE($B$3,11,12),1,'Non-working days'!$A$6:$A$45)=0),"",IF(COUNTIFS('Leave log'!$A$7:$A$306,Employees!$A$8,'Leave log'!$B$7:$B$306,"&lt;="&amp;DATE($B$3,11,12),'Leave log'!$C$7:$C$306,"&gt;="&amp;DATE($B$3,11,12),'Leave log'!$F$7:$F$306,"Approved")&gt;0,"A",""))="A","A",IF(OR(DATE($B$3,11,12)&gt;EOMONTH(DATE($B$3,11,1),0),NETWORKDAYS.INTL(DATE($B$3,11,12),DATE($B$3,11,12),1,'Non-working days'!$A$6:$A$45)=0),"",IF(COUNTIFS('Leave log'!$A$7:$A$306,Employees!$A$8,'Leave log'!$B$7:$B$306,"&lt;="&amp;DATE($B$3,11,12),'Leave log'!$C$7:$C$306,"&gt;="&amp;DATE($B$3,11,12),'Leave log'!$F$7:$F$306,"Pending")&gt;0,"P",""))))</f>
        <v/>
      </c>
      <c r="N349" s="23" t="str">
        <f>IF(A349="","",IF(IF(OR(DATE($B$3,11,13)&gt;EOMONTH(DATE($B$3,11,1),0),NETWORKDAYS.INTL(DATE($B$3,11,13),DATE($B$3,11,13),1,'Non-working days'!$A$6:$A$45)=0),"",IF(COUNTIFS('Leave log'!$A$7:$A$306,Employees!$A$8,'Leave log'!$B$7:$B$306,"&lt;="&amp;DATE($B$3,11,13),'Leave log'!$C$7:$C$306,"&gt;="&amp;DATE($B$3,11,13),'Leave log'!$F$7:$F$306,"Approved")&gt;0,"A",""))="A","A",IF(OR(DATE($B$3,11,13)&gt;EOMONTH(DATE($B$3,11,1),0),NETWORKDAYS.INTL(DATE($B$3,11,13),DATE($B$3,11,13),1,'Non-working days'!$A$6:$A$45)=0),"",IF(COUNTIFS('Leave log'!$A$7:$A$306,Employees!$A$8,'Leave log'!$B$7:$B$306,"&lt;="&amp;DATE($B$3,11,13),'Leave log'!$C$7:$C$306,"&gt;="&amp;DATE($B$3,11,13),'Leave log'!$F$7:$F$306,"Pending")&gt;0,"P",""))))</f>
        <v/>
      </c>
      <c r="O349" s="23" t="str">
        <f>IF(A349="","",IF(IF(OR(DATE($B$3,11,14)&gt;EOMONTH(DATE($B$3,11,1),0),NETWORKDAYS.INTL(DATE($B$3,11,14),DATE($B$3,11,14),1,'Non-working days'!$A$6:$A$45)=0),"",IF(COUNTIFS('Leave log'!$A$7:$A$306,Employees!$A$8,'Leave log'!$B$7:$B$306,"&lt;="&amp;DATE($B$3,11,14),'Leave log'!$C$7:$C$306,"&gt;="&amp;DATE($B$3,11,14),'Leave log'!$F$7:$F$306,"Approved")&gt;0,"A",""))="A","A",IF(OR(DATE($B$3,11,14)&gt;EOMONTH(DATE($B$3,11,1),0),NETWORKDAYS.INTL(DATE($B$3,11,14),DATE($B$3,11,14),1,'Non-working days'!$A$6:$A$45)=0),"",IF(COUNTIFS('Leave log'!$A$7:$A$306,Employees!$A$8,'Leave log'!$B$7:$B$306,"&lt;="&amp;DATE($B$3,11,14),'Leave log'!$C$7:$C$306,"&gt;="&amp;DATE($B$3,11,14),'Leave log'!$F$7:$F$306,"Pending")&gt;0,"P",""))))</f>
        <v/>
      </c>
      <c r="P349" s="23" t="str">
        <f>IF(A349="","",IF(IF(OR(DATE($B$3,11,15)&gt;EOMONTH(DATE($B$3,11,1),0),NETWORKDAYS.INTL(DATE($B$3,11,15),DATE($B$3,11,15),1,'Non-working days'!$A$6:$A$45)=0),"",IF(COUNTIFS('Leave log'!$A$7:$A$306,Employees!$A$8,'Leave log'!$B$7:$B$306,"&lt;="&amp;DATE($B$3,11,15),'Leave log'!$C$7:$C$306,"&gt;="&amp;DATE($B$3,11,15),'Leave log'!$F$7:$F$306,"Approved")&gt;0,"A",""))="A","A",IF(OR(DATE($B$3,11,15)&gt;EOMONTH(DATE($B$3,11,1),0),NETWORKDAYS.INTL(DATE($B$3,11,15),DATE($B$3,11,15),1,'Non-working days'!$A$6:$A$45)=0),"",IF(COUNTIFS('Leave log'!$A$7:$A$306,Employees!$A$8,'Leave log'!$B$7:$B$306,"&lt;="&amp;DATE($B$3,11,15),'Leave log'!$C$7:$C$306,"&gt;="&amp;DATE($B$3,11,15),'Leave log'!$F$7:$F$306,"Pending")&gt;0,"P",""))))</f>
        <v/>
      </c>
      <c r="Q349" s="23" t="str">
        <f>IF(A349="","",IF(IF(OR(DATE($B$3,11,16)&gt;EOMONTH(DATE($B$3,11,1),0),NETWORKDAYS.INTL(DATE($B$3,11,16),DATE($B$3,11,16),1,'Non-working days'!$A$6:$A$45)=0),"",IF(COUNTIFS('Leave log'!$A$7:$A$306,Employees!$A$8,'Leave log'!$B$7:$B$306,"&lt;="&amp;DATE($B$3,11,16),'Leave log'!$C$7:$C$306,"&gt;="&amp;DATE($B$3,11,16),'Leave log'!$F$7:$F$306,"Approved")&gt;0,"A",""))="A","A",IF(OR(DATE($B$3,11,16)&gt;EOMONTH(DATE($B$3,11,1),0),NETWORKDAYS.INTL(DATE($B$3,11,16),DATE($B$3,11,16),1,'Non-working days'!$A$6:$A$45)=0),"",IF(COUNTIFS('Leave log'!$A$7:$A$306,Employees!$A$8,'Leave log'!$B$7:$B$306,"&lt;="&amp;DATE($B$3,11,16),'Leave log'!$C$7:$C$306,"&gt;="&amp;DATE($B$3,11,16),'Leave log'!$F$7:$F$306,"Pending")&gt;0,"P",""))))</f>
        <v/>
      </c>
      <c r="R349" s="23" t="str">
        <f>IF(A349="","",IF(IF(OR(DATE($B$3,11,17)&gt;EOMONTH(DATE($B$3,11,1),0),NETWORKDAYS.INTL(DATE($B$3,11,17),DATE($B$3,11,17),1,'Non-working days'!$A$6:$A$45)=0),"",IF(COUNTIFS('Leave log'!$A$7:$A$306,Employees!$A$8,'Leave log'!$B$7:$B$306,"&lt;="&amp;DATE($B$3,11,17),'Leave log'!$C$7:$C$306,"&gt;="&amp;DATE($B$3,11,17),'Leave log'!$F$7:$F$306,"Approved")&gt;0,"A",""))="A","A",IF(OR(DATE($B$3,11,17)&gt;EOMONTH(DATE($B$3,11,1),0),NETWORKDAYS.INTL(DATE($B$3,11,17),DATE($B$3,11,17),1,'Non-working days'!$A$6:$A$45)=0),"",IF(COUNTIFS('Leave log'!$A$7:$A$306,Employees!$A$8,'Leave log'!$B$7:$B$306,"&lt;="&amp;DATE($B$3,11,17),'Leave log'!$C$7:$C$306,"&gt;="&amp;DATE($B$3,11,17),'Leave log'!$F$7:$F$306,"Pending")&gt;0,"P",""))))</f>
        <v/>
      </c>
      <c r="S349" s="23" t="str">
        <f>IF(A349="","",IF(IF(OR(DATE($B$3,11,18)&gt;EOMONTH(DATE($B$3,11,1),0),NETWORKDAYS.INTL(DATE($B$3,11,18),DATE($B$3,11,18),1,'Non-working days'!$A$6:$A$45)=0),"",IF(COUNTIFS('Leave log'!$A$7:$A$306,Employees!$A$8,'Leave log'!$B$7:$B$306,"&lt;="&amp;DATE($B$3,11,18),'Leave log'!$C$7:$C$306,"&gt;="&amp;DATE($B$3,11,18),'Leave log'!$F$7:$F$306,"Approved")&gt;0,"A",""))="A","A",IF(OR(DATE($B$3,11,18)&gt;EOMONTH(DATE($B$3,11,1),0),NETWORKDAYS.INTL(DATE($B$3,11,18),DATE($B$3,11,18),1,'Non-working days'!$A$6:$A$45)=0),"",IF(COUNTIFS('Leave log'!$A$7:$A$306,Employees!$A$8,'Leave log'!$B$7:$B$306,"&lt;="&amp;DATE($B$3,11,18),'Leave log'!$C$7:$C$306,"&gt;="&amp;DATE($B$3,11,18),'Leave log'!$F$7:$F$306,"Pending")&gt;0,"P",""))))</f>
        <v/>
      </c>
      <c r="T349" s="23" t="str">
        <f>IF(A349="","",IF(IF(OR(DATE($B$3,11,19)&gt;EOMONTH(DATE($B$3,11,1),0),NETWORKDAYS.INTL(DATE($B$3,11,19),DATE($B$3,11,19),1,'Non-working days'!$A$6:$A$45)=0),"",IF(COUNTIFS('Leave log'!$A$7:$A$306,Employees!$A$8,'Leave log'!$B$7:$B$306,"&lt;="&amp;DATE($B$3,11,19),'Leave log'!$C$7:$C$306,"&gt;="&amp;DATE($B$3,11,19),'Leave log'!$F$7:$F$306,"Approved")&gt;0,"A",""))="A","A",IF(OR(DATE($B$3,11,19)&gt;EOMONTH(DATE($B$3,11,1),0),NETWORKDAYS.INTL(DATE($B$3,11,19),DATE($B$3,11,19),1,'Non-working days'!$A$6:$A$45)=0),"",IF(COUNTIFS('Leave log'!$A$7:$A$306,Employees!$A$8,'Leave log'!$B$7:$B$306,"&lt;="&amp;DATE($B$3,11,19),'Leave log'!$C$7:$C$306,"&gt;="&amp;DATE($B$3,11,19),'Leave log'!$F$7:$F$306,"Pending")&gt;0,"P",""))))</f>
        <v/>
      </c>
      <c r="U349" s="23" t="str">
        <f>IF(A349="","",IF(IF(OR(DATE($B$3,11,20)&gt;EOMONTH(DATE($B$3,11,1),0),NETWORKDAYS.INTL(DATE($B$3,11,20),DATE($B$3,11,20),1,'Non-working days'!$A$6:$A$45)=0),"",IF(COUNTIFS('Leave log'!$A$7:$A$306,Employees!$A$8,'Leave log'!$B$7:$B$306,"&lt;="&amp;DATE($B$3,11,20),'Leave log'!$C$7:$C$306,"&gt;="&amp;DATE($B$3,11,20),'Leave log'!$F$7:$F$306,"Approved")&gt;0,"A",""))="A","A",IF(OR(DATE($B$3,11,20)&gt;EOMONTH(DATE($B$3,11,1),0),NETWORKDAYS.INTL(DATE($B$3,11,20),DATE($B$3,11,20),1,'Non-working days'!$A$6:$A$45)=0),"",IF(COUNTIFS('Leave log'!$A$7:$A$306,Employees!$A$8,'Leave log'!$B$7:$B$306,"&lt;="&amp;DATE($B$3,11,20),'Leave log'!$C$7:$C$306,"&gt;="&amp;DATE($B$3,11,20),'Leave log'!$F$7:$F$306,"Pending")&gt;0,"P",""))))</f>
        <v/>
      </c>
      <c r="V349" s="23" t="str">
        <f>IF(A349="","",IF(IF(OR(DATE($B$3,11,21)&gt;EOMONTH(DATE($B$3,11,1),0),NETWORKDAYS.INTL(DATE($B$3,11,21),DATE($B$3,11,21),1,'Non-working days'!$A$6:$A$45)=0),"",IF(COUNTIFS('Leave log'!$A$7:$A$306,Employees!$A$8,'Leave log'!$B$7:$B$306,"&lt;="&amp;DATE($B$3,11,21),'Leave log'!$C$7:$C$306,"&gt;="&amp;DATE($B$3,11,21),'Leave log'!$F$7:$F$306,"Approved")&gt;0,"A",""))="A","A",IF(OR(DATE($B$3,11,21)&gt;EOMONTH(DATE($B$3,11,1),0),NETWORKDAYS.INTL(DATE($B$3,11,21),DATE($B$3,11,21),1,'Non-working days'!$A$6:$A$45)=0),"",IF(COUNTIFS('Leave log'!$A$7:$A$306,Employees!$A$8,'Leave log'!$B$7:$B$306,"&lt;="&amp;DATE($B$3,11,21),'Leave log'!$C$7:$C$306,"&gt;="&amp;DATE($B$3,11,21),'Leave log'!$F$7:$F$306,"Pending")&gt;0,"P",""))))</f>
        <v/>
      </c>
      <c r="W349" s="23" t="str">
        <f>IF(A349="","",IF(IF(OR(DATE($B$3,11,22)&gt;EOMONTH(DATE($B$3,11,1),0),NETWORKDAYS.INTL(DATE($B$3,11,22),DATE($B$3,11,22),1,'Non-working days'!$A$6:$A$45)=0),"",IF(COUNTIFS('Leave log'!$A$7:$A$306,Employees!$A$8,'Leave log'!$B$7:$B$306,"&lt;="&amp;DATE($B$3,11,22),'Leave log'!$C$7:$C$306,"&gt;="&amp;DATE($B$3,11,22),'Leave log'!$F$7:$F$306,"Approved")&gt;0,"A",""))="A","A",IF(OR(DATE($B$3,11,22)&gt;EOMONTH(DATE($B$3,11,1),0),NETWORKDAYS.INTL(DATE($B$3,11,22),DATE($B$3,11,22),1,'Non-working days'!$A$6:$A$45)=0),"",IF(COUNTIFS('Leave log'!$A$7:$A$306,Employees!$A$8,'Leave log'!$B$7:$B$306,"&lt;="&amp;DATE($B$3,11,22),'Leave log'!$C$7:$C$306,"&gt;="&amp;DATE($B$3,11,22),'Leave log'!$F$7:$F$306,"Pending")&gt;0,"P",""))))</f>
        <v/>
      </c>
      <c r="X349" s="23" t="str">
        <f>IF(A349="","",IF(IF(OR(DATE($B$3,11,23)&gt;EOMONTH(DATE($B$3,11,1),0),NETWORKDAYS.INTL(DATE($B$3,11,23),DATE($B$3,11,23),1,'Non-working days'!$A$6:$A$45)=0),"",IF(COUNTIFS('Leave log'!$A$7:$A$306,Employees!$A$8,'Leave log'!$B$7:$B$306,"&lt;="&amp;DATE($B$3,11,23),'Leave log'!$C$7:$C$306,"&gt;="&amp;DATE($B$3,11,23),'Leave log'!$F$7:$F$306,"Approved")&gt;0,"A",""))="A","A",IF(OR(DATE($B$3,11,23)&gt;EOMONTH(DATE($B$3,11,1),0),NETWORKDAYS.INTL(DATE($B$3,11,23),DATE($B$3,11,23),1,'Non-working days'!$A$6:$A$45)=0),"",IF(COUNTIFS('Leave log'!$A$7:$A$306,Employees!$A$8,'Leave log'!$B$7:$B$306,"&lt;="&amp;DATE($B$3,11,23),'Leave log'!$C$7:$C$306,"&gt;="&amp;DATE($B$3,11,23),'Leave log'!$F$7:$F$306,"Pending")&gt;0,"P",""))))</f>
        <v/>
      </c>
      <c r="Y349" s="23" t="str">
        <f>IF(A349="","",IF(IF(OR(DATE($B$3,11,24)&gt;EOMONTH(DATE($B$3,11,1),0),NETWORKDAYS.INTL(DATE($B$3,11,24),DATE($B$3,11,24),1,'Non-working days'!$A$6:$A$45)=0),"",IF(COUNTIFS('Leave log'!$A$7:$A$306,Employees!$A$8,'Leave log'!$B$7:$B$306,"&lt;="&amp;DATE($B$3,11,24),'Leave log'!$C$7:$C$306,"&gt;="&amp;DATE($B$3,11,24),'Leave log'!$F$7:$F$306,"Approved")&gt;0,"A",""))="A","A",IF(OR(DATE($B$3,11,24)&gt;EOMONTH(DATE($B$3,11,1),0),NETWORKDAYS.INTL(DATE($B$3,11,24),DATE($B$3,11,24),1,'Non-working days'!$A$6:$A$45)=0),"",IF(COUNTIFS('Leave log'!$A$7:$A$306,Employees!$A$8,'Leave log'!$B$7:$B$306,"&lt;="&amp;DATE($B$3,11,24),'Leave log'!$C$7:$C$306,"&gt;="&amp;DATE($B$3,11,24),'Leave log'!$F$7:$F$306,"Pending")&gt;0,"P",""))))</f>
        <v/>
      </c>
      <c r="Z349" s="23" t="str">
        <f>IF(A349="","",IF(IF(OR(DATE($B$3,11,25)&gt;EOMONTH(DATE($B$3,11,1),0),NETWORKDAYS.INTL(DATE($B$3,11,25),DATE($B$3,11,25),1,'Non-working days'!$A$6:$A$45)=0),"",IF(COUNTIFS('Leave log'!$A$7:$A$306,Employees!$A$8,'Leave log'!$B$7:$B$306,"&lt;="&amp;DATE($B$3,11,25),'Leave log'!$C$7:$C$306,"&gt;="&amp;DATE($B$3,11,25),'Leave log'!$F$7:$F$306,"Approved")&gt;0,"A",""))="A","A",IF(OR(DATE($B$3,11,25)&gt;EOMONTH(DATE($B$3,11,1),0),NETWORKDAYS.INTL(DATE($B$3,11,25),DATE($B$3,11,25),1,'Non-working days'!$A$6:$A$45)=0),"",IF(COUNTIFS('Leave log'!$A$7:$A$306,Employees!$A$8,'Leave log'!$B$7:$B$306,"&lt;="&amp;DATE($B$3,11,25),'Leave log'!$C$7:$C$306,"&gt;="&amp;DATE($B$3,11,25),'Leave log'!$F$7:$F$306,"Pending")&gt;0,"P",""))))</f>
        <v/>
      </c>
      <c r="AA349" s="23" t="str">
        <f>IF(A349="","",IF(IF(OR(DATE($B$3,11,26)&gt;EOMONTH(DATE($B$3,11,1),0),NETWORKDAYS.INTL(DATE($B$3,11,26),DATE($B$3,11,26),1,'Non-working days'!$A$6:$A$45)=0),"",IF(COUNTIFS('Leave log'!$A$7:$A$306,Employees!$A$8,'Leave log'!$B$7:$B$306,"&lt;="&amp;DATE($B$3,11,26),'Leave log'!$C$7:$C$306,"&gt;="&amp;DATE($B$3,11,26),'Leave log'!$F$7:$F$306,"Approved")&gt;0,"A",""))="A","A",IF(OR(DATE($B$3,11,26)&gt;EOMONTH(DATE($B$3,11,1),0),NETWORKDAYS.INTL(DATE($B$3,11,26),DATE($B$3,11,26),1,'Non-working days'!$A$6:$A$45)=0),"",IF(COUNTIFS('Leave log'!$A$7:$A$306,Employees!$A$8,'Leave log'!$B$7:$B$306,"&lt;="&amp;DATE($B$3,11,26),'Leave log'!$C$7:$C$306,"&gt;="&amp;DATE($B$3,11,26),'Leave log'!$F$7:$F$306,"Pending")&gt;0,"P",""))))</f>
        <v/>
      </c>
      <c r="AB349" s="23" t="str">
        <f>IF(A349="","",IF(IF(OR(DATE($B$3,11,27)&gt;EOMONTH(DATE($B$3,11,1),0),NETWORKDAYS.INTL(DATE($B$3,11,27),DATE($B$3,11,27),1,'Non-working days'!$A$6:$A$45)=0),"",IF(COUNTIFS('Leave log'!$A$7:$A$306,Employees!$A$8,'Leave log'!$B$7:$B$306,"&lt;="&amp;DATE($B$3,11,27),'Leave log'!$C$7:$C$306,"&gt;="&amp;DATE($B$3,11,27),'Leave log'!$F$7:$F$306,"Approved")&gt;0,"A",""))="A","A",IF(OR(DATE($B$3,11,27)&gt;EOMONTH(DATE($B$3,11,1),0),NETWORKDAYS.INTL(DATE($B$3,11,27),DATE($B$3,11,27),1,'Non-working days'!$A$6:$A$45)=0),"",IF(COUNTIFS('Leave log'!$A$7:$A$306,Employees!$A$8,'Leave log'!$B$7:$B$306,"&lt;="&amp;DATE($B$3,11,27),'Leave log'!$C$7:$C$306,"&gt;="&amp;DATE($B$3,11,27),'Leave log'!$F$7:$F$306,"Pending")&gt;0,"P",""))))</f>
        <v/>
      </c>
      <c r="AC349" s="23" t="str">
        <f>IF(A349="","",IF(IF(OR(DATE($B$3,11,28)&gt;EOMONTH(DATE($B$3,11,1),0),NETWORKDAYS.INTL(DATE($B$3,11,28),DATE($B$3,11,28),1,'Non-working days'!$A$6:$A$45)=0),"",IF(COUNTIFS('Leave log'!$A$7:$A$306,Employees!$A$8,'Leave log'!$B$7:$B$306,"&lt;="&amp;DATE($B$3,11,28),'Leave log'!$C$7:$C$306,"&gt;="&amp;DATE($B$3,11,28),'Leave log'!$F$7:$F$306,"Approved")&gt;0,"A",""))="A","A",IF(OR(DATE($B$3,11,28)&gt;EOMONTH(DATE($B$3,11,1),0),NETWORKDAYS.INTL(DATE($B$3,11,28),DATE($B$3,11,28),1,'Non-working days'!$A$6:$A$45)=0),"",IF(COUNTIFS('Leave log'!$A$7:$A$306,Employees!$A$8,'Leave log'!$B$7:$B$306,"&lt;="&amp;DATE($B$3,11,28),'Leave log'!$C$7:$C$306,"&gt;="&amp;DATE($B$3,11,28),'Leave log'!$F$7:$F$306,"Pending")&gt;0,"P",""))))</f>
        <v/>
      </c>
      <c r="AD349" s="23" t="str">
        <f>IF(A349="","",IF(IF(OR(DATE($B$3,11,29)&gt;EOMONTH(DATE($B$3,11,1),0),NETWORKDAYS.INTL(DATE($B$3,11,29),DATE($B$3,11,29),1,'Non-working days'!$A$6:$A$45)=0),"",IF(COUNTIFS('Leave log'!$A$7:$A$306,Employees!$A$8,'Leave log'!$B$7:$B$306,"&lt;="&amp;DATE($B$3,11,29),'Leave log'!$C$7:$C$306,"&gt;="&amp;DATE($B$3,11,29),'Leave log'!$F$7:$F$306,"Approved")&gt;0,"A",""))="A","A",IF(OR(DATE($B$3,11,29)&gt;EOMONTH(DATE($B$3,11,1),0),NETWORKDAYS.INTL(DATE($B$3,11,29),DATE($B$3,11,29),1,'Non-working days'!$A$6:$A$45)=0),"",IF(COUNTIFS('Leave log'!$A$7:$A$306,Employees!$A$8,'Leave log'!$B$7:$B$306,"&lt;="&amp;DATE($B$3,11,29),'Leave log'!$C$7:$C$306,"&gt;="&amp;DATE($B$3,11,29),'Leave log'!$F$7:$F$306,"Pending")&gt;0,"P",""))))</f>
        <v/>
      </c>
      <c r="AE349" s="23" t="str">
        <f>IF(A349="","",IF(IF(OR(DATE($B$3,11,30)&gt;EOMONTH(DATE($B$3,11,1),0),NETWORKDAYS.INTL(DATE($B$3,11,30),DATE($B$3,11,30),1,'Non-working days'!$A$6:$A$45)=0),"",IF(COUNTIFS('Leave log'!$A$7:$A$306,Employees!$A$8,'Leave log'!$B$7:$B$306,"&lt;="&amp;DATE($B$3,11,30),'Leave log'!$C$7:$C$306,"&gt;="&amp;DATE($B$3,11,30),'Leave log'!$F$7:$F$306,"Approved")&gt;0,"A",""))="A","A",IF(OR(DATE($B$3,11,30)&gt;EOMONTH(DATE($B$3,11,1),0),NETWORKDAYS.INTL(DATE($B$3,11,30),DATE($B$3,11,30),1,'Non-working days'!$A$6:$A$45)=0),"",IF(COUNTIFS('Leave log'!$A$7:$A$306,Employees!$A$8,'Leave log'!$B$7:$B$306,"&lt;="&amp;DATE($B$3,11,30),'Leave log'!$C$7:$C$306,"&gt;="&amp;DATE($B$3,11,30),'Leave log'!$F$7:$F$306,"Pending")&gt;0,"P",""))))</f>
        <v/>
      </c>
      <c r="AF349" s="23" t="str">
        <f>IF(A349="","",IF(IF(OR(DATE($B$3,11,31)&gt;EOMONTH(DATE($B$3,11,1),0),NETWORKDAYS.INTL(DATE($B$3,11,31),DATE($B$3,11,31),1,'Non-working days'!$A$6:$A$45)=0),"",IF(COUNTIFS('Leave log'!$A$7:$A$306,Employees!$A$8,'Leave log'!$B$7:$B$306,"&lt;="&amp;DATE($B$3,11,31),'Leave log'!$C$7:$C$306,"&gt;="&amp;DATE($B$3,11,31),'Leave log'!$F$7:$F$306,"Approved")&gt;0,"A",""))="A","A",IF(OR(DATE($B$3,11,31)&gt;EOMONTH(DATE($B$3,11,1),0),NETWORKDAYS.INTL(DATE($B$3,11,31),DATE($B$3,11,31),1,'Non-working days'!$A$6:$A$45)=0),"",IF(COUNTIFS('Leave log'!$A$7:$A$306,Employees!$A$8,'Leave log'!$B$7:$B$306,"&lt;="&amp;DATE($B$3,11,31),'Leave log'!$C$7:$C$306,"&gt;="&amp;DATE($B$3,11,31),'Leave log'!$F$7:$F$306,"Pending")&gt;0,"P",""))))</f>
        <v/>
      </c>
    </row>
    <row r="350" spans="1:32" ht="18" customHeight="1" x14ac:dyDescent="0.3">
      <c r="A350" s="22" t="str">
        <f>IF(Employees!F9="Yes",Employees!B9,"")</f>
        <v/>
      </c>
      <c r="B350" s="23" t="str">
        <f>IF(A350="","",IF(IF(OR(DATE($B$3,11,1)&gt;EOMONTH(DATE($B$3,11,1),0),NETWORKDAYS.INTL(DATE($B$3,11,1),DATE($B$3,11,1),1,'Non-working days'!$A$6:$A$45)=0),"",IF(COUNTIFS('Leave log'!$A$7:$A$306,Employees!$A$9,'Leave log'!$B$7:$B$306,"&lt;="&amp;DATE($B$3,11,1),'Leave log'!$C$7:$C$306,"&gt;="&amp;DATE($B$3,11,1),'Leave log'!$F$7:$F$306,"Approved")&gt;0,"A",""))="A","A",IF(OR(DATE($B$3,11,1)&gt;EOMONTH(DATE($B$3,11,1),0),NETWORKDAYS.INTL(DATE($B$3,11,1),DATE($B$3,11,1),1,'Non-working days'!$A$6:$A$45)=0),"",IF(COUNTIFS('Leave log'!$A$7:$A$306,Employees!$A$9,'Leave log'!$B$7:$B$306,"&lt;="&amp;DATE($B$3,11,1),'Leave log'!$C$7:$C$306,"&gt;="&amp;DATE($B$3,11,1),'Leave log'!$F$7:$F$306,"Pending")&gt;0,"P",""))))</f>
        <v/>
      </c>
      <c r="C350" s="23" t="str">
        <f>IF(A350="","",IF(IF(OR(DATE($B$3,11,2)&gt;EOMONTH(DATE($B$3,11,1),0),NETWORKDAYS.INTL(DATE($B$3,11,2),DATE($B$3,11,2),1,'Non-working days'!$A$6:$A$45)=0),"",IF(COUNTIFS('Leave log'!$A$7:$A$306,Employees!$A$9,'Leave log'!$B$7:$B$306,"&lt;="&amp;DATE($B$3,11,2),'Leave log'!$C$7:$C$306,"&gt;="&amp;DATE($B$3,11,2),'Leave log'!$F$7:$F$306,"Approved")&gt;0,"A",""))="A","A",IF(OR(DATE($B$3,11,2)&gt;EOMONTH(DATE($B$3,11,1),0),NETWORKDAYS.INTL(DATE($B$3,11,2),DATE($B$3,11,2),1,'Non-working days'!$A$6:$A$45)=0),"",IF(COUNTIFS('Leave log'!$A$7:$A$306,Employees!$A$9,'Leave log'!$B$7:$B$306,"&lt;="&amp;DATE($B$3,11,2),'Leave log'!$C$7:$C$306,"&gt;="&amp;DATE($B$3,11,2),'Leave log'!$F$7:$F$306,"Pending")&gt;0,"P",""))))</f>
        <v/>
      </c>
      <c r="D350" s="23" t="str">
        <f>IF(A350="","",IF(IF(OR(DATE($B$3,11,3)&gt;EOMONTH(DATE($B$3,11,1),0),NETWORKDAYS.INTL(DATE($B$3,11,3),DATE($B$3,11,3),1,'Non-working days'!$A$6:$A$45)=0),"",IF(COUNTIFS('Leave log'!$A$7:$A$306,Employees!$A$9,'Leave log'!$B$7:$B$306,"&lt;="&amp;DATE($B$3,11,3),'Leave log'!$C$7:$C$306,"&gt;="&amp;DATE($B$3,11,3),'Leave log'!$F$7:$F$306,"Approved")&gt;0,"A",""))="A","A",IF(OR(DATE($B$3,11,3)&gt;EOMONTH(DATE($B$3,11,1),0),NETWORKDAYS.INTL(DATE($B$3,11,3),DATE($B$3,11,3),1,'Non-working days'!$A$6:$A$45)=0),"",IF(COUNTIFS('Leave log'!$A$7:$A$306,Employees!$A$9,'Leave log'!$B$7:$B$306,"&lt;="&amp;DATE($B$3,11,3),'Leave log'!$C$7:$C$306,"&gt;="&amp;DATE($B$3,11,3),'Leave log'!$F$7:$F$306,"Pending")&gt;0,"P",""))))</f>
        <v/>
      </c>
      <c r="E350" s="23" t="str">
        <f>IF(A350="","",IF(IF(OR(DATE($B$3,11,4)&gt;EOMONTH(DATE($B$3,11,1),0),NETWORKDAYS.INTL(DATE($B$3,11,4),DATE($B$3,11,4),1,'Non-working days'!$A$6:$A$45)=0),"",IF(COUNTIFS('Leave log'!$A$7:$A$306,Employees!$A$9,'Leave log'!$B$7:$B$306,"&lt;="&amp;DATE($B$3,11,4),'Leave log'!$C$7:$C$306,"&gt;="&amp;DATE($B$3,11,4),'Leave log'!$F$7:$F$306,"Approved")&gt;0,"A",""))="A","A",IF(OR(DATE($B$3,11,4)&gt;EOMONTH(DATE($B$3,11,1),0),NETWORKDAYS.INTL(DATE($B$3,11,4),DATE($B$3,11,4),1,'Non-working days'!$A$6:$A$45)=0),"",IF(COUNTIFS('Leave log'!$A$7:$A$306,Employees!$A$9,'Leave log'!$B$7:$B$306,"&lt;="&amp;DATE($B$3,11,4),'Leave log'!$C$7:$C$306,"&gt;="&amp;DATE($B$3,11,4),'Leave log'!$F$7:$F$306,"Pending")&gt;0,"P",""))))</f>
        <v/>
      </c>
      <c r="F350" s="23" t="str">
        <f>IF(A350="","",IF(IF(OR(DATE($B$3,11,5)&gt;EOMONTH(DATE($B$3,11,1),0),NETWORKDAYS.INTL(DATE($B$3,11,5),DATE($B$3,11,5),1,'Non-working days'!$A$6:$A$45)=0),"",IF(COUNTIFS('Leave log'!$A$7:$A$306,Employees!$A$9,'Leave log'!$B$7:$B$306,"&lt;="&amp;DATE($B$3,11,5),'Leave log'!$C$7:$C$306,"&gt;="&amp;DATE($B$3,11,5),'Leave log'!$F$7:$F$306,"Approved")&gt;0,"A",""))="A","A",IF(OR(DATE($B$3,11,5)&gt;EOMONTH(DATE($B$3,11,1),0),NETWORKDAYS.INTL(DATE($B$3,11,5),DATE($B$3,11,5),1,'Non-working days'!$A$6:$A$45)=0),"",IF(COUNTIFS('Leave log'!$A$7:$A$306,Employees!$A$9,'Leave log'!$B$7:$B$306,"&lt;="&amp;DATE($B$3,11,5),'Leave log'!$C$7:$C$306,"&gt;="&amp;DATE($B$3,11,5),'Leave log'!$F$7:$F$306,"Pending")&gt;0,"P",""))))</f>
        <v/>
      </c>
      <c r="G350" s="23" t="str">
        <f>IF(A350="","",IF(IF(OR(DATE($B$3,11,6)&gt;EOMONTH(DATE($B$3,11,1),0),NETWORKDAYS.INTL(DATE($B$3,11,6),DATE($B$3,11,6),1,'Non-working days'!$A$6:$A$45)=0),"",IF(COUNTIFS('Leave log'!$A$7:$A$306,Employees!$A$9,'Leave log'!$B$7:$B$306,"&lt;="&amp;DATE($B$3,11,6),'Leave log'!$C$7:$C$306,"&gt;="&amp;DATE($B$3,11,6),'Leave log'!$F$7:$F$306,"Approved")&gt;0,"A",""))="A","A",IF(OR(DATE($B$3,11,6)&gt;EOMONTH(DATE($B$3,11,1),0),NETWORKDAYS.INTL(DATE($B$3,11,6),DATE($B$3,11,6),1,'Non-working days'!$A$6:$A$45)=0),"",IF(COUNTIFS('Leave log'!$A$7:$A$306,Employees!$A$9,'Leave log'!$B$7:$B$306,"&lt;="&amp;DATE($B$3,11,6),'Leave log'!$C$7:$C$306,"&gt;="&amp;DATE($B$3,11,6),'Leave log'!$F$7:$F$306,"Pending")&gt;0,"P",""))))</f>
        <v/>
      </c>
      <c r="H350" s="23" t="str">
        <f>IF(A350="","",IF(IF(OR(DATE($B$3,11,7)&gt;EOMONTH(DATE($B$3,11,1),0),NETWORKDAYS.INTL(DATE($B$3,11,7),DATE($B$3,11,7),1,'Non-working days'!$A$6:$A$45)=0),"",IF(COUNTIFS('Leave log'!$A$7:$A$306,Employees!$A$9,'Leave log'!$B$7:$B$306,"&lt;="&amp;DATE($B$3,11,7),'Leave log'!$C$7:$C$306,"&gt;="&amp;DATE($B$3,11,7),'Leave log'!$F$7:$F$306,"Approved")&gt;0,"A",""))="A","A",IF(OR(DATE($B$3,11,7)&gt;EOMONTH(DATE($B$3,11,1),0),NETWORKDAYS.INTL(DATE($B$3,11,7),DATE($B$3,11,7),1,'Non-working days'!$A$6:$A$45)=0),"",IF(COUNTIFS('Leave log'!$A$7:$A$306,Employees!$A$9,'Leave log'!$B$7:$B$306,"&lt;="&amp;DATE($B$3,11,7),'Leave log'!$C$7:$C$306,"&gt;="&amp;DATE($B$3,11,7),'Leave log'!$F$7:$F$306,"Pending")&gt;0,"P",""))))</f>
        <v/>
      </c>
      <c r="I350" s="23" t="str">
        <f>IF(A350="","",IF(IF(OR(DATE($B$3,11,8)&gt;EOMONTH(DATE($B$3,11,1),0),NETWORKDAYS.INTL(DATE($B$3,11,8),DATE($B$3,11,8),1,'Non-working days'!$A$6:$A$45)=0),"",IF(COUNTIFS('Leave log'!$A$7:$A$306,Employees!$A$9,'Leave log'!$B$7:$B$306,"&lt;="&amp;DATE($B$3,11,8),'Leave log'!$C$7:$C$306,"&gt;="&amp;DATE($B$3,11,8),'Leave log'!$F$7:$F$306,"Approved")&gt;0,"A",""))="A","A",IF(OR(DATE($B$3,11,8)&gt;EOMONTH(DATE($B$3,11,1),0),NETWORKDAYS.INTL(DATE($B$3,11,8),DATE($B$3,11,8),1,'Non-working days'!$A$6:$A$45)=0),"",IF(COUNTIFS('Leave log'!$A$7:$A$306,Employees!$A$9,'Leave log'!$B$7:$B$306,"&lt;="&amp;DATE($B$3,11,8),'Leave log'!$C$7:$C$306,"&gt;="&amp;DATE($B$3,11,8),'Leave log'!$F$7:$F$306,"Pending")&gt;0,"P",""))))</f>
        <v/>
      </c>
      <c r="J350" s="23" t="str">
        <f>IF(A350="","",IF(IF(OR(DATE($B$3,11,9)&gt;EOMONTH(DATE($B$3,11,1),0),NETWORKDAYS.INTL(DATE($B$3,11,9),DATE($B$3,11,9),1,'Non-working days'!$A$6:$A$45)=0),"",IF(COUNTIFS('Leave log'!$A$7:$A$306,Employees!$A$9,'Leave log'!$B$7:$B$306,"&lt;="&amp;DATE($B$3,11,9),'Leave log'!$C$7:$C$306,"&gt;="&amp;DATE($B$3,11,9),'Leave log'!$F$7:$F$306,"Approved")&gt;0,"A",""))="A","A",IF(OR(DATE($B$3,11,9)&gt;EOMONTH(DATE($B$3,11,1),0),NETWORKDAYS.INTL(DATE($B$3,11,9),DATE($B$3,11,9),1,'Non-working days'!$A$6:$A$45)=0),"",IF(COUNTIFS('Leave log'!$A$7:$A$306,Employees!$A$9,'Leave log'!$B$7:$B$306,"&lt;="&amp;DATE($B$3,11,9),'Leave log'!$C$7:$C$306,"&gt;="&amp;DATE($B$3,11,9),'Leave log'!$F$7:$F$306,"Pending")&gt;0,"P",""))))</f>
        <v/>
      </c>
      <c r="K350" s="23" t="str">
        <f>IF(A350="","",IF(IF(OR(DATE($B$3,11,10)&gt;EOMONTH(DATE($B$3,11,1),0),NETWORKDAYS.INTL(DATE($B$3,11,10),DATE($B$3,11,10),1,'Non-working days'!$A$6:$A$45)=0),"",IF(COUNTIFS('Leave log'!$A$7:$A$306,Employees!$A$9,'Leave log'!$B$7:$B$306,"&lt;="&amp;DATE($B$3,11,10),'Leave log'!$C$7:$C$306,"&gt;="&amp;DATE($B$3,11,10),'Leave log'!$F$7:$F$306,"Approved")&gt;0,"A",""))="A","A",IF(OR(DATE($B$3,11,10)&gt;EOMONTH(DATE($B$3,11,1),0),NETWORKDAYS.INTL(DATE($B$3,11,10),DATE($B$3,11,10),1,'Non-working days'!$A$6:$A$45)=0),"",IF(COUNTIFS('Leave log'!$A$7:$A$306,Employees!$A$9,'Leave log'!$B$7:$B$306,"&lt;="&amp;DATE($B$3,11,10),'Leave log'!$C$7:$C$306,"&gt;="&amp;DATE($B$3,11,10),'Leave log'!$F$7:$F$306,"Pending")&gt;0,"P",""))))</f>
        <v/>
      </c>
      <c r="L350" s="23" t="str">
        <f>IF(A350="","",IF(IF(OR(DATE($B$3,11,11)&gt;EOMONTH(DATE($B$3,11,1),0),NETWORKDAYS.INTL(DATE($B$3,11,11),DATE($B$3,11,11),1,'Non-working days'!$A$6:$A$45)=0),"",IF(COUNTIFS('Leave log'!$A$7:$A$306,Employees!$A$9,'Leave log'!$B$7:$B$306,"&lt;="&amp;DATE($B$3,11,11),'Leave log'!$C$7:$C$306,"&gt;="&amp;DATE($B$3,11,11),'Leave log'!$F$7:$F$306,"Approved")&gt;0,"A",""))="A","A",IF(OR(DATE($B$3,11,11)&gt;EOMONTH(DATE($B$3,11,1),0),NETWORKDAYS.INTL(DATE($B$3,11,11),DATE($B$3,11,11),1,'Non-working days'!$A$6:$A$45)=0),"",IF(COUNTIFS('Leave log'!$A$7:$A$306,Employees!$A$9,'Leave log'!$B$7:$B$306,"&lt;="&amp;DATE($B$3,11,11),'Leave log'!$C$7:$C$306,"&gt;="&amp;DATE($B$3,11,11),'Leave log'!$F$7:$F$306,"Pending")&gt;0,"P",""))))</f>
        <v/>
      </c>
      <c r="M350" s="23" t="str">
        <f>IF(A350="","",IF(IF(OR(DATE($B$3,11,12)&gt;EOMONTH(DATE($B$3,11,1),0),NETWORKDAYS.INTL(DATE($B$3,11,12),DATE($B$3,11,12),1,'Non-working days'!$A$6:$A$45)=0),"",IF(COUNTIFS('Leave log'!$A$7:$A$306,Employees!$A$9,'Leave log'!$B$7:$B$306,"&lt;="&amp;DATE($B$3,11,12),'Leave log'!$C$7:$C$306,"&gt;="&amp;DATE($B$3,11,12),'Leave log'!$F$7:$F$306,"Approved")&gt;0,"A",""))="A","A",IF(OR(DATE($B$3,11,12)&gt;EOMONTH(DATE($B$3,11,1),0),NETWORKDAYS.INTL(DATE($B$3,11,12),DATE($B$3,11,12),1,'Non-working days'!$A$6:$A$45)=0),"",IF(COUNTIFS('Leave log'!$A$7:$A$306,Employees!$A$9,'Leave log'!$B$7:$B$306,"&lt;="&amp;DATE($B$3,11,12),'Leave log'!$C$7:$C$306,"&gt;="&amp;DATE($B$3,11,12),'Leave log'!$F$7:$F$306,"Pending")&gt;0,"P",""))))</f>
        <v/>
      </c>
      <c r="N350" s="23" t="str">
        <f>IF(A350="","",IF(IF(OR(DATE($B$3,11,13)&gt;EOMONTH(DATE($B$3,11,1),0),NETWORKDAYS.INTL(DATE($B$3,11,13),DATE($B$3,11,13),1,'Non-working days'!$A$6:$A$45)=0),"",IF(COUNTIFS('Leave log'!$A$7:$A$306,Employees!$A$9,'Leave log'!$B$7:$B$306,"&lt;="&amp;DATE($B$3,11,13),'Leave log'!$C$7:$C$306,"&gt;="&amp;DATE($B$3,11,13),'Leave log'!$F$7:$F$306,"Approved")&gt;0,"A",""))="A","A",IF(OR(DATE($B$3,11,13)&gt;EOMONTH(DATE($B$3,11,1),0),NETWORKDAYS.INTL(DATE($B$3,11,13),DATE($B$3,11,13),1,'Non-working days'!$A$6:$A$45)=0),"",IF(COUNTIFS('Leave log'!$A$7:$A$306,Employees!$A$9,'Leave log'!$B$7:$B$306,"&lt;="&amp;DATE($B$3,11,13),'Leave log'!$C$7:$C$306,"&gt;="&amp;DATE($B$3,11,13),'Leave log'!$F$7:$F$306,"Pending")&gt;0,"P",""))))</f>
        <v/>
      </c>
      <c r="O350" s="23" t="str">
        <f>IF(A350="","",IF(IF(OR(DATE($B$3,11,14)&gt;EOMONTH(DATE($B$3,11,1),0),NETWORKDAYS.INTL(DATE($B$3,11,14),DATE($B$3,11,14),1,'Non-working days'!$A$6:$A$45)=0),"",IF(COUNTIFS('Leave log'!$A$7:$A$306,Employees!$A$9,'Leave log'!$B$7:$B$306,"&lt;="&amp;DATE($B$3,11,14),'Leave log'!$C$7:$C$306,"&gt;="&amp;DATE($B$3,11,14),'Leave log'!$F$7:$F$306,"Approved")&gt;0,"A",""))="A","A",IF(OR(DATE($B$3,11,14)&gt;EOMONTH(DATE($B$3,11,1),0),NETWORKDAYS.INTL(DATE($B$3,11,14),DATE($B$3,11,14),1,'Non-working days'!$A$6:$A$45)=0),"",IF(COUNTIFS('Leave log'!$A$7:$A$306,Employees!$A$9,'Leave log'!$B$7:$B$306,"&lt;="&amp;DATE($B$3,11,14),'Leave log'!$C$7:$C$306,"&gt;="&amp;DATE($B$3,11,14),'Leave log'!$F$7:$F$306,"Pending")&gt;0,"P",""))))</f>
        <v/>
      </c>
      <c r="P350" s="23" t="str">
        <f>IF(A350="","",IF(IF(OR(DATE($B$3,11,15)&gt;EOMONTH(DATE($B$3,11,1),0),NETWORKDAYS.INTL(DATE($B$3,11,15),DATE($B$3,11,15),1,'Non-working days'!$A$6:$A$45)=0),"",IF(COUNTIFS('Leave log'!$A$7:$A$306,Employees!$A$9,'Leave log'!$B$7:$B$306,"&lt;="&amp;DATE($B$3,11,15),'Leave log'!$C$7:$C$306,"&gt;="&amp;DATE($B$3,11,15),'Leave log'!$F$7:$F$306,"Approved")&gt;0,"A",""))="A","A",IF(OR(DATE($B$3,11,15)&gt;EOMONTH(DATE($B$3,11,1),0),NETWORKDAYS.INTL(DATE($B$3,11,15),DATE($B$3,11,15),1,'Non-working days'!$A$6:$A$45)=0),"",IF(COUNTIFS('Leave log'!$A$7:$A$306,Employees!$A$9,'Leave log'!$B$7:$B$306,"&lt;="&amp;DATE($B$3,11,15),'Leave log'!$C$7:$C$306,"&gt;="&amp;DATE($B$3,11,15),'Leave log'!$F$7:$F$306,"Pending")&gt;0,"P",""))))</f>
        <v/>
      </c>
      <c r="Q350" s="23" t="str">
        <f>IF(A350="","",IF(IF(OR(DATE($B$3,11,16)&gt;EOMONTH(DATE($B$3,11,1),0),NETWORKDAYS.INTL(DATE($B$3,11,16),DATE($B$3,11,16),1,'Non-working days'!$A$6:$A$45)=0),"",IF(COUNTIFS('Leave log'!$A$7:$A$306,Employees!$A$9,'Leave log'!$B$7:$B$306,"&lt;="&amp;DATE($B$3,11,16),'Leave log'!$C$7:$C$306,"&gt;="&amp;DATE($B$3,11,16),'Leave log'!$F$7:$F$306,"Approved")&gt;0,"A",""))="A","A",IF(OR(DATE($B$3,11,16)&gt;EOMONTH(DATE($B$3,11,1),0),NETWORKDAYS.INTL(DATE($B$3,11,16),DATE($B$3,11,16),1,'Non-working days'!$A$6:$A$45)=0),"",IF(COUNTIFS('Leave log'!$A$7:$A$306,Employees!$A$9,'Leave log'!$B$7:$B$306,"&lt;="&amp;DATE($B$3,11,16),'Leave log'!$C$7:$C$306,"&gt;="&amp;DATE($B$3,11,16),'Leave log'!$F$7:$F$306,"Pending")&gt;0,"P",""))))</f>
        <v/>
      </c>
      <c r="R350" s="23" t="str">
        <f>IF(A350="","",IF(IF(OR(DATE($B$3,11,17)&gt;EOMONTH(DATE($B$3,11,1),0),NETWORKDAYS.INTL(DATE($B$3,11,17),DATE($B$3,11,17),1,'Non-working days'!$A$6:$A$45)=0),"",IF(COUNTIFS('Leave log'!$A$7:$A$306,Employees!$A$9,'Leave log'!$B$7:$B$306,"&lt;="&amp;DATE($B$3,11,17),'Leave log'!$C$7:$C$306,"&gt;="&amp;DATE($B$3,11,17),'Leave log'!$F$7:$F$306,"Approved")&gt;0,"A",""))="A","A",IF(OR(DATE($B$3,11,17)&gt;EOMONTH(DATE($B$3,11,1),0),NETWORKDAYS.INTL(DATE($B$3,11,17),DATE($B$3,11,17),1,'Non-working days'!$A$6:$A$45)=0),"",IF(COUNTIFS('Leave log'!$A$7:$A$306,Employees!$A$9,'Leave log'!$B$7:$B$306,"&lt;="&amp;DATE($B$3,11,17),'Leave log'!$C$7:$C$306,"&gt;="&amp;DATE($B$3,11,17),'Leave log'!$F$7:$F$306,"Pending")&gt;0,"P",""))))</f>
        <v/>
      </c>
      <c r="S350" s="23" t="str">
        <f>IF(A350="","",IF(IF(OR(DATE($B$3,11,18)&gt;EOMONTH(DATE($B$3,11,1),0),NETWORKDAYS.INTL(DATE($B$3,11,18),DATE($B$3,11,18),1,'Non-working days'!$A$6:$A$45)=0),"",IF(COUNTIFS('Leave log'!$A$7:$A$306,Employees!$A$9,'Leave log'!$B$7:$B$306,"&lt;="&amp;DATE($B$3,11,18),'Leave log'!$C$7:$C$306,"&gt;="&amp;DATE($B$3,11,18),'Leave log'!$F$7:$F$306,"Approved")&gt;0,"A",""))="A","A",IF(OR(DATE($B$3,11,18)&gt;EOMONTH(DATE($B$3,11,1),0),NETWORKDAYS.INTL(DATE($B$3,11,18),DATE($B$3,11,18),1,'Non-working days'!$A$6:$A$45)=0),"",IF(COUNTIFS('Leave log'!$A$7:$A$306,Employees!$A$9,'Leave log'!$B$7:$B$306,"&lt;="&amp;DATE($B$3,11,18),'Leave log'!$C$7:$C$306,"&gt;="&amp;DATE($B$3,11,18),'Leave log'!$F$7:$F$306,"Pending")&gt;0,"P",""))))</f>
        <v/>
      </c>
      <c r="T350" s="23" t="str">
        <f>IF(A350="","",IF(IF(OR(DATE($B$3,11,19)&gt;EOMONTH(DATE($B$3,11,1),0),NETWORKDAYS.INTL(DATE($B$3,11,19),DATE($B$3,11,19),1,'Non-working days'!$A$6:$A$45)=0),"",IF(COUNTIFS('Leave log'!$A$7:$A$306,Employees!$A$9,'Leave log'!$B$7:$B$306,"&lt;="&amp;DATE($B$3,11,19),'Leave log'!$C$7:$C$306,"&gt;="&amp;DATE($B$3,11,19),'Leave log'!$F$7:$F$306,"Approved")&gt;0,"A",""))="A","A",IF(OR(DATE($B$3,11,19)&gt;EOMONTH(DATE($B$3,11,1),0),NETWORKDAYS.INTL(DATE($B$3,11,19),DATE($B$3,11,19),1,'Non-working days'!$A$6:$A$45)=0),"",IF(COUNTIFS('Leave log'!$A$7:$A$306,Employees!$A$9,'Leave log'!$B$7:$B$306,"&lt;="&amp;DATE($B$3,11,19),'Leave log'!$C$7:$C$306,"&gt;="&amp;DATE($B$3,11,19),'Leave log'!$F$7:$F$306,"Pending")&gt;0,"P",""))))</f>
        <v/>
      </c>
      <c r="U350" s="23" t="str">
        <f>IF(A350="","",IF(IF(OR(DATE($B$3,11,20)&gt;EOMONTH(DATE($B$3,11,1),0),NETWORKDAYS.INTL(DATE($B$3,11,20),DATE($B$3,11,20),1,'Non-working days'!$A$6:$A$45)=0),"",IF(COUNTIFS('Leave log'!$A$7:$A$306,Employees!$A$9,'Leave log'!$B$7:$B$306,"&lt;="&amp;DATE($B$3,11,20),'Leave log'!$C$7:$C$306,"&gt;="&amp;DATE($B$3,11,20),'Leave log'!$F$7:$F$306,"Approved")&gt;0,"A",""))="A","A",IF(OR(DATE($B$3,11,20)&gt;EOMONTH(DATE($B$3,11,1),0),NETWORKDAYS.INTL(DATE($B$3,11,20),DATE($B$3,11,20),1,'Non-working days'!$A$6:$A$45)=0),"",IF(COUNTIFS('Leave log'!$A$7:$A$306,Employees!$A$9,'Leave log'!$B$7:$B$306,"&lt;="&amp;DATE($B$3,11,20),'Leave log'!$C$7:$C$306,"&gt;="&amp;DATE($B$3,11,20),'Leave log'!$F$7:$F$306,"Pending")&gt;0,"P",""))))</f>
        <v/>
      </c>
      <c r="V350" s="23" t="str">
        <f>IF(A350="","",IF(IF(OR(DATE($B$3,11,21)&gt;EOMONTH(DATE($B$3,11,1),0),NETWORKDAYS.INTL(DATE($B$3,11,21),DATE($B$3,11,21),1,'Non-working days'!$A$6:$A$45)=0),"",IF(COUNTIFS('Leave log'!$A$7:$A$306,Employees!$A$9,'Leave log'!$B$7:$B$306,"&lt;="&amp;DATE($B$3,11,21),'Leave log'!$C$7:$C$306,"&gt;="&amp;DATE($B$3,11,21),'Leave log'!$F$7:$F$306,"Approved")&gt;0,"A",""))="A","A",IF(OR(DATE($B$3,11,21)&gt;EOMONTH(DATE($B$3,11,1),0),NETWORKDAYS.INTL(DATE($B$3,11,21),DATE($B$3,11,21),1,'Non-working days'!$A$6:$A$45)=0),"",IF(COUNTIFS('Leave log'!$A$7:$A$306,Employees!$A$9,'Leave log'!$B$7:$B$306,"&lt;="&amp;DATE($B$3,11,21),'Leave log'!$C$7:$C$306,"&gt;="&amp;DATE($B$3,11,21),'Leave log'!$F$7:$F$306,"Pending")&gt;0,"P",""))))</f>
        <v/>
      </c>
      <c r="W350" s="23" t="str">
        <f>IF(A350="","",IF(IF(OR(DATE($B$3,11,22)&gt;EOMONTH(DATE($B$3,11,1),0),NETWORKDAYS.INTL(DATE($B$3,11,22),DATE($B$3,11,22),1,'Non-working days'!$A$6:$A$45)=0),"",IF(COUNTIFS('Leave log'!$A$7:$A$306,Employees!$A$9,'Leave log'!$B$7:$B$306,"&lt;="&amp;DATE($B$3,11,22),'Leave log'!$C$7:$C$306,"&gt;="&amp;DATE($B$3,11,22),'Leave log'!$F$7:$F$306,"Approved")&gt;0,"A",""))="A","A",IF(OR(DATE($B$3,11,22)&gt;EOMONTH(DATE($B$3,11,1),0),NETWORKDAYS.INTL(DATE($B$3,11,22),DATE($B$3,11,22),1,'Non-working days'!$A$6:$A$45)=0),"",IF(COUNTIFS('Leave log'!$A$7:$A$306,Employees!$A$9,'Leave log'!$B$7:$B$306,"&lt;="&amp;DATE($B$3,11,22),'Leave log'!$C$7:$C$306,"&gt;="&amp;DATE($B$3,11,22),'Leave log'!$F$7:$F$306,"Pending")&gt;0,"P",""))))</f>
        <v/>
      </c>
      <c r="X350" s="23" t="str">
        <f>IF(A350="","",IF(IF(OR(DATE($B$3,11,23)&gt;EOMONTH(DATE($B$3,11,1),0),NETWORKDAYS.INTL(DATE($B$3,11,23),DATE($B$3,11,23),1,'Non-working days'!$A$6:$A$45)=0),"",IF(COUNTIFS('Leave log'!$A$7:$A$306,Employees!$A$9,'Leave log'!$B$7:$B$306,"&lt;="&amp;DATE($B$3,11,23),'Leave log'!$C$7:$C$306,"&gt;="&amp;DATE($B$3,11,23),'Leave log'!$F$7:$F$306,"Approved")&gt;0,"A",""))="A","A",IF(OR(DATE($B$3,11,23)&gt;EOMONTH(DATE($B$3,11,1),0),NETWORKDAYS.INTL(DATE($B$3,11,23),DATE($B$3,11,23),1,'Non-working days'!$A$6:$A$45)=0),"",IF(COUNTIFS('Leave log'!$A$7:$A$306,Employees!$A$9,'Leave log'!$B$7:$B$306,"&lt;="&amp;DATE($B$3,11,23),'Leave log'!$C$7:$C$306,"&gt;="&amp;DATE($B$3,11,23),'Leave log'!$F$7:$F$306,"Pending")&gt;0,"P",""))))</f>
        <v/>
      </c>
      <c r="Y350" s="23" t="str">
        <f>IF(A350="","",IF(IF(OR(DATE($B$3,11,24)&gt;EOMONTH(DATE($B$3,11,1),0),NETWORKDAYS.INTL(DATE($B$3,11,24),DATE($B$3,11,24),1,'Non-working days'!$A$6:$A$45)=0),"",IF(COUNTIFS('Leave log'!$A$7:$A$306,Employees!$A$9,'Leave log'!$B$7:$B$306,"&lt;="&amp;DATE($B$3,11,24),'Leave log'!$C$7:$C$306,"&gt;="&amp;DATE($B$3,11,24),'Leave log'!$F$7:$F$306,"Approved")&gt;0,"A",""))="A","A",IF(OR(DATE($B$3,11,24)&gt;EOMONTH(DATE($B$3,11,1),0),NETWORKDAYS.INTL(DATE($B$3,11,24),DATE($B$3,11,24),1,'Non-working days'!$A$6:$A$45)=0),"",IF(COUNTIFS('Leave log'!$A$7:$A$306,Employees!$A$9,'Leave log'!$B$7:$B$306,"&lt;="&amp;DATE($B$3,11,24),'Leave log'!$C$7:$C$306,"&gt;="&amp;DATE($B$3,11,24),'Leave log'!$F$7:$F$306,"Pending")&gt;0,"P",""))))</f>
        <v/>
      </c>
      <c r="Z350" s="23" t="str">
        <f>IF(A350="","",IF(IF(OR(DATE($B$3,11,25)&gt;EOMONTH(DATE($B$3,11,1),0),NETWORKDAYS.INTL(DATE($B$3,11,25),DATE($B$3,11,25),1,'Non-working days'!$A$6:$A$45)=0),"",IF(COUNTIFS('Leave log'!$A$7:$A$306,Employees!$A$9,'Leave log'!$B$7:$B$306,"&lt;="&amp;DATE($B$3,11,25),'Leave log'!$C$7:$C$306,"&gt;="&amp;DATE($B$3,11,25),'Leave log'!$F$7:$F$306,"Approved")&gt;0,"A",""))="A","A",IF(OR(DATE($B$3,11,25)&gt;EOMONTH(DATE($B$3,11,1),0),NETWORKDAYS.INTL(DATE($B$3,11,25),DATE($B$3,11,25),1,'Non-working days'!$A$6:$A$45)=0),"",IF(COUNTIFS('Leave log'!$A$7:$A$306,Employees!$A$9,'Leave log'!$B$7:$B$306,"&lt;="&amp;DATE($B$3,11,25),'Leave log'!$C$7:$C$306,"&gt;="&amp;DATE($B$3,11,25),'Leave log'!$F$7:$F$306,"Pending")&gt;0,"P",""))))</f>
        <v/>
      </c>
      <c r="AA350" s="23" t="str">
        <f>IF(A350="","",IF(IF(OR(DATE($B$3,11,26)&gt;EOMONTH(DATE($B$3,11,1),0),NETWORKDAYS.INTL(DATE($B$3,11,26),DATE($B$3,11,26),1,'Non-working days'!$A$6:$A$45)=0),"",IF(COUNTIFS('Leave log'!$A$7:$A$306,Employees!$A$9,'Leave log'!$B$7:$B$306,"&lt;="&amp;DATE($B$3,11,26),'Leave log'!$C$7:$C$306,"&gt;="&amp;DATE($B$3,11,26),'Leave log'!$F$7:$F$306,"Approved")&gt;0,"A",""))="A","A",IF(OR(DATE($B$3,11,26)&gt;EOMONTH(DATE($B$3,11,1),0),NETWORKDAYS.INTL(DATE($B$3,11,26),DATE($B$3,11,26),1,'Non-working days'!$A$6:$A$45)=0),"",IF(COUNTIFS('Leave log'!$A$7:$A$306,Employees!$A$9,'Leave log'!$B$7:$B$306,"&lt;="&amp;DATE($B$3,11,26),'Leave log'!$C$7:$C$306,"&gt;="&amp;DATE($B$3,11,26),'Leave log'!$F$7:$F$306,"Pending")&gt;0,"P",""))))</f>
        <v/>
      </c>
      <c r="AB350" s="23" t="str">
        <f>IF(A350="","",IF(IF(OR(DATE($B$3,11,27)&gt;EOMONTH(DATE($B$3,11,1),0),NETWORKDAYS.INTL(DATE($B$3,11,27),DATE($B$3,11,27),1,'Non-working days'!$A$6:$A$45)=0),"",IF(COUNTIFS('Leave log'!$A$7:$A$306,Employees!$A$9,'Leave log'!$B$7:$B$306,"&lt;="&amp;DATE($B$3,11,27),'Leave log'!$C$7:$C$306,"&gt;="&amp;DATE($B$3,11,27),'Leave log'!$F$7:$F$306,"Approved")&gt;0,"A",""))="A","A",IF(OR(DATE($B$3,11,27)&gt;EOMONTH(DATE($B$3,11,1),0),NETWORKDAYS.INTL(DATE($B$3,11,27),DATE($B$3,11,27),1,'Non-working days'!$A$6:$A$45)=0),"",IF(COUNTIFS('Leave log'!$A$7:$A$306,Employees!$A$9,'Leave log'!$B$7:$B$306,"&lt;="&amp;DATE($B$3,11,27),'Leave log'!$C$7:$C$306,"&gt;="&amp;DATE($B$3,11,27),'Leave log'!$F$7:$F$306,"Pending")&gt;0,"P",""))))</f>
        <v/>
      </c>
      <c r="AC350" s="23" t="str">
        <f>IF(A350="","",IF(IF(OR(DATE($B$3,11,28)&gt;EOMONTH(DATE($B$3,11,1),0),NETWORKDAYS.INTL(DATE($B$3,11,28),DATE($B$3,11,28),1,'Non-working days'!$A$6:$A$45)=0),"",IF(COUNTIFS('Leave log'!$A$7:$A$306,Employees!$A$9,'Leave log'!$B$7:$B$306,"&lt;="&amp;DATE($B$3,11,28),'Leave log'!$C$7:$C$306,"&gt;="&amp;DATE($B$3,11,28),'Leave log'!$F$7:$F$306,"Approved")&gt;0,"A",""))="A","A",IF(OR(DATE($B$3,11,28)&gt;EOMONTH(DATE($B$3,11,1),0),NETWORKDAYS.INTL(DATE($B$3,11,28),DATE($B$3,11,28),1,'Non-working days'!$A$6:$A$45)=0),"",IF(COUNTIFS('Leave log'!$A$7:$A$306,Employees!$A$9,'Leave log'!$B$7:$B$306,"&lt;="&amp;DATE($B$3,11,28),'Leave log'!$C$7:$C$306,"&gt;="&amp;DATE($B$3,11,28),'Leave log'!$F$7:$F$306,"Pending")&gt;0,"P",""))))</f>
        <v/>
      </c>
      <c r="AD350" s="23" t="str">
        <f>IF(A350="","",IF(IF(OR(DATE($B$3,11,29)&gt;EOMONTH(DATE($B$3,11,1),0),NETWORKDAYS.INTL(DATE($B$3,11,29),DATE($B$3,11,29),1,'Non-working days'!$A$6:$A$45)=0),"",IF(COUNTIFS('Leave log'!$A$7:$A$306,Employees!$A$9,'Leave log'!$B$7:$B$306,"&lt;="&amp;DATE($B$3,11,29),'Leave log'!$C$7:$C$306,"&gt;="&amp;DATE($B$3,11,29),'Leave log'!$F$7:$F$306,"Approved")&gt;0,"A",""))="A","A",IF(OR(DATE($B$3,11,29)&gt;EOMONTH(DATE($B$3,11,1),0),NETWORKDAYS.INTL(DATE($B$3,11,29),DATE($B$3,11,29),1,'Non-working days'!$A$6:$A$45)=0),"",IF(COUNTIFS('Leave log'!$A$7:$A$306,Employees!$A$9,'Leave log'!$B$7:$B$306,"&lt;="&amp;DATE($B$3,11,29),'Leave log'!$C$7:$C$306,"&gt;="&amp;DATE($B$3,11,29),'Leave log'!$F$7:$F$306,"Pending")&gt;0,"P",""))))</f>
        <v/>
      </c>
      <c r="AE350" s="23" t="str">
        <f>IF(A350="","",IF(IF(OR(DATE($B$3,11,30)&gt;EOMONTH(DATE($B$3,11,1),0),NETWORKDAYS.INTL(DATE($B$3,11,30),DATE($B$3,11,30),1,'Non-working days'!$A$6:$A$45)=0),"",IF(COUNTIFS('Leave log'!$A$7:$A$306,Employees!$A$9,'Leave log'!$B$7:$B$306,"&lt;="&amp;DATE($B$3,11,30),'Leave log'!$C$7:$C$306,"&gt;="&amp;DATE($B$3,11,30),'Leave log'!$F$7:$F$306,"Approved")&gt;0,"A",""))="A","A",IF(OR(DATE($B$3,11,30)&gt;EOMONTH(DATE($B$3,11,1),0),NETWORKDAYS.INTL(DATE($B$3,11,30),DATE($B$3,11,30),1,'Non-working days'!$A$6:$A$45)=0),"",IF(COUNTIFS('Leave log'!$A$7:$A$306,Employees!$A$9,'Leave log'!$B$7:$B$306,"&lt;="&amp;DATE($B$3,11,30),'Leave log'!$C$7:$C$306,"&gt;="&amp;DATE($B$3,11,30),'Leave log'!$F$7:$F$306,"Pending")&gt;0,"P",""))))</f>
        <v/>
      </c>
      <c r="AF350" s="23" t="str">
        <f>IF(A350="","",IF(IF(OR(DATE($B$3,11,31)&gt;EOMONTH(DATE($B$3,11,1),0),NETWORKDAYS.INTL(DATE($B$3,11,31),DATE($B$3,11,31),1,'Non-working days'!$A$6:$A$45)=0),"",IF(COUNTIFS('Leave log'!$A$7:$A$306,Employees!$A$9,'Leave log'!$B$7:$B$306,"&lt;="&amp;DATE($B$3,11,31),'Leave log'!$C$7:$C$306,"&gt;="&amp;DATE($B$3,11,31),'Leave log'!$F$7:$F$306,"Approved")&gt;0,"A",""))="A","A",IF(OR(DATE($B$3,11,31)&gt;EOMONTH(DATE($B$3,11,1),0),NETWORKDAYS.INTL(DATE($B$3,11,31),DATE($B$3,11,31),1,'Non-working days'!$A$6:$A$45)=0),"",IF(COUNTIFS('Leave log'!$A$7:$A$306,Employees!$A$9,'Leave log'!$B$7:$B$306,"&lt;="&amp;DATE($B$3,11,31),'Leave log'!$C$7:$C$306,"&gt;="&amp;DATE($B$3,11,31),'Leave log'!$F$7:$F$306,"Pending")&gt;0,"P",""))))</f>
        <v/>
      </c>
    </row>
    <row r="351" spans="1:32" ht="18" customHeight="1" x14ac:dyDescent="0.3">
      <c r="A351" s="22" t="str">
        <f>IF(Employees!F10="Yes",Employees!B10,"")</f>
        <v/>
      </c>
      <c r="B351" s="23" t="str">
        <f>IF(A351="","",IF(IF(OR(DATE($B$3,11,1)&gt;EOMONTH(DATE($B$3,11,1),0),NETWORKDAYS.INTL(DATE($B$3,11,1),DATE($B$3,11,1),1,'Non-working days'!$A$6:$A$45)=0),"",IF(COUNTIFS('Leave log'!$A$7:$A$306,Employees!$A$10,'Leave log'!$B$7:$B$306,"&lt;="&amp;DATE($B$3,11,1),'Leave log'!$C$7:$C$306,"&gt;="&amp;DATE($B$3,11,1),'Leave log'!$F$7:$F$306,"Approved")&gt;0,"A",""))="A","A",IF(OR(DATE($B$3,11,1)&gt;EOMONTH(DATE($B$3,11,1),0),NETWORKDAYS.INTL(DATE($B$3,11,1),DATE($B$3,11,1),1,'Non-working days'!$A$6:$A$45)=0),"",IF(COUNTIFS('Leave log'!$A$7:$A$306,Employees!$A$10,'Leave log'!$B$7:$B$306,"&lt;="&amp;DATE($B$3,11,1),'Leave log'!$C$7:$C$306,"&gt;="&amp;DATE($B$3,11,1),'Leave log'!$F$7:$F$306,"Pending")&gt;0,"P",""))))</f>
        <v/>
      </c>
      <c r="C351" s="23" t="str">
        <f>IF(A351="","",IF(IF(OR(DATE($B$3,11,2)&gt;EOMONTH(DATE($B$3,11,1),0),NETWORKDAYS.INTL(DATE($B$3,11,2),DATE($B$3,11,2),1,'Non-working days'!$A$6:$A$45)=0),"",IF(COUNTIFS('Leave log'!$A$7:$A$306,Employees!$A$10,'Leave log'!$B$7:$B$306,"&lt;="&amp;DATE($B$3,11,2),'Leave log'!$C$7:$C$306,"&gt;="&amp;DATE($B$3,11,2),'Leave log'!$F$7:$F$306,"Approved")&gt;0,"A",""))="A","A",IF(OR(DATE($B$3,11,2)&gt;EOMONTH(DATE($B$3,11,1),0),NETWORKDAYS.INTL(DATE($B$3,11,2),DATE($B$3,11,2),1,'Non-working days'!$A$6:$A$45)=0),"",IF(COUNTIFS('Leave log'!$A$7:$A$306,Employees!$A$10,'Leave log'!$B$7:$B$306,"&lt;="&amp;DATE($B$3,11,2),'Leave log'!$C$7:$C$306,"&gt;="&amp;DATE($B$3,11,2),'Leave log'!$F$7:$F$306,"Pending")&gt;0,"P",""))))</f>
        <v/>
      </c>
      <c r="D351" s="23" t="str">
        <f>IF(A351="","",IF(IF(OR(DATE($B$3,11,3)&gt;EOMONTH(DATE($B$3,11,1),0),NETWORKDAYS.INTL(DATE($B$3,11,3),DATE($B$3,11,3),1,'Non-working days'!$A$6:$A$45)=0),"",IF(COUNTIFS('Leave log'!$A$7:$A$306,Employees!$A$10,'Leave log'!$B$7:$B$306,"&lt;="&amp;DATE($B$3,11,3),'Leave log'!$C$7:$C$306,"&gt;="&amp;DATE($B$3,11,3),'Leave log'!$F$7:$F$306,"Approved")&gt;0,"A",""))="A","A",IF(OR(DATE($B$3,11,3)&gt;EOMONTH(DATE($B$3,11,1),0),NETWORKDAYS.INTL(DATE($B$3,11,3),DATE($B$3,11,3),1,'Non-working days'!$A$6:$A$45)=0),"",IF(COUNTIFS('Leave log'!$A$7:$A$306,Employees!$A$10,'Leave log'!$B$7:$B$306,"&lt;="&amp;DATE($B$3,11,3),'Leave log'!$C$7:$C$306,"&gt;="&amp;DATE($B$3,11,3),'Leave log'!$F$7:$F$306,"Pending")&gt;0,"P",""))))</f>
        <v/>
      </c>
      <c r="E351" s="23" t="str">
        <f>IF(A351="","",IF(IF(OR(DATE($B$3,11,4)&gt;EOMONTH(DATE($B$3,11,1),0),NETWORKDAYS.INTL(DATE($B$3,11,4),DATE($B$3,11,4),1,'Non-working days'!$A$6:$A$45)=0),"",IF(COUNTIFS('Leave log'!$A$7:$A$306,Employees!$A$10,'Leave log'!$B$7:$B$306,"&lt;="&amp;DATE($B$3,11,4),'Leave log'!$C$7:$C$306,"&gt;="&amp;DATE($B$3,11,4),'Leave log'!$F$7:$F$306,"Approved")&gt;0,"A",""))="A","A",IF(OR(DATE($B$3,11,4)&gt;EOMONTH(DATE($B$3,11,1),0),NETWORKDAYS.INTL(DATE($B$3,11,4),DATE($B$3,11,4),1,'Non-working days'!$A$6:$A$45)=0),"",IF(COUNTIFS('Leave log'!$A$7:$A$306,Employees!$A$10,'Leave log'!$B$7:$B$306,"&lt;="&amp;DATE($B$3,11,4),'Leave log'!$C$7:$C$306,"&gt;="&amp;DATE($B$3,11,4),'Leave log'!$F$7:$F$306,"Pending")&gt;0,"P",""))))</f>
        <v/>
      </c>
      <c r="F351" s="23" t="str">
        <f>IF(A351="","",IF(IF(OR(DATE($B$3,11,5)&gt;EOMONTH(DATE($B$3,11,1),0),NETWORKDAYS.INTL(DATE($B$3,11,5),DATE($B$3,11,5),1,'Non-working days'!$A$6:$A$45)=0),"",IF(COUNTIFS('Leave log'!$A$7:$A$306,Employees!$A$10,'Leave log'!$B$7:$B$306,"&lt;="&amp;DATE($B$3,11,5),'Leave log'!$C$7:$C$306,"&gt;="&amp;DATE($B$3,11,5),'Leave log'!$F$7:$F$306,"Approved")&gt;0,"A",""))="A","A",IF(OR(DATE($B$3,11,5)&gt;EOMONTH(DATE($B$3,11,1),0),NETWORKDAYS.INTL(DATE($B$3,11,5),DATE($B$3,11,5),1,'Non-working days'!$A$6:$A$45)=0),"",IF(COUNTIFS('Leave log'!$A$7:$A$306,Employees!$A$10,'Leave log'!$B$7:$B$306,"&lt;="&amp;DATE($B$3,11,5),'Leave log'!$C$7:$C$306,"&gt;="&amp;DATE($B$3,11,5),'Leave log'!$F$7:$F$306,"Pending")&gt;0,"P",""))))</f>
        <v/>
      </c>
      <c r="G351" s="23" t="str">
        <f>IF(A351="","",IF(IF(OR(DATE($B$3,11,6)&gt;EOMONTH(DATE($B$3,11,1),0),NETWORKDAYS.INTL(DATE($B$3,11,6),DATE($B$3,11,6),1,'Non-working days'!$A$6:$A$45)=0),"",IF(COUNTIFS('Leave log'!$A$7:$A$306,Employees!$A$10,'Leave log'!$B$7:$B$306,"&lt;="&amp;DATE($B$3,11,6),'Leave log'!$C$7:$C$306,"&gt;="&amp;DATE($B$3,11,6),'Leave log'!$F$7:$F$306,"Approved")&gt;0,"A",""))="A","A",IF(OR(DATE($B$3,11,6)&gt;EOMONTH(DATE($B$3,11,1),0),NETWORKDAYS.INTL(DATE($B$3,11,6),DATE($B$3,11,6),1,'Non-working days'!$A$6:$A$45)=0),"",IF(COUNTIFS('Leave log'!$A$7:$A$306,Employees!$A$10,'Leave log'!$B$7:$B$306,"&lt;="&amp;DATE($B$3,11,6),'Leave log'!$C$7:$C$306,"&gt;="&amp;DATE($B$3,11,6),'Leave log'!$F$7:$F$306,"Pending")&gt;0,"P",""))))</f>
        <v/>
      </c>
      <c r="H351" s="23" t="str">
        <f>IF(A351="","",IF(IF(OR(DATE($B$3,11,7)&gt;EOMONTH(DATE($B$3,11,1),0),NETWORKDAYS.INTL(DATE($B$3,11,7),DATE($B$3,11,7),1,'Non-working days'!$A$6:$A$45)=0),"",IF(COUNTIFS('Leave log'!$A$7:$A$306,Employees!$A$10,'Leave log'!$B$7:$B$306,"&lt;="&amp;DATE($B$3,11,7),'Leave log'!$C$7:$C$306,"&gt;="&amp;DATE($B$3,11,7),'Leave log'!$F$7:$F$306,"Approved")&gt;0,"A",""))="A","A",IF(OR(DATE($B$3,11,7)&gt;EOMONTH(DATE($B$3,11,1),0),NETWORKDAYS.INTL(DATE($B$3,11,7),DATE($B$3,11,7),1,'Non-working days'!$A$6:$A$45)=0),"",IF(COUNTIFS('Leave log'!$A$7:$A$306,Employees!$A$10,'Leave log'!$B$7:$B$306,"&lt;="&amp;DATE($B$3,11,7),'Leave log'!$C$7:$C$306,"&gt;="&amp;DATE($B$3,11,7),'Leave log'!$F$7:$F$306,"Pending")&gt;0,"P",""))))</f>
        <v/>
      </c>
      <c r="I351" s="23" t="str">
        <f>IF(A351="","",IF(IF(OR(DATE($B$3,11,8)&gt;EOMONTH(DATE($B$3,11,1),0),NETWORKDAYS.INTL(DATE($B$3,11,8),DATE($B$3,11,8),1,'Non-working days'!$A$6:$A$45)=0),"",IF(COUNTIFS('Leave log'!$A$7:$A$306,Employees!$A$10,'Leave log'!$B$7:$B$306,"&lt;="&amp;DATE($B$3,11,8),'Leave log'!$C$7:$C$306,"&gt;="&amp;DATE($B$3,11,8),'Leave log'!$F$7:$F$306,"Approved")&gt;0,"A",""))="A","A",IF(OR(DATE($B$3,11,8)&gt;EOMONTH(DATE($B$3,11,1),0),NETWORKDAYS.INTL(DATE($B$3,11,8),DATE($B$3,11,8),1,'Non-working days'!$A$6:$A$45)=0),"",IF(COUNTIFS('Leave log'!$A$7:$A$306,Employees!$A$10,'Leave log'!$B$7:$B$306,"&lt;="&amp;DATE($B$3,11,8),'Leave log'!$C$7:$C$306,"&gt;="&amp;DATE($B$3,11,8),'Leave log'!$F$7:$F$306,"Pending")&gt;0,"P",""))))</f>
        <v/>
      </c>
      <c r="J351" s="23" t="str">
        <f>IF(A351="","",IF(IF(OR(DATE($B$3,11,9)&gt;EOMONTH(DATE($B$3,11,1),0),NETWORKDAYS.INTL(DATE($B$3,11,9),DATE($B$3,11,9),1,'Non-working days'!$A$6:$A$45)=0),"",IF(COUNTIFS('Leave log'!$A$7:$A$306,Employees!$A$10,'Leave log'!$B$7:$B$306,"&lt;="&amp;DATE($B$3,11,9),'Leave log'!$C$7:$C$306,"&gt;="&amp;DATE($B$3,11,9),'Leave log'!$F$7:$F$306,"Approved")&gt;0,"A",""))="A","A",IF(OR(DATE($B$3,11,9)&gt;EOMONTH(DATE($B$3,11,1),0),NETWORKDAYS.INTL(DATE($B$3,11,9),DATE($B$3,11,9),1,'Non-working days'!$A$6:$A$45)=0),"",IF(COUNTIFS('Leave log'!$A$7:$A$306,Employees!$A$10,'Leave log'!$B$7:$B$306,"&lt;="&amp;DATE($B$3,11,9),'Leave log'!$C$7:$C$306,"&gt;="&amp;DATE($B$3,11,9),'Leave log'!$F$7:$F$306,"Pending")&gt;0,"P",""))))</f>
        <v/>
      </c>
      <c r="K351" s="23" t="str">
        <f>IF(A351="","",IF(IF(OR(DATE($B$3,11,10)&gt;EOMONTH(DATE($B$3,11,1),0),NETWORKDAYS.INTL(DATE($B$3,11,10),DATE($B$3,11,10),1,'Non-working days'!$A$6:$A$45)=0),"",IF(COUNTIFS('Leave log'!$A$7:$A$306,Employees!$A$10,'Leave log'!$B$7:$B$306,"&lt;="&amp;DATE($B$3,11,10),'Leave log'!$C$7:$C$306,"&gt;="&amp;DATE($B$3,11,10),'Leave log'!$F$7:$F$306,"Approved")&gt;0,"A",""))="A","A",IF(OR(DATE($B$3,11,10)&gt;EOMONTH(DATE($B$3,11,1),0),NETWORKDAYS.INTL(DATE($B$3,11,10),DATE($B$3,11,10),1,'Non-working days'!$A$6:$A$45)=0),"",IF(COUNTIFS('Leave log'!$A$7:$A$306,Employees!$A$10,'Leave log'!$B$7:$B$306,"&lt;="&amp;DATE($B$3,11,10),'Leave log'!$C$7:$C$306,"&gt;="&amp;DATE($B$3,11,10),'Leave log'!$F$7:$F$306,"Pending")&gt;0,"P",""))))</f>
        <v/>
      </c>
      <c r="L351" s="23" t="str">
        <f>IF(A351="","",IF(IF(OR(DATE($B$3,11,11)&gt;EOMONTH(DATE($B$3,11,1),0),NETWORKDAYS.INTL(DATE($B$3,11,11),DATE($B$3,11,11),1,'Non-working days'!$A$6:$A$45)=0),"",IF(COUNTIFS('Leave log'!$A$7:$A$306,Employees!$A$10,'Leave log'!$B$7:$B$306,"&lt;="&amp;DATE($B$3,11,11),'Leave log'!$C$7:$C$306,"&gt;="&amp;DATE($B$3,11,11),'Leave log'!$F$7:$F$306,"Approved")&gt;0,"A",""))="A","A",IF(OR(DATE($B$3,11,11)&gt;EOMONTH(DATE($B$3,11,1),0),NETWORKDAYS.INTL(DATE($B$3,11,11),DATE($B$3,11,11),1,'Non-working days'!$A$6:$A$45)=0),"",IF(COUNTIFS('Leave log'!$A$7:$A$306,Employees!$A$10,'Leave log'!$B$7:$B$306,"&lt;="&amp;DATE($B$3,11,11),'Leave log'!$C$7:$C$306,"&gt;="&amp;DATE($B$3,11,11),'Leave log'!$F$7:$F$306,"Pending")&gt;0,"P",""))))</f>
        <v/>
      </c>
      <c r="M351" s="23" t="str">
        <f>IF(A351="","",IF(IF(OR(DATE($B$3,11,12)&gt;EOMONTH(DATE($B$3,11,1),0),NETWORKDAYS.INTL(DATE($B$3,11,12),DATE($B$3,11,12),1,'Non-working days'!$A$6:$A$45)=0),"",IF(COUNTIFS('Leave log'!$A$7:$A$306,Employees!$A$10,'Leave log'!$B$7:$B$306,"&lt;="&amp;DATE($B$3,11,12),'Leave log'!$C$7:$C$306,"&gt;="&amp;DATE($B$3,11,12),'Leave log'!$F$7:$F$306,"Approved")&gt;0,"A",""))="A","A",IF(OR(DATE($B$3,11,12)&gt;EOMONTH(DATE($B$3,11,1),0),NETWORKDAYS.INTL(DATE($B$3,11,12),DATE($B$3,11,12),1,'Non-working days'!$A$6:$A$45)=0),"",IF(COUNTIFS('Leave log'!$A$7:$A$306,Employees!$A$10,'Leave log'!$B$7:$B$306,"&lt;="&amp;DATE($B$3,11,12),'Leave log'!$C$7:$C$306,"&gt;="&amp;DATE($B$3,11,12),'Leave log'!$F$7:$F$306,"Pending")&gt;0,"P",""))))</f>
        <v/>
      </c>
      <c r="N351" s="23" t="str">
        <f>IF(A351="","",IF(IF(OR(DATE($B$3,11,13)&gt;EOMONTH(DATE($B$3,11,1),0),NETWORKDAYS.INTL(DATE($B$3,11,13),DATE($B$3,11,13),1,'Non-working days'!$A$6:$A$45)=0),"",IF(COUNTIFS('Leave log'!$A$7:$A$306,Employees!$A$10,'Leave log'!$B$7:$B$306,"&lt;="&amp;DATE($B$3,11,13),'Leave log'!$C$7:$C$306,"&gt;="&amp;DATE($B$3,11,13),'Leave log'!$F$7:$F$306,"Approved")&gt;0,"A",""))="A","A",IF(OR(DATE($B$3,11,13)&gt;EOMONTH(DATE($B$3,11,1),0),NETWORKDAYS.INTL(DATE($B$3,11,13),DATE($B$3,11,13),1,'Non-working days'!$A$6:$A$45)=0),"",IF(COUNTIFS('Leave log'!$A$7:$A$306,Employees!$A$10,'Leave log'!$B$7:$B$306,"&lt;="&amp;DATE($B$3,11,13),'Leave log'!$C$7:$C$306,"&gt;="&amp;DATE($B$3,11,13),'Leave log'!$F$7:$F$306,"Pending")&gt;0,"P",""))))</f>
        <v/>
      </c>
      <c r="O351" s="23" t="str">
        <f>IF(A351="","",IF(IF(OR(DATE($B$3,11,14)&gt;EOMONTH(DATE($B$3,11,1),0),NETWORKDAYS.INTL(DATE($B$3,11,14),DATE($B$3,11,14),1,'Non-working days'!$A$6:$A$45)=0),"",IF(COUNTIFS('Leave log'!$A$7:$A$306,Employees!$A$10,'Leave log'!$B$7:$B$306,"&lt;="&amp;DATE($B$3,11,14),'Leave log'!$C$7:$C$306,"&gt;="&amp;DATE($B$3,11,14),'Leave log'!$F$7:$F$306,"Approved")&gt;0,"A",""))="A","A",IF(OR(DATE($B$3,11,14)&gt;EOMONTH(DATE($B$3,11,1),0),NETWORKDAYS.INTL(DATE($B$3,11,14),DATE($B$3,11,14),1,'Non-working days'!$A$6:$A$45)=0),"",IF(COUNTIFS('Leave log'!$A$7:$A$306,Employees!$A$10,'Leave log'!$B$7:$B$306,"&lt;="&amp;DATE($B$3,11,14),'Leave log'!$C$7:$C$306,"&gt;="&amp;DATE($B$3,11,14),'Leave log'!$F$7:$F$306,"Pending")&gt;0,"P",""))))</f>
        <v/>
      </c>
      <c r="P351" s="23" t="str">
        <f>IF(A351="","",IF(IF(OR(DATE($B$3,11,15)&gt;EOMONTH(DATE($B$3,11,1),0),NETWORKDAYS.INTL(DATE($B$3,11,15),DATE($B$3,11,15),1,'Non-working days'!$A$6:$A$45)=0),"",IF(COUNTIFS('Leave log'!$A$7:$A$306,Employees!$A$10,'Leave log'!$B$7:$B$306,"&lt;="&amp;DATE($B$3,11,15),'Leave log'!$C$7:$C$306,"&gt;="&amp;DATE($B$3,11,15),'Leave log'!$F$7:$F$306,"Approved")&gt;0,"A",""))="A","A",IF(OR(DATE($B$3,11,15)&gt;EOMONTH(DATE($B$3,11,1),0),NETWORKDAYS.INTL(DATE($B$3,11,15),DATE($B$3,11,15),1,'Non-working days'!$A$6:$A$45)=0),"",IF(COUNTIFS('Leave log'!$A$7:$A$306,Employees!$A$10,'Leave log'!$B$7:$B$306,"&lt;="&amp;DATE($B$3,11,15),'Leave log'!$C$7:$C$306,"&gt;="&amp;DATE($B$3,11,15),'Leave log'!$F$7:$F$306,"Pending")&gt;0,"P",""))))</f>
        <v/>
      </c>
      <c r="Q351" s="23" t="str">
        <f>IF(A351="","",IF(IF(OR(DATE($B$3,11,16)&gt;EOMONTH(DATE($B$3,11,1),0),NETWORKDAYS.INTL(DATE($B$3,11,16),DATE($B$3,11,16),1,'Non-working days'!$A$6:$A$45)=0),"",IF(COUNTIFS('Leave log'!$A$7:$A$306,Employees!$A$10,'Leave log'!$B$7:$B$306,"&lt;="&amp;DATE($B$3,11,16),'Leave log'!$C$7:$C$306,"&gt;="&amp;DATE($B$3,11,16),'Leave log'!$F$7:$F$306,"Approved")&gt;0,"A",""))="A","A",IF(OR(DATE($B$3,11,16)&gt;EOMONTH(DATE($B$3,11,1),0),NETWORKDAYS.INTL(DATE($B$3,11,16),DATE($B$3,11,16),1,'Non-working days'!$A$6:$A$45)=0),"",IF(COUNTIFS('Leave log'!$A$7:$A$306,Employees!$A$10,'Leave log'!$B$7:$B$306,"&lt;="&amp;DATE($B$3,11,16),'Leave log'!$C$7:$C$306,"&gt;="&amp;DATE($B$3,11,16),'Leave log'!$F$7:$F$306,"Pending")&gt;0,"P",""))))</f>
        <v/>
      </c>
      <c r="R351" s="23" t="str">
        <f>IF(A351="","",IF(IF(OR(DATE($B$3,11,17)&gt;EOMONTH(DATE($B$3,11,1),0),NETWORKDAYS.INTL(DATE($B$3,11,17),DATE($B$3,11,17),1,'Non-working days'!$A$6:$A$45)=0),"",IF(COUNTIFS('Leave log'!$A$7:$A$306,Employees!$A$10,'Leave log'!$B$7:$B$306,"&lt;="&amp;DATE($B$3,11,17),'Leave log'!$C$7:$C$306,"&gt;="&amp;DATE($B$3,11,17),'Leave log'!$F$7:$F$306,"Approved")&gt;0,"A",""))="A","A",IF(OR(DATE($B$3,11,17)&gt;EOMONTH(DATE($B$3,11,1),0),NETWORKDAYS.INTL(DATE($B$3,11,17),DATE($B$3,11,17),1,'Non-working days'!$A$6:$A$45)=0),"",IF(COUNTIFS('Leave log'!$A$7:$A$306,Employees!$A$10,'Leave log'!$B$7:$B$306,"&lt;="&amp;DATE($B$3,11,17),'Leave log'!$C$7:$C$306,"&gt;="&amp;DATE($B$3,11,17),'Leave log'!$F$7:$F$306,"Pending")&gt;0,"P",""))))</f>
        <v/>
      </c>
      <c r="S351" s="23" t="str">
        <f>IF(A351="","",IF(IF(OR(DATE($B$3,11,18)&gt;EOMONTH(DATE($B$3,11,1),0),NETWORKDAYS.INTL(DATE($B$3,11,18),DATE($B$3,11,18),1,'Non-working days'!$A$6:$A$45)=0),"",IF(COUNTIFS('Leave log'!$A$7:$A$306,Employees!$A$10,'Leave log'!$B$7:$B$306,"&lt;="&amp;DATE($B$3,11,18),'Leave log'!$C$7:$C$306,"&gt;="&amp;DATE($B$3,11,18),'Leave log'!$F$7:$F$306,"Approved")&gt;0,"A",""))="A","A",IF(OR(DATE($B$3,11,18)&gt;EOMONTH(DATE($B$3,11,1),0),NETWORKDAYS.INTL(DATE($B$3,11,18),DATE($B$3,11,18),1,'Non-working days'!$A$6:$A$45)=0),"",IF(COUNTIFS('Leave log'!$A$7:$A$306,Employees!$A$10,'Leave log'!$B$7:$B$306,"&lt;="&amp;DATE($B$3,11,18),'Leave log'!$C$7:$C$306,"&gt;="&amp;DATE($B$3,11,18),'Leave log'!$F$7:$F$306,"Pending")&gt;0,"P",""))))</f>
        <v/>
      </c>
      <c r="T351" s="23" t="str">
        <f>IF(A351="","",IF(IF(OR(DATE($B$3,11,19)&gt;EOMONTH(DATE($B$3,11,1),0),NETWORKDAYS.INTL(DATE($B$3,11,19),DATE($B$3,11,19),1,'Non-working days'!$A$6:$A$45)=0),"",IF(COUNTIFS('Leave log'!$A$7:$A$306,Employees!$A$10,'Leave log'!$B$7:$B$306,"&lt;="&amp;DATE($B$3,11,19),'Leave log'!$C$7:$C$306,"&gt;="&amp;DATE($B$3,11,19),'Leave log'!$F$7:$F$306,"Approved")&gt;0,"A",""))="A","A",IF(OR(DATE($B$3,11,19)&gt;EOMONTH(DATE($B$3,11,1),0),NETWORKDAYS.INTL(DATE($B$3,11,19),DATE($B$3,11,19),1,'Non-working days'!$A$6:$A$45)=0),"",IF(COUNTIFS('Leave log'!$A$7:$A$306,Employees!$A$10,'Leave log'!$B$7:$B$306,"&lt;="&amp;DATE($B$3,11,19),'Leave log'!$C$7:$C$306,"&gt;="&amp;DATE($B$3,11,19),'Leave log'!$F$7:$F$306,"Pending")&gt;0,"P",""))))</f>
        <v/>
      </c>
      <c r="U351" s="23" t="str">
        <f>IF(A351="","",IF(IF(OR(DATE($B$3,11,20)&gt;EOMONTH(DATE($B$3,11,1),0),NETWORKDAYS.INTL(DATE($B$3,11,20),DATE($B$3,11,20),1,'Non-working days'!$A$6:$A$45)=0),"",IF(COUNTIFS('Leave log'!$A$7:$A$306,Employees!$A$10,'Leave log'!$B$7:$B$306,"&lt;="&amp;DATE($B$3,11,20),'Leave log'!$C$7:$C$306,"&gt;="&amp;DATE($B$3,11,20),'Leave log'!$F$7:$F$306,"Approved")&gt;0,"A",""))="A","A",IF(OR(DATE($B$3,11,20)&gt;EOMONTH(DATE($B$3,11,1),0),NETWORKDAYS.INTL(DATE($B$3,11,20),DATE($B$3,11,20),1,'Non-working days'!$A$6:$A$45)=0),"",IF(COUNTIFS('Leave log'!$A$7:$A$306,Employees!$A$10,'Leave log'!$B$7:$B$306,"&lt;="&amp;DATE($B$3,11,20),'Leave log'!$C$7:$C$306,"&gt;="&amp;DATE($B$3,11,20),'Leave log'!$F$7:$F$306,"Pending")&gt;0,"P",""))))</f>
        <v/>
      </c>
      <c r="V351" s="23" t="str">
        <f>IF(A351="","",IF(IF(OR(DATE($B$3,11,21)&gt;EOMONTH(DATE($B$3,11,1),0),NETWORKDAYS.INTL(DATE($B$3,11,21),DATE($B$3,11,21),1,'Non-working days'!$A$6:$A$45)=0),"",IF(COUNTIFS('Leave log'!$A$7:$A$306,Employees!$A$10,'Leave log'!$B$7:$B$306,"&lt;="&amp;DATE($B$3,11,21),'Leave log'!$C$7:$C$306,"&gt;="&amp;DATE($B$3,11,21),'Leave log'!$F$7:$F$306,"Approved")&gt;0,"A",""))="A","A",IF(OR(DATE($B$3,11,21)&gt;EOMONTH(DATE($B$3,11,1),0),NETWORKDAYS.INTL(DATE($B$3,11,21),DATE($B$3,11,21),1,'Non-working days'!$A$6:$A$45)=0),"",IF(COUNTIFS('Leave log'!$A$7:$A$306,Employees!$A$10,'Leave log'!$B$7:$B$306,"&lt;="&amp;DATE($B$3,11,21),'Leave log'!$C$7:$C$306,"&gt;="&amp;DATE($B$3,11,21),'Leave log'!$F$7:$F$306,"Pending")&gt;0,"P",""))))</f>
        <v/>
      </c>
      <c r="W351" s="23" t="str">
        <f>IF(A351="","",IF(IF(OR(DATE($B$3,11,22)&gt;EOMONTH(DATE($B$3,11,1),0),NETWORKDAYS.INTL(DATE($B$3,11,22),DATE($B$3,11,22),1,'Non-working days'!$A$6:$A$45)=0),"",IF(COUNTIFS('Leave log'!$A$7:$A$306,Employees!$A$10,'Leave log'!$B$7:$B$306,"&lt;="&amp;DATE($B$3,11,22),'Leave log'!$C$7:$C$306,"&gt;="&amp;DATE($B$3,11,22),'Leave log'!$F$7:$F$306,"Approved")&gt;0,"A",""))="A","A",IF(OR(DATE($B$3,11,22)&gt;EOMONTH(DATE($B$3,11,1),0),NETWORKDAYS.INTL(DATE($B$3,11,22),DATE($B$3,11,22),1,'Non-working days'!$A$6:$A$45)=0),"",IF(COUNTIFS('Leave log'!$A$7:$A$306,Employees!$A$10,'Leave log'!$B$7:$B$306,"&lt;="&amp;DATE($B$3,11,22),'Leave log'!$C$7:$C$306,"&gt;="&amp;DATE($B$3,11,22),'Leave log'!$F$7:$F$306,"Pending")&gt;0,"P",""))))</f>
        <v/>
      </c>
      <c r="X351" s="23" t="str">
        <f>IF(A351="","",IF(IF(OR(DATE($B$3,11,23)&gt;EOMONTH(DATE($B$3,11,1),0),NETWORKDAYS.INTL(DATE($B$3,11,23),DATE($B$3,11,23),1,'Non-working days'!$A$6:$A$45)=0),"",IF(COUNTIFS('Leave log'!$A$7:$A$306,Employees!$A$10,'Leave log'!$B$7:$B$306,"&lt;="&amp;DATE($B$3,11,23),'Leave log'!$C$7:$C$306,"&gt;="&amp;DATE($B$3,11,23),'Leave log'!$F$7:$F$306,"Approved")&gt;0,"A",""))="A","A",IF(OR(DATE($B$3,11,23)&gt;EOMONTH(DATE($B$3,11,1),0),NETWORKDAYS.INTL(DATE($B$3,11,23),DATE($B$3,11,23),1,'Non-working days'!$A$6:$A$45)=0),"",IF(COUNTIFS('Leave log'!$A$7:$A$306,Employees!$A$10,'Leave log'!$B$7:$B$306,"&lt;="&amp;DATE($B$3,11,23),'Leave log'!$C$7:$C$306,"&gt;="&amp;DATE($B$3,11,23),'Leave log'!$F$7:$F$306,"Pending")&gt;0,"P",""))))</f>
        <v/>
      </c>
      <c r="Y351" s="23" t="str">
        <f>IF(A351="","",IF(IF(OR(DATE($B$3,11,24)&gt;EOMONTH(DATE($B$3,11,1),0),NETWORKDAYS.INTL(DATE($B$3,11,24),DATE($B$3,11,24),1,'Non-working days'!$A$6:$A$45)=0),"",IF(COUNTIFS('Leave log'!$A$7:$A$306,Employees!$A$10,'Leave log'!$B$7:$B$306,"&lt;="&amp;DATE($B$3,11,24),'Leave log'!$C$7:$C$306,"&gt;="&amp;DATE($B$3,11,24),'Leave log'!$F$7:$F$306,"Approved")&gt;0,"A",""))="A","A",IF(OR(DATE($B$3,11,24)&gt;EOMONTH(DATE($B$3,11,1),0),NETWORKDAYS.INTL(DATE($B$3,11,24),DATE($B$3,11,24),1,'Non-working days'!$A$6:$A$45)=0),"",IF(COUNTIFS('Leave log'!$A$7:$A$306,Employees!$A$10,'Leave log'!$B$7:$B$306,"&lt;="&amp;DATE($B$3,11,24),'Leave log'!$C$7:$C$306,"&gt;="&amp;DATE($B$3,11,24),'Leave log'!$F$7:$F$306,"Pending")&gt;0,"P",""))))</f>
        <v/>
      </c>
      <c r="Z351" s="23" t="str">
        <f>IF(A351="","",IF(IF(OR(DATE($B$3,11,25)&gt;EOMONTH(DATE($B$3,11,1),0),NETWORKDAYS.INTL(DATE($B$3,11,25),DATE($B$3,11,25),1,'Non-working days'!$A$6:$A$45)=0),"",IF(COUNTIFS('Leave log'!$A$7:$A$306,Employees!$A$10,'Leave log'!$B$7:$B$306,"&lt;="&amp;DATE($B$3,11,25),'Leave log'!$C$7:$C$306,"&gt;="&amp;DATE($B$3,11,25),'Leave log'!$F$7:$F$306,"Approved")&gt;0,"A",""))="A","A",IF(OR(DATE($B$3,11,25)&gt;EOMONTH(DATE($B$3,11,1),0),NETWORKDAYS.INTL(DATE($B$3,11,25),DATE($B$3,11,25),1,'Non-working days'!$A$6:$A$45)=0),"",IF(COUNTIFS('Leave log'!$A$7:$A$306,Employees!$A$10,'Leave log'!$B$7:$B$306,"&lt;="&amp;DATE($B$3,11,25),'Leave log'!$C$7:$C$306,"&gt;="&amp;DATE($B$3,11,25),'Leave log'!$F$7:$F$306,"Pending")&gt;0,"P",""))))</f>
        <v/>
      </c>
      <c r="AA351" s="23" t="str">
        <f>IF(A351="","",IF(IF(OR(DATE($B$3,11,26)&gt;EOMONTH(DATE($B$3,11,1),0),NETWORKDAYS.INTL(DATE($B$3,11,26),DATE($B$3,11,26),1,'Non-working days'!$A$6:$A$45)=0),"",IF(COUNTIFS('Leave log'!$A$7:$A$306,Employees!$A$10,'Leave log'!$B$7:$B$306,"&lt;="&amp;DATE($B$3,11,26),'Leave log'!$C$7:$C$306,"&gt;="&amp;DATE($B$3,11,26),'Leave log'!$F$7:$F$306,"Approved")&gt;0,"A",""))="A","A",IF(OR(DATE($B$3,11,26)&gt;EOMONTH(DATE($B$3,11,1),0),NETWORKDAYS.INTL(DATE($B$3,11,26),DATE($B$3,11,26),1,'Non-working days'!$A$6:$A$45)=0),"",IF(COUNTIFS('Leave log'!$A$7:$A$306,Employees!$A$10,'Leave log'!$B$7:$B$306,"&lt;="&amp;DATE($B$3,11,26),'Leave log'!$C$7:$C$306,"&gt;="&amp;DATE($B$3,11,26),'Leave log'!$F$7:$F$306,"Pending")&gt;0,"P",""))))</f>
        <v/>
      </c>
      <c r="AB351" s="23" t="str">
        <f>IF(A351="","",IF(IF(OR(DATE($B$3,11,27)&gt;EOMONTH(DATE($B$3,11,1),0),NETWORKDAYS.INTL(DATE($B$3,11,27),DATE($B$3,11,27),1,'Non-working days'!$A$6:$A$45)=0),"",IF(COUNTIFS('Leave log'!$A$7:$A$306,Employees!$A$10,'Leave log'!$B$7:$B$306,"&lt;="&amp;DATE($B$3,11,27),'Leave log'!$C$7:$C$306,"&gt;="&amp;DATE($B$3,11,27),'Leave log'!$F$7:$F$306,"Approved")&gt;0,"A",""))="A","A",IF(OR(DATE($B$3,11,27)&gt;EOMONTH(DATE($B$3,11,1),0),NETWORKDAYS.INTL(DATE($B$3,11,27),DATE($B$3,11,27),1,'Non-working days'!$A$6:$A$45)=0),"",IF(COUNTIFS('Leave log'!$A$7:$A$306,Employees!$A$10,'Leave log'!$B$7:$B$306,"&lt;="&amp;DATE($B$3,11,27),'Leave log'!$C$7:$C$306,"&gt;="&amp;DATE($B$3,11,27),'Leave log'!$F$7:$F$306,"Pending")&gt;0,"P",""))))</f>
        <v/>
      </c>
      <c r="AC351" s="23" t="str">
        <f>IF(A351="","",IF(IF(OR(DATE($B$3,11,28)&gt;EOMONTH(DATE($B$3,11,1),0),NETWORKDAYS.INTL(DATE($B$3,11,28),DATE($B$3,11,28),1,'Non-working days'!$A$6:$A$45)=0),"",IF(COUNTIFS('Leave log'!$A$7:$A$306,Employees!$A$10,'Leave log'!$B$7:$B$306,"&lt;="&amp;DATE($B$3,11,28),'Leave log'!$C$7:$C$306,"&gt;="&amp;DATE($B$3,11,28),'Leave log'!$F$7:$F$306,"Approved")&gt;0,"A",""))="A","A",IF(OR(DATE($B$3,11,28)&gt;EOMONTH(DATE($B$3,11,1),0),NETWORKDAYS.INTL(DATE($B$3,11,28),DATE($B$3,11,28),1,'Non-working days'!$A$6:$A$45)=0),"",IF(COUNTIFS('Leave log'!$A$7:$A$306,Employees!$A$10,'Leave log'!$B$7:$B$306,"&lt;="&amp;DATE($B$3,11,28),'Leave log'!$C$7:$C$306,"&gt;="&amp;DATE($B$3,11,28),'Leave log'!$F$7:$F$306,"Pending")&gt;0,"P",""))))</f>
        <v/>
      </c>
      <c r="AD351" s="23" t="str">
        <f>IF(A351="","",IF(IF(OR(DATE($B$3,11,29)&gt;EOMONTH(DATE($B$3,11,1),0),NETWORKDAYS.INTL(DATE($B$3,11,29),DATE($B$3,11,29),1,'Non-working days'!$A$6:$A$45)=0),"",IF(COUNTIFS('Leave log'!$A$7:$A$306,Employees!$A$10,'Leave log'!$B$7:$B$306,"&lt;="&amp;DATE($B$3,11,29),'Leave log'!$C$7:$C$306,"&gt;="&amp;DATE($B$3,11,29),'Leave log'!$F$7:$F$306,"Approved")&gt;0,"A",""))="A","A",IF(OR(DATE($B$3,11,29)&gt;EOMONTH(DATE($B$3,11,1),0),NETWORKDAYS.INTL(DATE($B$3,11,29),DATE($B$3,11,29),1,'Non-working days'!$A$6:$A$45)=0),"",IF(COUNTIFS('Leave log'!$A$7:$A$306,Employees!$A$10,'Leave log'!$B$7:$B$306,"&lt;="&amp;DATE($B$3,11,29),'Leave log'!$C$7:$C$306,"&gt;="&amp;DATE($B$3,11,29),'Leave log'!$F$7:$F$306,"Pending")&gt;0,"P",""))))</f>
        <v/>
      </c>
      <c r="AE351" s="23" t="str">
        <f>IF(A351="","",IF(IF(OR(DATE($B$3,11,30)&gt;EOMONTH(DATE($B$3,11,1),0),NETWORKDAYS.INTL(DATE($B$3,11,30),DATE($B$3,11,30),1,'Non-working days'!$A$6:$A$45)=0),"",IF(COUNTIFS('Leave log'!$A$7:$A$306,Employees!$A$10,'Leave log'!$B$7:$B$306,"&lt;="&amp;DATE($B$3,11,30),'Leave log'!$C$7:$C$306,"&gt;="&amp;DATE($B$3,11,30),'Leave log'!$F$7:$F$306,"Approved")&gt;0,"A",""))="A","A",IF(OR(DATE($B$3,11,30)&gt;EOMONTH(DATE($B$3,11,1),0),NETWORKDAYS.INTL(DATE($B$3,11,30),DATE($B$3,11,30),1,'Non-working days'!$A$6:$A$45)=0),"",IF(COUNTIFS('Leave log'!$A$7:$A$306,Employees!$A$10,'Leave log'!$B$7:$B$306,"&lt;="&amp;DATE($B$3,11,30),'Leave log'!$C$7:$C$306,"&gt;="&amp;DATE($B$3,11,30),'Leave log'!$F$7:$F$306,"Pending")&gt;0,"P",""))))</f>
        <v/>
      </c>
      <c r="AF351" s="23" t="str">
        <f>IF(A351="","",IF(IF(OR(DATE($B$3,11,31)&gt;EOMONTH(DATE($B$3,11,1),0),NETWORKDAYS.INTL(DATE($B$3,11,31),DATE($B$3,11,31),1,'Non-working days'!$A$6:$A$45)=0),"",IF(COUNTIFS('Leave log'!$A$7:$A$306,Employees!$A$10,'Leave log'!$B$7:$B$306,"&lt;="&amp;DATE($B$3,11,31),'Leave log'!$C$7:$C$306,"&gt;="&amp;DATE($B$3,11,31),'Leave log'!$F$7:$F$306,"Approved")&gt;0,"A",""))="A","A",IF(OR(DATE($B$3,11,31)&gt;EOMONTH(DATE($B$3,11,1),0),NETWORKDAYS.INTL(DATE($B$3,11,31),DATE($B$3,11,31),1,'Non-working days'!$A$6:$A$45)=0),"",IF(COUNTIFS('Leave log'!$A$7:$A$306,Employees!$A$10,'Leave log'!$B$7:$B$306,"&lt;="&amp;DATE($B$3,11,31),'Leave log'!$C$7:$C$306,"&gt;="&amp;DATE($B$3,11,31),'Leave log'!$F$7:$F$306,"Pending")&gt;0,"P",""))))</f>
        <v/>
      </c>
    </row>
    <row r="352" spans="1:32" ht="18" customHeight="1" x14ac:dyDescent="0.3">
      <c r="A352" s="22" t="str">
        <f>IF(Employees!F11="Yes",Employees!B11,"")</f>
        <v/>
      </c>
      <c r="B352" s="23" t="str">
        <f>IF(A352="","",IF(IF(OR(DATE($B$3,11,1)&gt;EOMONTH(DATE($B$3,11,1),0),NETWORKDAYS.INTL(DATE($B$3,11,1),DATE($B$3,11,1),1,'Non-working days'!$A$6:$A$45)=0),"",IF(COUNTIFS('Leave log'!$A$7:$A$306,Employees!$A$11,'Leave log'!$B$7:$B$306,"&lt;="&amp;DATE($B$3,11,1),'Leave log'!$C$7:$C$306,"&gt;="&amp;DATE($B$3,11,1),'Leave log'!$F$7:$F$306,"Approved")&gt;0,"A",""))="A","A",IF(OR(DATE($B$3,11,1)&gt;EOMONTH(DATE($B$3,11,1),0),NETWORKDAYS.INTL(DATE($B$3,11,1),DATE($B$3,11,1),1,'Non-working days'!$A$6:$A$45)=0),"",IF(COUNTIFS('Leave log'!$A$7:$A$306,Employees!$A$11,'Leave log'!$B$7:$B$306,"&lt;="&amp;DATE($B$3,11,1),'Leave log'!$C$7:$C$306,"&gt;="&amp;DATE($B$3,11,1),'Leave log'!$F$7:$F$306,"Pending")&gt;0,"P",""))))</f>
        <v/>
      </c>
      <c r="C352" s="23" t="str">
        <f>IF(A352="","",IF(IF(OR(DATE($B$3,11,2)&gt;EOMONTH(DATE($B$3,11,1),0),NETWORKDAYS.INTL(DATE($B$3,11,2),DATE($B$3,11,2),1,'Non-working days'!$A$6:$A$45)=0),"",IF(COUNTIFS('Leave log'!$A$7:$A$306,Employees!$A$11,'Leave log'!$B$7:$B$306,"&lt;="&amp;DATE($B$3,11,2),'Leave log'!$C$7:$C$306,"&gt;="&amp;DATE($B$3,11,2),'Leave log'!$F$7:$F$306,"Approved")&gt;0,"A",""))="A","A",IF(OR(DATE($B$3,11,2)&gt;EOMONTH(DATE($B$3,11,1),0),NETWORKDAYS.INTL(DATE($B$3,11,2),DATE($B$3,11,2),1,'Non-working days'!$A$6:$A$45)=0),"",IF(COUNTIFS('Leave log'!$A$7:$A$306,Employees!$A$11,'Leave log'!$B$7:$B$306,"&lt;="&amp;DATE($B$3,11,2),'Leave log'!$C$7:$C$306,"&gt;="&amp;DATE($B$3,11,2),'Leave log'!$F$7:$F$306,"Pending")&gt;0,"P",""))))</f>
        <v/>
      </c>
      <c r="D352" s="23" t="str">
        <f>IF(A352="","",IF(IF(OR(DATE($B$3,11,3)&gt;EOMONTH(DATE($B$3,11,1),0),NETWORKDAYS.INTL(DATE($B$3,11,3),DATE($B$3,11,3),1,'Non-working days'!$A$6:$A$45)=0),"",IF(COUNTIFS('Leave log'!$A$7:$A$306,Employees!$A$11,'Leave log'!$B$7:$B$306,"&lt;="&amp;DATE($B$3,11,3),'Leave log'!$C$7:$C$306,"&gt;="&amp;DATE($B$3,11,3),'Leave log'!$F$7:$F$306,"Approved")&gt;0,"A",""))="A","A",IF(OR(DATE($B$3,11,3)&gt;EOMONTH(DATE($B$3,11,1),0),NETWORKDAYS.INTL(DATE($B$3,11,3),DATE($B$3,11,3),1,'Non-working days'!$A$6:$A$45)=0),"",IF(COUNTIFS('Leave log'!$A$7:$A$306,Employees!$A$11,'Leave log'!$B$7:$B$306,"&lt;="&amp;DATE($B$3,11,3),'Leave log'!$C$7:$C$306,"&gt;="&amp;DATE($B$3,11,3),'Leave log'!$F$7:$F$306,"Pending")&gt;0,"P",""))))</f>
        <v/>
      </c>
      <c r="E352" s="23" t="str">
        <f>IF(A352="","",IF(IF(OR(DATE($B$3,11,4)&gt;EOMONTH(DATE($B$3,11,1),0),NETWORKDAYS.INTL(DATE($B$3,11,4),DATE($B$3,11,4),1,'Non-working days'!$A$6:$A$45)=0),"",IF(COUNTIFS('Leave log'!$A$7:$A$306,Employees!$A$11,'Leave log'!$B$7:$B$306,"&lt;="&amp;DATE($B$3,11,4),'Leave log'!$C$7:$C$306,"&gt;="&amp;DATE($B$3,11,4),'Leave log'!$F$7:$F$306,"Approved")&gt;0,"A",""))="A","A",IF(OR(DATE($B$3,11,4)&gt;EOMONTH(DATE($B$3,11,1),0),NETWORKDAYS.INTL(DATE($B$3,11,4),DATE($B$3,11,4),1,'Non-working days'!$A$6:$A$45)=0),"",IF(COUNTIFS('Leave log'!$A$7:$A$306,Employees!$A$11,'Leave log'!$B$7:$B$306,"&lt;="&amp;DATE($B$3,11,4),'Leave log'!$C$7:$C$306,"&gt;="&amp;DATE($B$3,11,4),'Leave log'!$F$7:$F$306,"Pending")&gt;0,"P",""))))</f>
        <v/>
      </c>
      <c r="F352" s="23" t="str">
        <f>IF(A352="","",IF(IF(OR(DATE($B$3,11,5)&gt;EOMONTH(DATE($B$3,11,1),0),NETWORKDAYS.INTL(DATE($B$3,11,5),DATE($B$3,11,5),1,'Non-working days'!$A$6:$A$45)=0),"",IF(COUNTIFS('Leave log'!$A$7:$A$306,Employees!$A$11,'Leave log'!$B$7:$B$306,"&lt;="&amp;DATE($B$3,11,5),'Leave log'!$C$7:$C$306,"&gt;="&amp;DATE($B$3,11,5),'Leave log'!$F$7:$F$306,"Approved")&gt;0,"A",""))="A","A",IF(OR(DATE($B$3,11,5)&gt;EOMONTH(DATE($B$3,11,1),0),NETWORKDAYS.INTL(DATE($B$3,11,5),DATE($B$3,11,5),1,'Non-working days'!$A$6:$A$45)=0),"",IF(COUNTIFS('Leave log'!$A$7:$A$306,Employees!$A$11,'Leave log'!$B$7:$B$306,"&lt;="&amp;DATE($B$3,11,5),'Leave log'!$C$7:$C$306,"&gt;="&amp;DATE($B$3,11,5),'Leave log'!$F$7:$F$306,"Pending")&gt;0,"P",""))))</f>
        <v/>
      </c>
      <c r="G352" s="23" t="str">
        <f>IF(A352="","",IF(IF(OR(DATE($B$3,11,6)&gt;EOMONTH(DATE($B$3,11,1),0),NETWORKDAYS.INTL(DATE($B$3,11,6),DATE($B$3,11,6),1,'Non-working days'!$A$6:$A$45)=0),"",IF(COUNTIFS('Leave log'!$A$7:$A$306,Employees!$A$11,'Leave log'!$B$7:$B$306,"&lt;="&amp;DATE($B$3,11,6),'Leave log'!$C$7:$C$306,"&gt;="&amp;DATE($B$3,11,6),'Leave log'!$F$7:$F$306,"Approved")&gt;0,"A",""))="A","A",IF(OR(DATE($B$3,11,6)&gt;EOMONTH(DATE($B$3,11,1),0),NETWORKDAYS.INTL(DATE($B$3,11,6),DATE($B$3,11,6),1,'Non-working days'!$A$6:$A$45)=0),"",IF(COUNTIFS('Leave log'!$A$7:$A$306,Employees!$A$11,'Leave log'!$B$7:$B$306,"&lt;="&amp;DATE($B$3,11,6),'Leave log'!$C$7:$C$306,"&gt;="&amp;DATE($B$3,11,6),'Leave log'!$F$7:$F$306,"Pending")&gt;0,"P",""))))</f>
        <v/>
      </c>
      <c r="H352" s="23" t="str">
        <f>IF(A352="","",IF(IF(OR(DATE($B$3,11,7)&gt;EOMONTH(DATE($B$3,11,1),0),NETWORKDAYS.INTL(DATE($B$3,11,7),DATE($B$3,11,7),1,'Non-working days'!$A$6:$A$45)=0),"",IF(COUNTIFS('Leave log'!$A$7:$A$306,Employees!$A$11,'Leave log'!$B$7:$B$306,"&lt;="&amp;DATE($B$3,11,7),'Leave log'!$C$7:$C$306,"&gt;="&amp;DATE($B$3,11,7),'Leave log'!$F$7:$F$306,"Approved")&gt;0,"A",""))="A","A",IF(OR(DATE($B$3,11,7)&gt;EOMONTH(DATE($B$3,11,1),0),NETWORKDAYS.INTL(DATE($B$3,11,7),DATE($B$3,11,7),1,'Non-working days'!$A$6:$A$45)=0),"",IF(COUNTIFS('Leave log'!$A$7:$A$306,Employees!$A$11,'Leave log'!$B$7:$B$306,"&lt;="&amp;DATE($B$3,11,7),'Leave log'!$C$7:$C$306,"&gt;="&amp;DATE($B$3,11,7),'Leave log'!$F$7:$F$306,"Pending")&gt;0,"P",""))))</f>
        <v/>
      </c>
      <c r="I352" s="23" t="str">
        <f>IF(A352="","",IF(IF(OR(DATE($B$3,11,8)&gt;EOMONTH(DATE($B$3,11,1),0),NETWORKDAYS.INTL(DATE($B$3,11,8),DATE($B$3,11,8),1,'Non-working days'!$A$6:$A$45)=0),"",IF(COUNTIFS('Leave log'!$A$7:$A$306,Employees!$A$11,'Leave log'!$B$7:$B$306,"&lt;="&amp;DATE($B$3,11,8),'Leave log'!$C$7:$C$306,"&gt;="&amp;DATE($B$3,11,8),'Leave log'!$F$7:$F$306,"Approved")&gt;0,"A",""))="A","A",IF(OR(DATE($B$3,11,8)&gt;EOMONTH(DATE($B$3,11,1),0),NETWORKDAYS.INTL(DATE($B$3,11,8),DATE($B$3,11,8),1,'Non-working days'!$A$6:$A$45)=0),"",IF(COUNTIFS('Leave log'!$A$7:$A$306,Employees!$A$11,'Leave log'!$B$7:$B$306,"&lt;="&amp;DATE($B$3,11,8),'Leave log'!$C$7:$C$306,"&gt;="&amp;DATE($B$3,11,8),'Leave log'!$F$7:$F$306,"Pending")&gt;0,"P",""))))</f>
        <v/>
      </c>
      <c r="J352" s="23" t="str">
        <f>IF(A352="","",IF(IF(OR(DATE($B$3,11,9)&gt;EOMONTH(DATE($B$3,11,1),0),NETWORKDAYS.INTL(DATE($B$3,11,9),DATE($B$3,11,9),1,'Non-working days'!$A$6:$A$45)=0),"",IF(COUNTIFS('Leave log'!$A$7:$A$306,Employees!$A$11,'Leave log'!$B$7:$B$306,"&lt;="&amp;DATE($B$3,11,9),'Leave log'!$C$7:$C$306,"&gt;="&amp;DATE($B$3,11,9),'Leave log'!$F$7:$F$306,"Approved")&gt;0,"A",""))="A","A",IF(OR(DATE($B$3,11,9)&gt;EOMONTH(DATE($B$3,11,1),0),NETWORKDAYS.INTL(DATE($B$3,11,9),DATE($B$3,11,9),1,'Non-working days'!$A$6:$A$45)=0),"",IF(COUNTIFS('Leave log'!$A$7:$A$306,Employees!$A$11,'Leave log'!$B$7:$B$306,"&lt;="&amp;DATE($B$3,11,9),'Leave log'!$C$7:$C$306,"&gt;="&amp;DATE($B$3,11,9),'Leave log'!$F$7:$F$306,"Pending")&gt;0,"P",""))))</f>
        <v/>
      </c>
      <c r="K352" s="23" t="str">
        <f>IF(A352="","",IF(IF(OR(DATE($B$3,11,10)&gt;EOMONTH(DATE($B$3,11,1),0),NETWORKDAYS.INTL(DATE($B$3,11,10),DATE($B$3,11,10),1,'Non-working days'!$A$6:$A$45)=0),"",IF(COUNTIFS('Leave log'!$A$7:$A$306,Employees!$A$11,'Leave log'!$B$7:$B$306,"&lt;="&amp;DATE($B$3,11,10),'Leave log'!$C$7:$C$306,"&gt;="&amp;DATE($B$3,11,10),'Leave log'!$F$7:$F$306,"Approved")&gt;0,"A",""))="A","A",IF(OR(DATE($B$3,11,10)&gt;EOMONTH(DATE($B$3,11,1),0),NETWORKDAYS.INTL(DATE($B$3,11,10),DATE($B$3,11,10),1,'Non-working days'!$A$6:$A$45)=0),"",IF(COUNTIFS('Leave log'!$A$7:$A$306,Employees!$A$11,'Leave log'!$B$7:$B$306,"&lt;="&amp;DATE($B$3,11,10),'Leave log'!$C$7:$C$306,"&gt;="&amp;DATE($B$3,11,10),'Leave log'!$F$7:$F$306,"Pending")&gt;0,"P",""))))</f>
        <v/>
      </c>
      <c r="L352" s="23" t="str">
        <f>IF(A352="","",IF(IF(OR(DATE($B$3,11,11)&gt;EOMONTH(DATE($B$3,11,1),0),NETWORKDAYS.INTL(DATE($B$3,11,11),DATE($B$3,11,11),1,'Non-working days'!$A$6:$A$45)=0),"",IF(COUNTIFS('Leave log'!$A$7:$A$306,Employees!$A$11,'Leave log'!$B$7:$B$306,"&lt;="&amp;DATE($B$3,11,11),'Leave log'!$C$7:$C$306,"&gt;="&amp;DATE($B$3,11,11),'Leave log'!$F$7:$F$306,"Approved")&gt;0,"A",""))="A","A",IF(OR(DATE($B$3,11,11)&gt;EOMONTH(DATE($B$3,11,1),0),NETWORKDAYS.INTL(DATE($B$3,11,11),DATE($B$3,11,11),1,'Non-working days'!$A$6:$A$45)=0),"",IF(COUNTIFS('Leave log'!$A$7:$A$306,Employees!$A$11,'Leave log'!$B$7:$B$306,"&lt;="&amp;DATE($B$3,11,11),'Leave log'!$C$7:$C$306,"&gt;="&amp;DATE($B$3,11,11),'Leave log'!$F$7:$F$306,"Pending")&gt;0,"P",""))))</f>
        <v/>
      </c>
      <c r="M352" s="23" t="str">
        <f>IF(A352="","",IF(IF(OR(DATE($B$3,11,12)&gt;EOMONTH(DATE($B$3,11,1),0),NETWORKDAYS.INTL(DATE($B$3,11,12),DATE($B$3,11,12),1,'Non-working days'!$A$6:$A$45)=0),"",IF(COUNTIFS('Leave log'!$A$7:$A$306,Employees!$A$11,'Leave log'!$B$7:$B$306,"&lt;="&amp;DATE($B$3,11,12),'Leave log'!$C$7:$C$306,"&gt;="&amp;DATE($B$3,11,12),'Leave log'!$F$7:$F$306,"Approved")&gt;0,"A",""))="A","A",IF(OR(DATE($B$3,11,12)&gt;EOMONTH(DATE($B$3,11,1),0),NETWORKDAYS.INTL(DATE($B$3,11,12),DATE($B$3,11,12),1,'Non-working days'!$A$6:$A$45)=0),"",IF(COUNTIFS('Leave log'!$A$7:$A$306,Employees!$A$11,'Leave log'!$B$7:$B$306,"&lt;="&amp;DATE($B$3,11,12),'Leave log'!$C$7:$C$306,"&gt;="&amp;DATE($B$3,11,12),'Leave log'!$F$7:$F$306,"Pending")&gt;0,"P",""))))</f>
        <v/>
      </c>
      <c r="N352" s="23" t="str">
        <f>IF(A352="","",IF(IF(OR(DATE($B$3,11,13)&gt;EOMONTH(DATE($B$3,11,1),0),NETWORKDAYS.INTL(DATE($B$3,11,13),DATE($B$3,11,13),1,'Non-working days'!$A$6:$A$45)=0),"",IF(COUNTIFS('Leave log'!$A$7:$A$306,Employees!$A$11,'Leave log'!$B$7:$B$306,"&lt;="&amp;DATE($B$3,11,13),'Leave log'!$C$7:$C$306,"&gt;="&amp;DATE($B$3,11,13),'Leave log'!$F$7:$F$306,"Approved")&gt;0,"A",""))="A","A",IF(OR(DATE($B$3,11,13)&gt;EOMONTH(DATE($B$3,11,1),0),NETWORKDAYS.INTL(DATE($B$3,11,13),DATE($B$3,11,13),1,'Non-working days'!$A$6:$A$45)=0),"",IF(COUNTIFS('Leave log'!$A$7:$A$306,Employees!$A$11,'Leave log'!$B$7:$B$306,"&lt;="&amp;DATE($B$3,11,13),'Leave log'!$C$7:$C$306,"&gt;="&amp;DATE($B$3,11,13),'Leave log'!$F$7:$F$306,"Pending")&gt;0,"P",""))))</f>
        <v/>
      </c>
      <c r="O352" s="23" t="str">
        <f>IF(A352="","",IF(IF(OR(DATE($B$3,11,14)&gt;EOMONTH(DATE($B$3,11,1),0),NETWORKDAYS.INTL(DATE($B$3,11,14),DATE($B$3,11,14),1,'Non-working days'!$A$6:$A$45)=0),"",IF(COUNTIFS('Leave log'!$A$7:$A$306,Employees!$A$11,'Leave log'!$B$7:$B$306,"&lt;="&amp;DATE($B$3,11,14),'Leave log'!$C$7:$C$306,"&gt;="&amp;DATE($B$3,11,14),'Leave log'!$F$7:$F$306,"Approved")&gt;0,"A",""))="A","A",IF(OR(DATE($B$3,11,14)&gt;EOMONTH(DATE($B$3,11,1),0),NETWORKDAYS.INTL(DATE($B$3,11,14),DATE($B$3,11,14),1,'Non-working days'!$A$6:$A$45)=0),"",IF(COUNTIFS('Leave log'!$A$7:$A$306,Employees!$A$11,'Leave log'!$B$7:$B$306,"&lt;="&amp;DATE($B$3,11,14),'Leave log'!$C$7:$C$306,"&gt;="&amp;DATE($B$3,11,14),'Leave log'!$F$7:$F$306,"Pending")&gt;0,"P",""))))</f>
        <v/>
      </c>
      <c r="P352" s="23" t="str">
        <f>IF(A352="","",IF(IF(OR(DATE($B$3,11,15)&gt;EOMONTH(DATE($B$3,11,1),0),NETWORKDAYS.INTL(DATE($B$3,11,15),DATE($B$3,11,15),1,'Non-working days'!$A$6:$A$45)=0),"",IF(COUNTIFS('Leave log'!$A$7:$A$306,Employees!$A$11,'Leave log'!$B$7:$B$306,"&lt;="&amp;DATE($B$3,11,15),'Leave log'!$C$7:$C$306,"&gt;="&amp;DATE($B$3,11,15),'Leave log'!$F$7:$F$306,"Approved")&gt;0,"A",""))="A","A",IF(OR(DATE($B$3,11,15)&gt;EOMONTH(DATE($B$3,11,1),0),NETWORKDAYS.INTL(DATE($B$3,11,15),DATE($B$3,11,15),1,'Non-working days'!$A$6:$A$45)=0),"",IF(COUNTIFS('Leave log'!$A$7:$A$306,Employees!$A$11,'Leave log'!$B$7:$B$306,"&lt;="&amp;DATE($B$3,11,15),'Leave log'!$C$7:$C$306,"&gt;="&amp;DATE($B$3,11,15),'Leave log'!$F$7:$F$306,"Pending")&gt;0,"P",""))))</f>
        <v/>
      </c>
      <c r="Q352" s="23" t="str">
        <f>IF(A352="","",IF(IF(OR(DATE($B$3,11,16)&gt;EOMONTH(DATE($B$3,11,1),0),NETWORKDAYS.INTL(DATE($B$3,11,16),DATE($B$3,11,16),1,'Non-working days'!$A$6:$A$45)=0),"",IF(COUNTIFS('Leave log'!$A$7:$A$306,Employees!$A$11,'Leave log'!$B$7:$B$306,"&lt;="&amp;DATE($B$3,11,16),'Leave log'!$C$7:$C$306,"&gt;="&amp;DATE($B$3,11,16),'Leave log'!$F$7:$F$306,"Approved")&gt;0,"A",""))="A","A",IF(OR(DATE($B$3,11,16)&gt;EOMONTH(DATE($B$3,11,1),0),NETWORKDAYS.INTL(DATE($B$3,11,16),DATE($B$3,11,16),1,'Non-working days'!$A$6:$A$45)=0),"",IF(COUNTIFS('Leave log'!$A$7:$A$306,Employees!$A$11,'Leave log'!$B$7:$B$306,"&lt;="&amp;DATE($B$3,11,16),'Leave log'!$C$7:$C$306,"&gt;="&amp;DATE($B$3,11,16),'Leave log'!$F$7:$F$306,"Pending")&gt;0,"P",""))))</f>
        <v/>
      </c>
      <c r="R352" s="23" t="str">
        <f>IF(A352="","",IF(IF(OR(DATE($B$3,11,17)&gt;EOMONTH(DATE($B$3,11,1),0),NETWORKDAYS.INTL(DATE($B$3,11,17),DATE($B$3,11,17),1,'Non-working days'!$A$6:$A$45)=0),"",IF(COUNTIFS('Leave log'!$A$7:$A$306,Employees!$A$11,'Leave log'!$B$7:$B$306,"&lt;="&amp;DATE($B$3,11,17),'Leave log'!$C$7:$C$306,"&gt;="&amp;DATE($B$3,11,17),'Leave log'!$F$7:$F$306,"Approved")&gt;0,"A",""))="A","A",IF(OR(DATE($B$3,11,17)&gt;EOMONTH(DATE($B$3,11,1),0),NETWORKDAYS.INTL(DATE($B$3,11,17),DATE($B$3,11,17),1,'Non-working days'!$A$6:$A$45)=0),"",IF(COUNTIFS('Leave log'!$A$7:$A$306,Employees!$A$11,'Leave log'!$B$7:$B$306,"&lt;="&amp;DATE($B$3,11,17),'Leave log'!$C$7:$C$306,"&gt;="&amp;DATE($B$3,11,17),'Leave log'!$F$7:$F$306,"Pending")&gt;0,"P",""))))</f>
        <v/>
      </c>
      <c r="S352" s="23" t="str">
        <f>IF(A352="","",IF(IF(OR(DATE($B$3,11,18)&gt;EOMONTH(DATE($B$3,11,1),0),NETWORKDAYS.INTL(DATE($B$3,11,18),DATE($B$3,11,18),1,'Non-working days'!$A$6:$A$45)=0),"",IF(COUNTIFS('Leave log'!$A$7:$A$306,Employees!$A$11,'Leave log'!$B$7:$B$306,"&lt;="&amp;DATE($B$3,11,18),'Leave log'!$C$7:$C$306,"&gt;="&amp;DATE($B$3,11,18),'Leave log'!$F$7:$F$306,"Approved")&gt;0,"A",""))="A","A",IF(OR(DATE($B$3,11,18)&gt;EOMONTH(DATE($B$3,11,1),0),NETWORKDAYS.INTL(DATE($B$3,11,18),DATE($B$3,11,18),1,'Non-working days'!$A$6:$A$45)=0),"",IF(COUNTIFS('Leave log'!$A$7:$A$306,Employees!$A$11,'Leave log'!$B$7:$B$306,"&lt;="&amp;DATE($B$3,11,18),'Leave log'!$C$7:$C$306,"&gt;="&amp;DATE($B$3,11,18),'Leave log'!$F$7:$F$306,"Pending")&gt;0,"P",""))))</f>
        <v/>
      </c>
      <c r="T352" s="23" t="str">
        <f>IF(A352="","",IF(IF(OR(DATE($B$3,11,19)&gt;EOMONTH(DATE($B$3,11,1),0),NETWORKDAYS.INTL(DATE($B$3,11,19),DATE($B$3,11,19),1,'Non-working days'!$A$6:$A$45)=0),"",IF(COUNTIFS('Leave log'!$A$7:$A$306,Employees!$A$11,'Leave log'!$B$7:$B$306,"&lt;="&amp;DATE($B$3,11,19),'Leave log'!$C$7:$C$306,"&gt;="&amp;DATE($B$3,11,19),'Leave log'!$F$7:$F$306,"Approved")&gt;0,"A",""))="A","A",IF(OR(DATE($B$3,11,19)&gt;EOMONTH(DATE($B$3,11,1),0),NETWORKDAYS.INTL(DATE($B$3,11,19),DATE($B$3,11,19),1,'Non-working days'!$A$6:$A$45)=0),"",IF(COUNTIFS('Leave log'!$A$7:$A$306,Employees!$A$11,'Leave log'!$B$7:$B$306,"&lt;="&amp;DATE($B$3,11,19),'Leave log'!$C$7:$C$306,"&gt;="&amp;DATE($B$3,11,19),'Leave log'!$F$7:$F$306,"Pending")&gt;0,"P",""))))</f>
        <v/>
      </c>
      <c r="U352" s="23" t="str">
        <f>IF(A352="","",IF(IF(OR(DATE($B$3,11,20)&gt;EOMONTH(DATE($B$3,11,1),0),NETWORKDAYS.INTL(DATE($B$3,11,20),DATE($B$3,11,20),1,'Non-working days'!$A$6:$A$45)=0),"",IF(COUNTIFS('Leave log'!$A$7:$A$306,Employees!$A$11,'Leave log'!$B$7:$B$306,"&lt;="&amp;DATE($B$3,11,20),'Leave log'!$C$7:$C$306,"&gt;="&amp;DATE($B$3,11,20),'Leave log'!$F$7:$F$306,"Approved")&gt;0,"A",""))="A","A",IF(OR(DATE($B$3,11,20)&gt;EOMONTH(DATE($B$3,11,1),0),NETWORKDAYS.INTL(DATE($B$3,11,20),DATE($B$3,11,20),1,'Non-working days'!$A$6:$A$45)=0),"",IF(COUNTIFS('Leave log'!$A$7:$A$306,Employees!$A$11,'Leave log'!$B$7:$B$306,"&lt;="&amp;DATE($B$3,11,20),'Leave log'!$C$7:$C$306,"&gt;="&amp;DATE($B$3,11,20),'Leave log'!$F$7:$F$306,"Pending")&gt;0,"P",""))))</f>
        <v/>
      </c>
      <c r="V352" s="23" t="str">
        <f>IF(A352="","",IF(IF(OR(DATE($B$3,11,21)&gt;EOMONTH(DATE($B$3,11,1),0),NETWORKDAYS.INTL(DATE($B$3,11,21),DATE($B$3,11,21),1,'Non-working days'!$A$6:$A$45)=0),"",IF(COUNTIFS('Leave log'!$A$7:$A$306,Employees!$A$11,'Leave log'!$B$7:$B$306,"&lt;="&amp;DATE($B$3,11,21),'Leave log'!$C$7:$C$306,"&gt;="&amp;DATE($B$3,11,21),'Leave log'!$F$7:$F$306,"Approved")&gt;0,"A",""))="A","A",IF(OR(DATE($B$3,11,21)&gt;EOMONTH(DATE($B$3,11,1),0),NETWORKDAYS.INTL(DATE($B$3,11,21),DATE($B$3,11,21),1,'Non-working days'!$A$6:$A$45)=0),"",IF(COUNTIFS('Leave log'!$A$7:$A$306,Employees!$A$11,'Leave log'!$B$7:$B$306,"&lt;="&amp;DATE($B$3,11,21),'Leave log'!$C$7:$C$306,"&gt;="&amp;DATE($B$3,11,21),'Leave log'!$F$7:$F$306,"Pending")&gt;0,"P",""))))</f>
        <v/>
      </c>
      <c r="W352" s="23" t="str">
        <f>IF(A352="","",IF(IF(OR(DATE($B$3,11,22)&gt;EOMONTH(DATE($B$3,11,1),0),NETWORKDAYS.INTL(DATE($B$3,11,22),DATE($B$3,11,22),1,'Non-working days'!$A$6:$A$45)=0),"",IF(COUNTIFS('Leave log'!$A$7:$A$306,Employees!$A$11,'Leave log'!$B$7:$B$306,"&lt;="&amp;DATE($B$3,11,22),'Leave log'!$C$7:$C$306,"&gt;="&amp;DATE($B$3,11,22),'Leave log'!$F$7:$F$306,"Approved")&gt;0,"A",""))="A","A",IF(OR(DATE($B$3,11,22)&gt;EOMONTH(DATE($B$3,11,1),0),NETWORKDAYS.INTL(DATE($B$3,11,22),DATE($B$3,11,22),1,'Non-working days'!$A$6:$A$45)=0),"",IF(COUNTIFS('Leave log'!$A$7:$A$306,Employees!$A$11,'Leave log'!$B$7:$B$306,"&lt;="&amp;DATE($B$3,11,22),'Leave log'!$C$7:$C$306,"&gt;="&amp;DATE($B$3,11,22),'Leave log'!$F$7:$F$306,"Pending")&gt;0,"P",""))))</f>
        <v/>
      </c>
      <c r="X352" s="23" t="str">
        <f>IF(A352="","",IF(IF(OR(DATE($B$3,11,23)&gt;EOMONTH(DATE($B$3,11,1),0),NETWORKDAYS.INTL(DATE($B$3,11,23),DATE($B$3,11,23),1,'Non-working days'!$A$6:$A$45)=0),"",IF(COUNTIFS('Leave log'!$A$7:$A$306,Employees!$A$11,'Leave log'!$B$7:$B$306,"&lt;="&amp;DATE($B$3,11,23),'Leave log'!$C$7:$C$306,"&gt;="&amp;DATE($B$3,11,23),'Leave log'!$F$7:$F$306,"Approved")&gt;0,"A",""))="A","A",IF(OR(DATE($B$3,11,23)&gt;EOMONTH(DATE($B$3,11,1),0),NETWORKDAYS.INTL(DATE($B$3,11,23),DATE($B$3,11,23),1,'Non-working days'!$A$6:$A$45)=0),"",IF(COUNTIFS('Leave log'!$A$7:$A$306,Employees!$A$11,'Leave log'!$B$7:$B$306,"&lt;="&amp;DATE($B$3,11,23),'Leave log'!$C$7:$C$306,"&gt;="&amp;DATE($B$3,11,23),'Leave log'!$F$7:$F$306,"Pending")&gt;0,"P",""))))</f>
        <v/>
      </c>
      <c r="Y352" s="23" t="str">
        <f>IF(A352="","",IF(IF(OR(DATE($B$3,11,24)&gt;EOMONTH(DATE($B$3,11,1),0),NETWORKDAYS.INTL(DATE($B$3,11,24),DATE($B$3,11,24),1,'Non-working days'!$A$6:$A$45)=0),"",IF(COUNTIFS('Leave log'!$A$7:$A$306,Employees!$A$11,'Leave log'!$B$7:$B$306,"&lt;="&amp;DATE($B$3,11,24),'Leave log'!$C$7:$C$306,"&gt;="&amp;DATE($B$3,11,24),'Leave log'!$F$7:$F$306,"Approved")&gt;0,"A",""))="A","A",IF(OR(DATE($B$3,11,24)&gt;EOMONTH(DATE($B$3,11,1),0),NETWORKDAYS.INTL(DATE($B$3,11,24),DATE($B$3,11,24),1,'Non-working days'!$A$6:$A$45)=0),"",IF(COUNTIFS('Leave log'!$A$7:$A$306,Employees!$A$11,'Leave log'!$B$7:$B$306,"&lt;="&amp;DATE($B$3,11,24),'Leave log'!$C$7:$C$306,"&gt;="&amp;DATE($B$3,11,24),'Leave log'!$F$7:$F$306,"Pending")&gt;0,"P",""))))</f>
        <v/>
      </c>
      <c r="Z352" s="23" t="str">
        <f>IF(A352="","",IF(IF(OR(DATE($B$3,11,25)&gt;EOMONTH(DATE($B$3,11,1),0),NETWORKDAYS.INTL(DATE($B$3,11,25),DATE($B$3,11,25),1,'Non-working days'!$A$6:$A$45)=0),"",IF(COUNTIFS('Leave log'!$A$7:$A$306,Employees!$A$11,'Leave log'!$B$7:$B$306,"&lt;="&amp;DATE($B$3,11,25),'Leave log'!$C$7:$C$306,"&gt;="&amp;DATE($B$3,11,25),'Leave log'!$F$7:$F$306,"Approved")&gt;0,"A",""))="A","A",IF(OR(DATE($B$3,11,25)&gt;EOMONTH(DATE($B$3,11,1),0),NETWORKDAYS.INTL(DATE($B$3,11,25),DATE($B$3,11,25),1,'Non-working days'!$A$6:$A$45)=0),"",IF(COUNTIFS('Leave log'!$A$7:$A$306,Employees!$A$11,'Leave log'!$B$7:$B$306,"&lt;="&amp;DATE($B$3,11,25),'Leave log'!$C$7:$C$306,"&gt;="&amp;DATE($B$3,11,25),'Leave log'!$F$7:$F$306,"Pending")&gt;0,"P",""))))</f>
        <v/>
      </c>
      <c r="AA352" s="23" t="str">
        <f>IF(A352="","",IF(IF(OR(DATE($B$3,11,26)&gt;EOMONTH(DATE($B$3,11,1),0),NETWORKDAYS.INTL(DATE($B$3,11,26),DATE($B$3,11,26),1,'Non-working days'!$A$6:$A$45)=0),"",IF(COUNTIFS('Leave log'!$A$7:$A$306,Employees!$A$11,'Leave log'!$B$7:$B$306,"&lt;="&amp;DATE($B$3,11,26),'Leave log'!$C$7:$C$306,"&gt;="&amp;DATE($B$3,11,26),'Leave log'!$F$7:$F$306,"Approved")&gt;0,"A",""))="A","A",IF(OR(DATE($B$3,11,26)&gt;EOMONTH(DATE($B$3,11,1),0),NETWORKDAYS.INTL(DATE($B$3,11,26),DATE($B$3,11,26),1,'Non-working days'!$A$6:$A$45)=0),"",IF(COUNTIFS('Leave log'!$A$7:$A$306,Employees!$A$11,'Leave log'!$B$7:$B$306,"&lt;="&amp;DATE($B$3,11,26),'Leave log'!$C$7:$C$306,"&gt;="&amp;DATE($B$3,11,26),'Leave log'!$F$7:$F$306,"Pending")&gt;0,"P",""))))</f>
        <v/>
      </c>
      <c r="AB352" s="23" t="str">
        <f>IF(A352="","",IF(IF(OR(DATE($B$3,11,27)&gt;EOMONTH(DATE($B$3,11,1),0),NETWORKDAYS.INTL(DATE($B$3,11,27),DATE($B$3,11,27),1,'Non-working days'!$A$6:$A$45)=0),"",IF(COUNTIFS('Leave log'!$A$7:$A$306,Employees!$A$11,'Leave log'!$B$7:$B$306,"&lt;="&amp;DATE($B$3,11,27),'Leave log'!$C$7:$C$306,"&gt;="&amp;DATE($B$3,11,27),'Leave log'!$F$7:$F$306,"Approved")&gt;0,"A",""))="A","A",IF(OR(DATE($B$3,11,27)&gt;EOMONTH(DATE($B$3,11,1),0),NETWORKDAYS.INTL(DATE($B$3,11,27),DATE($B$3,11,27),1,'Non-working days'!$A$6:$A$45)=0),"",IF(COUNTIFS('Leave log'!$A$7:$A$306,Employees!$A$11,'Leave log'!$B$7:$B$306,"&lt;="&amp;DATE($B$3,11,27),'Leave log'!$C$7:$C$306,"&gt;="&amp;DATE($B$3,11,27),'Leave log'!$F$7:$F$306,"Pending")&gt;0,"P",""))))</f>
        <v/>
      </c>
      <c r="AC352" s="23" t="str">
        <f>IF(A352="","",IF(IF(OR(DATE($B$3,11,28)&gt;EOMONTH(DATE($B$3,11,1),0),NETWORKDAYS.INTL(DATE($B$3,11,28),DATE($B$3,11,28),1,'Non-working days'!$A$6:$A$45)=0),"",IF(COUNTIFS('Leave log'!$A$7:$A$306,Employees!$A$11,'Leave log'!$B$7:$B$306,"&lt;="&amp;DATE($B$3,11,28),'Leave log'!$C$7:$C$306,"&gt;="&amp;DATE($B$3,11,28),'Leave log'!$F$7:$F$306,"Approved")&gt;0,"A",""))="A","A",IF(OR(DATE($B$3,11,28)&gt;EOMONTH(DATE($B$3,11,1),0),NETWORKDAYS.INTL(DATE($B$3,11,28),DATE($B$3,11,28),1,'Non-working days'!$A$6:$A$45)=0),"",IF(COUNTIFS('Leave log'!$A$7:$A$306,Employees!$A$11,'Leave log'!$B$7:$B$306,"&lt;="&amp;DATE($B$3,11,28),'Leave log'!$C$7:$C$306,"&gt;="&amp;DATE($B$3,11,28),'Leave log'!$F$7:$F$306,"Pending")&gt;0,"P",""))))</f>
        <v/>
      </c>
      <c r="AD352" s="23" t="str">
        <f>IF(A352="","",IF(IF(OR(DATE($B$3,11,29)&gt;EOMONTH(DATE($B$3,11,1),0),NETWORKDAYS.INTL(DATE($B$3,11,29),DATE($B$3,11,29),1,'Non-working days'!$A$6:$A$45)=0),"",IF(COUNTIFS('Leave log'!$A$7:$A$306,Employees!$A$11,'Leave log'!$B$7:$B$306,"&lt;="&amp;DATE($B$3,11,29),'Leave log'!$C$7:$C$306,"&gt;="&amp;DATE($B$3,11,29),'Leave log'!$F$7:$F$306,"Approved")&gt;0,"A",""))="A","A",IF(OR(DATE($B$3,11,29)&gt;EOMONTH(DATE($B$3,11,1),0),NETWORKDAYS.INTL(DATE($B$3,11,29),DATE($B$3,11,29),1,'Non-working days'!$A$6:$A$45)=0),"",IF(COUNTIFS('Leave log'!$A$7:$A$306,Employees!$A$11,'Leave log'!$B$7:$B$306,"&lt;="&amp;DATE($B$3,11,29),'Leave log'!$C$7:$C$306,"&gt;="&amp;DATE($B$3,11,29),'Leave log'!$F$7:$F$306,"Pending")&gt;0,"P",""))))</f>
        <v/>
      </c>
      <c r="AE352" s="23" t="str">
        <f>IF(A352="","",IF(IF(OR(DATE($B$3,11,30)&gt;EOMONTH(DATE($B$3,11,1),0),NETWORKDAYS.INTL(DATE($B$3,11,30),DATE($B$3,11,30),1,'Non-working days'!$A$6:$A$45)=0),"",IF(COUNTIFS('Leave log'!$A$7:$A$306,Employees!$A$11,'Leave log'!$B$7:$B$306,"&lt;="&amp;DATE($B$3,11,30),'Leave log'!$C$7:$C$306,"&gt;="&amp;DATE($B$3,11,30),'Leave log'!$F$7:$F$306,"Approved")&gt;0,"A",""))="A","A",IF(OR(DATE($B$3,11,30)&gt;EOMONTH(DATE($B$3,11,1),0),NETWORKDAYS.INTL(DATE($B$3,11,30),DATE($B$3,11,30),1,'Non-working days'!$A$6:$A$45)=0),"",IF(COUNTIFS('Leave log'!$A$7:$A$306,Employees!$A$11,'Leave log'!$B$7:$B$306,"&lt;="&amp;DATE($B$3,11,30),'Leave log'!$C$7:$C$306,"&gt;="&amp;DATE($B$3,11,30),'Leave log'!$F$7:$F$306,"Pending")&gt;0,"P",""))))</f>
        <v/>
      </c>
      <c r="AF352" s="23" t="str">
        <f>IF(A352="","",IF(IF(OR(DATE($B$3,11,31)&gt;EOMONTH(DATE($B$3,11,1),0),NETWORKDAYS.INTL(DATE($B$3,11,31),DATE($B$3,11,31),1,'Non-working days'!$A$6:$A$45)=0),"",IF(COUNTIFS('Leave log'!$A$7:$A$306,Employees!$A$11,'Leave log'!$B$7:$B$306,"&lt;="&amp;DATE($B$3,11,31),'Leave log'!$C$7:$C$306,"&gt;="&amp;DATE($B$3,11,31),'Leave log'!$F$7:$F$306,"Approved")&gt;0,"A",""))="A","A",IF(OR(DATE($B$3,11,31)&gt;EOMONTH(DATE($B$3,11,1),0),NETWORKDAYS.INTL(DATE($B$3,11,31),DATE($B$3,11,31),1,'Non-working days'!$A$6:$A$45)=0),"",IF(COUNTIFS('Leave log'!$A$7:$A$306,Employees!$A$11,'Leave log'!$B$7:$B$306,"&lt;="&amp;DATE($B$3,11,31),'Leave log'!$C$7:$C$306,"&gt;="&amp;DATE($B$3,11,31),'Leave log'!$F$7:$F$306,"Pending")&gt;0,"P",""))))</f>
        <v/>
      </c>
    </row>
    <row r="353" spans="1:32" ht="18" customHeight="1" x14ac:dyDescent="0.3">
      <c r="A353" s="22" t="str">
        <f>IF(Employees!F12="Yes",Employees!B12,"")</f>
        <v/>
      </c>
      <c r="B353" s="23" t="str">
        <f>IF(A353="","",IF(IF(OR(DATE($B$3,11,1)&gt;EOMONTH(DATE($B$3,11,1),0),NETWORKDAYS.INTL(DATE($B$3,11,1),DATE($B$3,11,1),1,'Non-working days'!$A$6:$A$45)=0),"",IF(COUNTIFS('Leave log'!$A$7:$A$306,Employees!$A$12,'Leave log'!$B$7:$B$306,"&lt;="&amp;DATE($B$3,11,1),'Leave log'!$C$7:$C$306,"&gt;="&amp;DATE($B$3,11,1),'Leave log'!$F$7:$F$306,"Approved")&gt;0,"A",""))="A","A",IF(OR(DATE($B$3,11,1)&gt;EOMONTH(DATE($B$3,11,1),0),NETWORKDAYS.INTL(DATE($B$3,11,1),DATE($B$3,11,1),1,'Non-working days'!$A$6:$A$45)=0),"",IF(COUNTIFS('Leave log'!$A$7:$A$306,Employees!$A$12,'Leave log'!$B$7:$B$306,"&lt;="&amp;DATE($B$3,11,1),'Leave log'!$C$7:$C$306,"&gt;="&amp;DATE($B$3,11,1),'Leave log'!$F$7:$F$306,"Pending")&gt;0,"P",""))))</f>
        <v/>
      </c>
      <c r="C353" s="23" t="str">
        <f>IF(A353="","",IF(IF(OR(DATE($B$3,11,2)&gt;EOMONTH(DATE($B$3,11,1),0),NETWORKDAYS.INTL(DATE($B$3,11,2),DATE($B$3,11,2),1,'Non-working days'!$A$6:$A$45)=0),"",IF(COUNTIFS('Leave log'!$A$7:$A$306,Employees!$A$12,'Leave log'!$B$7:$B$306,"&lt;="&amp;DATE($B$3,11,2),'Leave log'!$C$7:$C$306,"&gt;="&amp;DATE($B$3,11,2),'Leave log'!$F$7:$F$306,"Approved")&gt;0,"A",""))="A","A",IF(OR(DATE($B$3,11,2)&gt;EOMONTH(DATE($B$3,11,1),0),NETWORKDAYS.INTL(DATE($B$3,11,2),DATE($B$3,11,2),1,'Non-working days'!$A$6:$A$45)=0),"",IF(COUNTIFS('Leave log'!$A$7:$A$306,Employees!$A$12,'Leave log'!$B$7:$B$306,"&lt;="&amp;DATE($B$3,11,2),'Leave log'!$C$7:$C$306,"&gt;="&amp;DATE($B$3,11,2),'Leave log'!$F$7:$F$306,"Pending")&gt;0,"P",""))))</f>
        <v/>
      </c>
      <c r="D353" s="23" t="str">
        <f>IF(A353="","",IF(IF(OR(DATE($B$3,11,3)&gt;EOMONTH(DATE($B$3,11,1),0),NETWORKDAYS.INTL(DATE($B$3,11,3),DATE($B$3,11,3),1,'Non-working days'!$A$6:$A$45)=0),"",IF(COUNTIFS('Leave log'!$A$7:$A$306,Employees!$A$12,'Leave log'!$B$7:$B$306,"&lt;="&amp;DATE($B$3,11,3),'Leave log'!$C$7:$C$306,"&gt;="&amp;DATE($B$3,11,3),'Leave log'!$F$7:$F$306,"Approved")&gt;0,"A",""))="A","A",IF(OR(DATE($B$3,11,3)&gt;EOMONTH(DATE($B$3,11,1),0),NETWORKDAYS.INTL(DATE($B$3,11,3),DATE($B$3,11,3),1,'Non-working days'!$A$6:$A$45)=0),"",IF(COUNTIFS('Leave log'!$A$7:$A$306,Employees!$A$12,'Leave log'!$B$7:$B$306,"&lt;="&amp;DATE($B$3,11,3),'Leave log'!$C$7:$C$306,"&gt;="&amp;DATE($B$3,11,3),'Leave log'!$F$7:$F$306,"Pending")&gt;0,"P",""))))</f>
        <v/>
      </c>
      <c r="E353" s="23" t="str">
        <f>IF(A353="","",IF(IF(OR(DATE($B$3,11,4)&gt;EOMONTH(DATE($B$3,11,1),0),NETWORKDAYS.INTL(DATE($B$3,11,4),DATE($B$3,11,4),1,'Non-working days'!$A$6:$A$45)=0),"",IF(COUNTIFS('Leave log'!$A$7:$A$306,Employees!$A$12,'Leave log'!$B$7:$B$306,"&lt;="&amp;DATE($B$3,11,4),'Leave log'!$C$7:$C$306,"&gt;="&amp;DATE($B$3,11,4),'Leave log'!$F$7:$F$306,"Approved")&gt;0,"A",""))="A","A",IF(OR(DATE($B$3,11,4)&gt;EOMONTH(DATE($B$3,11,1),0),NETWORKDAYS.INTL(DATE($B$3,11,4),DATE($B$3,11,4),1,'Non-working days'!$A$6:$A$45)=0),"",IF(COUNTIFS('Leave log'!$A$7:$A$306,Employees!$A$12,'Leave log'!$B$7:$B$306,"&lt;="&amp;DATE($B$3,11,4),'Leave log'!$C$7:$C$306,"&gt;="&amp;DATE($B$3,11,4),'Leave log'!$F$7:$F$306,"Pending")&gt;0,"P",""))))</f>
        <v/>
      </c>
      <c r="F353" s="23" t="str">
        <f>IF(A353="","",IF(IF(OR(DATE($B$3,11,5)&gt;EOMONTH(DATE($B$3,11,1),0),NETWORKDAYS.INTL(DATE($B$3,11,5),DATE($B$3,11,5),1,'Non-working days'!$A$6:$A$45)=0),"",IF(COUNTIFS('Leave log'!$A$7:$A$306,Employees!$A$12,'Leave log'!$B$7:$B$306,"&lt;="&amp;DATE($B$3,11,5),'Leave log'!$C$7:$C$306,"&gt;="&amp;DATE($B$3,11,5),'Leave log'!$F$7:$F$306,"Approved")&gt;0,"A",""))="A","A",IF(OR(DATE($B$3,11,5)&gt;EOMONTH(DATE($B$3,11,1),0),NETWORKDAYS.INTL(DATE($B$3,11,5),DATE($B$3,11,5),1,'Non-working days'!$A$6:$A$45)=0),"",IF(COUNTIFS('Leave log'!$A$7:$A$306,Employees!$A$12,'Leave log'!$B$7:$B$306,"&lt;="&amp;DATE($B$3,11,5),'Leave log'!$C$7:$C$306,"&gt;="&amp;DATE($B$3,11,5),'Leave log'!$F$7:$F$306,"Pending")&gt;0,"P",""))))</f>
        <v/>
      </c>
      <c r="G353" s="23" t="str">
        <f>IF(A353="","",IF(IF(OR(DATE($B$3,11,6)&gt;EOMONTH(DATE($B$3,11,1),0),NETWORKDAYS.INTL(DATE($B$3,11,6),DATE($B$3,11,6),1,'Non-working days'!$A$6:$A$45)=0),"",IF(COUNTIFS('Leave log'!$A$7:$A$306,Employees!$A$12,'Leave log'!$B$7:$B$306,"&lt;="&amp;DATE($B$3,11,6),'Leave log'!$C$7:$C$306,"&gt;="&amp;DATE($B$3,11,6),'Leave log'!$F$7:$F$306,"Approved")&gt;0,"A",""))="A","A",IF(OR(DATE($B$3,11,6)&gt;EOMONTH(DATE($B$3,11,1),0),NETWORKDAYS.INTL(DATE($B$3,11,6),DATE($B$3,11,6),1,'Non-working days'!$A$6:$A$45)=0),"",IF(COUNTIFS('Leave log'!$A$7:$A$306,Employees!$A$12,'Leave log'!$B$7:$B$306,"&lt;="&amp;DATE($B$3,11,6),'Leave log'!$C$7:$C$306,"&gt;="&amp;DATE($B$3,11,6),'Leave log'!$F$7:$F$306,"Pending")&gt;0,"P",""))))</f>
        <v/>
      </c>
      <c r="H353" s="23" t="str">
        <f>IF(A353="","",IF(IF(OR(DATE($B$3,11,7)&gt;EOMONTH(DATE($B$3,11,1),0),NETWORKDAYS.INTL(DATE($B$3,11,7),DATE($B$3,11,7),1,'Non-working days'!$A$6:$A$45)=0),"",IF(COUNTIFS('Leave log'!$A$7:$A$306,Employees!$A$12,'Leave log'!$B$7:$B$306,"&lt;="&amp;DATE($B$3,11,7),'Leave log'!$C$7:$C$306,"&gt;="&amp;DATE($B$3,11,7),'Leave log'!$F$7:$F$306,"Approved")&gt;0,"A",""))="A","A",IF(OR(DATE($B$3,11,7)&gt;EOMONTH(DATE($B$3,11,1),0),NETWORKDAYS.INTL(DATE($B$3,11,7),DATE($B$3,11,7),1,'Non-working days'!$A$6:$A$45)=0),"",IF(COUNTIFS('Leave log'!$A$7:$A$306,Employees!$A$12,'Leave log'!$B$7:$B$306,"&lt;="&amp;DATE($B$3,11,7),'Leave log'!$C$7:$C$306,"&gt;="&amp;DATE($B$3,11,7),'Leave log'!$F$7:$F$306,"Pending")&gt;0,"P",""))))</f>
        <v/>
      </c>
      <c r="I353" s="23" t="str">
        <f>IF(A353="","",IF(IF(OR(DATE($B$3,11,8)&gt;EOMONTH(DATE($B$3,11,1),0),NETWORKDAYS.INTL(DATE($B$3,11,8),DATE($B$3,11,8),1,'Non-working days'!$A$6:$A$45)=0),"",IF(COUNTIFS('Leave log'!$A$7:$A$306,Employees!$A$12,'Leave log'!$B$7:$B$306,"&lt;="&amp;DATE($B$3,11,8),'Leave log'!$C$7:$C$306,"&gt;="&amp;DATE($B$3,11,8),'Leave log'!$F$7:$F$306,"Approved")&gt;0,"A",""))="A","A",IF(OR(DATE($B$3,11,8)&gt;EOMONTH(DATE($B$3,11,1),0),NETWORKDAYS.INTL(DATE($B$3,11,8),DATE($B$3,11,8),1,'Non-working days'!$A$6:$A$45)=0),"",IF(COUNTIFS('Leave log'!$A$7:$A$306,Employees!$A$12,'Leave log'!$B$7:$B$306,"&lt;="&amp;DATE($B$3,11,8),'Leave log'!$C$7:$C$306,"&gt;="&amp;DATE($B$3,11,8),'Leave log'!$F$7:$F$306,"Pending")&gt;0,"P",""))))</f>
        <v/>
      </c>
      <c r="J353" s="23" t="str">
        <f>IF(A353="","",IF(IF(OR(DATE($B$3,11,9)&gt;EOMONTH(DATE($B$3,11,1),0),NETWORKDAYS.INTL(DATE($B$3,11,9),DATE($B$3,11,9),1,'Non-working days'!$A$6:$A$45)=0),"",IF(COUNTIFS('Leave log'!$A$7:$A$306,Employees!$A$12,'Leave log'!$B$7:$B$306,"&lt;="&amp;DATE($B$3,11,9),'Leave log'!$C$7:$C$306,"&gt;="&amp;DATE($B$3,11,9),'Leave log'!$F$7:$F$306,"Approved")&gt;0,"A",""))="A","A",IF(OR(DATE($B$3,11,9)&gt;EOMONTH(DATE($B$3,11,1),0),NETWORKDAYS.INTL(DATE($B$3,11,9),DATE($B$3,11,9),1,'Non-working days'!$A$6:$A$45)=0),"",IF(COUNTIFS('Leave log'!$A$7:$A$306,Employees!$A$12,'Leave log'!$B$7:$B$306,"&lt;="&amp;DATE($B$3,11,9),'Leave log'!$C$7:$C$306,"&gt;="&amp;DATE($B$3,11,9),'Leave log'!$F$7:$F$306,"Pending")&gt;0,"P",""))))</f>
        <v/>
      </c>
      <c r="K353" s="23" t="str">
        <f>IF(A353="","",IF(IF(OR(DATE($B$3,11,10)&gt;EOMONTH(DATE($B$3,11,1),0),NETWORKDAYS.INTL(DATE($B$3,11,10),DATE($B$3,11,10),1,'Non-working days'!$A$6:$A$45)=0),"",IF(COUNTIFS('Leave log'!$A$7:$A$306,Employees!$A$12,'Leave log'!$B$7:$B$306,"&lt;="&amp;DATE($B$3,11,10),'Leave log'!$C$7:$C$306,"&gt;="&amp;DATE($B$3,11,10),'Leave log'!$F$7:$F$306,"Approved")&gt;0,"A",""))="A","A",IF(OR(DATE($B$3,11,10)&gt;EOMONTH(DATE($B$3,11,1),0),NETWORKDAYS.INTL(DATE($B$3,11,10),DATE($B$3,11,10),1,'Non-working days'!$A$6:$A$45)=0),"",IF(COUNTIFS('Leave log'!$A$7:$A$306,Employees!$A$12,'Leave log'!$B$7:$B$306,"&lt;="&amp;DATE($B$3,11,10),'Leave log'!$C$7:$C$306,"&gt;="&amp;DATE($B$3,11,10),'Leave log'!$F$7:$F$306,"Pending")&gt;0,"P",""))))</f>
        <v/>
      </c>
      <c r="L353" s="23" t="str">
        <f>IF(A353="","",IF(IF(OR(DATE($B$3,11,11)&gt;EOMONTH(DATE($B$3,11,1),0),NETWORKDAYS.INTL(DATE($B$3,11,11),DATE($B$3,11,11),1,'Non-working days'!$A$6:$A$45)=0),"",IF(COUNTIFS('Leave log'!$A$7:$A$306,Employees!$A$12,'Leave log'!$B$7:$B$306,"&lt;="&amp;DATE($B$3,11,11),'Leave log'!$C$7:$C$306,"&gt;="&amp;DATE($B$3,11,11),'Leave log'!$F$7:$F$306,"Approved")&gt;0,"A",""))="A","A",IF(OR(DATE($B$3,11,11)&gt;EOMONTH(DATE($B$3,11,1),0),NETWORKDAYS.INTL(DATE($B$3,11,11),DATE($B$3,11,11),1,'Non-working days'!$A$6:$A$45)=0),"",IF(COUNTIFS('Leave log'!$A$7:$A$306,Employees!$A$12,'Leave log'!$B$7:$B$306,"&lt;="&amp;DATE($B$3,11,11),'Leave log'!$C$7:$C$306,"&gt;="&amp;DATE($B$3,11,11),'Leave log'!$F$7:$F$306,"Pending")&gt;0,"P",""))))</f>
        <v/>
      </c>
      <c r="M353" s="23" t="str">
        <f>IF(A353="","",IF(IF(OR(DATE($B$3,11,12)&gt;EOMONTH(DATE($B$3,11,1),0),NETWORKDAYS.INTL(DATE($B$3,11,12),DATE($B$3,11,12),1,'Non-working days'!$A$6:$A$45)=0),"",IF(COUNTIFS('Leave log'!$A$7:$A$306,Employees!$A$12,'Leave log'!$B$7:$B$306,"&lt;="&amp;DATE($B$3,11,12),'Leave log'!$C$7:$C$306,"&gt;="&amp;DATE($B$3,11,12),'Leave log'!$F$7:$F$306,"Approved")&gt;0,"A",""))="A","A",IF(OR(DATE($B$3,11,12)&gt;EOMONTH(DATE($B$3,11,1),0),NETWORKDAYS.INTL(DATE($B$3,11,12),DATE($B$3,11,12),1,'Non-working days'!$A$6:$A$45)=0),"",IF(COUNTIFS('Leave log'!$A$7:$A$306,Employees!$A$12,'Leave log'!$B$7:$B$306,"&lt;="&amp;DATE($B$3,11,12),'Leave log'!$C$7:$C$306,"&gt;="&amp;DATE($B$3,11,12),'Leave log'!$F$7:$F$306,"Pending")&gt;0,"P",""))))</f>
        <v/>
      </c>
      <c r="N353" s="23" t="str">
        <f>IF(A353="","",IF(IF(OR(DATE($B$3,11,13)&gt;EOMONTH(DATE($B$3,11,1),0),NETWORKDAYS.INTL(DATE($B$3,11,13),DATE($B$3,11,13),1,'Non-working days'!$A$6:$A$45)=0),"",IF(COUNTIFS('Leave log'!$A$7:$A$306,Employees!$A$12,'Leave log'!$B$7:$B$306,"&lt;="&amp;DATE($B$3,11,13),'Leave log'!$C$7:$C$306,"&gt;="&amp;DATE($B$3,11,13),'Leave log'!$F$7:$F$306,"Approved")&gt;0,"A",""))="A","A",IF(OR(DATE($B$3,11,13)&gt;EOMONTH(DATE($B$3,11,1),0),NETWORKDAYS.INTL(DATE($B$3,11,13),DATE($B$3,11,13),1,'Non-working days'!$A$6:$A$45)=0),"",IF(COUNTIFS('Leave log'!$A$7:$A$306,Employees!$A$12,'Leave log'!$B$7:$B$306,"&lt;="&amp;DATE($B$3,11,13),'Leave log'!$C$7:$C$306,"&gt;="&amp;DATE($B$3,11,13),'Leave log'!$F$7:$F$306,"Pending")&gt;0,"P",""))))</f>
        <v/>
      </c>
      <c r="O353" s="23" t="str">
        <f>IF(A353="","",IF(IF(OR(DATE($B$3,11,14)&gt;EOMONTH(DATE($B$3,11,1),0),NETWORKDAYS.INTL(DATE($B$3,11,14),DATE($B$3,11,14),1,'Non-working days'!$A$6:$A$45)=0),"",IF(COUNTIFS('Leave log'!$A$7:$A$306,Employees!$A$12,'Leave log'!$B$7:$B$306,"&lt;="&amp;DATE($B$3,11,14),'Leave log'!$C$7:$C$306,"&gt;="&amp;DATE($B$3,11,14),'Leave log'!$F$7:$F$306,"Approved")&gt;0,"A",""))="A","A",IF(OR(DATE($B$3,11,14)&gt;EOMONTH(DATE($B$3,11,1),0),NETWORKDAYS.INTL(DATE($B$3,11,14),DATE($B$3,11,14),1,'Non-working days'!$A$6:$A$45)=0),"",IF(COUNTIFS('Leave log'!$A$7:$A$306,Employees!$A$12,'Leave log'!$B$7:$B$306,"&lt;="&amp;DATE($B$3,11,14),'Leave log'!$C$7:$C$306,"&gt;="&amp;DATE($B$3,11,14),'Leave log'!$F$7:$F$306,"Pending")&gt;0,"P",""))))</f>
        <v/>
      </c>
      <c r="P353" s="23" t="str">
        <f>IF(A353="","",IF(IF(OR(DATE($B$3,11,15)&gt;EOMONTH(DATE($B$3,11,1),0),NETWORKDAYS.INTL(DATE($B$3,11,15),DATE($B$3,11,15),1,'Non-working days'!$A$6:$A$45)=0),"",IF(COUNTIFS('Leave log'!$A$7:$A$306,Employees!$A$12,'Leave log'!$B$7:$B$306,"&lt;="&amp;DATE($B$3,11,15),'Leave log'!$C$7:$C$306,"&gt;="&amp;DATE($B$3,11,15),'Leave log'!$F$7:$F$306,"Approved")&gt;0,"A",""))="A","A",IF(OR(DATE($B$3,11,15)&gt;EOMONTH(DATE($B$3,11,1),0),NETWORKDAYS.INTL(DATE($B$3,11,15),DATE($B$3,11,15),1,'Non-working days'!$A$6:$A$45)=0),"",IF(COUNTIFS('Leave log'!$A$7:$A$306,Employees!$A$12,'Leave log'!$B$7:$B$306,"&lt;="&amp;DATE($B$3,11,15),'Leave log'!$C$7:$C$306,"&gt;="&amp;DATE($B$3,11,15),'Leave log'!$F$7:$F$306,"Pending")&gt;0,"P",""))))</f>
        <v/>
      </c>
      <c r="Q353" s="23" t="str">
        <f>IF(A353="","",IF(IF(OR(DATE($B$3,11,16)&gt;EOMONTH(DATE($B$3,11,1),0),NETWORKDAYS.INTL(DATE($B$3,11,16),DATE($B$3,11,16),1,'Non-working days'!$A$6:$A$45)=0),"",IF(COUNTIFS('Leave log'!$A$7:$A$306,Employees!$A$12,'Leave log'!$B$7:$B$306,"&lt;="&amp;DATE($B$3,11,16),'Leave log'!$C$7:$C$306,"&gt;="&amp;DATE($B$3,11,16),'Leave log'!$F$7:$F$306,"Approved")&gt;0,"A",""))="A","A",IF(OR(DATE($B$3,11,16)&gt;EOMONTH(DATE($B$3,11,1),0),NETWORKDAYS.INTL(DATE($B$3,11,16),DATE($B$3,11,16),1,'Non-working days'!$A$6:$A$45)=0),"",IF(COUNTIFS('Leave log'!$A$7:$A$306,Employees!$A$12,'Leave log'!$B$7:$B$306,"&lt;="&amp;DATE($B$3,11,16),'Leave log'!$C$7:$C$306,"&gt;="&amp;DATE($B$3,11,16),'Leave log'!$F$7:$F$306,"Pending")&gt;0,"P",""))))</f>
        <v/>
      </c>
      <c r="R353" s="23" t="str">
        <f>IF(A353="","",IF(IF(OR(DATE($B$3,11,17)&gt;EOMONTH(DATE($B$3,11,1),0),NETWORKDAYS.INTL(DATE($B$3,11,17),DATE($B$3,11,17),1,'Non-working days'!$A$6:$A$45)=0),"",IF(COUNTIFS('Leave log'!$A$7:$A$306,Employees!$A$12,'Leave log'!$B$7:$B$306,"&lt;="&amp;DATE($B$3,11,17),'Leave log'!$C$7:$C$306,"&gt;="&amp;DATE($B$3,11,17),'Leave log'!$F$7:$F$306,"Approved")&gt;0,"A",""))="A","A",IF(OR(DATE($B$3,11,17)&gt;EOMONTH(DATE($B$3,11,1),0),NETWORKDAYS.INTL(DATE($B$3,11,17),DATE($B$3,11,17),1,'Non-working days'!$A$6:$A$45)=0),"",IF(COUNTIFS('Leave log'!$A$7:$A$306,Employees!$A$12,'Leave log'!$B$7:$B$306,"&lt;="&amp;DATE($B$3,11,17),'Leave log'!$C$7:$C$306,"&gt;="&amp;DATE($B$3,11,17),'Leave log'!$F$7:$F$306,"Pending")&gt;0,"P",""))))</f>
        <v/>
      </c>
      <c r="S353" s="23" t="str">
        <f>IF(A353="","",IF(IF(OR(DATE($B$3,11,18)&gt;EOMONTH(DATE($B$3,11,1),0),NETWORKDAYS.INTL(DATE($B$3,11,18),DATE($B$3,11,18),1,'Non-working days'!$A$6:$A$45)=0),"",IF(COUNTIFS('Leave log'!$A$7:$A$306,Employees!$A$12,'Leave log'!$B$7:$B$306,"&lt;="&amp;DATE($B$3,11,18),'Leave log'!$C$7:$C$306,"&gt;="&amp;DATE($B$3,11,18),'Leave log'!$F$7:$F$306,"Approved")&gt;0,"A",""))="A","A",IF(OR(DATE($B$3,11,18)&gt;EOMONTH(DATE($B$3,11,1),0),NETWORKDAYS.INTL(DATE($B$3,11,18),DATE($B$3,11,18),1,'Non-working days'!$A$6:$A$45)=0),"",IF(COUNTIFS('Leave log'!$A$7:$A$306,Employees!$A$12,'Leave log'!$B$7:$B$306,"&lt;="&amp;DATE($B$3,11,18),'Leave log'!$C$7:$C$306,"&gt;="&amp;DATE($B$3,11,18),'Leave log'!$F$7:$F$306,"Pending")&gt;0,"P",""))))</f>
        <v/>
      </c>
      <c r="T353" s="23" t="str">
        <f>IF(A353="","",IF(IF(OR(DATE($B$3,11,19)&gt;EOMONTH(DATE($B$3,11,1),0),NETWORKDAYS.INTL(DATE($B$3,11,19),DATE($B$3,11,19),1,'Non-working days'!$A$6:$A$45)=0),"",IF(COUNTIFS('Leave log'!$A$7:$A$306,Employees!$A$12,'Leave log'!$B$7:$B$306,"&lt;="&amp;DATE($B$3,11,19),'Leave log'!$C$7:$C$306,"&gt;="&amp;DATE($B$3,11,19),'Leave log'!$F$7:$F$306,"Approved")&gt;0,"A",""))="A","A",IF(OR(DATE($B$3,11,19)&gt;EOMONTH(DATE($B$3,11,1),0),NETWORKDAYS.INTL(DATE($B$3,11,19),DATE($B$3,11,19),1,'Non-working days'!$A$6:$A$45)=0),"",IF(COUNTIFS('Leave log'!$A$7:$A$306,Employees!$A$12,'Leave log'!$B$7:$B$306,"&lt;="&amp;DATE($B$3,11,19),'Leave log'!$C$7:$C$306,"&gt;="&amp;DATE($B$3,11,19),'Leave log'!$F$7:$F$306,"Pending")&gt;0,"P",""))))</f>
        <v/>
      </c>
      <c r="U353" s="23" t="str">
        <f>IF(A353="","",IF(IF(OR(DATE($B$3,11,20)&gt;EOMONTH(DATE($B$3,11,1),0),NETWORKDAYS.INTL(DATE($B$3,11,20),DATE($B$3,11,20),1,'Non-working days'!$A$6:$A$45)=0),"",IF(COUNTIFS('Leave log'!$A$7:$A$306,Employees!$A$12,'Leave log'!$B$7:$B$306,"&lt;="&amp;DATE($B$3,11,20),'Leave log'!$C$7:$C$306,"&gt;="&amp;DATE($B$3,11,20),'Leave log'!$F$7:$F$306,"Approved")&gt;0,"A",""))="A","A",IF(OR(DATE($B$3,11,20)&gt;EOMONTH(DATE($B$3,11,1),0),NETWORKDAYS.INTL(DATE($B$3,11,20),DATE($B$3,11,20),1,'Non-working days'!$A$6:$A$45)=0),"",IF(COUNTIFS('Leave log'!$A$7:$A$306,Employees!$A$12,'Leave log'!$B$7:$B$306,"&lt;="&amp;DATE($B$3,11,20),'Leave log'!$C$7:$C$306,"&gt;="&amp;DATE($B$3,11,20),'Leave log'!$F$7:$F$306,"Pending")&gt;0,"P",""))))</f>
        <v/>
      </c>
      <c r="V353" s="23" t="str">
        <f>IF(A353="","",IF(IF(OR(DATE($B$3,11,21)&gt;EOMONTH(DATE($B$3,11,1),0),NETWORKDAYS.INTL(DATE($B$3,11,21),DATE($B$3,11,21),1,'Non-working days'!$A$6:$A$45)=0),"",IF(COUNTIFS('Leave log'!$A$7:$A$306,Employees!$A$12,'Leave log'!$B$7:$B$306,"&lt;="&amp;DATE($B$3,11,21),'Leave log'!$C$7:$C$306,"&gt;="&amp;DATE($B$3,11,21),'Leave log'!$F$7:$F$306,"Approved")&gt;0,"A",""))="A","A",IF(OR(DATE($B$3,11,21)&gt;EOMONTH(DATE($B$3,11,1),0),NETWORKDAYS.INTL(DATE($B$3,11,21),DATE($B$3,11,21),1,'Non-working days'!$A$6:$A$45)=0),"",IF(COUNTIFS('Leave log'!$A$7:$A$306,Employees!$A$12,'Leave log'!$B$7:$B$306,"&lt;="&amp;DATE($B$3,11,21),'Leave log'!$C$7:$C$306,"&gt;="&amp;DATE($B$3,11,21),'Leave log'!$F$7:$F$306,"Pending")&gt;0,"P",""))))</f>
        <v/>
      </c>
      <c r="W353" s="23" t="str">
        <f>IF(A353="","",IF(IF(OR(DATE($B$3,11,22)&gt;EOMONTH(DATE($B$3,11,1),0),NETWORKDAYS.INTL(DATE($B$3,11,22),DATE($B$3,11,22),1,'Non-working days'!$A$6:$A$45)=0),"",IF(COUNTIFS('Leave log'!$A$7:$A$306,Employees!$A$12,'Leave log'!$B$7:$B$306,"&lt;="&amp;DATE($B$3,11,22),'Leave log'!$C$7:$C$306,"&gt;="&amp;DATE($B$3,11,22),'Leave log'!$F$7:$F$306,"Approved")&gt;0,"A",""))="A","A",IF(OR(DATE($B$3,11,22)&gt;EOMONTH(DATE($B$3,11,1),0),NETWORKDAYS.INTL(DATE($B$3,11,22),DATE($B$3,11,22),1,'Non-working days'!$A$6:$A$45)=0),"",IF(COUNTIFS('Leave log'!$A$7:$A$306,Employees!$A$12,'Leave log'!$B$7:$B$306,"&lt;="&amp;DATE($B$3,11,22),'Leave log'!$C$7:$C$306,"&gt;="&amp;DATE($B$3,11,22),'Leave log'!$F$7:$F$306,"Pending")&gt;0,"P",""))))</f>
        <v/>
      </c>
      <c r="X353" s="23" t="str">
        <f>IF(A353="","",IF(IF(OR(DATE($B$3,11,23)&gt;EOMONTH(DATE($B$3,11,1),0),NETWORKDAYS.INTL(DATE($B$3,11,23),DATE($B$3,11,23),1,'Non-working days'!$A$6:$A$45)=0),"",IF(COUNTIFS('Leave log'!$A$7:$A$306,Employees!$A$12,'Leave log'!$B$7:$B$306,"&lt;="&amp;DATE($B$3,11,23),'Leave log'!$C$7:$C$306,"&gt;="&amp;DATE($B$3,11,23),'Leave log'!$F$7:$F$306,"Approved")&gt;0,"A",""))="A","A",IF(OR(DATE($B$3,11,23)&gt;EOMONTH(DATE($B$3,11,1),0),NETWORKDAYS.INTL(DATE($B$3,11,23),DATE($B$3,11,23),1,'Non-working days'!$A$6:$A$45)=0),"",IF(COUNTIFS('Leave log'!$A$7:$A$306,Employees!$A$12,'Leave log'!$B$7:$B$306,"&lt;="&amp;DATE($B$3,11,23),'Leave log'!$C$7:$C$306,"&gt;="&amp;DATE($B$3,11,23),'Leave log'!$F$7:$F$306,"Pending")&gt;0,"P",""))))</f>
        <v/>
      </c>
      <c r="Y353" s="23" t="str">
        <f>IF(A353="","",IF(IF(OR(DATE($B$3,11,24)&gt;EOMONTH(DATE($B$3,11,1),0),NETWORKDAYS.INTL(DATE($B$3,11,24),DATE($B$3,11,24),1,'Non-working days'!$A$6:$A$45)=0),"",IF(COUNTIFS('Leave log'!$A$7:$A$306,Employees!$A$12,'Leave log'!$B$7:$B$306,"&lt;="&amp;DATE($B$3,11,24),'Leave log'!$C$7:$C$306,"&gt;="&amp;DATE($B$3,11,24),'Leave log'!$F$7:$F$306,"Approved")&gt;0,"A",""))="A","A",IF(OR(DATE($B$3,11,24)&gt;EOMONTH(DATE($B$3,11,1),0),NETWORKDAYS.INTL(DATE($B$3,11,24),DATE($B$3,11,24),1,'Non-working days'!$A$6:$A$45)=0),"",IF(COUNTIFS('Leave log'!$A$7:$A$306,Employees!$A$12,'Leave log'!$B$7:$B$306,"&lt;="&amp;DATE($B$3,11,24),'Leave log'!$C$7:$C$306,"&gt;="&amp;DATE($B$3,11,24),'Leave log'!$F$7:$F$306,"Pending")&gt;0,"P",""))))</f>
        <v/>
      </c>
      <c r="Z353" s="23" t="str">
        <f>IF(A353="","",IF(IF(OR(DATE($B$3,11,25)&gt;EOMONTH(DATE($B$3,11,1),0),NETWORKDAYS.INTL(DATE($B$3,11,25),DATE($B$3,11,25),1,'Non-working days'!$A$6:$A$45)=0),"",IF(COUNTIFS('Leave log'!$A$7:$A$306,Employees!$A$12,'Leave log'!$B$7:$B$306,"&lt;="&amp;DATE($B$3,11,25),'Leave log'!$C$7:$C$306,"&gt;="&amp;DATE($B$3,11,25),'Leave log'!$F$7:$F$306,"Approved")&gt;0,"A",""))="A","A",IF(OR(DATE($B$3,11,25)&gt;EOMONTH(DATE($B$3,11,1),0),NETWORKDAYS.INTL(DATE($B$3,11,25),DATE($B$3,11,25),1,'Non-working days'!$A$6:$A$45)=0),"",IF(COUNTIFS('Leave log'!$A$7:$A$306,Employees!$A$12,'Leave log'!$B$7:$B$306,"&lt;="&amp;DATE($B$3,11,25),'Leave log'!$C$7:$C$306,"&gt;="&amp;DATE($B$3,11,25),'Leave log'!$F$7:$F$306,"Pending")&gt;0,"P",""))))</f>
        <v/>
      </c>
      <c r="AA353" s="23" t="str">
        <f>IF(A353="","",IF(IF(OR(DATE($B$3,11,26)&gt;EOMONTH(DATE($B$3,11,1),0),NETWORKDAYS.INTL(DATE($B$3,11,26),DATE($B$3,11,26),1,'Non-working days'!$A$6:$A$45)=0),"",IF(COUNTIFS('Leave log'!$A$7:$A$306,Employees!$A$12,'Leave log'!$B$7:$B$306,"&lt;="&amp;DATE($B$3,11,26),'Leave log'!$C$7:$C$306,"&gt;="&amp;DATE($B$3,11,26),'Leave log'!$F$7:$F$306,"Approved")&gt;0,"A",""))="A","A",IF(OR(DATE($B$3,11,26)&gt;EOMONTH(DATE($B$3,11,1),0),NETWORKDAYS.INTL(DATE($B$3,11,26),DATE($B$3,11,26),1,'Non-working days'!$A$6:$A$45)=0),"",IF(COUNTIFS('Leave log'!$A$7:$A$306,Employees!$A$12,'Leave log'!$B$7:$B$306,"&lt;="&amp;DATE($B$3,11,26),'Leave log'!$C$7:$C$306,"&gt;="&amp;DATE($B$3,11,26),'Leave log'!$F$7:$F$306,"Pending")&gt;0,"P",""))))</f>
        <v/>
      </c>
      <c r="AB353" s="23" t="str">
        <f>IF(A353="","",IF(IF(OR(DATE($B$3,11,27)&gt;EOMONTH(DATE($B$3,11,1),0),NETWORKDAYS.INTL(DATE($B$3,11,27),DATE($B$3,11,27),1,'Non-working days'!$A$6:$A$45)=0),"",IF(COUNTIFS('Leave log'!$A$7:$A$306,Employees!$A$12,'Leave log'!$B$7:$B$306,"&lt;="&amp;DATE($B$3,11,27),'Leave log'!$C$7:$C$306,"&gt;="&amp;DATE($B$3,11,27),'Leave log'!$F$7:$F$306,"Approved")&gt;0,"A",""))="A","A",IF(OR(DATE($B$3,11,27)&gt;EOMONTH(DATE($B$3,11,1),0),NETWORKDAYS.INTL(DATE($B$3,11,27),DATE($B$3,11,27),1,'Non-working days'!$A$6:$A$45)=0),"",IF(COUNTIFS('Leave log'!$A$7:$A$306,Employees!$A$12,'Leave log'!$B$7:$B$306,"&lt;="&amp;DATE($B$3,11,27),'Leave log'!$C$7:$C$306,"&gt;="&amp;DATE($B$3,11,27),'Leave log'!$F$7:$F$306,"Pending")&gt;0,"P",""))))</f>
        <v/>
      </c>
      <c r="AC353" s="23" t="str">
        <f>IF(A353="","",IF(IF(OR(DATE($B$3,11,28)&gt;EOMONTH(DATE($B$3,11,1),0),NETWORKDAYS.INTL(DATE($B$3,11,28),DATE($B$3,11,28),1,'Non-working days'!$A$6:$A$45)=0),"",IF(COUNTIFS('Leave log'!$A$7:$A$306,Employees!$A$12,'Leave log'!$B$7:$B$306,"&lt;="&amp;DATE($B$3,11,28),'Leave log'!$C$7:$C$306,"&gt;="&amp;DATE($B$3,11,28),'Leave log'!$F$7:$F$306,"Approved")&gt;0,"A",""))="A","A",IF(OR(DATE($B$3,11,28)&gt;EOMONTH(DATE($B$3,11,1),0),NETWORKDAYS.INTL(DATE($B$3,11,28),DATE($B$3,11,28),1,'Non-working days'!$A$6:$A$45)=0),"",IF(COUNTIFS('Leave log'!$A$7:$A$306,Employees!$A$12,'Leave log'!$B$7:$B$306,"&lt;="&amp;DATE($B$3,11,28),'Leave log'!$C$7:$C$306,"&gt;="&amp;DATE($B$3,11,28),'Leave log'!$F$7:$F$306,"Pending")&gt;0,"P",""))))</f>
        <v/>
      </c>
      <c r="AD353" s="23" t="str">
        <f>IF(A353="","",IF(IF(OR(DATE($B$3,11,29)&gt;EOMONTH(DATE($B$3,11,1),0),NETWORKDAYS.INTL(DATE($B$3,11,29),DATE($B$3,11,29),1,'Non-working days'!$A$6:$A$45)=0),"",IF(COUNTIFS('Leave log'!$A$7:$A$306,Employees!$A$12,'Leave log'!$B$7:$B$306,"&lt;="&amp;DATE($B$3,11,29),'Leave log'!$C$7:$C$306,"&gt;="&amp;DATE($B$3,11,29),'Leave log'!$F$7:$F$306,"Approved")&gt;0,"A",""))="A","A",IF(OR(DATE($B$3,11,29)&gt;EOMONTH(DATE($B$3,11,1),0),NETWORKDAYS.INTL(DATE($B$3,11,29),DATE($B$3,11,29),1,'Non-working days'!$A$6:$A$45)=0),"",IF(COUNTIFS('Leave log'!$A$7:$A$306,Employees!$A$12,'Leave log'!$B$7:$B$306,"&lt;="&amp;DATE($B$3,11,29),'Leave log'!$C$7:$C$306,"&gt;="&amp;DATE($B$3,11,29),'Leave log'!$F$7:$F$306,"Pending")&gt;0,"P",""))))</f>
        <v/>
      </c>
      <c r="AE353" s="23" t="str">
        <f>IF(A353="","",IF(IF(OR(DATE($B$3,11,30)&gt;EOMONTH(DATE($B$3,11,1),0),NETWORKDAYS.INTL(DATE($B$3,11,30),DATE($B$3,11,30),1,'Non-working days'!$A$6:$A$45)=0),"",IF(COUNTIFS('Leave log'!$A$7:$A$306,Employees!$A$12,'Leave log'!$B$7:$B$306,"&lt;="&amp;DATE($B$3,11,30),'Leave log'!$C$7:$C$306,"&gt;="&amp;DATE($B$3,11,30),'Leave log'!$F$7:$F$306,"Approved")&gt;0,"A",""))="A","A",IF(OR(DATE($B$3,11,30)&gt;EOMONTH(DATE($B$3,11,1),0),NETWORKDAYS.INTL(DATE($B$3,11,30),DATE($B$3,11,30),1,'Non-working days'!$A$6:$A$45)=0),"",IF(COUNTIFS('Leave log'!$A$7:$A$306,Employees!$A$12,'Leave log'!$B$7:$B$306,"&lt;="&amp;DATE($B$3,11,30),'Leave log'!$C$7:$C$306,"&gt;="&amp;DATE($B$3,11,30),'Leave log'!$F$7:$F$306,"Pending")&gt;0,"P",""))))</f>
        <v/>
      </c>
      <c r="AF353" s="23" t="str">
        <f>IF(A353="","",IF(IF(OR(DATE($B$3,11,31)&gt;EOMONTH(DATE($B$3,11,1),0),NETWORKDAYS.INTL(DATE($B$3,11,31),DATE($B$3,11,31),1,'Non-working days'!$A$6:$A$45)=0),"",IF(COUNTIFS('Leave log'!$A$7:$A$306,Employees!$A$12,'Leave log'!$B$7:$B$306,"&lt;="&amp;DATE($B$3,11,31),'Leave log'!$C$7:$C$306,"&gt;="&amp;DATE($B$3,11,31),'Leave log'!$F$7:$F$306,"Approved")&gt;0,"A",""))="A","A",IF(OR(DATE($B$3,11,31)&gt;EOMONTH(DATE($B$3,11,1),0),NETWORKDAYS.INTL(DATE($B$3,11,31),DATE($B$3,11,31),1,'Non-working days'!$A$6:$A$45)=0),"",IF(COUNTIFS('Leave log'!$A$7:$A$306,Employees!$A$12,'Leave log'!$B$7:$B$306,"&lt;="&amp;DATE($B$3,11,31),'Leave log'!$C$7:$C$306,"&gt;="&amp;DATE($B$3,11,31),'Leave log'!$F$7:$F$306,"Pending")&gt;0,"P",""))))</f>
        <v/>
      </c>
    </row>
    <row r="354" spans="1:32" ht="18" customHeight="1" x14ac:dyDescent="0.3">
      <c r="A354" s="22" t="str">
        <f>IF(Employees!F13="Yes",Employees!B13,"")</f>
        <v/>
      </c>
      <c r="B354" s="23" t="str">
        <f>IF(A354="","",IF(IF(OR(DATE($B$3,11,1)&gt;EOMONTH(DATE($B$3,11,1),0),NETWORKDAYS.INTL(DATE($B$3,11,1),DATE($B$3,11,1),1,'Non-working days'!$A$6:$A$45)=0),"",IF(COUNTIFS('Leave log'!$A$7:$A$306,Employees!$A$13,'Leave log'!$B$7:$B$306,"&lt;="&amp;DATE($B$3,11,1),'Leave log'!$C$7:$C$306,"&gt;="&amp;DATE($B$3,11,1),'Leave log'!$F$7:$F$306,"Approved")&gt;0,"A",""))="A","A",IF(OR(DATE($B$3,11,1)&gt;EOMONTH(DATE($B$3,11,1),0),NETWORKDAYS.INTL(DATE($B$3,11,1),DATE($B$3,11,1),1,'Non-working days'!$A$6:$A$45)=0),"",IF(COUNTIFS('Leave log'!$A$7:$A$306,Employees!$A$13,'Leave log'!$B$7:$B$306,"&lt;="&amp;DATE($B$3,11,1),'Leave log'!$C$7:$C$306,"&gt;="&amp;DATE($B$3,11,1),'Leave log'!$F$7:$F$306,"Pending")&gt;0,"P",""))))</f>
        <v/>
      </c>
      <c r="C354" s="23" t="str">
        <f>IF(A354="","",IF(IF(OR(DATE($B$3,11,2)&gt;EOMONTH(DATE($B$3,11,1),0),NETWORKDAYS.INTL(DATE($B$3,11,2),DATE($B$3,11,2),1,'Non-working days'!$A$6:$A$45)=0),"",IF(COUNTIFS('Leave log'!$A$7:$A$306,Employees!$A$13,'Leave log'!$B$7:$B$306,"&lt;="&amp;DATE($B$3,11,2),'Leave log'!$C$7:$C$306,"&gt;="&amp;DATE($B$3,11,2),'Leave log'!$F$7:$F$306,"Approved")&gt;0,"A",""))="A","A",IF(OR(DATE($B$3,11,2)&gt;EOMONTH(DATE($B$3,11,1),0),NETWORKDAYS.INTL(DATE($B$3,11,2),DATE($B$3,11,2),1,'Non-working days'!$A$6:$A$45)=0),"",IF(COUNTIFS('Leave log'!$A$7:$A$306,Employees!$A$13,'Leave log'!$B$7:$B$306,"&lt;="&amp;DATE($B$3,11,2),'Leave log'!$C$7:$C$306,"&gt;="&amp;DATE($B$3,11,2),'Leave log'!$F$7:$F$306,"Pending")&gt;0,"P",""))))</f>
        <v/>
      </c>
      <c r="D354" s="23" t="str">
        <f>IF(A354="","",IF(IF(OR(DATE($B$3,11,3)&gt;EOMONTH(DATE($B$3,11,1),0),NETWORKDAYS.INTL(DATE($B$3,11,3),DATE($B$3,11,3),1,'Non-working days'!$A$6:$A$45)=0),"",IF(COUNTIFS('Leave log'!$A$7:$A$306,Employees!$A$13,'Leave log'!$B$7:$B$306,"&lt;="&amp;DATE($B$3,11,3),'Leave log'!$C$7:$C$306,"&gt;="&amp;DATE($B$3,11,3),'Leave log'!$F$7:$F$306,"Approved")&gt;0,"A",""))="A","A",IF(OR(DATE($B$3,11,3)&gt;EOMONTH(DATE($B$3,11,1),0),NETWORKDAYS.INTL(DATE($B$3,11,3),DATE($B$3,11,3),1,'Non-working days'!$A$6:$A$45)=0),"",IF(COUNTIFS('Leave log'!$A$7:$A$306,Employees!$A$13,'Leave log'!$B$7:$B$306,"&lt;="&amp;DATE($B$3,11,3),'Leave log'!$C$7:$C$306,"&gt;="&amp;DATE($B$3,11,3),'Leave log'!$F$7:$F$306,"Pending")&gt;0,"P",""))))</f>
        <v/>
      </c>
      <c r="E354" s="23" t="str">
        <f>IF(A354="","",IF(IF(OR(DATE($B$3,11,4)&gt;EOMONTH(DATE($B$3,11,1),0),NETWORKDAYS.INTL(DATE($B$3,11,4),DATE($B$3,11,4),1,'Non-working days'!$A$6:$A$45)=0),"",IF(COUNTIFS('Leave log'!$A$7:$A$306,Employees!$A$13,'Leave log'!$B$7:$B$306,"&lt;="&amp;DATE($B$3,11,4),'Leave log'!$C$7:$C$306,"&gt;="&amp;DATE($B$3,11,4),'Leave log'!$F$7:$F$306,"Approved")&gt;0,"A",""))="A","A",IF(OR(DATE($B$3,11,4)&gt;EOMONTH(DATE($B$3,11,1),0),NETWORKDAYS.INTL(DATE($B$3,11,4),DATE($B$3,11,4),1,'Non-working days'!$A$6:$A$45)=0),"",IF(COUNTIFS('Leave log'!$A$7:$A$306,Employees!$A$13,'Leave log'!$B$7:$B$306,"&lt;="&amp;DATE($B$3,11,4),'Leave log'!$C$7:$C$306,"&gt;="&amp;DATE($B$3,11,4),'Leave log'!$F$7:$F$306,"Pending")&gt;0,"P",""))))</f>
        <v/>
      </c>
      <c r="F354" s="23" t="str">
        <f>IF(A354="","",IF(IF(OR(DATE($B$3,11,5)&gt;EOMONTH(DATE($B$3,11,1),0),NETWORKDAYS.INTL(DATE($B$3,11,5),DATE($B$3,11,5),1,'Non-working days'!$A$6:$A$45)=0),"",IF(COUNTIFS('Leave log'!$A$7:$A$306,Employees!$A$13,'Leave log'!$B$7:$B$306,"&lt;="&amp;DATE($B$3,11,5),'Leave log'!$C$7:$C$306,"&gt;="&amp;DATE($B$3,11,5),'Leave log'!$F$7:$F$306,"Approved")&gt;0,"A",""))="A","A",IF(OR(DATE($B$3,11,5)&gt;EOMONTH(DATE($B$3,11,1),0),NETWORKDAYS.INTL(DATE($B$3,11,5),DATE($B$3,11,5),1,'Non-working days'!$A$6:$A$45)=0),"",IF(COUNTIFS('Leave log'!$A$7:$A$306,Employees!$A$13,'Leave log'!$B$7:$B$306,"&lt;="&amp;DATE($B$3,11,5),'Leave log'!$C$7:$C$306,"&gt;="&amp;DATE($B$3,11,5),'Leave log'!$F$7:$F$306,"Pending")&gt;0,"P",""))))</f>
        <v/>
      </c>
      <c r="G354" s="23" t="str">
        <f>IF(A354="","",IF(IF(OR(DATE($B$3,11,6)&gt;EOMONTH(DATE($B$3,11,1),0),NETWORKDAYS.INTL(DATE($B$3,11,6),DATE($B$3,11,6),1,'Non-working days'!$A$6:$A$45)=0),"",IF(COUNTIFS('Leave log'!$A$7:$A$306,Employees!$A$13,'Leave log'!$B$7:$B$306,"&lt;="&amp;DATE($B$3,11,6),'Leave log'!$C$7:$C$306,"&gt;="&amp;DATE($B$3,11,6),'Leave log'!$F$7:$F$306,"Approved")&gt;0,"A",""))="A","A",IF(OR(DATE($B$3,11,6)&gt;EOMONTH(DATE($B$3,11,1),0),NETWORKDAYS.INTL(DATE($B$3,11,6),DATE($B$3,11,6),1,'Non-working days'!$A$6:$A$45)=0),"",IF(COUNTIFS('Leave log'!$A$7:$A$306,Employees!$A$13,'Leave log'!$B$7:$B$306,"&lt;="&amp;DATE($B$3,11,6),'Leave log'!$C$7:$C$306,"&gt;="&amp;DATE($B$3,11,6),'Leave log'!$F$7:$F$306,"Pending")&gt;0,"P",""))))</f>
        <v/>
      </c>
      <c r="H354" s="23" t="str">
        <f>IF(A354="","",IF(IF(OR(DATE($B$3,11,7)&gt;EOMONTH(DATE($B$3,11,1),0),NETWORKDAYS.INTL(DATE($B$3,11,7),DATE($B$3,11,7),1,'Non-working days'!$A$6:$A$45)=0),"",IF(COUNTIFS('Leave log'!$A$7:$A$306,Employees!$A$13,'Leave log'!$B$7:$B$306,"&lt;="&amp;DATE($B$3,11,7),'Leave log'!$C$7:$C$306,"&gt;="&amp;DATE($B$3,11,7),'Leave log'!$F$7:$F$306,"Approved")&gt;0,"A",""))="A","A",IF(OR(DATE($B$3,11,7)&gt;EOMONTH(DATE($B$3,11,1),0),NETWORKDAYS.INTL(DATE($B$3,11,7),DATE($B$3,11,7),1,'Non-working days'!$A$6:$A$45)=0),"",IF(COUNTIFS('Leave log'!$A$7:$A$306,Employees!$A$13,'Leave log'!$B$7:$B$306,"&lt;="&amp;DATE($B$3,11,7),'Leave log'!$C$7:$C$306,"&gt;="&amp;DATE($B$3,11,7),'Leave log'!$F$7:$F$306,"Pending")&gt;0,"P",""))))</f>
        <v/>
      </c>
      <c r="I354" s="23" t="str">
        <f>IF(A354="","",IF(IF(OR(DATE($B$3,11,8)&gt;EOMONTH(DATE($B$3,11,1),0),NETWORKDAYS.INTL(DATE($B$3,11,8),DATE($B$3,11,8),1,'Non-working days'!$A$6:$A$45)=0),"",IF(COUNTIFS('Leave log'!$A$7:$A$306,Employees!$A$13,'Leave log'!$B$7:$B$306,"&lt;="&amp;DATE($B$3,11,8),'Leave log'!$C$7:$C$306,"&gt;="&amp;DATE($B$3,11,8),'Leave log'!$F$7:$F$306,"Approved")&gt;0,"A",""))="A","A",IF(OR(DATE($B$3,11,8)&gt;EOMONTH(DATE($B$3,11,1),0),NETWORKDAYS.INTL(DATE($B$3,11,8),DATE($B$3,11,8),1,'Non-working days'!$A$6:$A$45)=0),"",IF(COUNTIFS('Leave log'!$A$7:$A$306,Employees!$A$13,'Leave log'!$B$7:$B$306,"&lt;="&amp;DATE($B$3,11,8),'Leave log'!$C$7:$C$306,"&gt;="&amp;DATE($B$3,11,8),'Leave log'!$F$7:$F$306,"Pending")&gt;0,"P",""))))</f>
        <v/>
      </c>
      <c r="J354" s="23" t="str">
        <f>IF(A354="","",IF(IF(OR(DATE($B$3,11,9)&gt;EOMONTH(DATE($B$3,11,1),0),NETWORKDAYS.INTL(DATE($B$3,11,9),DATE($B$3,11,9),1,'Non-working days'!$A$6:$A$45)=0),"",IF(COUNTIFS('Leave log'!$A$7:$A$306,Employees!$A$13,'Leave log'!$B$7:$B$306,"&lt;="&amp;DATE($B$3,11,9),'Leave log'!$C$7:$C$306,"&gt;="&amp;DATE($B$3,11,9),'Leave log'!$F$7:$F$306,"Approved")&gt;0,"A",""))="A","A",IF(OR(DATE($B$3,11,9)&gt;EOMONTH(DATE($B$3,11,1),0),NETWORKDAYS.INTL(DATE($B$3,11,9),DATE($B$3,11,9),1,'Non-working days'!$A$6:$A$45)=0),"",IF(COUNTIFS('Leave log'!$A$7:$A$306,Employees!$A$13,'Leave log'!$B$7:$B$306,"&lt;="&amp;DATE($B$3,11,9),'Leave log'!$C$7:$C$306,"&gt;="&amp;DATE($B$3,11,9),'Leave log'!$F$7:$F$306,"Pending")&gt;0,"P",""))))</f>
        <v/>
      </c>
      <c r="K354" s="23" t="str">
        <f>IF(A354="","",IF(IF(OR(DATE($B$3,11,10)&gt;EOMONTH(DATE($B$3,11,1),0),NETWORKDAYS.INTL(DATE($B$3,11,10),DATE($B$3,11,10),1,'Non-working days'!$A$6:$A$45)=0),"",IF(COUNTIFS('Leave log'!$A$7:$A$306,Employees!$A$13,'Leave log'!$B$7:$B$306,"&lt;="&amp;DATE($B$3,11,10),'Leave log'!$C$7:$C$306,"&gt;="&amp;DATE($B$3,11,10),'Leave log'!$F$7:$F$306,"Approved")&gt;0,"A",""))="A","A",IF(OR(DATE($B$3,11,10)&gt;EOMONTH(DATE($B$3,11,1),0),NETWORKDAYS.INTL(DATE($B$3,11,10),DATE($B$3,11,10),1,'Non-working days'!$A$6:$A$45)=0),"",IF(COUNTIFS('Leave log'!$A$7:$A$306,Employees!$A$13,'Leave log'!$B$7:$B$306,"&lt;="&amp;DATE($B$3,11,10),'Leave log'!$C$7:$C$306,"&gt;="&amp;DATE($B$3,11,10),'Leave log'!$F$7:$F$306,"Pending")&gt;0,"P",""))))</f>
        <v/>
      </c>
      <c r="L354" s="23" t="str">
        <f>IF(A354="","",IF(IF(OR(DATE($B$3,11,11)&gt;EOMONTH(DATE($B$3,11,1),0),NETWORKDAYS.INTL(DATE($B$3,11,11),DATE($B$3,11,11),1,'Non-working days'!$A$6:$A$45)=0),"",IF(COUNTIFS('Leave log'!$A$7:$A$306,Employees!$A$13,'Leave log'!$B$7:$B$306,"&lt;="&amp;DATE($B$3,11,11),'Leave log'!$C$7:$C$306,"&gt;="&amp;DATE($B$3,11,11),'Leave log'!$F$7:$F$306,"Approved")&gt;0,"A",""))="A","A",IF(OR(DATE($B$3,11,11)&gt;EOMONTH(DATE($B$3,11,1),0),NETWORKDAYS.INTL(DATE($B$3,11,11),DATE($B$3,11,11),1,'Non-working days'!$A$6:$A$45)=0),"",IF(COUNTIFS('Leave log'!$A$7:$A$306,Employees!$A$13,'Leave log'!$B$7:$B$306,"&lt;="&amp;DATE($B$3,11,11),'Leave log'!$C$7:$C$306,"&gt;="&amp;DATE($B$3,11,11),'Leave log'!$F$7:$F$306,"Pending")&gt;0,"P",""))))</f>
        <v/>
      </c>
      <c r="M354" s="23" t="str">
        <f>IF(A354="","",IF(IF(OR(DATE($B$3,11,12)&gt;EOMONTH(DATE($B$3,11,1),0),NETWORKDAYS.INTL(DATE($B$3,11,12),DATE($B$3,11,12),1,'Non-working days'!$A$6:$A$45)=0),"",IF(COUNTIFS('Leave log'!$A$7:$A$306,Employees!$A$13,'Leave log'!$B$7:$B$306,"&lt;="&amp;DATE($B$3,11,12),'Leave log'!$C$7:$C$306,"&gt;="&amp;DATE($B$3,11,12),'Leave log'!$F$7:$F$306,"Approved")&gt;0,"A",""))="A","A",IF(OR(DATE($B$3,11,12)&gt;EOMONTH(DATE($B$3,11,1),0),NETWORKDAYS.INTL(DATE($B$3,11,12),DATE($B$3,11,12),1,'Non-working days'!$A$6:$A$45)=0),"",IF(COUNTIFS('Leave log'!$A$7:$A$306,Employees!$A$13,'Leave log'!$B$7:$B$306,"&lt;="&amp;DATE($B$3,11,12),'Leave log'!$C$7:$C$306,"&gt;="&amp;DATE($B$3,11,12),'Leave log'!$F$7:$F$306,"Pending")&gt;0,"P",""))))</f>
        <v/>
      </c>
      <c r="N354" s="23" t="str">
        <f>IF(A354="","",IF(IF(OR(DATE($B$3,11,13)&gt;EOMONTH(DATE($B$3,11,1),0),NETWORKDAYS.INTL(DATE($B$3,11,13),DATE($B$3,11,13),1,'Non-working days'!$A$6:$A$45)=0),"",IF(COUNTIFS('Leave log'!$A$7:$A$306,Employees!$A$13,'Leave log'!$B$7:$B$306,"&lt;="&amp;DATE($B$3,11,13),'Leave log'!$C$7:$C$306,"&gt;="&amp;DATE($B$3,11,13),'Leave log'!$F$7:$F$306,"Approved")&gt;0,"A",""))="A","A",IF(OR(DATE($B$3,11,13)&gt;EOMONTH(DATE($B$3,11,1),0),NETWORKDAYS.INTL(DATE($B$3,11,13),DATE($B$3,11,13),1,'Non-working days'!$A$6:$A$45)=0),"",IF(COUNTIFS('Leave log'!$A$7:$A$306,Employees!$A$13,'Leave log'!$B$7:$B$306,"&lt;="&amp;DATE($B$3,11,13),'Leave log'!$C$7:$C$306,"&gt;="&amp;DATE($B$3,11,13),'Leave log'!$F$7:$F$306,"Pending")&gt;0,"P",""))))</f>
        <v/>
      </c>
      <c r="O354" s="23" t="str">
        <f>IF(A354="","",IF(IF(OR(DATE($B$3,11,14)&gt;EOMONTH(DATE($B$3,11,1),0),NETWORKDAYS.INTL(DATE($B$3,11,14),DATE($B$3,11,14),1,'Non-working days'!$A$6:$A$45)=0),"",IF(COUNTIFS('Leave log'!$A$7:$A$306,Employees!$A$13,'Leave log'!$B$7:$B$306,"&lt;="&amp;DATE($B$3,11,14),'Leave log'!$C$7:$C$306,"&gt;="&amp;DATE($B$3,11,14),'Leave log'!$F$7:$F$306,"Approved")&gt;0,"A",""))="A","A",IF(OR(DATE($B$3,11,14)&gt;EOMONTH(DATE($B$3,11,1),0),NETWORKDAYS.INTL(DATE($B$3,11,14),DATE($B$3,11,14),1,'Non-working days'!$A$6:$A$45)=0),"",IF(COUNTIFS('Leave log'!$A$7:$A$306,Employees!$A$13,'Leave log'!$B$7:$B$306,"&lt;="&amp;DATE($B$3,11,14),'Leave log'!$C$7:$C$306,"&gt;="&amp;DATE($B$3,11,14),'Leave log'!$F$7:$F$306,"Pending")&gt;0,"P",""))))</f>
        <v/>
      </c>
      <c r="P354" s="23" t="str">
        <f>IF(A354="","",IF(IF(OR(DATE($B$3,11,15)&gt;EOMONTH(DATE($B$3,11,1),0),NETWORKDAYS.INTL(DATE($B$3,11,15),DATE($B$3,11,15),1,'Non-working days'!$A$6:$A$45)=0),"",IF(COUNTIFS('Leave log'!$A$7:$A$306,Employees!$A$13,'Leave log'!$B$7:$B$306,"&lt;="&amp;DATE($B$3,11,15),'Leave log'!$C$7:$C$306,"&gt;="&amp;DATE($B$3,11,15),'Leave log'!$F$7:$F$306,"Approved")&gt;0,"A",""))="A","A",IF(OR(DATE($B$3,11,15)&gt;EOMONTH(DATE($B$3,11,1),0),NETWORKDAYS.INTL(DATE($B$3,11,15),DATE($B$3,11,15),1,'Non-working days'!$A$6:$A$45)=0),"",IF(COUNTIFS('Leave log'!$A$7:$A$306,Employees!$A$13,'Leave log'!$B$7:$B$306,"&lt;="&amp;DATE($B$3,11,15),'Leave log'!$C$7:$C$306,"&gt;="&amp;DATE($B$3,11,15),'Leave log'!$F$7:$F$306,"Pending")&gt;0,"P",""))))</f>
        <v/>
      </c>
      <c r="Q354" s="23" t="str">
        <f>IF(A354="","",IF(IF(OR(DATE($B$3,11,16)&gt;EOMONTH(DATE($B$3,11,1),0),NETWORKDAYS.INTL(DATE($B$3,11,16),DATE($B$3,11,16),1,'Non-working days'!$A$6:$A$45)=0),"",IF(COUNTIFS('Leave log'!$A$7:$A$306,Employees!$A$13,'Leave log'!$B$7:$B$306,"&lt;="&amp;DATE($B$3,11,16),'Leave log'!$C$7:$C$306,"&gt;="&amp;DATE($B$3,11,16),'Leave log'!$F$7:$F$306,"Approved")&gt;0,"A",""))="A","A",IF(OR(DATE($B$3,11,16)&gt;EOMONTH(DATE($B$3,11,1),0),NETWORKDAYS.INTL(DATE($B$3,11,16),DATE($B$3,11,16),1,'Non-working days'!$A$6:$A$45)=0),"",IF(COUNTIFS('Leave log'!$A$7:$A$306,Employees!$A$13,'Leave log'!$B$7:$B$306,"&lt;="&amp;DATE($B$3,11,16),'Leave log'!$C$7:$C$306,"&gt;="&amp;DATE($B$3,11,16),'Leave log'!$F$7:$F$306,"Pending")&gt;0,"P",""))))</f>
        <v/>
      </c>
      <c r="R354" s="23" t="str">
        <f>IF(A354="","",IF(IF(OR(DATE($B$3,11,17)&gt;EOMONTH(DATE($B$3,11,1),0),NETWORKDAYS.INTL(DATE($B$3,11,17),DATE($B$3,11,17),1,'Non-working days'!$A$6:$A$45)=0),"",IF(COUNTIFS('Leave log'!$A$7:$A$306,Employees!$A$13,'Leave log'!$B$7:$B$306,"&lt;="&amp;DATE($B$3,11,17),'Leave log'!$C$7:$C$306,"&gt;="&amp;DATE($B$3,11,17),'Leave log'!$F$7:$F$306,"Approved")&gt;0,"A",""))="A","A",IF(OR(DATE($B$3,11,17)&gt;EOMONTH(DATE($B$3,11,1),0),NETWORKDAYS.INTL(DATE($B$3,11,17),DATE($B$3,11,17),1,'Non-working days'!$A$6:$A$45)=0),"",IF(COUNTIFS('Leave log'!$A$7:$A$306,Employees!$A$13,'Leave log'!$B$7:$B$306,"&lt;="&amp;DATE($B$3,11,17),'Leave log'!$C$7:$C$306,"&gt;="&amp;DATE($B$3,11,17),'Leave log'!$F$7:$F$306,"Pending")&gt;0,"P",""))))</f>
        <v/>
      </c>
      <c r="S354" s="23" t="str">
        <f>IF(A354="","",IF(IF(OR(DATE($B$3,11,18)&gt;EOMONTH(DATE($B$3,11,1),0),NETWORKDAYS.INTL(DATE($B$3,11,18),DATE($B$3,11,18),1,'Non-working days'!$A$6:$A$45)=0),"",IF(COUNTIFS('Leave log'!$A$7:$A$306,Employees!$A$13,'Leave log'!$B$7:$B$306,"&lt;="&amp;DATE($B$3,11,18),'Leave log'!$C$7:$C$306,"&gt;="&amp;DATE($B$3,11,18),'Leave log'!$F$7:$F$306,"Approved")&gt;0,"A",""))="A","A",IF(OR(DATE($B$3,11,18)&gt;EOMONTH(DATE($B$3,11,1),0),NETWORKDAYS.INTL(DATE($B$3,11,18),DATE($B$3,11,18),1,'Non-working days'!$A$6:$A$45)=0),"",IF(COUNTIFS('Leave log'!$A$7:$A$306,Employees!$A$13,'Leave log'!$B$7:$B$306,"&lt;="&amp;DATE($B$3,11,18),'Leave log'!$C$7:$C$306,"&gt;="&amp;DATE($B$3,11,18),'Leave log'!$F$7:$F$306,"Pending")&gt;0,"P",""))))</f>
        <v/>
      </c>
      <c r="T354" s="23" t="str">
        <f>IF(A354="","",IF(IF(OR(DATE($B$3,11,19)&gt;EOMONTH(DATE($B$3,11,1),0),NETWORKDAYS.INTL(DATE($B$3,11,19),DATE($B$3,11,19),1,'Non-working days'!$A$6:$A$45)=0),"",IF(COUNTIFS('Leave log'!$A$7:$A$306,Employees!$A$13,'Leave log'!$B$7:$B$306,"&lt;="&amp;DATE($B$3,11,19),'Leave log'!$C$7:$C$306,"&gt;="&amp;DATE($B$3,11,19),'Leave log'!$F$7:$F$306,"Approved")&gt;0,"A",""))="A","A",IF(OR(DATE($B$3,11,19)&gt;EOMONTH(DATE($B$3,11,1),0),NETWORKDAYS.INTL(DATE($B$3,11,19),DATE($B$3,11,19),1,'Non-working days'!$A$6:$A$45)=0),"",IF(COUNTIFS('Leave log'!$A$7:$A$306,Employees!$A$13,'Leave log'!$B$7:$B$306,"&lt;="&amp;DATE($B$3,11,19),'Leave log'!$C$7:$C$306,"&gt;="&amp;DATE($B$3,11,19),'Leave log'!$F$7:$F$306,"Pending")&gt;0,"P",""))))</f>
        <v/>
      </c>
      <c r="U354" s="23" t="str">
        <f>IF(A354="","",IF(IF(OR(DATE($B$3,11,20)&gt;EOMONTH(DATE($B$3,11,1),0),NETWORKDAYS.INTL(DATE($B$3,11,20),DATE($B$3,11,20),1,'Non-working days'!$A$6:$A$45)=0),"",IF(COUNTIFS('Leave log'!$A$7:$A$306,Employees!$A$13,'Leave log'!$B$7:$B$306,"&lt;="&amp;DATE($B$3,11,20),'Leave log'!$C$7:$C$306,"&gt;="&amp;DATE($B$3,11,20),'Leave log'!$F$7:$F$306,"Approved")&gt;0,"A",""))="A","A",IF(OR(DATE($B$3,11,20)&gt;EOMONTH(DATE($B$3,11,1),0),NETWORKDAYS.INTL(DATE($B$3,11,20),DATE($B$3,11,20),1,'Non-working days'!$A$6:$A$45)=0),"",IF(COUNTIFS('Leave log'!$A$7:$A$306,Employees!$A$13,'Leave log'!$B$7:$B$306,"&lt;="&amp;DATE($B$3,11,20),'Leave log'!$C$7:$C$306,"&gt;="&amp;DATE($B$3,11,20),'Leave log'!$F$7:$F$306,"Pending")&gt;0,"P",""))))</f>
        <v/>
      </c>
      <c r="V354" s="23" t="str">
        <f>IF(A354="","",IF(IF(OR(DATE($B$3,11,21)&gt;EOMONTH(DATE($B$3,11,1),0),NETWORKDAYS.INTL(DATE($B$3,11,21),DATE($B$3,11,21),1,'Non-working days'!$A$6:$A$45)=0),"",IF(COUNTIFS('Leave log'!$A$7:$A$306,Employees!$A$13,'Leave log'!$B$7:$B$306,"&lt;="&amp;DATE($B$3,11,21),'Leave log'!$C$7:$C$306,"&gt;="&amp;DATE($B$3,11,21),'Leave log'!$F$7:$F$306,"Approved")&gt;0,"A",""))="A","A",IF(OR(DATE($B$3,11,21)&gt;EOMONTH(DATE($B$3,11,1),0),NETWORKDAYS.INTL(DATE($B$3,11,21),DATE($B$3,11,21),1,'Non-working days'!$A$6:$A$45)=0),"",IF(COUNTIFS('Leave log'!$A$7:$A$306,Employees!$A$13,'Leave log'!$B$7:$B$306,"&lt;="&amp;DATE($B$3,11,21),'Leave log'!$C$7:$C$306,"&gt;="&amp;DATE($B$3,11,21),'Leave log'!$F$7:$F$306,"Pending")&gt;0,"P",""))))</f>
        <v/>
      </c>
      <c r="W354" s="23" t="str">
        <f>IF(A354="","",IF(IF(OR(DATE($B$3,11,22)&gt;EOMONTH(DATE($B$3,11,1),0),NETWORKDAYS.INTL(DATE($B$3,11,22),DATE($B$3,11,22),1,'Non-working days'!$A$6:$A$45)=0),"",IF(COUNTIFS('Leave log'!$A$7:$A$306,Employees!$A$13,'Leave log'!$B$7:$B$306,"&lt;="&amp;DATE($B$3,11,22),'Leave log'!$C$7:$C$306,"&gt;="&amp;DATE($B$3,11,22),'Leave log'!$F$7:$F$306,"Approved")&gt;0,"A",""))="A","A",IF(OR(DATE($B$3,11,22)&gt;EOMONTH(DATE($B$3,11,1),0),NETWORKDAYS.INTL(DATE($B$3,11,22),DATE($B$3,11,22),1,'Non-working days'!$A$6:$A$45)=0),"",IF(COUNTIFS('Leave log'!$A$7:$A$306,Employees!$A$13,'Leave log'!$B$7:$B$306,"&lt;="&amp;DATE($B$3,11,22),'Leave log'!$C$7:$C$306,"&gt;="&amp;DATE($B$3,11,22),'Leave log'!$F$7:$F$306,"Pending")&gt;0,"P",""))))</f>
        <v/>
      </c>
      <c r="X354" s="23" t="str">
        <f>IF(A354="","",IF(IF(OR(DATE($B$3,11,23)&gt;EOMONTH(DATE($B$3,11,1),0),NETWORKDAYS.INTL(DATE($B$3,11,23),DATE($B$3,11,23),1,'Non-working days'!$A$6:$A$45)=0),"",IF(COUNTIFS('Leave log'!$A$7:$A$306,Employees!$A$13,'Leave log'!$B$7:$B$306,"&lt;="&amp;DATE($B$3,11,23),'Leave log'!$C$7:$C$306,"&gt;="&amp;DATE($B$3,11,23),'Leave log'!$F$7:$F$306,"Approved")&gt;0,"A",""))="A","A",IF(OR(DATE($B$3,11,23)&gt;EOMONTH(DATE($B$3,11,1),0),NETWORKDAYS.INTL(DATE($B$3,11,23),DATE($B$3,11,23),1,'Non-working days'!$A$6:$A$45)=0),"",IF(COUNTIFS('Leave log'!$A$7:$A$306,Employees!$A$13,'Leave log'!$B$7:$B$306,"&lt;="&amp;DATE($B$3,11,23),'Leave log'!$C$7:$C$306,"&gt;="&amp;DATE($B$3,11,23),'Leave log'!$F$7:$F$306,"Pending")&gt;0,"P",""))))</f>
        <v/>
      </c>
      <c r="Y354" s="23" t="str">
        <f>IF(A354="","",IF(IF(OR(DATE($B$3,11,24)&gt;EOMONTH(DATE($B$3,11,1),0),NETWORKDAYS.INTL(DATE($B$3,11,24),DATE($B$3,11,24),1,'Non-working days'!$A$6:$A$45)=0),"",IF(COUNTIFS('Leave log'!$A$7:$A$306,Employees!$A$13,'Leave log'!$B$7:$B$306,"&lt;="&amp;DATE($B$3,11,24),'Leave log'!$C$7:$C$306,"&gt;="&amp;DATE($B$3,11,24),'Leave log'!$F$7:$F$306,"Approved")&gt;0,"A",""))="A","A",IF(OR(DATE($B$3,11,24)&gt;EOMONTH(DATE($B$3,11,1),0),NETWORKDAYS.INTL(DATE($B$3,11,24),DATE($B$3,11,24),1,'Non-working days'!$A$6:$A$45)=0),"",IF(COUNTIFS('Leave log'!$A$7:$A$306,Employees!$A$13,'Leave log'!$B$7:$B$306,"&lt;="&amp;DATE($B$3,11,24),'Leave log'!$C$7:$C$306,"&gt;="&amp;DATE($B$3,11,24),'Leave log'!$F$7:$F$306,"Pending")&gt;0,"P",""))))</f>
        <v/>
      </c>
      <c r="Z354" s="23" t="str">
        <f>IF(A354="","",IF(IF(OR(DATE($B$3,11,25)&gt;EOMONTH(DATE($B$3,11,1),0),NETWORKDAYS.INTL(DATE($B$3,11,25),DATE($B$3,11,25),1,'Non-working days'!$A$6:$A$45)=0),"",IF(COUNTIFS('Leave log'!$A$7:$A$306,Employees!$A$13,'Leave log'!$B$7:$B$306,"&lt;="&amp;DATE($B$3,11,25),'Leave log'!$C$7:$C$306,"&gt;="&amp;DATE($B$3,11,25),'Leave log'!$F$7:$F$306,"Approved")&gt;0,"A",""))="A","A",IF(OR(DATE($B$3,11,25)&gt;EOMONTH(DATE($B$3,11,1),0),NETWORKDAYS.INTL(DATE($B$3,11,25),DATE($B$3,11,25),1,'Non-working days'!$A$6:$A$45)=0),"",IF(COUNTIFS('Leave log'!$A$7:$A$306,Employees!$A$13,'Leave log'!$B$7:$B$306,"&lt;="&amp;DATE($B$3,11,25),'Leave log'!$C$7:$C$306,"&gt;="&amp;DATE($B$3,11,25),'Leave log'!$F$7:$F$306,"Pending")&gt;0,"P",""))))</f>
        <v/>
      </c>
      <c r="AA354" s="23" t="str">
        <f>IF(A354="","",IF(IF(OR(DATE($B$3,11,26)&gt;EOMONTH(DATE($B$3,11,1),0),NETWORKDAYS.INTL(DATE($B$3,11,26),DATE($B$3,11,26),1,'Non-working days'!$A$6:$A$45)=0),"",IF(COUNTIFS('Leave log'!$A$7:$A$306,Employees!$A$13,'Leave log'!$B$7:$B$306,"&lt;="&amp;DATE($B$3,11,26),'Leave log'!$C$7:$C$306,"&gt;="&amp;DATE($B$3,11,26),'Leave log'!$F$7:$F$306,"Approved")&gt;0,"A",""))="A","A",IF(OR(DATE($B$3,11,26)&gt;EOMONTH(DATE($B$3,11,1),0),NETWORKDAYS.INTL(DATE($B$3,11,26),DATE($B$3,11,26),1,'Non-working days'!$A$6:$A$45)=0),"",IF(COUNTIFS('Leave log'!$A$7:$A$306,Employees!$A$13,'Leave log'!$B$7:$B$306,"&lt;="&amp;DATE($B$3,11,26),'Leave log'!$C$7:$C$306,"&gt;="&amp;DATE($B$3,11,26),'Leave log'!$F$7:$F$306,"Pending")&gt;0,"P",""))))</f>
        <v/>
      </c>
      <c r="AB354" s="23" t="str">
        <f>IF(A354="","",IF(IF(OR(DATE($B$3,11,27)&gt;EOMONTH(DATE($B$3,11,1),0),NETWORKDAYS.INTL(DATE($B$3,11,27),DATE($B$3,11,27),1,'Non-working days'!$A$6:$A$45)=0),"",IF(COUNTIFS('Leave log'!$A$7:$A$306,Employees!$A$13,'Leave log'!$B$7:$B$306,"&lt;="&amp;DATE($B$3,11,27),'Leave log'!$C$7:$C$306,"&gt;="&amp;DATE($B$3,11,27),'Leave log'!$F$7:$F$306,"Approved")&gt;0,"A",""))="A","A",IF(OR(DATE($B$3,11,27)&gt;EOMONTH(DATE($B$3,11,1),0),NETWORKDAYS.INTL(DATE($B$3,11,27),DATE($B$3,11,27),1,'Non-working days'!$A$6:$A$45)=0),"",IF(COUNTIFS('Leave log'!$A$7:$A$306,Employees!$A$13,'Leave log'!$B$7:$B$306,"&lt;="&amp;DATE($B$3,11,27),'Leave log'!$C$7:$C$306,"&gt;="&amp;DATE($B$3,11,27),'Leave log'!$F$7:$F$306,"Pending")&gt;0,"P",""))))</f>
        <v/>
      </c>
      <c r="AC354" s="23" t="str">
        <f>IF(A354="","",IF(IF(OR(DATE($B$3,11,28)&gt;EOMONTH(DATE($B$3,11,1),0),NETWORKDAYS.INTL(DATE($B$3,11,28),DATE($B$3,11,28),1,'Non-working days'!$A$6:$A$45)=0),"",IF(COUNTIFS('Leave log'!$A$7:$A$306,Employees!$A$13,'Leave log'!$B$7:$B$306,"&lt;="&amp;DATE($B$3,11,28),'Leave log'!$C$7:$C$306,"&gt;="&amp;DATE($B$3,11,28),'Leave log'!$F$7:$F$306,"Approved")&gt;0,"A",""))="A","A",IF(OR(DATE($B$3,11,28)&gt;EOMONTH(DATE($B$3,11,1),0),NETWORKDAYS.INTL(DATE($B$3,11,28),DATE($B$3,11,28),1,'Non-working days'!$A$6:$A$45)=0),"",IF(COUNTIFS('Leave log'!$A$7:$A$306,Employees!$A$13,'Leave log'!$B$7:$B$306,"&lt;="&amp;DATE($B$3,11,28),'Leave log'!$C$7:$C$306,"&gt;="&amp;DATE($B$3,11,28),'Leave log'!$F$7:$F$306,"Pending")&gt;0,"P",""))))</f>
        <v/>
      </c>
      <c r="AD354" s="23" t="str">
        <f>IF(A354="","",IF(IF(OR(DATE($B$3,11,29)&gt;EOMONTH(DATE($B$3,11,1),0),NETWORKDAYS.INTL(DATE($B$3,11,29),DATE($B$3,11,29),1,'Non-working days'!$A$6:$A$45)=0),"",IF(COUNTIFS('Leave log'!$A$7:$A$306,Employees!$A$13,'Leave log'!$B$7:$B$306,"&lt;="&amp;DATE($B$3,11,29),'Leave log'!$C$7:$C$306,"&gt;="&amp;DATE($B$3,11,29),'Leave log'!$F$7:$F$306,"Approved")&gt;0,"A",""))="A","A",IF(OR(DATE($B$3,11,29)&gt;EOMONTH(DATE($B$3,11,1),0),NETWORKDAYS.INTL(DATE($B$3,11,29),DATE($B$3,11,29),1,'Non-working days'!$A$6:$A$45)=0),"",IF(COUNTIFS('Leave log'!$A$7:$A$306,Employees!$A$13,'Leave log'!$B$7:$B$306,"&lt;="&amp;DATE($B$3,11,29),'Leave log'!$C$7:$C$306,"&gt;="&amp;DATE($B$3,11,29),'Leave log'!$F$7:$F$306,"Pending")&gt;0,"P",""))))</f>
        <v/>
      </c>
      <c r="AE354" s="23" t="str">
        <f>IF(A354="","",IF(IF(OR(DATE($B$3,11,30)&gt;EOMONTH(DATE($B$3,11,1),0),NETWORKDAYS.INTL(DATE($B$3,11,30),DATE($B$3,11,30),1,'Non-working days'!$A$6:$A$45)=0),"",IF(COUNTIFS('Leave log'!$A$7:$A$306,Employees!$A$13,'Leave log'!$B$7:$B$306,"&lt;="&amp;DATE($B$3,11,30),'Leave log'!$C$7:$C$306,"&gt;="&amp;DATE($B$3,11,30),'Leave log'!$F$7:$F$306,"Approved")&gt;0,"A",""))="A","A",IF(OR(DATE($B$3,11,30)&gt;EOMONTH(DATE($B$3,11,1),0),NETWORKDAYS.INTL(DATE($B$3,11,30),DATE($B$3,11,30),1,'Non-working days'!$A$6:$A$45)=0),"",IF(COUNTIFS('Leave log'!$A$7:$A$306,Employees!$A$13,'Leave log'!$B$7:$B$306,"&lt;="&amp;DATE($B$3,11,30),'Leave log'!$C$7:$C$306,"&gt;="&amp;DATE($B$3,11,30),'Leave log'!$F$7:$F$306,"Pending")&gt;0,"P",""))))</f>
        <v/>
      </c>
      <c r="AF354" s="23" t="str">
        <f>IF(A354="","",IF(IF(OR(DATE($B$3,11,31)&gt;EOMONTH(DATE($B$3,11,1),0),NETWORKDAYS.INTL(DATE($B$3,11,31),DATE($B$3,11,31),1,'Non-working days'!$A$6:$A$45)=0),"",IF(COUNTIFS('Leave log'!$A$7:$A$306,Employees!$A$13,'Leave log'!$B$7:$B$306,"&lt;="&amp;DATE($B$3,11,31),'Leave log'!$C$7:$C$306,"&gt;="&amp;DATE($B$3,11,31),'Leave log'!$F$7:$F$306,"Approved")&gt;0,"A",""))="A","A",IF(OR(DATE($B$3,11,31)&gt;EOMONTH(DATE($B$3,11,1),0),NETWORKDAYS.INTL(DATE($B$3,11,31),DATE($B$3,11,31),1,'Non-working days'!$A$6:$A$45)=0),"",IF(COUNTIFS('Leave log'!$A$7:$A$306,Employees!$A$13,'Leave log'!$B$7:$B$306,"&lt;="&amp;DATE($B$3,11,31),'Leave log'!$C$7:$C$306,"&gt;="&amp;DATE($B$3,11,31),'Leave log'!$F$7:$F$306,"Pending")&gt;0,"P",""))))</f>
        <v/>
      </c>
    </row>
    <row r="355" spans="1:32" ht="18" customHeight="1" x14ac:dyDescent="0.3">
      <c r="A355" s="22" t="str">
        <f>IF(Employees!F14="Yes",Employees!B14,"")</f>
        <v/>
      </c>
      <c r="B355" s="23" t="str">
        <f>IF(A355="","",IF(IF(OR(DATE($B$3,11,1)&gt;EOMONTH(DATE($B$3,11,1),0),NETWORKDAYS.INTL(DATE($B$3,11,1),DATE($B$3,11,1),1,'Non-working days'!$A$6:$A$45)=0),"",IF(COUNTIFS('Leave log'!$A$7:$A$306,Employees!$A$14,'Leave log'!$B$7:$B$306,"&lt;="&amp;DATE($B$3,11,1),'Leave log'!$C$7:$C$306,"&gt;="&amp;DATE($B$3,11,1),'Leave log'!$F$7:$F$306,"Approved")&gt;0,"A",""))="A","A",IF(OR(DATE($B$3,11,1)&gt;EOMONTH(DATE($B$3,11,1),0),NETWORKDAYS.INTL(DATE($B$3,11,1),DATE($B$3,11,1),1,'Non-working days'!$A$6:$A$45)=0),"",IF(COUNTIFS('Leave log'!$A$7:$A$306,Employees!$A$14,'Leave log'!$B$7:$B$306,"&lt;="&amp;DATE($B$3,11,1),'Leave log'!$C$7:$C$306,"&gt;="&amp;DATE($B$3,11,1),'Leave log'!$F$7:$F$306,"Pending")&gt;0,"P",""))))</f>
        <v/>
      </c>
      <c r="C355" s="23" t="str">
        <f>IF(A355="","",IF(IF(OR(DATE($B$3,11,2)&gt;EOMONTH(DATE($B$3,11,1),0),NETWORKDAYS.INTL(DATE($B$3,11,2),DATE($B$3,11,2),1,'Non-working days'!$A$6:$A$45)=0),"",IF(COUNTIFS('Leave log'!$A$7:$A$306,Employees!$A$14,'Leave log'!$B$7:$B$306,"&lt;="&amp;DATE($B$3,11,2),'Leave log'!$C$7:$C$306,"&gt;="&amp;DATE($B$3,11,2),'Leave log'!$F$7:$F$306,"Approved")&gt;0,"A",""))="A","A",IF(OR(DATE($B$3,11,2)&gt;EOMONTH(DATE($B$3,11,1),0),NETWORKDAYS.INTL(DATE($B$3,11,2),DATE($B$3,11,2),1,'Non-working days'!$A$6:$A$45)=0),"",IF(COUNTIFS('Leave log'!$A$7:$A$306,Employees!$A$14,'Leave log'!$B$7:$B$306,"&lt;="&amp;DATE($B$3,11,2),'Leave log'!$C$7:$C$306,"&gt;="&amp;DATE($B$3,11,2),'Leave log'!$F$7:$F$306,"Pending")&gt;0,"P",""))))</f>
        <v/>
      </c>
      <c r="D355" s="23" t="str">
        <f>IF(A355="","",IF(IF(OR(DATE($B$3,11,3)&gt;EOMONTH(DATE($B$3,11,1),0),NETWORKDAYS.INTL(DATE($B$3,11,3),DATE($B$3,11,3),1,'Non-working days'!$A$6:$A$45)=0),"",IF(COUNTIFS('Leave log'!$A$7:$A$306,Employees!$A$14,'Leave log'!$B$7:$B$306,"&lt;="&amp;DATE($B$3,11,3),'Leave log'!$C$7:$C$306,"&gt;="&amp;DATE($B$3,11,3),'Leave log'!$F$7:$F$306,"Approved")&gt;0,"A",""))="A","A",IF(OR(DATE($B$3,11,3)&gt;EOMONTH(DATE($B$3,11,1),0),NETWORKDAYS.INTL(DATE($B$3,11,3),DATE($B$3,11,3),1,'Non-working days'!$A$6:$A$45)=0),"",IF(COUNTIFS('Leave log'!$A$7:$A$306,Employees!$A$14,'Leave log'!$B$7:$B$306,"&lt;="&amp;DATE($B$3,11,3),'Leave log'!$C$7:$C$306,"&gt;="&amp;DATE($B$3,11,3),'Leave log'!$F$7:$F$306,"Pending")&gt;0,"P",""))))</f>
        <v/>
      </c>
      <c r="E355" s="23" t="str">
        <f>IF(A355="","",IF(IF(OR(DATE($B$3,11,4)&gt;EOMONTH(DATE($B$3,11,1),0),NETWORKDAYS.INTL(DATE($B$3,11,4),DATE($B$3,11,4),1,'Non-working days'!$A$6:$A$45)=0),"",IF(COUNTIFS('Leave log'!$A$7:$A$306,Employees!$A$14,'Leave log'!$B$7:$B$306,"&lt;="&amp;DATE($B$3,11,4),'Leave log'!$C$7:$C$306,"&gt;="&amp;DATE($B$3,11,4),'Leave log'!$F$7:$F$306,"Approved")&gt;0,"A",""))="A","A",IF(OR(DATE($B$3,11,4)&gt;EOMONTH(DATE($B$3,11,1),0),NETWORKDAYS.INTL(DATE($B$3,11,4),DATE($B$3,11,4),1,'Non-working days'!$A$6:$A$45)=0),"",IF(COUNTIFS('Leave log'!$A$7:$A$306,Employees!$A$14,'Leave log'!$B$7:$B$306,"&lt;="&amp;DATE($B$3,11,4),'Leave log'!$C$7:$C$306,"&gt;="&amp;DATE($B$3,11,4),'Leave log'!$F$7:$F$306,"Pending")&gt;0,"P",""))))</f>
        <v/>
      </c>
      <c r="F355" s="23" t="str">
        <f>IF(A355="","",IF(IF(OR(DATE($B$3,11,5)&gt;EOMONTH(DATE($B$3,11,1),0),NETWORKDAYS.INTL(DATE($B$3,11,5),DATE($B$3,11,5),1,'Non-working days'!$A$6:$A$45)=0),"",IF(COUNTIFS('Leave log'!$A$7:$A$306,Employees!$A$14,'Leave log'!$B$7:$B$306,"&lt;="&amp;DATE($B$3,11,5),'Leave log'!$C$7:$C$306,"&gt;="&amp;DATE($B$3,11,5),'Leave log'!$F$7:$F$306,"Approved")&gt;0,"A",""))="A","A",IF(OR(DATE($B$3,11,5)&gt;EOMONTH(DATE($B$3,11,1),0),NETWORKDAYS.INTL(DATE($B$3,11,5),DATE($B$3,11,5),1,'Non-working days'!$A$6:$A$45)=0),"",IF(COUNTIFS('Leave log'!$A$7:$A$306,Employees!$A$14,'Leave log'!$B$7:$B$306,"&lt;="&amp;DATE($B$3,11,5),'Leave log'!$C$7:$C$306,"&gt;="&amp;DATE($B$3,11,5),'Leave log'!$F$7:$F$306,"Pending")&gt;0,"P",""))))</f>
        <v/>
      </c>
      <c r="G355" s="23" t="str">
        <f>IF(A355="","",IF(IF(OR(DATE($B$3,11,6)&gt;EOMONTH(DATE($B$3,11,1),0),NETWORKDAYS.INTL(DATE($B$3,11,6),DATE($B$3,11,6),1,'Non-working days'!$A$6:$A$45)=0),"",IF(COUNTIFS('Leave log'!$A$7:$A$306,Employees!$A$14,'Leave log'!$B$7:$B$306,"&lt;="&amp;DATE($B$3,11,6),'Leave log'!$C$7:$C$306,"&gt;="&amp;DATE($B$3,11,6),'Leave log'!$F$7:$F$306,"Approved")&gt;0,"A",""))="A","A",IF(OR(DATE($B$3,11,6)&gt;EOMONTH(DATE($B$3,11,1),0),NETWORKDAYS.INTL(DATE($B$3,11,6),DATE($B$3,11,6),1,'Non-working days'!$A$6:$A$45)=0),"",IF(COUNTIFS('Leave log'!$A$7:$A$306,Employees!$A$14,'Leave log'!$B$7:$B$306,"&lt;="&amp;DATE($B$3,11,6),'Leave log'!$C$7:$C$306,"&gt;="&amp;DATE($B$3,11,6),'Leave log'!$F$7:$F$306,"Pending")&gt;0,"P",""))))</f>
        <v/>
      </c>
      <c r="H355" s="23" t="str">
        <f>IF(A355="","",IF(IF(OR(DATE($B$3,11,7)&gt;EOMONTH(DATE($B$3,11,1),0),NETWORKDAYS.INTL(DATE($B$3,11,7),DATE($B$3,11,7),1,'Non-working days'!$A$6:$A$45)=0),"",IF(COUNTIFS('Leave log'!$A$7:$A$306,Employees!$A$14,'Leave log'!$B$7:$B$306,"&lt;="&amp;DATE($B$3,11,7),'Leave log'!$C$7:$C$306,"&gt;="&amp;DATE($B$3,11,7),'Leave log'!$F$7:$F$306,"Approved")&gt;0,"A",""))="A","A",IF(OR(DATE($B$3,11,7)&gt;EOMONTH(DATE($B$3,11,1),0),NETWORKDAYS.INTL(DATE($B$3,11,7),DATE($B$3,11,7),1,'Non-working days'!$A$6:$A$45)=0),"",IF(COUNTIFS('Leave log'!$A$7:$A$306,Employees!$A$14,'Leave log'!$B$7:$B$306,"&lt;="&amp;DATE($B$3,11,7),'Leave log'!$C$7:$C$306,"&gt;="&amp;DATE($B$3,11,7),'Leave log'!$F$7:$F$306,"Pending")&gt;0,"P",""))))</f>
        <v/>
      </c>
      <c r="I355" s="23" t="str">
        <f>IF(A355="","",IF(IF(OR(DATE($B$3,11,8)&gt;EOMONTH(DATE($B$3,11,1),0),NETWORKDAYS.INTL(DATE($B$3,11,8),DATE($B$3,11,8),1,'Non-working days'!$A$6:$A$45)=0),"",IF(COUNTIFS('Leave log'!$A$7:$A$306,Employees!$A$14,'Leave log'!$B$7:$B$306,"&lt;="&amp;DATE($B$3,11,8),'Leave log'!$C$7:$C$306,"&gt;="&amp;DATE($B$3,11,8),'Leave log'!$F$7:$F$306,"Approved")&gt;0,"A",""))="A","A",IF(OR(DATE($B$3,11,8)&gt;EOMONTH(DATE($B$3,11,1),0),NETWORKDAYS.INTL(DATE($B$3,11,8),DATE($B$3,11,8),1,'Non-working days'!$A$6:$A$45)=0),"",IF(COUNTIFS('Leave log'!$A$7:$A$306,Employees!$A$14,'Leave log'!$B$7:$B$306,"&lt;="&amp;DATE($B$3,11,8),'Leave log'!$C$7:$C$306,"&gt;="&amp;DATE($B$3,11,8),'Leave log'!$F$7:$F$306,"Pending")&gt;0,"P",""))))</f>
        <v/>
      </c>
      <c r="J355" s="23" t="str">
        <f>IF(A355="","",IF(IF(OR(DATE($B$3,11,9)&gt;EOMONTH(DATE($B$3,11,1),0),NETWORKDAYS.INTL(DATE($B$3,11,9),DATE($B$3,11,9),1,'Non-working days'!$A$6:$A$45)=0),"",IF(COUNTIFS('Leave log'!$A$7:$A$306,Employees!$A$14,'Leave log'!$B$7:$B$306,"&lt;="&amp;DATE($B$3,11,9),'Leave log'!$C$7:$C$306,"&gt;="&amp;DATE($B$3,11,9),'Leave log'!$F$7:$F$306,"Approved")&gt;0,"A",""))="A","A",IF(OR(DATE($B$3,11,9)&gt;EOMONTH(DATE($B$3,11,1),0),NETWORKDAYS.INTL(DATE($B$3,11,9),DATE($B$3,11,9),1,'Non-working days'!$A$6:$A$45)=0),"",IF(COUNTIFS('Leave log'!$A$7:$A$306,Employees!$A$14,'Leave log'!$B$7:$B$306,"&lt;="&amp;DATE($B$3,11,9),'Leave log'!$C$7:$C$306,"&gt;="&amp;DATE($B$3,11,9),'Leave log'!$F$7:$F$306,"Pending")&gt;0,"P",""))))</f>
        <v/>
      </c>
      <c r="K355" s="23" t="str">
        <f>IF(A355="","",IF(IF(OR(DATE($B$3,11,10)&gt;EOMONTH(DATE($B$3,11,1),0),NETWORKDAYS.INTL(DATE($B$3,11,10),DATE($B$3,11,10),1,'Non-working days'!$A$6:$A$45)=0),"",IF(COUNTIFS('Leave log'!$A$7:$A$306,Employees!$A$14,'Leave log'!$B$7:$B$306,"&lt;="&amp;DATE($B$3,11,10),'Leave log'!$C$7:$C$306,"&gt;="&amp;DATE($B$3,11,10),'Leave log'!$F$7:$F$306,"Approved")&gt;0,"A",""))="A","A",IF(OR(DATE($B$3,11,10)&gt;EOMONTH(DATE($B$3,11,1),0),NETWORKDAYS.INTL(DATE($B$3,11,10),DATE($B$3,11,10),1,'Non-working days'!$A$6:$A$45)=0),"",IF(COUNTIFS('Leave log'!$A$7:$A$306,Employees!$A$14,'Leave log'!$B$7:$B$306,"&lt;="&amp;DATE($B$3,11,10),'Leave log'!$C$7:$C$306,"&gt;="&amp;DATE($B$3,11,10),'Leave log'!$F$7:$F$306,"Pending")&gt;0,"P",""))))</f>
        <v/>
      </c>
      <c r="L355" s="23" t="str">
        <f>IF(A355="","",IF(IF(OR(DATE($B$3,11,11)&gt;EOMONTH(DATE($B$3,11,1),0),NETWORKDAYS.INTL(DATE($B$3,11,11),DATE($B$3,11,11),1,'Non-working days'!$A$6:$A$45)=0),"",IF(COUNTIFS('Leave log'!$A$7:$A$306,Employees!$A$14,'Leave log'!$B$7:$B$306,"&lt;="&amp;DATE($B$3,11,11),'Leave log'!$C$7:$C$306,"&gt;="&amp;DATE($B$3,11,11),'Leave log'!$F$7:$F$306,"Approved")&gt;0,"A",""))="A","A",IF(OR(DATE($B$3,11,11)&gt;EOMONTH(DATE($B$3,11,1),0),NETWORKDAYS.INTL(DATE($B$3,11,11),DATE($B$3,11,11),1,'Non-working days'!$A$6:$A$45)=0),"",IF(COUNTIFS('Leave log'!$A$7:$A$306,Employees!$A$14,'Leave log'!$B$7:$B$306,"&lt;="&amp;DATE($B$3,11,11),'Leave log'!$C$7:$C$306,"&gt;="&amp;DATE($B$3,11,11),'Leave log'!$F$7:$F$306,"Pending")&gt;0,"P",""))))</f>
        <v/>
      </c>
      <c r="M355" s="23" t="str">
        <f>IF(A355="","",IF(IF(OR(DATE($B$3,11,12)&gt;EOMONTH(DATE($B$3,11,1),0),NETWORKDAYS.INTL(DATE($B$3,11,12),DATE($B$3,11,12),1,'Non-working days'!$A$6:$A$45)=0),"",IF(COUNTIFS('Leave log'!$A$7:$A$306,Employees!$A$14,'Leave log'!$B$7:$B$306,"&lt;="&amp;DATE($B$3,11,12),'Leave log'!$C$7:$C$306,"&gt;="&amp;DATE($B$3,11,12),'Leave log'!$F$7:$F$306,"Approved")&gt;0,"A",""))="A","A",IF(OR(DATE($B$3,11,12)&gt;EOMONTH(DATE($B$3,11,1),0),NETWORKDAYS.INTL(DATE($B$3,11,12),DATE($B$3,11,12),1,'Non-working days'!$A$6:$A$45)=0),"",IF(COUNTIFS('Leave log'!$A$7:$A$306,Employees!$A$14,'Leave log'!$B$7:$B$306,"&lt;="&amp;DATE($B$3,11,12),'Leave log'!$C$7:$C$306,"&gt;="&amp;DATE($B$3,11,12),'Leave log'!$F$7:$F$306,"Pending")&gt;0,"P",""))))</f>
        <v/>
      </c>
      <c r="N355" s="23" t="str">
        <f>IF(A355="","",IF(IF(OR(DATE($B$3,11,13)&gt;EOMONTH(DATE($B$3,11,1),0),NETWORKDAYS.INTL(DATE($B$3,11,13),DATE($B$3,11,13),1,'Non-working days'!$A$6:$A$45)=0),"",IF(COUNTIFS('Leave log'!$A$7:$A$306,Employees!$A$14,'Leave log'!$B$7:$B$306,"&lt;="&amp;DATE($B$3,11,13),'Leave log'!$C$7:$C$306,"&gt;="&amp;DATE($B$3,11,13),'Leave log'!$F$7:$F$306,"Approved")&gt;0,"A",""))="A","A",IF(OR(DATE($B$3,11,13)&gt;EOMONTH(DATE($B$3,11,1),0),NETWORKDAYS.INTL(DATE($B$3,11,13),DATE($B$3,11,13),1,'Non-working days'!$A$6:$A$45)=0),"",IF(COUNTIFS('Leave log'!$A$7:$A$306,Employees!$A$14,'Leave log'!$B$7:$B$306,"&lt;="&amp;DATE($B$3,11,13),'Leave log'!$C$7:$C$306,"&gt;="&amp;DATE($B$3,11,13),'Leave log'!$F$7:$F$306,"Pending")&gt;0,"P",""))))</f>
        <v/>
      </c>
      <c r="O355" s="23" t="str">
        <f>IF(A355="","",IF(IF(OR(DATE($B$3,11,14)&gt;EOMONTH(DATE($B$3,11,1),0),NETWORKDAYS.INTL(DATE($B$3,11,14),DATE($B$3,11,14),1,'Non-working days'!$A$6:$A$45)=0),"",IF(COUNTIFS('Leave log'!$A$7:$A$306,Employees!$A$14,'Leave log'!$B$7:$B$306,"&lt;="&amp;DATE($B$3,11,14),'Leave log'!$C$7:$C$306,"&gt;="&amp;DATE($B$3,11,14),'Leave log'!$F$7:$F$306,"Approved")&gt;0,"A",""))="A","A",IF(OR(DATE($B$3,11,14)&gt;EOMONTH(DATE($B$3,11,1),0),NETWORKDAYS.INTL(DATE($B$3,11,14),DATE($B$3,11,14),1,'Non-working days'!$A$6:$A$45)=0),"",IF(COUNTIFS('Leave log'!$A$7:$A$306,Employees!$A$14,'Leave log'!$B$7:$B$306,"&lt;="&amp;DATE($B$3,11,14),'Leave log'!$C$7:$C$306,"&gt;="&amp;DATE($B$3,11,14),'Leave log'!$F$7:$F$306,"Pending")&gt;0,"P",""))))</f>
        <v/>
      </c>
      <c r="P355" s="23" t="str">
        <f>IF(A355="","",IF(IF(OR(DATE($B$3,11,15)&gt;EOMONTH(DATE($B$3,11,1),0),NETWORKDAYS.INTL(DATE($B$3,11,15),DATE($B$3,11,15),1,'Non-working days'!$A$6:$A$45)=0),"",IF(COUNTIFS('Leave log'!$A$7:$A$306,Employees!$A$14,'Leave log'!$B$7:$B$306,"&lt;="&amp;DATE($B$3,11,15),'Leave log'!$C$7:$C$306,"&gt;="&amp;DATE($B$3,11,15),'Leave log'!$F$7:$F$306,"Approved")&gt;0,"A",""))="A","A",IF(OR(DATE($B$3,11,15)&gt;EOMONTH(DATE($B$3,11,1),0),NETWORKDAYS.INTL(DATE($B$3,11,15),DATE($B$3,11,15),1,'Non-working days'!$A$6:$A$45)=0),"",IF(COUNTIFS('Leave log'!$A$7:$A$306,Employees!$A$14,'Leave log'!$B$7:$B$306,"&lt;="&amp;DATE($B$3,11,15),'Leave log'!$C$7:$C$306,"&gt;="&amp;DATE($B$3,11,15),'Leave log'!$F$7:$F$306,"Pending")&gt;0,"P",""))))</f>
        <v/>
      </c>
      <c r="Q355" s="23" t="str">
        <f>IF(A355="","",IF(IF(OR(DATE($B$3,11,16)&gt;EOMONTH(DATE($B$3,11,1),0),NETWORKDAYS.INTL(DATE($B$3,11,16),DATE($B$3,11,16),1,'Non-working days'!$A$6:$A$45)=0),"",IF(COUNTIFS('Leave log'!$A$7:$A$306,Employees!$A$14,'Leave log'!$B$7:$B$306,"&lt;="&amp;DATE($B$3,11,16),'Leave log'!$C$7:$C$306,"&gt;="&amp;DATE($B$3,11,16),'Leave log'!$F$7:$F$306,"Approved")&gt;0,"A",""))="A","A",IF(OR(DATE($B$3,11,16)&gt;EOMONTH(DATE($B$3,11,1),0),NETWORKDAYS.INTL(DATE($B$3,11,16),DATE($B$3,11,16),1,'Non-working days'!$A$6:$A$45)=0),"",IF(COUNTIFS('Leave log'!$A$7:$A$306,Employees!$A$14,'Leave log'!$B$7:$B$306,"&lt;="&amp;DATE($B$3,11,16),'Leave log'!$C$7:$C$306,"&gt;="&amp;DATE($B$3,11,16),'Leave log'!$F$7:$F$306,"Pending")&gt;0,"P",""))))</f>
        <v/>
      </c>
      <c r="R355" s="23" t="str">
        <f>IF(A355="","",IF(IF(OR(DATE($B$3,11,17)&gt;EOMONTH(DATE($B$3,11,1),0),NETWORKDAYS.INTL(DATE($B$3,11,17),DATE($B$3,11,17),1,'Non-working days'!$A$6:$A$45)=0),"",IF(COUNTIFS('Leave log'!$A$7:$A$306,Employees!$A$14,'Leave log'!$B$7:$B$306,"&lt;="&amp;DATE($B$3,11,17),'Leave log'!$C$7:$C$306,"&gt;="&amp;DATE($B$3,11,17),'Leave log'!$F$7:$F$306,"Approved")&gt;0,"A",""))="A","A",IF(OR(DATE($B$3,11,17)&gt;EOMONTH(DATE($B$3,11,1),0),NETWORKDAYS.INTL(DATE($B$3,11,17),DATE($B$3,11,17),1,'Non-working days'!$A$6:$A$45)=0),"",IF(COUNTIFS('Leave log'!$A$7:$A$306,Employees!$A$14,'Leave log'!$B$7:$B$306,"&lt;="&amp;DATE($B$3,11,17),'Leave log'!$C$7:$C$306,"&gt;="&amp;DATE($B$3,11,17),'Leave log'!$F$7:$F$306,"Pending")&gt;0,"P",""))))</f>
        <v/>
      </c>
      <c r="S355" s="23" t="str">
        <f>IF(A355="","",IF(IF(OR(DATE($B$3,11,18)&gt;EOMONTH(DATE($B$3,11,1),0),NETWORKDAYS.INTL(DATE($B$3,11,18),DATE($B$3,11,18),1,'Non-working days'!$A$6:$A$45)=0),"",IF(COUNTIFS('Leave log'!$A$7:$A$306,Employees!$A$14,'Leave log'!$B$7:$B$306,"&lt;="&amp;DATE($B$3,11,18),'Leave log'!$C$7:$C$306,"&gt;="&amp;DATE($B$3,11,18),'Leave log'!$F$7:$F$306,"Approved")&gt;0,"A",""))="A","A",IF(OR(DATE($B$3,11,18)&gt;EOMONTH(DATE($B$3,11,1),0),NETWORKDAYS.INTL(DATE($B$3,11,18),DATE($B$3,11,18),1,'Non-working days'!$A$6:$A$45)=0),"",IF(COUNTIFS('Leave log'!$A$7:$A$306,Employees!$A$14,'Leave log'!$B$7:$B$306,"&lt;="&amp;DATE($B$3,11,18),'Leave log'!$C$7:$C$306,"&gt;="&amp;DATE($B$3,11,18),'Leave log'!$F$7:$F$306,"Pending")&gt;0,"P",""))))</f>
        <v/>
      </c>
      <c r="T355" s="23" t="str">
        <f>IF(A355="","",IF(IF(OR(DATE($B$3,11,19)&gt;EOMONTH(DATE($B$3,11,1),0),NETWORKDAYS.INTL(DATE($B$3,11,19),DATE($B$3,11,19),1,'Non-working days'!$A$6:$A$45)=0),"",IF(COUNTIFS('Leave log'!$A$7:$A$306,Employees!$A$14,'Leave log'!$B$7:$B$306,"&lt;="&amp;DATE($B$3,11,19),'Leave log'!$C$7:$C$306,"&gt;="&amp;DATE($B$3,11,19),'Leave log'!$F$7:$F$306,"Approved")&gt;0,"A",""))="A","A",IF(OR(DATE($B$3,11,19)&gt;EOMONTH(DATE($B$3,11,1),0),NETWORKDAYS.INTL(DATE($B$3,11,19),DATE($B$3,11,19),1,'Non-working days'!$A$6:$A$45)=0),"",IF(COUNTIFS('Leave log'!$A$7:$A$306,Employees!$A$14,'Leave log'!$B$7:$B$306,"&lt;="&amp;DATE($B$3,11,19),'Leave log'!$C$7:$C$306,"&gt;="&amp;DATE($B$3,11,19),'Leave log'!$F$7:$F$306,"Pending")&gt;0,"P",""))))</f>
        <v/>
      </c>
      <c r="U355" s="23" t="str">
        <f>IF(A355="","",IF(IF(OR(DATE($B$3,11,20)&gt;EOMONTH(DATE($B$3,11,1),0),NETWORKDAYS.INTL(DATE($B$3,11,20),DATE($B$3,11,20),1,'Non-working days'!$A$6:$A$45)=0),"",IF(COUNTIFS('Leave log'!$A$7:$A$306,Employees!$A$14,'Leave log'!$B$7:$B$306,"&lt;="&amp;DATE($B$3,11,20),'Leave log'!$C$7:$C$306,"&gt;="&amp;DATE($B$3,11,20),'Leave log'!$F$7:$F$306,"Approved")&gt;0,"A",""))="A","A",IF(OR(DATE($B$3,11,20)&gt;EOMONTH(DATE($B$3,11,1),0),NETWORKDAYS.INTL(DATE($B$3,11,20),DATE($B$3,11,20),1,'Non-working days'!$A$6:$A$45)=0),"",IF(COUNTIFS('Leave log'!$A$7:$A$306,Employees!$A$14,'Leave log'!$B$7:$B$306,"&lt;="&amp;DATE($B$3,11,20),'Leave log'!$C$7:$C$306,"&gt;="&amp;DATE($B$3,11,20),'Leave log'!$F$7:$F$306,"Pending")&gt;0,"P",""))))</f>
        <v/>
      </c>
      <c r="V355" s="23" t="str">
        <f>IF(A355="","",IF(IF(OR(DATE($B$3,11,21)&gt;EOMONTH(DATE($B$3,11,1),0),NETWORKDAYS.INTL(DATE($B$3,11,21),DATE($B$3,11,21),1,'Non-working days'!$A$6:$A$45)=0),"",IF(COUNTIFS('Leave log'!$A$7:$A$306,Employees!$A$14,'Leave log'!$B$7:$B$306,"&lt;="&amp;DATE($B$3,11,21),'Leave log'!$C$7:$C$306,"&gt;="&amp;DATE($B$3,11,21),'Leave log'!$F$7:$F$306,"Approved")&gt;0,"A",""))="A","A",IF(OR(DATE($B$3,11,21)&gt;EOMONTH(DATE($B$3,11,1),0),NETWORKDAYS.INTL(DATE($B$3,11,21),DATE($B$3,11,21),1,'Non-working days'!$A$6:$A$45)=0),"",IF(COUNTIFS('Leave log'!$A$7:$A$306,Employees!$A$14,'Leave log'!$B$7:$B$306,"&lt;="&amp;DATE($B$3,11,21),'Leave log'!$C$7:$C$306,"&gt;="&amp;DATE($B$3,11,21),'Leave log'!$F$7:$F$306,"Pending")&gt;0,"P",""))))</f>
        <v/>
      </c>
      <c r="W355" s="23" t="str">
        <f>IF(A355="","",IF(IF(OR(DATE($B$3,11,22)&gt;EOMONTH(DATE($B$3,11,1),0),NETWORKDAYS.INTL(DATE($B$3,11,22),DATE($B$3,11,22),1,'Non-working days'!$A$6:$A$45)=0),"",IF(COUNTIFS('Leave log'!$A$7:$A$306,Employees!$A$14,'Leave log'!$B$7:$B$306,"&lt;="&amp;DATE($B$3,11,22),'Leave log'!$C$7:$C$306,"&gt;="&amp;DATE($B$3,11,22),'Leave log'!$F$7:$F$306,"Approved")&gt;0,"A",""))="A","A",IF(OR(DATE($B$3,11,22)&gt;EOMONTH(DATE($B$3,11,1),0),NETWORKDAYS.INTL(DATE($B$3,11,22),DATE($B$3,11,22),1,'Non-working days'!$A$6:$A$45)=0),"",IF(COUNTIFS('Leave log'!$A$7:$A$306,Employees!$A$14,'Leave log'!$B$7:$B$306,"&lt;="&amp;DATE($B$3,11,22),'Leave log'!$C$7:$C$306,"&gt;="&amp;DATE($B$3,11,22),'Leave log'!$F$7:$F$306,"Pending")&gt;0,"P",""))))</f>
        <v/>
      </c>
      <c r="X355" s="23" t="str">
        <f>IF(A355="","",IF(IF(OR(DATE($B$3,11,23)&gt;EOMONTH(DATE($B$3,11,1),0),NETWORKDAYS.INTL(DATE($B$3,11,23),DATE($B$3,11,23),1,'Non-working days'!$A$6:$A$45)=0),"",IF(COUNTIFS('Leave log'!$A$7:$A$306,Employees!$A$14,'Leave log'!$B$7:$B$306,"&lt;="&amp;DATE($B$3,11,23),'Leave log'!$C$7:$C$306,"&gt;="&amp;DATE($B$3,11,23),'Leave log'!$F$7:$F$306,"Approved")&gt;0,"A",""))="A","A",IF(OR(DATE($B$3,11,23)&gt;EOMONTH(DATE($B$3,11,1),0),NETWORKDAYS.INTL(DATE($B$3,11,23),DATE($B$3,11,23),1,'Non-working days'!$A$6:$A$45)=0),"",IF(COUNTIFS('Leave log'!$A$7:$A$306,Employees!$A$14,'Leave log'!$B$7:$B$306,"&lt;="&amp;DATE($B$3,11,23),'Leave log'!$C$7:$C$306,"&gt;="&amp;DATE($B$3,11,23),'Leave log'!$F$7:$F$306,"Pending")&gt;0,"P",""))))</f>
        <v/>
      </c>
      <c r="Y355" s="23" t="str">
        <f>IF(A355="","",IF(IF(OR(DATE($B$3,11,24)&gt;EOMONTH(DATE($B$3,11,1),0),NETWORKDAYS.INTL(DATE($B$3,11,24),DATE($B$3,11,24),1,'Non-working days'!$A$6:$A$45)=0),"",IF(COUNTIFS('Leave log'!$A$7:$A$306,Employees!$A$14,'Leave log'!$B$7:$B$306,"&lt;="&amp;DATE($B$3,11,24),'Leave log'!$C$7:$C$306,"&gt;="&amp;DATE($B$3,11,24),'Leave log'!$F$7:$F$306,"Approved")&gt;0,"A",""))="A","A",IF(OR(DATE($B$3,11,24)&gt;EOMONTH(DATE($B$3,11,1),0),NETWORKDAYS.INTL(DATE($B$3,11,24),DATE($B$3,11,24),1,'Non-working days'!$A$6:$A$45)=0),"",IF(COUNTIFS('Leave log'!$A$7:$A$306,Employees!$A$14,'Leave log'!$B$7:$B$306,"&lt;="&amp;DATE($B$3,11,24),'Leave log'!$C$7:$C$306,"&gt;="&amp;DATE($B$3,11,24),'Leave log'!$F$7:$F$306,"Pending")&gt;0,"P",""))))</f>
        <v/>
      </c>
      <c r="Z355" s="23" t="str">
        <f>IF(A355="","",IF(IF(OR(DATE($B$3,11,25)&gt;EOMONTH(DATE($B$3,11,1),0),NETWORKDAYS.INTL(DATE($B$3,11,25),DATE($B$3,11,25),1,'Non-working days'!$A$6:$A$45)=0),"",IF(COUNTIFS('Leave log'!$A$7:$A$306,Employees!$A$14,'Leave log'!$B$7:$B$306,"&lt;="&amp;DATE($B$3,11,25),'Leave log'!$C$7:$C$306,"&gt;="&amp;DATE($B$3,11,25),'Leave log'!$F$7:$F$306,"Approved")&gt;0,"A",""))="A","A",IF(OR(DATE($B$3,11,25)&gt;EOMONTH(DATE($B$3,11,1),0),NETWORKDAYS.INTL(DATE($B$3,11,25),DATE($B$3,11,25),1,'Non-working days'!$A$6:$A$45)=0),"",IF(COUNTIFS('Leave log'!$A$7:$A$306,Employees!$A$14,'Leave log'!$B$7:$B$306,"&lt;="&amp;DATE($B$3,11,25),'Leave log'!$C$7:$C$306,"&gt;="&amp;DATE($B$3,11,25),'Leave log'!$F$7:$F$306,"Pending")&gt;0,"P",""))))</f>
        <v/>
      </c>
      <c r="AA355" s="23" t="str">
        <f>IF(A355="","",IF(IF(OR(DATE($B$3,11,26)&gt;EOMONTH(DATE($B$3,11,1),0),NETWORKDAYS.INTL(DATE($B$3,11,26),DATE($B$3,11,26),1,'Non-working days'!$A$6:$A$45)=0),"",IF(COUNTIFS('Leave log'!$A$7:$A$306,Employees!$A$14,'Leave log'!$B$7:$B$306,"&lt;="&amp;DATE($B$3,11,26),'Leave log'!$C$7:$C$306,"&gt;="&amp;DATE($B$3,11,26),'Leave log'!$F$7:$F$306,"Approved")&gt;0,"A",""))="A","A",IF(OR(DATE($B$3,11,26)&gt;EOMONTH(DATE($B$3,11,1),0),NETWORKDAYS.INTL(DATE($B$3,11,26),DATE($B$3,11,26),1,'Non-working days'!$A$6:$A$45)=0),"",IF(COUNTIFS('Leave log'!$A$7:$A$306,Employees!$A$14,'Leave log'!$B$7:$B$306,"&lt;="&amp;DATE($B$3,11,26),'Leave log'!$C$7:$C$306,"&gt;="&amp;DATE($B$3,11,26),'Leave log'!$F$7:$F$306,"Pending")&gt;0,"P",""))))</f>
        <v/>
      </c>
      <c r="AB355" s="23" t="str">
        <f>IF(A355="","",IF(IF(OR(DATE($B$3,11,27)&gt;EOMONTH(DATE($B$3,11,1),0),NETWORKDAYS.INTL(DATE($B$3,11,27),DATE($B$3,11,27),1,'Non-working days'!$A$6:$A$45)=0),"",IF(COUNTIFS('Leave log'!$A$7:$A$306,Employees!$A$14,'Leave log'!$B$7:$B$306,"&lt;="&amp;DATE($B$3,11,27),'Leave log'!$C$7:$C$306,"&gt;="&amp;DATE($B$3,11,27),'Leave log'!$F$7:$F$306,"Approved")&gt;0,"A",""))="A","A",IF(OR(DATE($B$3,11,27)&gt;EOMONTH(DATE($B$3,11,1),0),NETWORKDAYS.INTL(DATE($B$3,11,27),DATE($B$3,11,27),1,'Non-working days'!$A$6:$A$45)=0),"",IF(COUNTIFS('Leave log'!$A$7:$A$306,Employees!$A$14,'Leave log'!$B$7:$B$306,"&lt;="&amp;DATE($B$3,11,27),'Leave log'!$C$7:$C$306,"&gt;="&amp;DATE($B$3,11,27),'Leave log'!$F$7:$F$306,"Pending")&gt;0,"P",""))))</f>
        <v/>
      </c>
      <c r="AC355" s="23" t="str">
        <f>IF(A355="","",IF(IF(OR(DATE($B$3,11,28)&gt;EOMONTH(DATE($B$3,11,1),0),NETWORKDAYS.INTL(DATE($B$3,11,28),DATE($B$3,11,28),1,'Non-working days'!$A$6:$A$45)=0),"",IF(COUNTIFS('Leave log'!$A$7:$A$306,Employees!$A$14,'Leave log'!$B$7:$B$306,"&lt;="&amp;DATE($B$3,11,28),'Leave log'!$C$7:$C$306,"&gt;="&amp;DATE($B$3,11,28),'Leave log'!$F$7:$F$306,"Approved")&gt;0,"A",""))="A","A",IF(OR(DATE($B$3,11,28)&gt;EOMONTH(DATE($B$3,11,1),0),NETWORKDAYS.INTL(DATE($B$3,11,28),DATE($B$3,11,28),1,'Non-working days'!$A$6:$A$45)=0),"",IF(COUNTIFS('Leave log'!$A$7:$A$306,Employees!$A$14,'Leave log'!$B$7:$B$306,"&lt;="&amp;DATE($B$3,11,28),'Leave log'!$C$7:$C$306,"&gt;="&amp;DATE($B$3,11,28),'Leave log'!$F$7:$F$306,"Pending")&gt;0,"P",""))))</f>
        <v/>
      </c>
      <c r="AD355" s="23" t="str">
        <f>IF(A355="","",IF(IF(OR(DATE($B$3,11,29)&gt;EOMONTH(DATE($B$3,11,1),0),NETWORKDAYS.INTL(DATE($B$3,11,29),DATE($B$3,11,29),1,'Non-working days'!$A$6:$A$45)=0),"",IF(COUNTIFS('Leave log'!$A$7:$A$306,Employees!$A$14,'Leave log'!$B$7:$B$306,"&lt;="&amp;DATE($B$3,11,29),'Leave log'!$C$7:$C$306,"&gt;="&amp;DATE($B$3,11,29),'Leave log'!$F$7:$F$306,"Approved")&gt;0,"A",""))="A","A",IF(OR(DATE($B$3,11,29)&gt;EOMONTH(DATE($B$3,11,1),0),NETWORKDAYS.INTL(DATE($B$3,11,29),DATE($B$3,11,29),1,'Non-working days'!$A$6:$A$45)=0),"",IF(COUNTIFS('Leave log'!$A$7:$A$306,Employees!$A$14,'Leave log'!$B$7:$B$306,"&lt;="&amp;DATE($B$3,11,29),'Leave log'!$C$7:$C$306,"&gt;="&amp;DATE($B$3,11,29),'Leave log'!$F$7:$F$306,"Pending")&gt;0,"P",""))))</f>
        <v/>
      </c>
      <c r="AE355" s="23" t="str">
        <f>IF(A355="","",IF(IF(OR(DATE($B$3,11,30)&gt;EOMONTH(DATE($B$3,11,1),0),NETWORKDAYS.INTL(DATE($B$3,11,30),DATE($B$3,11,30),1,'Non-working days'!$A$6:$A$45)=0),"",IF(COUNTIFS('Leave log'!$A$7:$A$306,Employees!$A$14,'Leave log'!$B$7:$B$306,"&lt;="&amp;DATE($B$3,11,30),'Leave log'!$C$7:$C$306,"&gt;="&amp;DATE($B$3,11,30),'Leave log'!$F$7:$F$306,"Approved")&gt;0,"A",""))="A","A",IF(OR(DATE($B$3,11,30)&gt;EOMONTH(DATE($B$3,11,1),0),NETWORKDAYS.INTL(DATE($B$3,11,30),DATE($B$3,11,30),1,'Non-working days'!$A$6:$A$45)=0),"",IF(COUNTIFS('Leave log'!$A$7:$A$306,Employees!$A$14,'Leave log'!$B$7:$B$306,"&lt;="&amp;DATE($B$3,11,30),'Leave log'!$C$7:$C$306,"&gt;="&amp;DATE($B$3,11,30),'Leave log'!$F$7:$F$306,"Pending")&gt;0,"P",""))))</f>
        <v/>
      </c>
      <c r="AF355" s="23" t="str">
        <f>IF(A355="","",IF(IF(OR(DATE($B$3,11,31)&gt;EOMONTH(DATE($B$3,11,1),0),NETWORKDAYS.INTL(DATE($B$3,11,31),DATE($B$3,11,31),1,'Non-working days'!$A$6:$A$45)=0),"",IF(COUNTIFS('Leave log'!$A$7:$A$306,Employees!$A$14,'Leave log'!$B$7:$B$306,"&lt;="&amp;DATE($B$3,11,31),'Leave log'!$C$7:$C$306,"&gt;="&amp;DATE($B$3,11,31),'Leave log'!$F$7:$F$306,"Approved")&gt;0,"A",""))="A","A",IF(OR(DATE($B$3,11,31)&gt;EOMONTH(DATE($B$3,11,1),0),NETWORKDAYS.INTL(DATE($B$3,11,31),DATE($B$3,11,31),1,'Non-working days'!$A$6:$A$45)=0),"",IF(COUNTIFS('Leave log'!$A$7:$A$306,Employees!$A$14,'Leave log'!$B$7:$B$306,"&lt;="&amp;DATE($B$3,11,31),'Leave log'!$C$7:$C$306,"&gt;="&amp;DATE($B$3,11,31),'Leave log'!$F$7:$F$306,"Pending")&gt;0,"P",""))))</f>
        <v/>
      </c>
    </row>
    <row r="356" spans="1:32" ht="18" customHeight="1" x14ac:dyDescent="0.3">
      <c r="A356" s="22" t="str">
        <f>IF(Employees!F15="Yes",Employees!B15,"")</f>
        <v/>
      </c>
      <c r="B356" s="23" t="str">
        <f>IF(A356="","",IF(IF(OR(DATE($B$3,11,1)&gt;EOMONTH(DATE($B$3,11,1),0),NETWORKDAYS.INTL(DATE($B$3,11,1),DATE($B$3,11,1),1,'Non-working days'!$A$6:$A$45)=0),"",IF(COUNTIFS('Leave log'!$A$7:$A$306,Employees!$A$15,'Leave log'!$B$7:$B$306,"&lt;="&amp;DATE($B$3,11,1),'Leave log'!$C$7:$C$306,"&gt;="&amp;DATE($B$3,11,1),'Leave log'!$F$7:$F$306,"Approved")&gt;0,"A",""))="A","A",IF(OR(DATE($B$3,11,1)&gt;EOMONTH(DATE($B$3,11,1),0),NETWORKDAYS.INTL(DATE($B$3,11,1),DATE($B$3,11,1),1,'Non-working days'!$A$6:$A$45)=0),"",IF(COUNTIFS('Leave log'!$A$7:$A$306,Employees!$A$15,'Leave log'!$B$7:$B$306,"&lt;="&amp;DATE($B$3,11,1),'Leave log'!$C$7:$C$306,"&gt;="&amp;DATE($B$3,11,1),'Leave log'!$F$7:$F$306,"Pending")&gt;0,"P",""))))</f>
        <v/>
      </c>
      <c r="C356" s="23" t="str">
        <f>IF(A356="","",IF(IF(OR(DATE($B$3,11,2)&gt;EOMONTH(DATE($B$3,11,1),0),NETWORKDAYS.INTL(DATE($B$3,11,2),DATE($B$3,11,2),1,'Non-working days'!$A$6:$A$45)=0),"",IF(COUNTIFS('Leave log'!$A$7:$A$306,Employees!$A$15,'Leave log'!$B$7:$B$306,"&lt;="&amp;DATE($B$3,11,2),'Leave log'!$C$7:$C$306,"&gt;="&amp;DATE($B$3,11,2),'Leave log'!$F$7:$F$306,"Approved")&gt;0,"A",""))="A","A",IF(OR(DATE($B$3,11,2)&gt;EOMONTH(DATE($B$3,11,1),0),NETWORKDAYS.INTL(DATE($B$3,11,2),DATE($B$3,11,2),1,'Non-working days'!$A$6:$A$45)=0),"",IF(COUNTIFS('Leave log'!$A$7:$A$306,Employees!$A$15,'Leave log'!$B$7:$B$306,"&lt;="&amp;DATE($B$3,11,2),'Leave log'!$C$7:$C$306,"&gt;="&amp;DATE($B$3,11,2),'Leave log'!$F$7:$F$306,"Pending")&gt;0,"P",""))))</f>
        <v/>
      </c>
      <c r="D356" s="23" t="str">
        <f>IF(A356="","",IF(IF(OR(DATE($B$3,11,3)&gt;EOMONTH(DATE($B$3,11,1),0),NETWORKDAYS.INTL(DATE($B$3,11,3),DATE($B$3,11,3),1,'Non-working days'!$A$6:$A$45)=0),"",IF(COUNTIFS('Leave log'!$A$7:$A$306,Employees!$A$15,'Leave log'!$B$7:$B$306,"&lt;="&amp;DATE($B$3,11,3),'Leave log'!$C$7:$C$306,"&gt;="&amp;DATE($B$3,11,3),'Leave log'!$F$7:$F$306,"Approved")&gt;0,"A",""))="A","A",IF(OR(DATE($B$3,11,3)&gt;EOMONTH(DATE($B$3,11,1),0),NETWORKDAYS.INTL(DATE($B$3,11,3),DATE($B$3,11,3),1,'Non-working days'!$A$6:$A$45)=0),"",IF(COUNTIFS('Leave log'!$A$7:$A$306,Employees!$A$15,'Leave log'!$B$7:$B$306,"&lt;="&amp;DATE($B$3,11,3),'Leave log'!$C$7:$C$306,"&gt;="&amp;DATE($B$3,11,3),'Leave log'!$F$7:$F$306,"Pending")&gt;0,"P",""))))</f>
        <v/>
      </c>
      <c r="E356" s="23" t="str">
        <f>IF(A356="","",IF(IF(OR(DATE($B$3,11,4)&gt;EOMONTH(DATE($B$3,11,1),0),NETWORKDAYS.INTL(DATE($B$3,11,4),DATE($B$3,11,4),1,'Non-working days'!$A$6:$A$45)=0),"",IF(COUNTIFS('Leave log'!$A$7:$A$306,Employees!$A$15,'Leave log'!$B$7:$B$306,"&lt;="&amp;DATE($B$3,11,4),'Leave log'!$C$7:$C$306,"&gt;="&amp;DATE($B$3,11,4),'Leave log'!$F$7:$F$306,"Approved")&gt;0,"A",""))="A","A",IF(OR(DATE($B$3,11,4)&gt;EOMONTH(DATE($B$3,11,1),0),NETWORKDAYS.INTL(DATE($B$3,11,4),DATE($B$3,11,4),1,'Non-working days'!$A$6:$A$45)=0),"",IF(COUNTIFS('Leave log'!$A$7:$A$306,Employees!$A$15,'Leave log'!$B$7:$B$306,"&lt;="&amp;DATE($B$3,11,4),'Leave log'!$C$7:$C$306,"&gt;="&amp;DATE($B$3,11,4),'Leave log'!$F$7:$F$306,"Pending")&gt;0,"P",""))))</f>
        <v/>
      </c>
      <c r="F356" s="23" t="str">
        <f>IF(A356="","",IF(IF(OR(DATE($B$3,11,5)&gt;EOMONTH(DATE($B$3,11,1),0),NETWORKDAYS.INTL(DATE($B$3,11,5),DATE($B$3,11,5),1,'Non-working days'!$A$6:$A$45)=0),"",IF(COUNTIFS('Leave log'!$A$7:$A$306,Employees!$A$15,'Leave log'!$B$7:$B$306,"&lt;="&amp;DATE($B$3,11,5),'Leave log'!$C$7:$C$306,"&gt;="&amp;DATE($B$3,11,5),'Leave log'!$F$7:$F$306,"Approved")&gt;0,"A",""))="A","A",IF(OR(DATE($B$3,11,5)&gt;EOMONTH(DATE($B$3,11,1),0),NETWORKDAYS.INTL(DATE($B$3,11,5),DATE($B$3,11,5),1,'Non-working days'!$A$6:$A$45)=0),"",IF(COUNTIFS('Leave log'!$A$7:$A$306,Employees!$A$15,'Leave log'!$B$7:$B$306,"&lt;="&amp;DATE($B$3,11,5),'Leave log'!$C$7:$C$306,"&gt;="&amp;DATE($B$3,11,5),'Leave log'!$F$7:$F$306,"Pending")&gt;0,"P",""))))</f>
        <v/>
      </c>
      <c r="G356" s="23" t="str">
        <f>IF(A356="","",IF(IF(OR(DATE($B$3,11,6)&gt;EOMONTH(DATE($B$3,11,1),0),NETWORKDAYS.INTL(DATE($B$3,11,6),DATE($B$3,11,6),1,'Non-working days'!$A$6:$A$45)=0),"",IF(COUNTIFS('Leave log'!$A$7:$A$306,Employees!$A$15,'Leave log'!$B$7:$B$306,"&lt;="&amp;DATE($B$3,11,6),'Leave log'!$C$7:$C$306,"&gt;="&amp;DATE($B$3,11,6),'Leave log'!$F$7:$F$306,"Approved")&gt;0,"A",""))="A","A",IF(OR(DATE($B$3,11,6)&gt;EOMONTH(DATE($B$3,11,1),0),NETWORKDAYS.INTL(DATE($B$3,11,6),DATE($B$3,11,6),1,'Non-working days'!$A$6:$A$45)=0),"",IF(COUNTIFS('Leave log'!$A$7:$A$306,Employees!$A$15,'Leave log'!$B$7:$B$306,"&lt;="&amp;DATE($B$3,11,6),'Leave log'!$C$7:$C$306,"&gt;="&amp;DATE($B$3,11,6),'Leave log'!$F$7:$F$306,"Pending")&gt;0,"P",""))))</f>
        <v/>
      </c>
      <c r="H356" s="23" t="str">
        <f>IF(A356="","",IF(IF(OR(DATE($B$3,11,7)&gt;EOMONTH(DATE($B$3,11,1),0),NETWORKDAYS.INTL(DATE($B$3,11,7),DATE($B$3,11,7),1,'Non-working days'!$A$6:$A$45)=0),"",IF(COUNTIFS('Leave log'!$A$7:$A$306,Employees!$A$15,'Leave log'!$B$7:$B$306,"&lt;="&amp;DATE($B$3,11,7),'Leave log'!$C$7:$C$306,"&gt;="&amp;DATE($B$3,11,7),'Leave log'!$F$7:$F$306,"Approved")&gt;0,"A",""))="A","A",IF(OR(DATE($B$3,11,7)&gt;EOMONTH(DATE($B$3,11,1),0),NETWORKDAYS.INTL(DATE($B$3,11,7),DATE($B$3,11,7),1,'Non-working days'!$A$6:$A$45)=0),"",IF(COUNTIFS('Leave log'!$A$7:$A$306,Employees!$A$15,'Leave log'!$B$7:$B$306,"&lt;="&amp;DATE($B$3,11,7),'Leave log'!$C$7:$C$306,"&gt;="&amp;DATE($B$3,11,7),'Leave log'!$F$7:$F$306,"Pending")&gt;0,"P",""))))</f>
        <v/>
      </c>
      <c r="I356" s="23" t="str">
        <f>IF(A356="","",IF(IF(OR(DATE($B$3,11,8)&gt;EOMONTH(DATE($B$3,11,1),0),NETWORKDAYS.INTL(DATE($B$3,11,8),DATE($B$3,11,8),1,'Non-working days'!$A$6:$A$45)=0),"",IF(COUNTIFS('Leave log'!$A$7:$A$306,Employees!$A$15,'Leave log'!$B$7:$B$306,"&lt;="&amp;DATE($B$3,11,8),'Leave log'!$C$7:$C$306,"&gt;="&amp;DATE($B$3,11,8),'Leave log'!$F$7:$F$306,"Approved")&gt;0,"A",""))="A","A",IF(OR(DATE($B$3,11,8)&gt;EOMONTH(DATE($B$3,11,1),0),NETWORKDAYS.INTL(DATE($B$3,11,8),DATE($B$3,11,8),1,'Non-working days'!$A$6:$A$45)=0),"",IF(COUNTIFS('Leave log'!$A$7:$A$306,Employees!$A$15,'Leave log'!$B$7:$B$306,"&lt;="&amp;DATE($B$3,11,8),'Leave log'!$C$7:$C$306,"&gt;="&amp;DATE($B$3,11,8),'Leave log'!$F$7:$F$306,"Pending")&gt;0,"P",""))))</f>
        <v/>
      </c>
      <c r="J356" s="23" t="str">
        <f>IF(A356="","",IF(IF(OR(DATE($B$3,11,9)&gt;EOMONTH(DATE($B$3,11,1),0),NETWORKDAYS.INTL(DATE($B$3,11,9),DATE($B$3,11,9),1,'Non-working days'!$A$6:$A$45)=0),"",IF(COUNTIFS('Leave log'!$A$7:$A$306,Employees!$A$15,'Leave log'!$B$7:$B$306,"&lt;="&amp;DATE($B$3,11,9),'Leave log'!$C$7:$C$306,"&gt;="&amp;DATE($B$3,11,9),'Leave log'!$F$7:$F$306,"Approved")&gt;0,"A",""))="A","A",IF(OR(DATE($B$3,11,9)&gt;EOMONTH(DATE($B$3,11,1),0),NETWORKDAYS.INTL(DATE($B$3,11,9),DATE($B$3,11,9),1,'Non-working days'!$A$6:$A$45)=0),"",IF(COUNTIFS('Leave log'!$A$7:$A$306,Employees!$A$15,'Leave log'!$B$7:$B$306,"&lt;="&amp;DATE($B$3,11,9),'Leave log'!$C$7:$C$306,"&gt;="&amp;DATE($B$3,11,9),'Leave log'!$F$7:$F$306,"Pending")&gt;0,"P",""))))</f>
        <v/>
      </c>
      <c r="K356" s="23" t="str">
        <f>IF(A356="","",IF(IF(OR(DATE($B$3,11,10)&gt;EOMONTH(DATE($B$3,11,1),0),NETWORKDAYS.INTL(DATE($B$3,11,10),DATE($B$3,11,10),1,'Non-working days'!$A$6:$A$45)=0),"",IF(COUNTIFS('Leave log'!$A$7:$A$306,Employees!$A$15,'Leave log'!$B$7:$B$306,"&lt;="&amp;DATE($B$3,11,10),'Leave log'!$C$7:$C$306,"&gt;="&amp;DATE($B$3,11,10),'Leave log'!$F$7:$F$306,"Approved")&gt;0,"A",""))="A","A",IF(OR(DATE($B$3,11,10)&gt;EOMONTH(DATE($B$3,11,1),0),NETWORKDAYS.INTL(DATE($B$3,11,10),DATE($B$3,11,10),1,'Non-working days'!$A$6:$A$45)=0),"",IF(COUNTIFS('Leave log'!$A$7:$A$306,Employees!$A$15,'Leave log'!$B$7:$B$306,"&lt;="&amp;DATE($B$3,11,10),'Leave log'!$C$7:$C$306,"&gt;="&amp;DATE($B$3,11,10),'Leave log'!$F$7:$F$306,"Pending")&gt;0,"P",""))))</f>
        <v/>
      </c>
      <c r="L356" s="23" t="str">
        <f>IF(A356="","",IF(IF(OR(DATE($B$3,11,11)&gt;EOMONTH(DATE($B$3,11,1),0),NETWORKDAYS.INTL(DATE($B$3,11,11),DATE($B$3,11,11),1,'Non-working days'!$A$6:$A$45)=0),"",IF(COUNTIFS('Leave log'!$A$7:$A$306,Employees!$A$15,'Leave log'!$B$7:$B$306,"&lt;="&amp;DATE($B$3,11,11),'Leave log'!$C$7:$C$306,"&gt;="&amp;DATE($B$3,11,11),'Leave log'!$F$7:$F$306,"Approved")&gt;0,"A",""))="A","A",IF(OR(DATE($B$3,11,11)&gt;EOMONTH(DATE($B$3,11,1),0),NETWORKDAYS.INTL(DATE($B$3,11,11),DATE($B$3,11,11),1,'Non-working days'!$A$6:$A$45)=0),"",IF(COUNTIFS('Leave log'!$A$7:$A$306,Employees!$A$15,'Leave log'!$B$7:$B$306,"&lt;="&amp;DATE($B$3,11,11),'Leave log'!$C$7:$C$306,"&gt;="&amp;DATE($B$3,11,11),'Leave log'!$F$7:$F$306,"Pending")&gt;0,"P",""))))</f>
        <v/>
      </c>
      <c r="M356" s="23" t="str">
        <f>IF(A356="","",IF(IF(OR(DATE($B$3,11,12)&gt;EOMONTH(DATE($B$3,11,1),0),NETWORKDAYS.INTL(DATE($B$3,11,12),DATE($B$3,11,12),1,'Non-working days'!$A$6:$A$45)=0),"",IF(COUNTIFS('Leave log'!$A$7:$A$306,Employees!$A$15,'Leave log'!$B$7:$B$306,"&lt;="&amp;DATE($B$3,11,12),'Leave log'!$C$7:$C$306,"&gt;="&amp;DATE($B$3,11,12),'Leave log'!$F$7:$F$306,"Approved")&gt;0,"A",""))="A","A",IF(OR(DATE($B$3,11,12)&gt;EOMONTH(DATE($B$3,11,1),0),NETWORKDAYS.INTL(DATE($B$3,11,12),DATE($B$3,11,12),1,'Non-working days'!$A$6:$A$45)=0),"",IF(COUNTIFS('Leave log'!$A$7:$A$306,Employees!$A$15,'Leave log'!$B$7:$B$306,"&lt;="&amp;DATE($B$3,11,12),'Leave log'!$C$7:$C$306,"&gt;="&amp;DATE($B$3,11,12),'Leave log'!$F$7:$F$306,"Pending")&gt;0,"P",""))))</f>
        <v/>
      </c>
      <c r="N356" s="23" t="str">
        <f>IF(A356="","",IF(IF(OR(DATE($B$3,11,13)&gt;EOMONTH(DATE($B$3,11,1),0),NETWORKDAYS.INTL(DATE($B$3,11,13),DATE($B$3,11,13),1,'Non-working days'!$A$6:$A$45)=0),"",IF(COUNTIFS('Leave log'!$A$7:$A$306,Employees!$A$15,'Leave log'!$B$7:$B$306,"&lt;="&amp;DATE($B$3,11,13),'Leave log'!$C$7:$C$306,"&gt;="&amp;DATE($B$3,11,13),'Leave log'!$F$7:$F$306,"Approved")&gt;0,"A",""))="A","A",IF(OR(DATE($B$3,11,13)&gt;EOMONTH(DATE($B$3,11,1),0),NETWORKDAYS.INTL(DATE($B$3,11,13),DATE($B$3,11,13),1,'Non-working days'!$A$6:$A$45)=0),"",IF(COUNTIFS('Leave log'!$A$7:$A$306,Employees!$A$15,'Leave log'!$B$7:$B$306,"&lt;="&amp;DATE($B$3,11,13),'Leave log'!$C$7:$C$306,"&gt;="&amp;DATE($B$3,11,13),'Leave log'!$F$7:$F$306,"Pending")&gt;0,"P",""))))</f>
        <v/>
      </c>
      <c r="O356" s="23" t="str">
        <f>IF(A356="","",IF(IF(OR(DATE($B$3,11,14)&gt;EOMONTH(DATE($B$3,11,1),0),NETWORKDAYS.INTL(DATE($B$3,11,14),DATE($B$3,11,14),1,'Non-working days'!$A$6:$A$45)=0),"",IF(COUNTIFS('Leave log'!$A$7:$A$306,Employees!$A$15,'Leave log'!$B$7:$B$306,"&lt;="&amp;DATE($B$3,11,14),'Leave log'!$C$7:$C$306,"&gt;="&amp;DATE($B$3,11,14),'Leave log'!$F$7:$F$306,"Approved")&gt;0,"A",""))="A","A",IF(OR(DATE($B$3,11,14)&gt;EOMONTH(DATE($B$3,11,1),0),NETWORKDAYS.INTL(DATE($B$3,11,14),DATE($B$3,11,14),1,'Non-working days'!$A$6:$A$45)=0),"",IF(COUNTIFS('Leave log'!$A$7:$A$306,Employees!$A$15,'Leave log'!$B$7:$B$306,"&lt;="&amp;DATE($B$3,11,14),'Leave log'!$C$7:$C$306,"&gt;="&amp;DATE($B$3,11,14),'Leave log'!$F$7:$F$306,"Pending")&gt;0,"P",""))))</f>
        <v/>
      </c>
      <c r="P356" s="23" t="str">
        <f>IF(A356="","",IF(IF(OR(DATE($B$3,11,15)&gt;EOMONTH(DATE($B$3,11,1),0),NETWORKDAYS.INTL(DATE($B$3,11,15),DATE($B$3,11,15),1,'Non-working days'!$A$6:$A$45)=0),"",IF(COUNTIFS('Leave log'!$A$7:$A$306,Employees!$A$15,'Leave log'!$B$7:$B$306,"&lt;="&amp;DATE($B$3,11,15),'Leave log'!$C$7:$C$306,"&gt;="&amp;DATE($B$3,11,15),'Leave log'!$F$7:$F$306,"Approved")&gt;0,"A",""))="A","A",IF(OR(DATE($B$3,11,15)&gt;EOMONTH(DATE($B$3,11,1),0),NETWORKDAYS.INTL(DATE($B$3,11,15),DATE($B$3,11,15),1,'Non-working days'!$A$6:$A$45)=0),"",IF(COUNTIFS('Leave log'!$A$7:$A$306,Employees!$A$15,'Leave log'!$B$7:$B$306,"&lt;="&amp;DATE($B$3,11,15),'Leave log'!$C$7:$C$306,"&gt;="&amp;DATE($B$3,11,15),'Leave log'!$F$7:$F$306,"Pending")&gt;0,"P",""))))</f>
        <v/>
      </c>
      <c r="Q356" s="23" t="str">
        <f>IF(A356="","",IF(IF(OR(DATE($B$3,11,16)&gt;EOMONTH(DATE($B$3,11,1),0),NETWORKDAYS.INTL(DATE($B$3,11,16),DATE($B$3,11,16),1,'Non-working days'!$A$6:$A$45)=0),"",IF(COUNTIFS('Leave log'!$A$7:$A$306,Employees!$A$15,'Leave log'!$B$7:$B$306,"&lt;="&amp;DATE($B$3,11,16),'Leave log'!$C$7:$C$306,"&gt;="&amp;DATE($B$3,11,16),'Leave log'!$F$7:$F$306,"Approved")&gt;0,"A",""))="A","A",IF(OR(DATE($B$3,11,16)&gt;EOMONTH(DATE($B$3,11,1),0),NETWORKDAYS.INTL(DATE($B$3,11,16),DATE($B$3,11,16),1,'Non-working days'!$A$6:$A$45)=0),"",IF(COUNTIFS('Leave log'!$A$7:$A$306,Employees!$A$15,'Leave log'!$B$7:$B$306,"&lt;="&amp;DATE($B$3,11,16),'Leave log'!$C$7:$C$306,"&gt;="&amp;DATE($B$3,11,16),'Leave log'!$F$7:$F$306,"Pending")&gt;0,"P",""))))</f>
        <v/>
      </c>
      <c r="R356" s="23" t="str">
        <f>IF(A356="","",IF(IF(OR(DATE($B$3,11,17)&gt;EOMONTH(DATE($B$3,11,1),0),NETWORKDAYS.INTL(DATE($B$3,11,17),DATE($B$3,11,17),1,'Non-working days'!$A$6:$A$45)=0),"",IF(COUNTIFS('Leave log'!$A$7:$A$306,Employees!$A$15,'Leave log'!$B$7:$B$306,"&lt;="&amp;DATE($B$3,11,17),'Leave log'!$C$7:$C$306,"&gt;="&amp;DATE($B$3,11,17),'Leave log'!$F$7:$F$306,"Approved")&gt;0,"A",""))="A","A",IF(OR(DATE($B$3,11,17)&gt;EOMONTH(DATE($B$3,11,1),0),NETWORKDAYS.INTL(DATE($B$3,11,17),DATE($B$3,11,17),1,'Non-working days'!$A$6:$A$45)=0),"",IF(COUNTIFS('Leave log'!$A$7:$A$306,Employees!$A$15,'Leave log'!$B$7:$B$306,"&lt;="&amp;DATE($B$3,11,17),'Leave log'!$C$7:$C$306,"&gt;="&amp;DATE($B$3,11,17),'Leave log'!$F$7:$F$306,"Pending")&gt;0,"P",""))))</f>
        <v/>
      </c>
      <c r="S356" s="23" t="str">
        <f>IF(A356="","",IF(IF(OR(DATE($B$3,11,18)&gt;EOMONTH(DATE($B$3,11,1),0),NETWORKDAYS.INTL(DATE($B$3,11,18),DATE($B$3,11,18),1,'Non-working days'!$A$6:$A$45)=0),"",IF(COUNTIFS('Leave log'!$A$7:$A$306,Employees!$A$15,'Leave log'!$B$7:$B$306,"&lt;="&amp;DATE($B$3,11,18),'Leave log'!$C$7:$C$306,"&gt;="&amp;DATE($B$3,11,18),'Leave log'!$F$7:$F$306,"Approved")&gt;0,"A",""))="A","A",IF(OR(DATE($B$3,11,18)&gt;EOMONTH(DATE($B$3,11,1),0),NETWORKDAYS.INTL(DATE($B$3,11,18),DATE($B$3,11,18),1,'Non-working days'!$A$6:$A$45)=0),"",IF(COUNTIFS('Leave log'!$A$7:$A$306,Employees!$A$15,'Leave log'!$B$7:$B$306,"&lt;="&amp;DATE($B$3,11,18),'Leave log'!$C$7:$C$306,"&gt;="&amp;DATE($B$3,11,18),'Leave log'!$F$7:$F$306,"Pending")&gt;0,"P",""))))</f>
        <v/>
      </c>
      <c r="T356" s="23" t="str">
        <f>IF(A356="","",IF(IF(OR(DATE($B$3,11,19)&gt;EOMONTH(DATE($B$3,11,1),0),NETWORKDAYS.INTL(DATE($B$3,11,19),DATE($B$3,11,19),1,'Non-working days'!$A$6:$A$45)=0),"",IF(COUNTIFS('Leave log'!$A$7:$A$306,Employees!$A$15,'Leave log'!$B$7:$B$306,"&lt;="&amp;DATE($B$3,11,19),'Leave log'!$C$7:$C$306,"&gt;="&amp;DATE($B$3,11,19),'Leave log'!$F$7:$F$306,"Approved")&gt;0,"A",""))="A","A",IF(OR(DATE($B$3,11,19)&gt;EOMONTH(DATE($B$3,11,1),0),NETWORKDAYS.INTL(DATE($B$3,11,19),DATE($B$3,11,19),1,'Non-working days'!$A$6:$A$45)=0),"",IF(COUNTIFS('Leave log'!$A$7:$A$306,Employees!$A$15,'Leave log'!$B$7:$B$306,"&lt;="&amp;DATE($B$3,11,19),'Leave log'!$C$7:$C$306,"&gt;="&amp;DATE($B$3,11,19),'Leave log'!$F$7:$F$306,"Pending")&gt;0,"P",""))))</f>
        <v/>
      </c>
      <c r="U356" s="23" t="str">
        <f>IF(A356="","",IF(IF(OR(DATE($B$3,11,20)&gt;EOMONTH(DATE($B$3,11,1),0),NETWORKDAYS.INTL(DATE($B$3,11,20),DATE($B$3,11,20),1,'Non-working days'!$A$6:$A$45)=0),"",IF(COUNTIFS('Leave log'!$A$7:$A$306,Employees!$A$15,'Leave log'!$B$7:$B$306,"&lt;="&amp;DATE($B$3,11,20),'Leave log'!$C$7:$C$306,"&gt;="&amp;DATE($B$3,11,20),'Leave log'!$F$7:$F$306,"Approved")&gt;0,"A",""))="A","A",IF(OR(DATE($B$3,11,20)&gt;EOMONTH(DATE($B$3,11,1),0),NETWORKDAYS.INTL(DATE($B$3,11,20),DATE($B$3,11,20),1,'Non-working days'!$A$6:$A$45)=0),"",IF(COUNTIFS('Leave log'!$A$7:$A$306,Employees!$A$15,'Leave log'!$B$7:$B$306,"&lt;="&amp;DATE($B$3,11,20),'Leave log'!$C$7:$C$306,"&gt;="&amp;DATE($B$3,11,20),'Leave log'!$F$7:$F$306,"Pending")&gt;0,"P",""))))</f>
        <v/>
      </c>
      <c r="V356" s="23" t="str">
        <f>IF(A356="","",IF(IF(OR(DATE($B$3,11,21)&gt;EOMONTH(DATE($B$3,11,1),0),NETWORKDAYS.INTL(DATE($B$3,11,21),DATE($B$3,11,21),1,'Non-working days'!$A$6:$A$45)=0),"",IF(COUNTIFS('Leave log'!$A$7:$A$306,Employees!$A$15,'Leave log'!$B$7:$B$306,"&lt;="&amp;DATE($B$3,11,21),'Leave log'!$C$7:$C$306,"&gt;="&amp;DATE($B$3,11,21),'Leave log'!$F$7:$F$306,"Approved")&gt;0,"A",""))="A","A",IF(OR(DATE($B$3,11,21)&gt;EOMONTH(DATE($B$3,11,1),0),NETWORKDAYS.INTL(DATE($B$3,11,21),DATE($B$3,11,21),1,'Non-working days'!$A$6:$A$45)=0),"",IF(COUNTIFS('Leave log'!$A$7:$A$306,Employees!$A$15,'Leave log'!$B$7:$B$306,"&lt;="&amp;DATE($B$3,11,21),'Leave log'!$C$7:$C$306,"&gt;="&amp;DATE($B$3,11,21),'Leave log'!$F$7:$F$306,"Pending")&gt;0,"P",""))))</f>
        <v/>
      </c>
      <c r="W356" s="23" t="str">
        <f>IF(A356="","",IF(IF(OR(DATE($B$3,11,22)&gt;EOMONTH(DATE($B$3,11,1),0),NETWORKDAYS.INTL(DATE($B$3,11,22),DATE($B$3,11,22),1,'Non-working days'!$A$6:$A$45)=0),"",IF(COUNTIFS('Leave log'!$A$7:$A$306,Employees!$A$15,'Leave log'!$B$7:$B$306,"&lt;="&amp;DATE($B$3,11,22),'Leave log'!$C$7:$C$306,"&gt;="&amp;DATE($B$3,11,22),'Leave log'!$F$7:$F$306,"Approved")&gt;0,"A",""))="A","A",IF(OR(DATE($B$3,11,22)&gt;EOMONTH(DATE($B$3,11,1),0),NETWORKDAYS.INTL(DATE($B$3,11,22),DATE($B$3,11,22),1,'Non-working days'!$A$6:$A$45)=0),"",IF(COUNTIFS('Leave log'!$A$7:$A$306,Employees!$A$15,'Leave log'!$B$7:$B$306,"&lt;="&amp;DATE($B$3,11,22),'Leave log'!$C$7:$C$306,"&gt;="&amp;DATE($B$3,11,22),'Leave log'!$F$7:$F$306,"Pending")&gt;0,"P",""))))</f>
        <v/>
      </c>
      <c r="X356" s="23" t="str">
        <f>IF(A356="","",IF(IF(OR(DATE($B$3,11,23)&gt;EOMONTH(DATE($B$3,11,1),0),NETWORKDAYS.INTL(DATE($B$3,11,23),DATE($B$3,11,23),1,'Non-working days'!$A$6:$A$45)=0),"",IF(COUNTIFS('Leave log'!$A$7:$A$306,Employees!$A$15,'Leave log'!$B$7:$B$306,"&lt;="&amp;DATE($B$3,11,23),'Leave log'!$C$7:$C$306,"&gt;="&amp;DATE($B$3,11,23),'Leave log'!$F$7:$F$306,"Approved")&gt;0,"A",""))="A","A",IF(OR(DATE($B$3,11,23)&gt;EOMONTH(DATE($B$3,11,1),0),NETWORKDAYS.INTL(DATE($B$3,11,23),DATE($B$3,11,23),1,'Non-working days'!$A$6:$A$45)=0),"",IF(COUNTIFS('Leave log'!$A$7:$A$306,Employees!$A$15,'Leave log'!$B$7:$B$306,"&lt;="&amp;DATE($B$3,11,23),'Leave log'!$C$7:$C$306,"&gt;="&amp;DATE($B$3,11,23),'Leave log'!$F$7:$F$306,"Pending")&gt;0,"P",""))))</f>
        <v/>
      </c>
      <c r="Y356" s="23" t="str">
        <f>IF(A356="","",IF(IF(OR(DATE($B$3,11,24)&gt;EOMONTH(DATE($B$3,11,1),0),NETWORKDAYS.INTL(DATE($B$3,11,24),DATE($B$3,11,24),1,'Non-working days'!$A$6:$A$45)=0),"",IF(COUNTIFS('Leave log'!$A$7:$A$306,Employees!$A$15,'Leave log'!$B$7:$B$306,"&lt;="&amp;DATE($B$3,11,24),'Leave log'!$C$7:$C$306,"&gt;="&amp;DATE($B$3,11,24),'Leave log'!$F$7:$F$306,"Approved")&gt;0,"A",""))="A","A",IF(OR(DATE($B$3,11,24)&gt;EOMONTH(DATE($B$3,11,1),0),NETWORKDAYS.INTL(DATE($B$3,11,24),DATE($B$3,11,24),1,'Non-working days'!$A$6:$A$45)=0),"",IF(COUNTIFS('Leave log'!$A$7:$A$306,Employees!$A$15,'Leave log'!$B$7:$B$306,"&lt;="&amp;DATE($B$3,11,24),'Leave log'!$C$7:$C$306,"&gt;="&amp;DATE($B$3,11,24),'Leave log'!$F$7:$F$306,"Pending")&gt;0,"P",""))))</f>
        <v/>
      </c>
      <c r="Z356" s="23" t="str">
        <f>IF(A356="","",IF(IF(OR(DATE($B$3,11,25)&gt;EOMONTH(DATE($B$3,11,1),0),NETWORKDAYS.INTL(DATE($B$3,11,25),DATE($B$3,11,25),1,'Non-working days'!$A$6:$A$45)=0),"",IF(COUNTIFS('Leave log'!$A$7:$A$306,Employees!$A$15,'Leave log'!$B$7:$B$306,"&lt;="&amp;DATE($B$3,11,25),'Leave log'!$C$7:$C$306,"&gt;="&amp;DATE($B$3,11,25),'Leave log'!$F$7:$F$306,"Approved")&gt;0,"A",""))="A","A",IF(OR(DATE($B$3,11,25)&gt;EOMONTH(DATE($B$3,11,1),0),NETWORKDAYS.INTL(DATE($B$3,11,25),DATE($B$3,11,25),1,'Non-working days'!$A$6:$A$45)=0),"",IF(COUNTIFS('Leave log'!$A$7:$A$306,Employees!$A$15,'Leave log'!$B$7:$B$306,"&lt;="&amp;DATE($B$3,11,25),'Leave log'!$C$7:$C$306,"&gt;="&amp;DATE($B$3,11,25),'Leave log'!$F$7:$F$306,"Pending")&gt;0,"P",""))))</f>
        <v/>
      </c>
      <c r="AA356" s="23" t="str">
        <f>IF(A356="","",IF(IF(OR(DATE($B$3,11,26)&gt;EOMONTH(DATE($B$3,11,1),0),NETWORKDAYS.INTL(DATE($B$3,11,26),DATE($B$3,11,26),1,'Non-working days'!$A$6:$A$45)=0),"",IF(COUNTIFS('Leave log'!$A$7:$A$306,Employees!$A$15,'Leave log'!$B$7:$B$306,"&lt;="&amp;DATE($B$3,11,26),'Leave log'!$C$7:$C$306,"&gt;="&amp;DATE($B$3,11,26),'Leave log'!$F$7:$F$306,"Approved")&gt;0,"A",""))="A","A",IF(OR(DATE($B$3,11,26)&gt;EOMONTH(DATE($B$3,11,1),0),NETWORKDAYS.INTL(DATE($B$3,11,26),DATE($B$3,11,26),1,'Non-working days'!$A$6:$A$45)=0),"",IF(COUNTIFS('Leave log'!$A$7:$A$306,Employees!$A$15,'Leave log'!$B$7:$B$306,"&lt;="&amp;DATE($B$3,11,26),'Leave log'!$C$7:$C$306,"&gt;="&amp;DATE($B$3,11,26),'Leave log'!$F$7:$F$306,"Pending")&gt;0,"P",""))))</f>
        <v/>
      </c>
      <c r="AB356" s="23" t="str">
        <f>IF(A356="","",IF(IF(OR(DATE($B$3,11,27)&gt;EOMONTH(DATE($B$3,11,1),0),NETWORKDAYS.INTL(DATE($B$3,11,27),DATE($B$3,11,27),1,'Non-working days'!$A$6:$A$45)=0),"",IF(COUNTIFS('Leave log'!$A$7:$A$306,Employees!$A$15,'Leave log'!$B$7:$B$306,"&lt;="&amp;DATE($B$3,11,27),'Leave log'!$C$7:$C$306,"&gt;="&amp;DATE($B$3,11,27),'Leave log'!$F$7:$F$306,"Approved")&gt;0,"A",""))="A","A",IF(OR(DATE($B$3,11,27)&gt;EOMONTH(DATE($B$3,11,1),0),NETWORKDAYS.INTL(DATE($B$3,11,27),DATE($B$3,11,27),1,'Non-working days'!$A$6:$A$45)=0),"",IF(COUNTIFS('Leave log'!$A$7:$A$306,Employees!$A$15,'Leave log'!$B$7:$B$306,"&lt;="&amp;DATE($B$3,11,27),'Leave log'!$C$7:$C$306,"&gt;="&amp;DATE($B$3,11,27),'Leave log'!$F$7:$F$306,"Pending")&gt;0,"P",""))))</f>
        <v/>
      </c>
      <c r="AC356" s="23" t="str">
        <f>IF(A356="","",IF(IF(OR(DATE($B$3,11,28)&gt;EOMONTH(DATE($B$3,11,1),0),NETWORKDAYS.INTL(DATE($B$3,11,28),DATE($B$3,11,28),1,'Non-working days'!$A$6:$A$45)=0),"",IF(COUNTIFS('Leave log'!$A$7:$A$306,Employees!$A$15,'Leave log'!$B$7:$B$306,"&lt;="&amp;DATE($B$3,11,28),'Leave log'!$C$7:$C$306,"&gt;="&amp;DATE($B$3,11,28),'Leave log'!$F$7:$F$306,"Approved")&gt;0,"A",""))="A","A",IF(OR(DATE($B$3,11,28)&gt;EOMONTH(DATE($B$3,11,1),0),NETWORKDAYS.INTL(DATE($B$3,11,28),DATE($B$3,11,28),1,'Non-working days'!$A$6:$A$45)=0),"",IF(COUNTIFS('Leave log'!$A$7:$A$306,Employees!$A$15,'Leave log'!$B$7:$B$306,"&lt;="&amp;DATE($B$3,11,28),'Leave log'!$C$7:$C$306,"&gt;="&amp;DATE($B$3,11,28),'Leave log'!$F$7:$F$306,"Pending")&gt;0,"P",""))))</f>
        <v/>
      </c>
      <c r="AD356" s="23" t="str">
        <f>IF(A356="","",IF(IF(OR(DATE($B$3,11,29)&gt;EOMONTH(DATE($B$3,11,1),0),NETWORKDAYS.INTL(DATE($B$3,11,29),DATE($B$3,11,29),1,'Non-working days'!$A$6:$A$45)=0),"",IF(COUNTIFS('Leave log'!$A$7:$A$306,Employees!$A$15,'Leave log'!$B$7:$B$306,"&lt;="&amp;DATE($B$3,11,29),'Leave log'!$C$7:$C$306,"&gt;="&amp;DATE($B$3,11,29),'Leave log'!$F$7:$F$306,"Approved")&gt;0,"A",""))="A","A",IF(OR(DATE($B$3,11,29)&gt;EOMONTH(DATE($B$3,11,1),0),NETWORKDAYS.INTL(DATE($B$3,11,29),DATE($B$3,11,29),1,'Non-working days'!$A$6:$A$45)=0),"",IF(COUNTIFS('Leave log'!$A$7:$A$306,Employees!$A$15,'Leave log'!$B$7:$B$306,"&lt;="&amp;DATE($B$3,11,29),'Leave log'!$C$7:$C$306,"&gt;="&amp;DATE($B$3,11,29),'Leave log'!$F$7:$F$306,"Pending")&gt;0,"P",""))))</f>
        <v/>
      </c>
      <c r="AE356" s="23" t="str">
        <f>IF(A356="","",IF(IF(OR(DATE($B$3,11,30)&gt;EOMONTH(DATE($B$3,11,1),0),NETWORKDAYS.INTL(DATE($B$3,11,30),DATE($B$3,11,30),1,'Non-working days'!$A$6:$A$45)=0),"",IF(COUNTIFS('Leave log'!$A$7:$A$306,Employees!$A$15,'Leave log'!$B$7:$B$306,"&lt;="&amp;DATE($B$3,11,30),'Leave log'!$C$7:$C$306,"&gt;="&amp;DATE($B$3,11,30),'Leave log'!$F$7:$F$306,"Approved")&gt;0,"A",""))="A","A",IF(OR(DATE($B$3,11,30)&gt;EOMONTH(DATE($B$3,11,1),0),NETWORKDAYS.INTL(DATE($B$3,11,30),DATE($B$3,11,30),1,'Non-working days'!$A$6:$A$45)=0),"",IF(COUNTIFS('Leave log'!$A$7:$A$306,Employees!$A$15,'Leave log'!$B$7:$B$306,"&lt;="&amp;DATE($B$3,11,30),'Leave log'!$C$7:$C$306,"&gt;="&amp;DATE($B$3,11,30),'Leave log'!$F$7:$F$306,"Pending")&gt;0,"P",""))))</f>
        <v/>
      </c>
      <c r="AF356" s="23" t="str">
        <f>IF(A356="","",IF(IF(OR(DATE($B$3,11,31)&gt;EOMONTH(DATE($B$3,11,1),0),NETWORKDAYS.INTL(DATE($B$3,11,31),DATE($B$3,11,31),1,'Non-working days'!$A$6:$A$45)=0),"",IF(COUNTIFS('Leave log'!$A$7:$A$306,Employees!$A$15,'Leave log'!$B$7:$B$306,"&lt;="&amp;DATE($B$3,11,31),'Leave log'!$C$7:$C$306,"&gt;="&amp;DATE($B$3,11,31),'Leave log'!$F$7:$F$306,"Approved")&gt;0,"A",""))="A","A",IF(OR(DATE($B$3,11,31)&gt;EOMONTH(DATE($B$3,11,1),0),NETWORKDAYS.INTL(DATE($B$3,11,31),DATE($B$3,11,31),1,'Non-working days'!$A$6:$A$45)=0),"",IF(COUNTIFS('Leave log'!$A$7:$A$306,Employees!$A$15,'Leave log'!$B$7:$B$306,"&lt;="&amp;DATE($B$3,11,31),'Leave log'!$C$7:$C$306,"&gt;="&amp;DATE($B$3,11,31),'Leave log'!$F$7:$F$306,"Pending")&gt;0,"P",""))))</f>
        <v/>
      </c>
    </row>
    <row r="357" spans="1:32" ht="18" customHeight="1" x14ac:dyDescent="0.3">
      <c r="A357" s="22" t="str">
        <f>IF(Employees!F16="Yes",Employees!B16,"")</f>
        <v/>
      </c>
      <c r="B357" s="23" t="str">
        <f>IF(A357="","",IF(IF(OR(DATE($B$3,11,1)&gt;EOMONTH(DATE($B$3,11,1),0),NETWORKDAYS.INTL(DATE($B$3,11,1),DATE($B$3,11,1),1,'Non-working days'!$A$6:$A$45)=0),"",IF(COUNTIFS('Leave log'!$A$7:$A$306,Employees!$A$16,'Leave log'!$B$7:$B$306,"&lt;="&amp;DATE($B$3,11,1),'Leave log'!$C$7:$C$306,"&gt;="&amp;DATE($B$3,11,1),'Leave log'!$F$7:$F$306,"Approved")&gt;0,"A",""))="A","A",IF(OR(DATE($B$3,11,1)&gt;EOMONTH(DATE($B$3,11,1),0),NETWORKDAYS.INTL(DATE($B$3,11,1),DATE($B$3,11,1),1,'Non-working days'!$A$6:$A$45)=0),"",IF(COUNTIFS('Leave log'!$A$7:$A$306,Employees!$A$16,'Leave log'!$B$7:$B$306,"&lt;="&amp;DATE($B$3,11,1),'Leave log'!$C$7:$C$306,"&gt;="&amp;DATE($B$3,11,1),'Leave log'!$F$7:$F$306,"Pending")&gt;0,"P",""))))</f>
        <v/>
      </c>
      <c r="C357" s="23" t="str">
        <f>IF(A357="","",IF(IF(OR(DATE($B$3,11,2)&gt;EOMONTH(DATE($B$3,11,1),0),NETWORKDAYS.INTL(DATE($B$3,11,2),DATE($B$3,11,2),1,'Non-working days'!$A$6:$A$45)=0),"",IF(COUNTIFS('Leave log'!$A$7:$A$306,Employees!$A$16,'Leave log'!$B$7:$B$306,"&lt;="&amp;DATE($B$3,11,2),'Leave log'!$C$7:$C$306,"&gt;="&amp;DATE($B$3,11,2),'Leave log'!$F$7:$F$306,"Approved")&gt;0,"A",""))="A","A",IF(OR(DATE($B$3,11,2)&gt;EOMONTH(DATE($B$3,11,1),0),NETWORKDAYS.INTL(DATE($B$3,11,2),DATE($B$3,11,2),1,'Non-working days'!$A$6:$A$45)=0),"",IF(COUNTIFS('Leave log'!$A$7:$A$306,Employees!$A$16,'Leave log'!$B$7:$B$306,"&lt;="&amp;DATE($B$3,11,2),'Leave log'!$C$7:$C$306,"&gt;="&amp;DATE($B$3,11,2),'Leave log'!$F$7:$F$306,"Pending")&gt;0,"P",""))))</f>
        <v/>
      </c>
      <c r="D357" s="23" t="str">
        <f>IF(A357="","",IF(IF(OR(DATE($B$3,11,3)&gt;EOMONTH(DATE($B$3,11,1),0),NETWORKDAYS.INTL(DATE($B$3,11,3),DATE($B$3,11,3),1,'Non-working days'!$A$6:$A$45)=0),"",IF(COUNTIFS('Leave log'!$A$7:$A$306,Employees!$A$16,'Leave log'!$B$7:$B$306,"&lt;="&amp;DATE($B$3,11,3),'Leave log'!$C$7:$C$306,"&gt;="&amp;DATE($B$3,11,3),'Leave log'!$F$7:$F$306,"Approved")&gt;0,"A",""))="A","A",IF(OR(DATE($B$3,11,3)&gt;EOMONTH(DATE($B$3,11,1),0),NETWORKDAYS.INTL(DATE($B$3,11,3),DATE($B$3,11,3),1,'Non-working days'!$A$6:$A$45)=0),"",IF(COUNTIFS('Leave log'!$A$7:$A$306,Employees!$A$16,'Leave log'!$B$7:$B$306,"&lt;="&amp;DATE($B$3,11,3),'Leave log'!$C$7:$C$306,"&gt;="&amp;DATE($B$3,11,3),'Leave log'!$F$7:$F$306,"Pending")&gt;0,"P",""))))</f>
        <v/>
      </c>
      <c r="E357" s="23" t="str">
        <f>IF(A357="","",IF(IF(OR(DATE($B$3,11,4)&gt;EOMONTH(DATE($B$3,11,1),0),NETWORKDAYS.INTL(DATE($B$3,11,4),DATE($B$3,11,4),1,'Non-working days'!$A$6:$A$45)=0),"",IF(COUNTIFS('Leave log'!$A$7:$A$306,Employees!$A$16,'Leave log'!$B$7:$B$306,"&lt;="&amp;DATE($B$3,11,4),'Leave log'!$C$7:$C$306,"&gt;="&amp;DATE($B$3,11,4),'Leave log'!$F$7:$F$306,"Approved")&gt;0,"A",""))="A","A",IF(OR(DATE($B$3,11,4)&gt;EOMONTH(DATE($B$3,11,1),0),NETWORKDAYS.INTL(DATE($B$3,11,4),DATE($B$3,11,4),1,'Non-working days'!$A$6:$A$45)=0),"",IF(COUNTIFS('Leave log'!$A$7:$A$306,Employees!$A$16,'Leave log'!$B$7:$B$306,"&lt;="&amp;DATE($B$3,11,4),'Leave log'!$C$7:$C$306,"&gt;="&amp;DATE($B$3,11,4),'Leave log'!$F$7:$F$306,"Pending")&gt;0,"P",""))))</f>
        <v/>
      </c>
      <c r="F357" s="23" t="str">
        <f>IF(A357="","",IF(IF(OR(DATE($B$3,11,5)&gt;EOMONTH(DATE($B$3,11,1),0),NETWORKDAYS.INTL(DATE($B$3,11,5),DATE($B$3,11,5),1,'Non-working days'!$A$6:$A$45)=0),"",IF(COUNTIFS('Leave log'!$A$7:$A$306,Employees!$A$16,'Leave log'!$B$7:$B$306,"&lt;="&amp;DATE($B$3,11,5),'Leave log'!$C$7:$C$306,"&gt;="&amp;DATE($B$3,11,5),'Leave log'!$F$7:$F$306,"Approved")&gt;0,"A",""))="A","A",IF(OR(DATE($B$3,11,5)&gt;EOMONTH(DATE($B$3,11,1),0),NETWORKDAYS.INTL(DATE($B$3,11,5),DATE($B$3,11,5),1,'Non-working days'!$A$6:$A$45)=0),"",IF(COUNTIFS('Leave log'!$A$7:$A$306,Employees!$A$16,'Leave log'!$B$7:$B$306,"&lt;="&amp;DATE($B$3,11,5),'Leave log'!$C$7:$C$306,"&gt;="&amp;DATE($B$3,11,5),'Leave log'!$F$7:$F$306,"Pending")&gt;0,"P",""))))</f>
        <v/>
      </c>
      <c r="G357" s="23" t="str">
        <f>IF(A357="","",IF(IF(OR(DATE($B$3,11,6)&gt;EOMONTH(DATE($B$3,11,1),0),NETWORKDAYS.INTL(DATE($B$3,11,6),DATE($B$3,11,6),1,'Non-working days'!$A$6:$A$45)=0),"",IF(COUNTIFS('Leave log'!$A$7:$A$306,Employees!$A$16,'Leave log'!$B$7:$B$306,"&lt;="&amp;DATE($B$3,11,6),'Leave log'!$C$7:$C$306,"&gt;="&amp;DATE($B$3,11,6),'Leave log'!$F$7:$F$306,"Approved")&gt;0,"A",""))="A","A",IF(OR(DATE($B$3,11,6)&gt;EOMONTH(DATE($B$3,11,1),0),NETWORKDAYS.INTL(DATE($B$3,11,6),DATE($B$3,11,6),1,'Non-working days'!$A$6:$A$45)=0),"",IF(COUNTIFS('Leave log'!$A$7:$A$306,Employees!$A$16,'Leave log'!$B$7:$B$306,"&lt;="&amp;DATE($B$3,11,6),'Leave log'!$C$7:$C$306,"&gt;="&amp;DATE($B$3,11,6),'Leave log'!$F$7:$F$306,"Pending")&gt;0,"P",""))))</f>
        <v/>
      </c>
      <c r="H357" s="23" t="str">
        <f>IF(A357="","",IF(IF(OR(DATE($B$3,11,7)&gt;EOMONTH(DATE($B$3,11,1),0),NETWORKDAYS.INTL(DATE($B$3,11,7),DATE($B$3,11,7),1,'Non-working days'!$A$6:$A$45)=0),"",IF(COUNTIFS('Leave log'!$A$7:$A$306,Employees!$A$16,'Leave log'!$B$7:$B$306,"&lt;="&amp;DATE($B$3,11,7),'Leave log'!$C$7:$C$306,"&gt;="&amp;DATE($B$3,11,7),'Leave log'!$F$7:$F$306,"Approved")&gt;0,"A",""))="A","A",IF(OR(DATE($B$3,11,7)&gt;EOMONTH(DATE($B$3,11,1),0),NETWORKDAYS.INTL(DATE($B$3,11,7),DATE($B$3,11,7),1,'Non-working days'!$A$6:$A$45)=0),"",IF(COUNTIFS('Leave log'!$A$7:$A$306,Employees!$A$16,'Leave log'!$B$7:$B$306,"&lt;="&amp;DATE($B$3,11,7),'Leave log'!$C$7:$C$306,"&gt;="&amp;DATE($B$3,11,7),'Leave log'!$F$7:$F$306,"Pending")&gt;0,"P",""))))</f>
        <v/>
      </c>
      <c r="I357" s="23" t="str">
        <f>IF(A357="","",IF(IF(OR(DATE($B$3,11,8)&gt;EOMONTH(DATE($B$3,11,1),0),NETWORKDAYS.INTL(DATE($B$3,11,8),DATE($B$3,11,8),1,'Non-working days'!$A$6:$A$45)=0),"",IF(COUNTIFS('Leave log'!$A$7:$A$306,Employees!$A$16,'Leave log'!$B$7:$B$306,"&lt;="&amp;DATE($B$3,11,8),'Leave log'!$C$7:$C$306,"&gt;="&amp;DATE($B$3,11,8),'Leave log'!$F$7:$F$306,"Approved")&gt;0,"A",""))="A","A",IF(OR(DATE($B$3,11,8)&gt;EOMONTH(DATE($B$3,11,1),0),NETWORKDAYS.INTL(DATE($B$3,11,8),DATE($B$3,11,8),1,'Non-working days'!$A$6:$A$45)=0),"",IF(COUNTIFS('Leave log'!$A$7:$A$306,Employees!$A$16,'Leave log'!$B$7:$B$306,"&lt;="&amp;DATE($B$3,11,8),'Leave log'!$C$7:$C$306,"&gt;="&amp;DATE($B$3,11,8),'Leave log'!$F$7:$F$306,"Pending")&gt;0,"P",""))))</f>
        <v/>
      </c>
      <c r="J357" s="23" t="str">
        <f>IF(A357="","",IF(IF(OR(DATE($B$3,11,9)&gt;EOMONTH(DATE($B$3,11,1),0),NETWORKDAYS.INTL(DATE($B$3,11,9),DATE($B$3,11,9),1,'Non-working days'!$A$6:$A$45)=0),"",IF(COUNTIFS('Leave log'!$A$7:$A$306,Employees!$A$16,'Leave log'!$B$7:$B$306,"&lt;="&amp;DATE($B$3,11,9),'Leave log'!$C$7:$C$306,"&gt;="&amp;DATE($B$3,11,9),'Leave log'!$F$7:$F$306,"Approved")&gt;0,"A",""))="A","A",IF(OR(DATE($B$3,11,9)&gt;EOMONTH(DATE($B$3,11,1),0),NETWORKDAYS.INTL(DATE($B$3,11,9),DATE($B$3,11,9),1,'Non-working days'!$A$6:$A$45)=0),"",IF(COUNTIFS('Leave log'!$A$7:$A$306,Employees!$A$16,'Leave log'!$B$7:$B$306,"&lt;="&amp;DATE($B$3,11,9),'Leave log'!$C$7:$C$306,"&gt;="&amp;DATE($B$3,11,9),'Leave log'!$F$7:$F$306,"Pending")&gt;0,"P",""))))</f>
        <v/>
      </c>
      <c r="K357" s="23" t="str">
        <f>IF(A357="","",IF(IF(OR(DATE($B$3,11,10)&gt;EOMONTH(DATE($B$3,11,1),0),NETWORKDAYS.INTL(DATE($B$3,11,10),DATE($B$3,11,10),1,'Non-working days'!$A$6:$A$45)=0),"",IF(COUNTIFS('Leave log'!$A$7:$A$306,Employees!$A$16,'Leave log'!$B$7:$B$306,"&lt;="&amp;DATE($B$3,11,10),'Leave log'!$C$7:$C$306,"&gt;="&amp;DATE($B$3,11,10),'Leave log'!$F$7:$F$306,"Approved")&gt;0,"A",""))="A","A",IF(OR(DATE($B$3,11,10)&gt;EOMONTH(DATE($B$3,11,1),0),NETWORKDAYS.INTL(DATE($B$3,11,10),DATE($B$3,11,10),1,'Non-working days'!$A$6:$A$45)=0),"",IF(COUNTIFS('Leave log'!$A$7:$A$306,Employees!$A$16,'Leave log'!$B$7:$B$306,"&lt;="&amp;DATE($B$3,11,10),'Leave log'!$C$7:$C$306,"&gt;="&amp;DATE($B$3,11,10),'Leave log'!$F$7:$F$306,"Pending")&gt;0,"P",""))))</f>
        <v/>
      </c>
      <c r="L357" s="23" t="str">
        <f>IF(A357="","",IF(IF(OR(DATE($B$3,11,11)&gt;EOMONTH(DATE($B$3,11,1),0),NETWORKDAYS.INTL(DATE($B$3,11,11),DATE($B$3,11,11),1,'Non-working days'!$A$6:$A$45)=0),"",IF(COUNTIFS('Leave log'!$A$7:$A$306,Employees!$A$16,'Leave log'!$B$7:$B$306,"&lt;="&amp;DATE($B$3,11,11),'Leave log'!$C$7:$C$306,"&gt;="&amp;DATE($B$3,11,11),'Leave log'!$F$7:$F$306,"Approved")&gt;0,"A",""))="A","A",IF(OR(DATE($B$3,11,11)&gt;EOMONTH(DATE($B$3,11,1),0),NETWORKDAYS.INTL(DATE($B$3,11,11),DATE($B$3,11,11),1,'Non-working days'!$A$6:$A$45)=0),"",IF(COUNTIFS('Leave log'!$A$7:$A$306,Employees!$A$16,'Leave log'!$B$7:$B$306,"&lt;="&amp;DATE($B$3,11,11),'Leave log'!$C$7:$C$306,"&gt;="&amp;DATE($B$3,11,11),'Leave log'!$F$7:$F$306,"Pending")&gt;0,"P",""))))</f>
        <v/>
      </c>
      <c r="M357" s="23" t="str">
        <f>IF(A357="","",IF(IF(OR(DATE($B$3,11,12)&gt;EOMONTH(DATE($B$3,11,1),0),NETWORKDAYS.INTL(DATE($B$3,11,12),DATE($B$3,11,12),1,'Non-working days'!$A$6:$A$45)=0),"",IF(COUNTIFS('Leave log'!$A$7:$A$306,Employees!$A$16,'Leave log'!$B$7:$B$306,"&lt;="&amp;DATE($B$3,11,12),'Leave log'!$C$7:$C$306,"&gt;="&amp;DATE($B$3,11,12),'Leave log'!$F$7:$F$306,"Approved")&gt;0,"A",""))="A","A",IF(OR(DATE($B$3,11,12)&gt;EOMONTH(DATE($B$3,11,1),0),NETWORKDAYS.INTL(DATE($B$3,11,12),DATE($B$3,11,12),1,'Non-working days'!$A$6:$A$45)=0),"",IF(COUNTIFS('Leave log'!$A$7:$A$306,Employees!$A$16,'Leave log'!$B$7:$B$306,"&lt;="&amp;DATE($B$3,11,12),'Leave log'!$C$7:$C$306,"&gt;="&amp;DATE($B$3,11,12),'Leave log'!$F$7:$F$306,"Pending")&gt;0,"P",""))))</f>
        <v/>
      </c>
      <c r="N357" s="23" t="str">
        <f>IF(A357="","",IF(IF(OR(DATE($B$3,11,13)&gt;EOMONTH(DATE($B$3,11,1),0),NETWORKDAYS.INTL(DATE($B$3,11,13),DATE($B$3,11,13),1,'Non-working days'!$A$6:$A$45)=0),"",IF(COUNTIFS('Leave log'!$A$7:$A$306,Employees!$A$16,'Leave log'!$B$7:$B$306,"&lt;="&amp;DATE($B$3,11,13),'Leave log'!$C$7:$C$306,"&gt;="&amp;DATE($B$3,11,13),'Leave log'!$F$7:$F$306,"Approved")&gt;0,"A",""))="A","A",IF(OR(DATE($B$3,11,13)&gt;EOMONTH(DATE($B$3,11,1),0),NETWORKDAYS.INTL(DATE($B$3,11,13),DATE($B$3,11,13),1,'Non-working days'!$A$6:$A$45)=0),"",IF(COUNTIFS('Leave log'!$A$7:$A$306,Employees!$A$16,'Leave log'!$B$7:$B$306,"&lt;="&amp;DATE($B$3,11,13),'Leave log'!$C$7:$C$306,"&gt;="&amp;DATE($B$3,11,13),'Leave log'!$F$7:$F$306,"Pending")&gt;0,"P",""))))</f>
        <v/>
      </c>
      <c r="O357" s="23" t="str">
        <f>IF(A357="","",IF(IF(OR(DATE($B$3,11,14)&gt;EOMONTH(DATE($B$3,11,1),0),NETWORKDAYS.INTL(DATE($B$3,11,14),DATE($B$3,11,14),1,'Non-working days'!$A$6:$A$45)=0),"",IF(COUNTIFS('Leave log'!$A$7:$A$306,Employees!$A$16,'Leave log'!$B$7:$B$306,"&lt;="&amp;DATE($B$3,11,14),'Leave log'!$C$7:$C$306,"&gt;="&amp;DATE($B$3,11,14),'Leave log'!$F$7:$F$306,"Approved")&gt;0,"A",""))="A","A",IF(OR(DATE($B$3,11,14)&gt;EOMONTH(DATE($B$3,11,1),0),NETWORKDAYS.INTL(DATE($B$3,11,14),DATE($B$3,11,14),1,'Non-working days'!$A$6:$A$45)=0),"",IF(COUNTIFS('Leave log'!$A$7:$A$306,Employees!$A$16,'Leave log'!$B$7:$B$306,"&lt;="&amp;DATE($B$3,11,14),'Leave log'!$C$7:$C$306,"&gt;="&amp;DATE($B$3,11,14),'Leave log'!$F$7:$F$306,"Pending")&gt;0,"P",""))))</f>
        <v/>
      </c>
      <c r="P357" s="23" t="str">
        <f>IF(A357="","",IF(IF(OR(DATE($B$3,11,15)&gt;EOMONTH(DATE($B$3,11,1),0),NETWORKDAYS.INTL(DATE($B$3,11,15),DATE($B$3,11,15),1,'Non-working days'!$A$6:$A$45)=0),"",IF(COUNTIFS('Leave log'!$A$7:$A$306,Employees!$A$16,'Leave log'!$B$7:$B$306,"&lt;="&amp;DATE($B$3,11,15),'Leave log'!$C$7:$C$306,"&gt;="&amp;DATE($B$3,11,15),'Leave log'!$F$7:$F$306,"Approved")&gt;0,"A",""))="A","A",IF(OR(DATE($B$3,11,15)&gt;EOMONTH(DATE($B$3,11,1),0),NETWORKDAYS.INTL(DATE($B$3,11,15),DATE($B$3,11,15),1,'Non-working days'!$A$6:$A$45)=0),"",IF(COUNTIFS('Leave log'!$A$7:$A$306,Employees!$A$16,'Leave log'!$B$7:$B$306,"&lt;="&amp;DATE($B$3,11,15),'Leave log'!$C$7:$C$306,"&gt;="&amp;DATE($B$3,11,15),'Leave log'!$F$7:$F$306,"Pending")&gt;0,"P",""))))</f>
        <v/>
      </c>
      <c r="Q357" s="23" t="str">
        <f>IF(A357="","",IF(IF(OR(DATE($B$3,11,16)&gt;EOMONTH(DATE($B$3,11,1),0),NETWORKDAYS.INTL(DATE($B$3,11,16),DATE($B$3,11,16),1,'Non-working days'!$A$6:$A$45)=0),"",IF(COUNTIFS('Leave log'!$A$7:$A$306,Employees!$A$16,'Leave log'!$B$7:$B$306,"&lt;="&amp;DATE($B$3,11,16),'Leave log'!$C$7:$C$306,"&gt;="&amp;DATE($B$3,11,16),'Leave log'!$F$7:$F$306,"Approved")&gt;0,"A",""))="A","A",IF(OR(DATE($B$3,11,16)&gt;EOMONTH(DATE($B$3,11,1),0),NETWORKDAYS.INTL(DATE($B$3,11,16),DATE($B$3,11,16),1,'Non-working days'!$A$6:$A$45)=0),"",IF(COUNTIFS('Leave log'!$A$7:$A$306,Employees!$A$16,'Leave log'!$B$7:$B$306,"&lt;="&amp;DATE($B$3,11,16),'Leave log'!$C$7:$C$306,"&gt;="&amp;DATE($B$3,11,16),'Leave log'!$F$7:$F$306,"Pending")&gt;0,"P",""))))</f>
        <v/>
      </c>
      <c r="R357" s="23" t="str">
        <f>IF(A357="","",IF(IF(OR(DATE($B$3,11,17)&gt;EOMONTH(DATE($B$3,11,1),0),NETWORKDAYS.INTL(DATE($B$3,11,17),DATE($B$3,11,17),1,'Non-working days'!$A$6:$A$45)=0),"",IF(COUNTIFS('Leave log'!$A$7:$A$306,Employees!$A$16,'Leave log'!$B$7:$B$306,"&lt;="&amp;DATE($B$3,11,17),'Leave log'!$C$7:$C$306,"&gt;="&amp;DATE($B$3,11,17),'Leave log'!$F$7:$F$306,"Approved")&gt;0,"A",""))="A","A",IF(OR(DATE($B$3,11,17)&gt;EOMONTH(DATE($B$3,11,1),0),NETWORKDAYS.INTL(DATE($B$3,11,17),DATE($B$3,11,17),1,'Non-working days'!$A$6:$A$45)=0),"",IF(COUNTIFS('Leave log'!$A$7:$A$306,Employees!$A$16,'Leave log'!$B$7:$B$306,"&lt;="&amp;DATE($B$3,11,17),'Leave log'!$C$7:$C$306,"&gt;="&amp;DATE($B$3,11,17),'Leave log'!$F$7:$F$306,"Pending")&gt;0,"P",""))))</f>
        <v/>
      </c>
      <c r="S357" s="23" t="str">
        <f>IF(A357="","",IF(IF(OR(DATE($B$3,11,18)&gt;EOMONTH(DATE($B$3,11,1),0),NETWORKDAYS.INTL(DATE($B$3,11,18),DATE($B$3,11,18),1,'Non-working days'!$A$6:$A$45)=0),"",IF(COUNTIFS('Leave log'!$A$7:$A$306,Employees!$A$16,'Leave log'!$B$7:$B$306,"&lt;="&amp;DATE($B$3,11,18),'Leave log'!$C$7:$C$306,"&gt;="&amp;DATE($B$3,11,18),'Leave log'!$F$7:$F$306,"Approved")&gt;0,"A",""))="A","A",IF(OR(DATE($B$3,11,18)&gt;EOMONTH(DATE($B$3,11,1),0),NETWORKDAYS.INTL(DATE($B$3,11,18),DATE($B$3,11,18),1,'Non-working days'!$A$6:$A$45)=0),"",IF(COUNTIFS('Leave log'!$A$7:$A$306,Employees!$A$16,'Leave log'!$B$7:$B$306,"&lt;="&amp;DATE($B$3,11,18),'Leave log'!$C$7:$C$306,"&gt;="&amp;DATE($B$3,11,18),'Leave log'!$F$7:$F$306,"Pending")&gt;0,"P",""))))</f>
        <v/>
      </c>
      <c r="T357" s="23" t="str">
        <f>IF(A357="","",IF(IF(OR(DATE($B$3,11,19)&gt;EOMONTH(DATE($B$3,11,1),0),NETWORKDAYS.INTL(DATE($B$3,11,19),DATE($B$3,11,19),1,'Non-working days'!$A$6:$A$45)=0),"",IF(COUNTIFS('Leave log'!$A$7:$A$306,Employees!$A$16,'Leave log'!$B$7:$B$306,"&lt;="&amp;DATE($B$3,11,19),'Leave log'!$C$7:$C$306,"&gt;="&amp;DATE($B$3,11,19),'Leave log'!$F$7:$F$306,"Approved")&gt;0,"A",""))="A","A",IF(OR(DATE($B$3,11,19)&gt;EOMONTH(DATE($B$3,11,1),0),NETWORKDAYS.INTL(DATE($B$3,11,19),DATE($B$3,11,19),1,'Non-working days'!$A$6:$A$45)=0),"",IF(COUNTIFS('Leave log'!$A$7:$A$306,Employees!$A$16,'Leave log'!$B$7:$B$306,"&lt;="&amp;DATE($B$3,11,19),'Leave log'!$C$7:$C$306,"&gt;="&amp;DATE($B$3,11,19),'Leave log'!$F$7:$F$306,"Pending")&gt;0,"P",""))))</f>
        <v/>
      </c>
      <c r="U357" s="23" t="str">
        <f>IF(A357="","",IF(IF(OR(DATE($B$3,11,20)&gt;EOMONTH(DATE($B$3,11,1),0),NETWORKDAYS.INTL(DATE($B$3,11,20),DATE($B$3,11,20),1,'Non-working days'!$A$6:$A$45)=0),"",IF(COUNTIFS('Leave log'!$A$7:$A$306,Employees!$A$16,'Leave log'!$B$7:$B$306,"&lt;="&amp;DATE($B$3,11,20),'Leave log'!$C$7:$C$306,"&gt;="&amp;DATE($B$3,11,20),'Leave log'!$F$7:$F$306,"Approved")&gt;0,"A",""))="A","A",IF(OR(DATE($B$3,11,20)&gt;EOMONTH(DATE($B$3,11,1),0),NETWORKDAYS.INTL(DATE($B$3,11,20),DATE($B$3,11,20),1,'Non-working days'!$A$6:$A$45)=0),"",IF(COUNTIFS('Leave log'!$A$7:$A$306,Employees!$A$16,'Leave log'!$B$7:$B$306,"&lt;="&amp;DATE($B$3,11,20),'Leave log'!$C$7:$C$306,"&gt;="&amp;DATE($B$3,11,20),'Leave log'!$F$7:$F$306,"Pending")&gt;0,"P",""))))</f>
        <v/>
      </c>
      <c r="V357" s="23" t="str">
        <f>IF(A357="","",IF(IF(OR(DATE($B$3,11,21)&gt;EOMONTH(DATE($B$3,11,1),0),NETWORKDAYS.INTL(DATE($B$3,11,21),DATE($B$3,11,21),1,'Non-working days'!$A$6:$A$45)=0),"",IF(COUNTIFS('Leave log'!$A$7:$A$306,Employees!$A$16,'Leave log'!$B$7:$B$306,"&lt;="&amp;DATE($B$3,11,21),'Leave log'!$C$7:$C$306,"&gt;="&amp;DATE($B$3,11,21),'Leave log'!$F$7:$F$306,"Approved")&gt;0,"A",""))="A","A",IF(OR(DATE($B$3,11,21)&gt;EOMONTH(DATE($B$3,11,1),0),NETWORKDAYS.INTL(DATE($B$3,11,21),DATE($B$3,11,21),1,'Non-working days'!$A$6:$A$45)=0),"",IF(COUNTIFS('Leave log'!$A$7:$A$306,Employees!$A$16,'Leave log'!$B$7:$B$306,"&lt;="&amp;DATE($B$3,11,21),'Leave log'!$C$7:$C$306,"&gt;="&amp;DATE($B$3,11,21),'Leave log'!$F$7:$F$306,"Pending")&gt;0,"P",""))))</f>
        <v/>
      </c>
      <c r="W357" s="23" t="str">
        <f>IF(A357="","",IF(IF(OR(DATE($B$3,11,22)&gt;EOMONTH(DATE($B$3,11,1),0),NETWORKDAYS.INTL(DATE($B$3,11,22),DATE($B$3,11,22),1,'Non-working days'!$A$6:$A$45)=0),"",IF(COUNTIFS('Leave log'!$A$7:$A$306,Employees!$A$16,'Leave log'!$B$7:$B$306,"&lt;="&amp;DATE($B$3,11,22),'Leave log'!$C$7:$C$306,"&gt;="&amp;DATE($B$3,11,22),'Leave log'!$F$7:$F$306,"Approved")&gt;0,"A",""))="A","A",IF(OR(DATE($B$3,11,22)&gt;EOMONTH(DATE($B$3,11,1),0),NETWORKDAYS.INTL(DATE($B$3,11,22),DATE($B$3,11,22),1,'Non-working days'!$A$6:$A$45)=0),"",IF(COUNTIFS('Leave log'!$A$7:$A$306,Employees!$A$16,'Leave log'!$B$7:$B$306,"&lt;="&amp;DATE($B$3,11,22),'Leave log'!$C$7:$C$306,"&gt;="&amp;DATE($B$3,11,22),'Leave log'!$F$7:$F$306,"Pending")&gt;0,"P",""))))</f>
        <v/>
      </c>
      <c r="X357" s="23" t="str">
        <f>IF(A357="","",IF(IF(OR(DATE($B$3,11,23)&gt;EOMONTH(DATE($B$3,11,1),0),NETWORKDAYS.INTL(DATE($B$3,11,23),DATE($B$3,11,23),1,'Non-working days'!$A$6:$A$45)=0),"",IF(COUNTIFS('Leave log'!$A$7:$A$306,Employees!$A$16,'Leave log'!$B$7:$B$306,"&lt;="&amp;DATE($B$3,11,23),'Leave log'!$C$7:$C$306,"&gt;="&amp;DATE($B$3,11,23),'Leave log'!$F$7:$F$306,"Approved")&gt;0,"A",""))="A","A",IF(OR(DATE($B$3,11,23)&gt;EOMONTH(DATE($B$3,11,1),0),NETWORKDAYS.INTL(DATE($B$3,11,23),DATE($B$3,11,23),1,'Non-working days'!$A$6:$A$45)=0),"",IF(COUNTIFS('Leave log'!$A$7:$A$306,Employees!$A$16,'Leave log'!$B$7:$B$306,"&lt;="&amp;DATE($B$3,11,23),'Leave log'!$C$7:$C$306,"&gt;="&amp;DATE($B$3,11,23),'Leave log'!$F$7:$F$306,"Pending")&gt;0,"P",""))))</f>
        <v/>
      </c>
      <c r="Y357" s="23" t="str">
        <f>IF(A357="","",IF(IF(OR(DATE($B$3,11,24)&gt;EOMONTH(DATE($B$3,11,1),0),NETWORKDAYS.INTL(DATE($B$3,11,24),DATE($B$3,11,24),1,'Non-working days'!$A$6:$A$45)=0),"",IF(COUNTIFS('Leave log'!$A$7:$A$306,Employees!$A$16,'Leave log'!$B$7:$B$306,"&lt;="&amp;DATE($B$3,11,24),'Leave log'!$C$7:$C$306,"&gt;="&amp;DATE($B$3,11,24),'Leave log'!$F$7:$F$306,"Approved")&gt;0,"A",""))="A","A",IF(OR(DATE($B$3,11,24)&gt;EOMONTH(DATE($B$3,11,1),0),NETWORKDAYS.INTL(DATE($B$3,11,24),DATE($B$3,11,24),1,'Non-working days'!$A$6:$A$45)=0),"",IF(COUNTIFS('Leave log'!$A$7:$A$306,Employees!$A$16,'Leave log'!$B$7:$B$306,"&lt;="&amp;DATE($B$3,11,24),'Leave log'!$C$7:$C$306,"&gt;="&amp;DATE($B$3,11,24),'Leave log'!$F$7:$F$306,"Pending")&gt;0,"P",""))))</f>
        <v/>
      </c>
      <c r="Z357" s="23" t="str">
        <f>IF(A357="","",IF(IF(OR(DATE($B$3,11,25)&gt;EOMONTH(DATE($B$3,11,1),0),NETWORKDAYS.INTL(DATE($B$3,11,25),DATE($B$3,11,25),1,'Non-working days'!$A$6:$A$45)=0),"",IF(COUNTIFS('Leave log'!$A$7:$A$306,Employees!$A$16,'Leave log'!$B$7:$B$306,"&lt;="&amp;DATE($B$3,11,25),'Leave log'!$C$7:$C$306,"&gt;="&amp;DATE($B$3,11,25),'Leave log'!$F$7:$F$306,"Approved")&gt;0,"A",""))="A","A",IF(OR(DATE($B$3,11,25)&gt;EOMONTH(DATE($B$3,11,1),0),NETWORKDAYS.INTL(DATE($B$3,11,25),DATE($B$3,11,25),1,'Non-working days'!$A$6:$A$45)=0),"",IF(COUNTIFS('Leave log'!$A$7:$A$306,Employees!$A$16,'Leave log'!$B$7:$B$306,"&lt;="&amp;DATE($B$3,11,25),'Leave log'!$C$7:$C$306,"&gt;="&amp;DATE($B$3,11,25),'Leave log'!$F$7:$F$306,"Pending")&gt;0,"P",""))))</f>
        <v/>
      </c>
      <c r="AA357" s="23" t="str">
        <f>IF(A357="","",IF(IF(OR(DATE($B$3,11,26)&gt;EOMONTH(DATE($B$3,11,1),0),NETWORKDAYS.INTL(DATE($B$3,11,26),DATE($B$3,11,26),1,'Non-working days'!$A$6:$A$45)=0),"",IF(COUNTIFS('Leave log'!$A$7:$A$306,Employees!$A$16,'Leave log'!$B$7:$B$306,"&lt;="&amp;DATE($B$3,11,26),'Leave log'!$C$7:$C$306,"&gt;="&amp;DATE($B$3,11,26),'Leave log'!$F$7:$F$306,"Approved")&gt;0,"A",""))="A","A",IF(OR(DATE($B$3,11,26)&gt;EOMONTH(DATE($B$3,11,1),0),NETWORKDAYS.INTL(DATE($B$3,11,26),DATE($B$3,11,26),1,'Non-working days'!$A$6:$A$45)=0),"",IF(COUNTIFS('Leave log'!$A$7:$A$306,Employees!$A$16,'Leave log'!$B$7:$B$306,"&lt;="&amp;DATE($B$3,11,26),'Leave log'!$C$7:$C$306,"&gt;="&amp;DATE($B$3,11,26),'Leave log'!$F$7:$F$306,"Pending")&gt;0,"P",""))))</f>
        <v/>
      </c>
      <c r="AB357" s="23" t="str">
        <f>IF(A357="","",IF(IF(OR(DATE($B$3,11,27)&gt;EOMONTH(DATE($B$3,11,1),0),NETWORKDAYS.INTL(DATE($B$3,11,27),DATE($B$3,11,27),1,'Non-working days'!$A$6:$A$45)=0),"",IF(COUNTIFS('Leave log'!$A$7:$A$306,Employees!$A$16,'Leave log'!$B$7:$B$306,"&lt;="&amp;DATE($B$3,11,27),'Leave log'!$C$7:$C$306,"&gt;="&amp;DATE($B$3,11,27),'Leave log'!$F$7:$F$306,"Approved")&gt;0,"A",""))="A","A",IF(OR(DATE($B$3,11,27)&gt;EOMONTH(DATE($B$3,11,1),0),NETWORKDAYS.INTL(DATE($B$3,11,27),DATE($B$3,11,27),1,'Non-working days'!$A$6:$A$45)=0),"",IF(COUNTIFS('Leave log'!$A$7:$A$306,Employees!$A$16,'Leave log'!$B$7:$B$306,"&lt;="&amp;DATE($B$3,11,27),'Leave log'!$C$7:$C$306,"&gt;="&amp;DATE($B$3,11,27),'Leave log'!$F$7:$F$306,"Pending")&gt;0,"P",""))))</f>
        <v/>
      </c>
      <c r="AC357" s="23" t="str">
        <f>IF(A357="","",IF(IF(OR(DATE($B$3,11,28)&gt;EOMONTH(DATE($B$3,11,1),0),NETWORKDAYS.INTL(DATE($B$3,11,28),DATE($B$3,11,28),1,'Non-working days'!$A$6:$A$45)=0),"",IF(COUNTIFS('Leave log'!$A$7:$A$306,Employees!$A$16,'Leave log'!$B$7:$B$306,"&lt;="&amp;DATE($B$3,11,28),'Leave log'!$C$7:$C$306,"&gt;="&amp;DATE($B$3,11,28),'Leave log'!$F$7:$F$306,"Approved")&gt;0,"A",""))="A","A",IF(OR(DATE($B$3,11,28)&gt;EOMONTH(DATE($B$3,11,1),0),NETWORKDAYS.INTL(DATE($B$3,11,28),DATE($B$3,11,28),1,'Non-working days'!$A$6:$A$45)=0),"",IF(COUNTIFS('Leave log'!$A$7:$A$306,Employees!$A$16,'Leave log'!$B$7:$B$306,"&lt;="&amp;DATE($B$3,11,28),'Leave log'!$C$7:$C$306,"&gt;="&amp;DATE($B$3,11,28),'Leave log'!$F$7:$F$306,"Pending")&gt;0,"P",""))))</f>
        <v/>
      </c>
      <c r="AD357" s="23" t="str">
        <f>IF(A357="","",IF(IF(OR(DATE($B$3,11,29)&gt;EOMONTH(DATE($B$3,11,1),0),NETWORKDAYS.INTL(DATE($B$3,11,29),DATE($B$3,11,29),1,'Non-working days'!$A$6:$A$45)=0),"",IF(COUNTIFS('Leave log'!$A$7:$A$306,Employees!$A$16,'Leave log'!$B$7:$B$306,"&lt;="&amp;DATE($B$3,11,29),'Leave log'!$C$7:$C$306,"&gt;="&amp;DATE($B$3,11,29),'Leave log'!$F$7:$F$306,"Approved")&gt;0,"A",""))="A","A",IF(OR(DATE($B$3,11,29)&gt;EOMONTH(DATE($B$3,11,1),0),NETWORKDAYS.INTL(DATE($B$3,11,29),DATE($B$3,11,29),1,'Non-working days'!$A$6:$A$45)=0),"",IF(COUNTIFS('Leave log'!$A$7:$A$306,Employees!$A$16,'Leave log'!$B$7:$B$306,"&lt;="&amp;DATE($B$3,11,29),'Leave log'!$C$7:$C$306,"&gt;="&amp;DATE($B$3,11,29),'Leave log'!$F$7:$F$306,"Pending")&gt;0,"P",""))))</f>
        <v/>
      </c>
      <c r="AE357" s="23" t="str">
        <f>IF(A357="","",IF(IF(OR(DATE($B$3,11,30)&gt;EOMONTH(DATE($B$3,11,1),0),NETWORKDAYS.INTL(DATE($B$3,11,30),DATE($B$3,11,30),1,'Non-working days'!$A$6:$A$45)=0),"",IF(COUNTIFS('Leave log'!$A$7:$A$306,Employees!$A$16,'Leave log'!$B$7:$B$306,"&lt;="&amp;DATE($B$3,11,30),'Leave log'!$C$7:$C$306,"&gt;="&amp;DATE($B$3,11,30),'Leave log'!$F$7:$F$306,"Approved")&gt;0,"A",""))="A","A",IF(OR(DATE($B$3,11,30)&gt;EOMONTH(DATE($B$3,11,1),0),NETWORKDAYS.INTL(DATE($B$3,11,30),DATE($B$3,11,30),1,'Non-working days'!$A$6:$A$45)=0),"",IF(COUNTIFS('Leave log'!$A$7:$A$306,Employees!$A$16,'Leave log'!$B$7:$B$306,"&lt;="&amp;DATE($B$3,11,30),'Leave log'!$C$7:$C$306,"&gt;="&amp;DATE($B$3,11,30),'Leave log'!$F$7:$F$306,"Pending")&gt;0,"P",""))))</f>
        <v/>
      </c>
      <c r="AF357" s="23" t="str">
        <f>IF(A357="","",IF(IF(OR(DATE($B$3,11,31)&gt;EOMONTH(DATE($B$3,11,1),0),NETWORKDAYS.INTL(DATE($B$3,11,31),DATE($B$3,11,31),1,'Non-working days'!$A$6:$A$45)=0),"",IF(COUNTIFS('Leave log'!$A$7:$A$306,Employees!$A$16,'Leave log'!$B$7:$B$306,"&lt;="&amp;DATE($B$3,11,31),'Leave log'!$C$7:$C$306,"&gt;="&amp;DATE($B$3,11,31),'Leave log'!$F$7:$F$306,"Approved")&gt;0,"A",""))="A","A",IF(OR(DATE($B$3,11,31)&gt;EOMONTH(DATE($B$3,11,1),0),NETWORKDAYS.INTL(DATE($B$3,11,31),DATE($B$3,11,31),1,'Non-working days'!$A$6:$A$45)=0),"",IF(COUNTIFS('Leave log'!$A$7:$A$306,Employees!$A$16,'Leave log'!$B$7:$B$306,"&lt;="&amp;DATE($B$3,11,31),'Leave log'!$C$7:$C$306,"&gt;="&amp;DATE($B$3,11,31),'Leave log'!$F$7:$F$306,"Pending")&gt;0,"P",""))))</f>
        <v/>
      </c>
    </row>
    <row r="358" spans="1:32" ht="18" customHeight="1" x14ac:dyDescent="0.3">
      <c r="A358" s="22" t="str">
        <f>IF(Employees!F17="Yes",Employees!B17,"")</f>
        <v/>
      </c>
      <c r="B358" s="23" t="str">
        <f>IF(A358="","",IF(IF(OR(DATE($B$3,11,1)&gt;EOMONTH(DATE($B$3,11,1),0),NETWORKDAYS.INTL(DATE($B$3,11,1),DATE($B$3,11,1),1,'Non-working days'!$A$6:$A$45)=0),"",IF(COUNTIFS('Leave log'!$A$7:$A$306,Employees!$A$17,'Leave log'!$B$7:$B$306,"&lt;="&amp;DATE($B$3,11,1),'Leave log'!$C$7:$C$306,"&gt;="&amp;DATE($B$3,11,1),'Leave log'!$F$7:$F$306,"Approved")&gt;0,"A",""))="A","A",IF(OR(DATE($B$3,11,1)&gt;EOMONTH(DATE($B$3,11,1),0),NETWORKDAYS.INTL(DATE($B$3,11,1),DATE($B$3,11,1),1,'Non-working days'!$A$6:$A$45)=0),"",IF(COUNTIFS('Leave log'!$A$7:$A$306,Employees!$A$17,'Leave log'!$B$7:$B$306,"&lt;="&amp;DATE($B$3,11,1),'Leave log'!$C$7:$C$306,"&gt;="&amp;DATE($B$3,11,1),'Leave log'!$F$7:$F$306,"Pending")&gt;0,"P",""))))</f>
        <v/>
      </c>
      <c r="C358" s="23" t="str">
        <f>IF(A358="","",IF(IF(OR(DATE($B$3,11,2)&gt;EOMONTH(DATE($B$3,11,1),0),NETWORKDAYS.INTL(DATE($B$3,11,2),DATE($B$3,11,2),1,'Non-working days'!$A$6:$A$45)=0),"",IF(COUNTIFS('Leave log'!$A$7:$A$306,Employees!$A$17,'Leave log'!$B$7:$B$306,"&lt;="&amp;DATE($B$3,11,2),'Leave log'!$C$7:$C$306,"&gt;="&amp;DATE($B$3,11,2),'Leave log'!$F$7:$F$306,"Approved")&gt;0,"A",""))="A","A",IF(OR(DATE($B$3,11,2)&gt;EOMONTH(DATE($B$3,11,1),0),NETWORKDAYS.INTL(DATE($B$3,11,2),DATE($B$3,11,2),1,'Non-working days'!$A$6:$A$45)=0),"",IF(COUNTIFS('Leave log'!$A$7:$A$306,Employees!$A$17,'Leave log'!$B$7:$B$306,"&lt;="&amp;DATE($B$3,11,2),'Leave log'!$C$7:$C$306,"&gt;="&amp;DATE($B$3,11,2),'Leave log'!$F$7:$F$306,"Pending")&gt;0,"P",""))))</f>
        <v/>
      </c>
      <c r="D358" s="23" t="str">
        <f>IF(A358="","",IF(IF(OR(DATE($B$3,11,3)&gt;EOMONTH(DATE($B$3,11,1),0),NETWORKDAYS.INTL(DATE($B$3,11,3),DATE($B$3,11,3),1,'Non-working days'!$A$6:$A$45)=0),"",IF(COUNTIFS('Leave log'!$A$7:$A$306,Employees!$A$17,'Leave log'!$B$7:$B$306,"&lt;="&amp;DATE($B$3,11,3),'Leave log'!$C$7:$C$306,"&gt;="&amp;DATE($B$3,11,3),'Leave log'!$F$7:$F$306,"Approved")&gt;0,"A",""))="A","A",IF(OR(DATE($B$3,11,3)&gt;EOMONTH(DATE($B$3,11,1),0),NETWORKDAYS.INTL(DATE($B$3,11,3),DATE($B$3,11,3),1,'Non-working days'!$A$6:$A$45)=0),"",IF(COUNTIFS('Leave log'!$A$7:$A$306,Employees!$A$17,'Leave log'!$B$7:$B$306,"&lt;="&amp;DATE($B$3,11,3),'Leave log'!$C$7:$C$306,"&gt;="&amp;DATE($B$3,11,3),'Leave log'!$F$7:$F$306,"Pending")&gt;0,"P",""))))</f>
        <v/>
      </c>
      <c r="E358" s="23" t="str">
        <f>IF(A358="","",IF(IF(OR(DATE($B$3,11,4)&gt;EOMONTH(DATE($B$3,11,1),0),NETWORKDAYS.INTL(DATE($B$3,11,4),DATE($B$3,11,4),1,'Non-working days'!$A$6:$A$45)=0),"",IF(COUNTIFS('Leave log'!$A$7:$A$306,Employees!$A$17,'Leave log'!$B$7:$B$306,"&lt;="&amp;DATE($B$3,11,4),'Leave log'!$C$7:$C$306,"&gt;="&amp;DATE($B$3,11,4),'Leave log'!$F$7:$F$306,"Approved")&gt;0,"A",""))="A","A",IF(OR(DATE($B$3,11,4)&gt;EOMONTH(DATE($B$3,11,1),0),NETWORKDAYS.INTL(DATE($B$3,11,4),DATE($B$3,11,4),1,'Non-working days'!$A$6:$A$45)=0),"",IF(COUNTIFS('Leave log'!$A$7:$A$306,Employees!$A$17,'Leave log'!$B$7:$B$306,"&lt;="&amp;DATE($B$3,11,4),'Leave log'!$C$7:$C$306,"&gt;="&amp;DATE($B$3,11,4),'Leave log'!$F$7:$F$306,"Pending")&gt;0,"P",""))))</f>
        <v/>
      </c>
      <c r="F358" s="23" t="str">
        <f>IF(A358="","",IF(IF(OR(DATE($B$3,11,5)&gt;EOMONTH(DATE($B$3,11,1),0),NETWORKDAYS.INTL(DATE($B$3,11,5),DATE($B$3,11,5),1,'Non-working days'!$A$6:$A$45)=0),"",IF(COUNTIFS('Leave log'!$A$7:$A$306,Employees!$A$17,'Leave log'!$B$7:$B$306,"&lt;="&amp;DATE($B$3,11,5),'Leave log'!$C$7:$C$306,"&gt;="&amp;DATE($B$3,11,5),'Leave log'!$F$7:$F$306,"Approved")&gt;0,"A",""))="A","A",IF(OR(DATE($B$3,11,5)&gt;EOMONTH(DATE($B$3,11,1),0),NETWORKDAYS.INTL(DATE($B$3,11,5),DATE($B$3,11,5),1,'Non-working days'!$A$6:$A$45)=0),"",IF(COUNTIFS('Leave log'!$A$7:$A$306,Employees!$A$17,'Leave log'!$B$7:$B$306,"&lt;="&amp;DATE($B$3,11,5),'Leave log'!$C$7:$C$306,"&gt;="&amp;DATE($B$3,11,5),'Leave log'!$F$7:$F$306,"Pending")&gt;0,"P",""))))</f>
        <v/>
      </c>
      <c r="G358" s="23" t="str">
        <f>IF(A358="","",IF(IF(OR(DATE($B$3,11,6)&gt;EOMONTH(DATE($B$3,11,1),0),NETWORKDAYS.INTL(DATE($B$3,11,6),DATE($B$3,11,6),1,'Non-working days'!$A$6:$A$45)=0),"",IF(COUNTIFS('Leave log'!$A$7:$A$306,Employees!$A$17,'Leave log'!$B$7:$B$306,"&lt;="&amp;DATE($B$3,11,6),'Leave log'!$C$7:$C$306,"&gt;="&amp;DATE($B$3,11,6),'Leave log'!$F$7:$F$306,"Approved")&gt;0,"A",""))="A","A",IF(OR(DATE($B$3,11,6)&gt;EOMONTH(DATE($B$3,11,1),0),NETWORKDAYS.INTL(DATE($B$3,11,6),DATE($B$3,11,6),1,'Non-working days'!$A$6:$A$45)=0),"",IF(COUNTIFS('Leave log'!$A$7:$A$306,Employees!$A$17,'Leave log'!$B$7:$B$306,"&lt;="&amp;DATE($B$3,11,6),'Leave log'!$C$7:$C$306,"&gt;="&amp;DATE($B$3,11,6),'Leave log'!$F$7:$F$306,"Pending")&gt;0,"P",""))))</f>
        <v/>
      </c>
      <c r="H358" s="23" t="str">
        <f>IF(A358="","",IF(IF(OR(DATE($B$3,11,7)&gt;EOMONTH(DATE($B$3,11,1),0),NETWORKDAYS.INTL(DATE($B$3,11,7),DATE($B$3,11,7),1,'Non-working days'!$A$6:$A$45)=0),"",IF(COUNTIFS('Leave log'!$A$7:$A$306,Employees!$A$17,'Leave log'!$B$7:$B$306,"&lt;="&amp;DATE($B$3,11,7),'Leave log'!$C$7:$C$306,"&gt;="&amp;DATE($B$3,11,7),'Leave log'!$F$7:$F$306,"Approved")&gt;0,"A",""))="A","A",IF(OR(DATE($B$3,11,7)&gt;EOMONTH(DATE($B$3,11,1),0),NETWORKDAYS.INTL(DATE($B$3,11,7),DATE($B$3,11,7),1,'Non-working days'!$A$6:$A$45)=0),"",IF(COUNTIFS('Leave log'!$A$7:$A$306,Employees!$A$17,'Leave log'!$B$7:$B$306,"&lt;="&amp;DATE($B$3,11,7),'Leave log'!$C$7:$C$306,"&gt;="&amp;DATE($B$3,11,7),'Leave log'!$F$7:$F$306,"Pending")&gt;0,"P",""))))</f>
        <v/>
      </c>
      <c r="I358" s="23" t="str">
        <f>IF(A358="","",IF(IF(OR(DATE($B$3,11,8)&gt;EOMONTH(DATE($B$3,11,1),0),NETWORKDAYS.INTL(DATE($B$3,11,8),DATE($B$3,11,8),1,'Non-working days'!$A$6:$A$45)=0),"",IF(COUNTIFS('Leave log'!$A$7:$A$306,Employees!$A$17,'Leave log'!$B$7:$B$306,"&lt;="&amp;DATE($B$3,11,8),'Leave log'!$C$7:$C$306,"&gt;="&amp;DATE($B$3,11,8),'Leave log'!$F$7:$F$306,"Approved")&gt;0,"A",""))="A","A",IF(OR(DATE($B$3,11,8)&gt;EOMONTH(DATE($B$3,11,1),0),NETWORKDAYS.INTL(DATE($B$3,11,8),DATE($B$3,11,8),1,'Non-working days'!$A$6:$A$45)=0),"",IF(COUNTIFS('Leave log'!$A$7:$A$306,Employees!$A$17,'Leave log'!$B$7:$B$306,"&lt;="&amp;DATE($B$3,11,8),'Leave log'!$C$7:$C$306,"&gt;="&amp;DATE($B$3,11,8),'Leave log'!$F$7:$F$306,"Pending")&gt;0,"P",""))))</f>
        <v/>
      </c>
      <c r="J358" s="23" t="str">
        <f>IF(A358="","",IF(IF(OR(DATE($B$3,11,9)&gt;EOMONTH(DATE($B$3,11,1),0),NETWORKDAYS.INTL(DATE($B$3,11,9),DATE($B$3,11,9),1,'Non-working days'!$A$6:$A$45)=0),"",IF(COUNTIFS('Leave log'!$A$7:$A$306,Employees!$A$17,'Leave log'!$B$7:$B$306,"&lt;="&amp;DATE($B$3,11,9),'Leave log'!$C$7:$C$306,"&gt;="&amp;DATE($B$3,11,9),'Leave log'!$F$7:$F$306,"Approved")&gt;0,"A",""))="A","A",IF(OR(DATE($B$3,11,9)&gt;EOMONTH(DATE($B$3,11,1),0),NETWORKDAYS.INTL(DATE($B$3,11,9),DATE($B$3,11,9),1,'Non-working days'!$A$6:$A$45)=0),"",IF(COUNTIFS('Leave log'!$A$7:$A$306,Employees!$A$17,'Leave log'!$B$7:$B$306,"&lt;="&amp;DATE($B$3,11,9),'Leave log'!$C$7:$C$306,"&gt;="&amp;DATE($B$3,11,9),'Leave log'!$F$7:$F$306,"Pending")&gt;0,"P",""))))</f>
        <v/>
      </c>
      <c r="K358" s="23" t="str">
        <f>IF(A358="","",IF(IF(OR(DATE($B$3,11,10)&gt;EOMONTH(DATE($B$3,11,1),0),NETWORKDAYS.INTL(DATE($B$3,11,10),DATE($B$3,11,10),1,'Non-working days'!$A$6:$A$45)=0),"",IF(COUNTIFS('Leave log'!$A$7:$A$306,Employees!$A$17,'Leave log'!$B$7:$B$306,"&lt;="&amp;DATE($B$3,11,10),'Leave log'!$C$7:$C$306,"&gt;="&amp;DATE($B$3,11,10),'Leave log'!$F$7:$F$306,"Approved")&gt;0,"A",""))="A","A",IF(OR(DATE($B$3,11,10)&gt;EOMONTH(DATE($B$3,11,1),0),NETWORKDAYS.INTL(DATE($B$3,11,10),DATE($B$3,11,10),1,'Non-working days'!$A$6:$A$45)=0),"",IF(COUNTIFS('Leave log'!$A$7:$A$306,Employees!$A$17,'Leave log'!$B$7:$B$306,"&lt;="&amp;DATE($B$3,11,10),'Leave log'!$C$7:$C$306,"&gt;="&amp;DATE($B$3,11,10),'Leave log'!$F$7:$F$306,"Pending")&gt;0,"P",""))))</f>
        <v/>
      </c>
      <c r="L358" s="23" t="str">
        <f>IF(A358="","",IF(IF(OR(DATE($B$3,11,11)&gt;EOMONTH(DATE($B$3,11,1),0),NETWORKDAYS.INTL(DATE($B$3,11,11),DATE($B$3,11,11),1,'Non-working days'!$A$6:$A$45)=0),"",IF(COUNTIFS('Leave log'!$A$7:$A$306,Employees!$A$17,'Leave log'!$B$7:$B$306,"&lt;="&amp;DATE($B$3,11,11),'Leave log'!$C$7:$C$306,"&gt;="&amp;DATE($B$3,11,11),'Leave log'!$F$7:$F$306,"Approved")&gt;0,"A",""))="A","A",IF(OR(DATE($B$3,11,11)&gt;EOMONTH(DATE($B$3,11,1),0),NETWORKDAYS.INTL(DATE($B$3,11,11),DATE($B$3,11,11),1,'Non-working days'!$A$6:$A$45)=0),"",IF(COUNTIFS('Leave log'!$A$7:$A$306,Employees!$A$17,'Leave log'!$B$7:$B$306,"&lt;="&amp;DATE($B$3,11,11),'Leave log'!$C$7:$C$306,"&gt;="&amp;DATE($B$3,11,11),'Leave log'!$F$7:$F$306,"Pending")&gt;0,"P",""))))</f>
        <v/>
      </c>
      <c r="M358" s="23" t="str">
        <f>IF(A358="","",IF(IF(OR(DATE($B$3,11,12)&gt;EOMONTH(DATE($B$3,11,1),0),NETWORKDAYS.INTL(DATE($B$3,11,12),DATE($B$3,11,12),1,'Non-working days'!$A$6:$A$45)=0),"",IF(COUNTIFS('Leave log'!$A$7:$A$306,Employees!$A$17,'Leave log'!$B$7:$B$306,"&lt;="&amp;DATE($B$3,11,12),'Leave log'!$C$7:$C$306,"&gt;="&amp;DATE($B$3,11,12),'Leave log'!$F$7:$F$306,"Approved")&gt;0,"A",""))="A","A",IF(OR(DATE($B$3,11,12)&gt;EOMONTH(DATE($B$3,11,1),0),NETWORKDAYS.INTL(DATE($B$3,11,12),DATE($B$3,11,12),1,'Non-working days'!$A$6:$A$45)=0),"",IF(COUNTIFS('Leave log'!$A$7:$A$306,Employees!$A$17,'Leave log'!$B$7:$B$306,"&lt;="&amp;DATE($B$3,11,12),'Leave log'!$C$7:$C$306,"&gt;="&amp;DATE($B$3,11,12),'Leave log'!$F$7:$F$306,"Pending")&gt;0,"P",""))))</f>
        <v/>
      </c>
      <c r="N358" s="23" t="str">
        <f>IF(A358="","",IF(IF(OR(DATE($B$3,11,13)&gt;EOMONTH(DATE($B$3,11,1),0),NETWORKDAYS.INTL(DATE($B$3,11,13),DATE($B$3,11,13),1,'Non-working days'!$A$6:$A$45)=0),"",IF(COUNTIFS('Leave log'!$A$7:$A$306,Employees!$A$17,'Leave log'!$B$7:$B$306,"&lt;="&amp;DATE($B$3,11,13),'Leave log'!$C$7:$C$306,"&gt;="&amp;DATE($B$3,11,13),'Leave log'!$F$7:$F$306,"Approved")&gt;0,"A",""))="A","A",IF(OR(DATE($B$3,11,13)&gt;EOMONTH(DATE($B$3,11,1),0),NETWORKDAYS.INTL(DATE($B$3,11,13),DATE($B$3,11,13),1,'Non-working days'!$A$6:$A$45)=0),"",IF(COUNTIFS('Leave log'!$A$7:$A$306,Employees!$A$17,'Leave log'!$B$7:$B$306,"&lt;="&amp;DATE($B$3,11,13),'Leave log'!$C$7:$C$306,"&gt;="&amp;DATE($B$3,11,13),'Leave log'!$F$7:$F$306,"Pending")&gt;0,"P",""))))</f>
        <v/>
      </c>
      <c r="O358" s="23" t="str">
        <f>IF(A358="","",IF(IF(OR(DATE($B$3,11,14)&gt;EOMONTH(DATE($B$3,11,1),0),NETWORKDAYS.INTL(DATE($B$3,11,14),DATE($B$3,11,14),1,'Non-working days'!$A$6:$A$45)=0),"",IF(COUNTIFS('Leave log'!$A$7:$A$306,Employees!$A$17,'Leave log'!$B$7:$B$306,"&lt;="&amp;DATE($B$3,11,14),'Leave log'!$C$7:$C$306,"&gt;="&amp;DATE($B$3,11,14),'Leave log'!$F$7:$F$306,"Approved")&gt;0,"A",""))="A","A",IF(OR(DATE($B$3,11,14)&gt;EOMONTH(DATE($B$3,11,1),0),NETWORKDAYS.INTL(DATE($B$3,11,14),DATE($B$3,11,14),1,'Non-working days'!$A$6:$A$45)=0),"",IF(COUNTIFS('Leave log'!$A$7:$A$306,Employees!$A$17,'Leave log'!$B$7:$B$306,"&lt;="&amp;DATE($B$3,11,14),'Leave log'!$C$7:$C$306,"&gt;="&amp;DATE($B$3,11,14),'Leave log'!$F$7:$F$306,"Pending")&gt;0,"P",""))))</f>
        <v/>
      </c>
      <c r="P358" s="23" t="str">
        <f>IF(A358="","",IF(IF(OR(DATE($B$3,11,15)&gt;EOMONTH(DATE($B$3,11,1),0),NETWORKDAYS.INTL(DATE($B$3,11,15),DATE($B$3,11,15),1,'Non-working days'!$A$6:$A$45)=0),"",IF(COUNTIFS('Leave log'!$A$7:$A$306,Employees!$A$17,'Leave log'!$B$7:$B$306,"&lt;="&amp;DATE($B$3,11,15),'Leave log'!$C$7:$C$306,"&gt;="&amp;DATE($B$3,11,15),'Leave log'!$F$7:$F$306,"Approved")&gt;0,"A",""))="A","A",IF(OR(DATE($B$3,11,15)&gt;EOMONTH(DATE($B$3,11,1),0),NETWORKDAYS.INTL(DATE($B$3,11,15),DATE($B$3,11,15),1,'Non-working days'!$A$6:$A$45)=0),"",IF(COUNTIFS('Leave log'!$A$7:$A$306,Employees!$A$17,'Leave log'!$B$7:$B$306,"&lt;="&amp;DATE($B$3,11,15),'Leave log'!$C$7:$C$306,"&gt;="&amp;DATE($B$3,11,15),'Leave log'!$F$7:$F$306,"Pending")&gt;0,"P",""))))</f>
        <v/>
      </c>
      <c r="Q358" s="23" t="str">
        <f>IF(A358="","",IF(IF(OR(DATE($B$3,11,16)&gt;EOMONTH(DATE($B$3,11,1),0),NETWORKDAYS.INTL(DATE($B$3,11,16),DATE($B$3,11,16),1,'Non-working days'!$A$6:$A$45)=0),"",IF(COUNTIFS('Leave log'!$A$7:$A$306,Employees!$A$17,'Leave log'!$B$7:$B$306,"&lt;="&amp;DATE($B$3,11,16),'Leave log'!$C$7:$C$306,"&gt;="&amp;DATE($B$3,11,16),'Leave log'!$F$7:$F$306,"Approved")&gt;0,"A",""))="A","A",IF(OR(DATE($B$3,11,16)&gt;EOMONTH(DATE($B$3,11,1),0),NETWORKDAYS.INTL(DATE($B$3,11,16),DATE($B$3,11,16),1,'Non-working days'!$A$6:$A$45)=0),"",IF(COUNTIFS('Leave log'!$A$7:$A$306,Employees!$A$17,'Leave log'!$B$7:$B$306,"&lt;="&amp;DATE($B$3,11,16),'Leave log'!$C$7:$C$306,"&gt;="&amp;DATE($B$3,11,16),'Leave log'!$F$7:$F$306,"Pending")&gt;0,"P",""))))</f>
        <v/>
      </c>
      <c r="R358" s="23" t="str">
        <f>IF(A358="","",IF(IF(OR(DATE($B$3,11,17)&gt;EOMONTH(DATE($B$3,11,1),0),NETWORKDAYS.INTL(DATE($B$3,11,17),DATE($B$3,11,17),1,'Non-working days'!$A$6:$A$45)=0),"",IF(COUNTIFS('Leave log'!$A$7:$A$306,Employees!$A$17,'Leave log'!$B$7:$B$306,"&lt;="&amp;DATE($B$3,11,17),'Leave log'!$C$7:$C$306,"&gt;="&amp;DATE($B$3,11,17),'Leave log'!$F$7:$F$306,"Approved")&gt;0,"A",""))="A","A",IF(OR(DATE($B$3,11,17)&gt;EOMONTH(DATE($B$3,11,1),0),NETWORKDAYS.INTL(DATE($B$3,11,17),DATE($B$3,11,17),1,'Non-working days'!$A$6:$A$45)=0),"",IF(COUNTIFS('Leave log'!$A$7:$A$306,Employees!$A$17,'Leave log'!$B$7:$B$306,"&lt;="&amp;DATE($B$3,11,17),'Leave log'!$C$7:$C$306,"&gt;="&amp;DATE($B$3,11,17),'Leave log'!$F$7:$F$306,"Pending")&gt;0,"P",""))))</f>
        <v/>
      </c>
      <c r="S358" s="23" t="str">
        <f>IF(A358="","",IF(IF(OR(DATE($B$3,11,18)&gt;EOMONTH(DATE($B$3,11,1),0),NETWORKDAYS.INTL(DATE($B$3,11,18),DATE($B$3,11,18),1,'Non-working days'!$A$6:$A$45)=0),"",IF(COUNTIFS('Leave log'!$A$7:$A$306,Employees!$A$17,'Leave log'!$B$7:$B$306,"&lt;="&amp;DATE($B$3,11,18),'Leave log'!$C$7:$C$306,"&gt;="&amp;DATE($B$3,11,18),'Leave log'!$F$7:$F$306,"Approved")&gt;0,"A",""))="A","A",IF(OR(DATE($B$3,11,18)&gt;EOMONTH(DATE($B$3,11,1),0),NETWORKDAYS.INTL(DATE($B$3,11,18),DATE($B$3,11,18),1,'Non-working days'!$A$6:$A$45)=0),"",IF(COUNTIFS('Leave log'!$A$7:$A$306,Employees!$A$17,'Leave log'!$B$7:$B$306,"&lt;="&amp;DATE($B$3,11,18),'Leave log'!$C$7:$C$306,"&gt;="&amp;DATE($B$3,11,18),'Leave log'!$F$7:$F$306,"Pending")&gt;0,"P",""))))</f>
        <v/>
      </c>
      <c r="T358" s="23" t="str">
        <f>IF(A358="","",IF(IF(OR(DATE($B$3,11,19)&gt;EOMONTH(DATE($B$3,11,1),0),NETWORKDAYS.INTL(DATE($B$3,11,19),DATE($B$3,11,19),1,'Non-working days'!$A$6:$A$45)=0),"",IF(COUNTIFS('Leave log'!$A$7:$A$306,Employees!$A$17,'Leave log'!$B$7:$B$306,"&lt;="&amp;DATE($B$3,11,19),'Leave log'!$C$7:$C$306,"&gt;="&amp;DATE($B$3,11,19),'Leave log'!$F$7:$F$306,"Approved")&gt;0,"A",""))="A","A",IF(OR(DATE($B$3,11,19)&gt;EOMONTH(DATE($B$3,11,1),0),NETWORKDAYS.INTL(DATE($B$3,11,19),DATE($B$3,11,19),1,'Non-working days'!$A$6:$A$45)=0),"",IF(COUNTIFS('Leave log'!$A$7:$A$306,Employees!$A$17,'Leave log'!$B$7:$B$306,"&lt;="&amp;DATE($B$3,11,19),'Leave log'!$C$7:$C$306,"&gt;="&amp;DATE($B$3,11,19),'Leave log'!$F$7:$F$306,"Pending")&gt;0,"P",""))))</f>
        <v/>
      </c>
      <c r="U358" s="23" t="str">
        <f>IF(A358="","",IF(IF(OR(DATE($B$3,11,20)&gt;EOMONTH(DATE($B$3,11,1),0),NETWORKDAYS.INTL(DATE($B$3,11,20),DATE($B$3,11,20),1,'Non-working days'!$A$6:$A$45)=0),"",IF(COUNTIFS('Leave log'!$A$7:$A$306,Employees!$A$17,'Leave log'!$B$7:$B$306,"&lt;="&amp;DATE($B$3,11,20),'Leave log'!$C$7:$C$306,"&gt;="&amp;DATE($B$3,11,20),'Leave log'!$F$7:$F$306,"Approved")&gt;0,"A",""))="A","A",IF(OR(DATE($B$3,11,20)&gt;EOMONTH(DATE($B$3,11,1),0),NETWORKDAYS.INTL(DATE($B$3,11,20),DATE($B$3,11,20),1,'Non-working days'!$A$6:$A$45)=0),"",IF(COUNTIFS('Leave log'!$A$7:$A$306,Employees!$A$17,'Leave log'!$B$7:$B$306,"&lt;="&amp;DATE($B$3,11,20),'Leave log'!$C$7:$C$306,"&gt;="&amp;DATE($B$3,11,20),'Leave log'!$F$7:$F$306,"Pending")&gt;0,"P",""))))</f>
        <v/>
      </c>
      <c r="V358" s="23" t="str">
        <f>IF(A358="","",IF(IF(OR(DATE($B$3,11,21)&gt;EOMONTH(DATE($B$3,11,1),0),NETWORKDAYS.INTL(DATE($B$3,11,21),DATE($B$3,11,21),1,'Non-working days'!$A$6:$A$45)=0),"",IF(COUNTIFS('Leave log'!$A$7:$A$306,Employees!$A$17,'Leave log'!$B$7:$B$306,"&lt;="&amp;DATE($B$3,11,21),'Leave log'!$C$7:$C$306,"&gt;="&amp;DATE($B$3,11,21),'Leave log'!$F$7:$F$306,"Approved")&gt;0,"A",""))="A","A",IF(OR(DATE($B$3,11,21)&gt;EOMONTH(DATE($B$3,11,1),0),NETWORKDAYS.INTL(DATE($B$3,11,21),DATE($B$3,11,21),1,'Non-working days'!$A$6:$A$45)=0),"",IF(COUNTIFS('Leave log'!$A$7:$A$306,Employees!$A$17,'Leave log'!$B$7:$B$306,"&lt;="&amp;DATE($B$3,11,21),'Leave log'!$C$7:$C$306,"&gt;="&amp;DATE($B$3,11,21),'Leave log'!$F$7:$F$306,"Pending")&gt;0,"P",""))))</f>
        <v/>
      </c>
      <c r="W358" s="23" t="str">
        <f>IF(A358="","",IF(IF(OR(DATE($B$3,11,22)&gt;EOMONTH(DATE($B$3,11,1),0),NETWORKDAYS.INTL(DATE($B$3,11,22),DATE($B$3,11,22),1,'Non-working days'!$A$6:$A$45)=0),"",IF(COUNTIFS('Leave log'!$A$7:$A$306,Employees!$A$17,'Leave log'!$B$7:$B$306,"&lt;="&amp;DATE($B$3,11,22),'Leave log'!$C$7:$C$306,"&gt;="&amp;DATE($B$3,11,22),'Leave log'!$F$7:$F$306,"Approved")&gt;0,"A",""))="A","A",IF(OR(DATE($B$3,11,22)&gt;EOMONTH(DATE($B$3,11,1),0),NETWORKDAYS.INTL(DATE($B$3,11,22),DATE($B$3,11,22),1,'Non-working days'!$A$6:$A$45)=0),"",IF(COUNTIFS('Leave log'!$A$7:$A$306,Employees!$A$17,'Leave log'!$B$7:$B$306,"&lt;="&amp;DATE($B$3,11,22),'Leave log'!$C$7:$C$306,"&gt;="&amp;DATE($B$3,11,22),'Leave log'!$F$7:$F$306,"Pending")&gt;0,"P",""))))</f>
        <v/>
      </c>
      <c r="X358" s="23" t="str">
        <f>IF(A358="","",IF(IF(OR(DATE($B$3,11,23)&gt;EOMONTH(DATE($B$3,11,1),0),NETWORKDAYS.INTL(DATE($B$3,11,23),DATE($B$3,11,23),1,'Non-working days'!$A$6:$A$45)=0),"",IF(COUNTIFS('Leave log'!$A$7:$A$306,Employees!$A$17,'Leave log'!$B$7:$B$306,"&lt;="&amp;DATE($B$3,11,23),'Leave log'!$C$7:$C$306,"&gt;="&amp;DATE($B$3,11,23),'Leave log'!$F$7:$F$306,"Approved")&gt;0,"A",""))="A","A",IF(OR(DATE($B$3,11,23)&gt;EOMONTH(DATE($B$3,11,1),0),NETWORKDAYS.INTL(DATE($B$3,11,23),DATE($B$3,11,23),1,'Non-working days'!$A$6:$A$45)=0),"",IF(COUNTIFS('Leave log'!$A$7:$A$306,Employees!$A$17,'Leave log'!$B$7:$B$306,"&lt;="&amp;DATE($B$3,11,23),'Leave log'!$C$7:$C$306,"&gt;="&amp;DATE($B$3,11,23),'Leave log'!$F$7:$F$306,"Pending")&gt;0,"P",""))))</f>
        <v/>
      </c>
      <c r="Y358" s="23" t="str">
        <f>IF(A358="","",IF(IF(OR(DATE($B$3,11,24)&gt;EOMONTH(DATE($B$3,11,1),0),NETWORKDAYS.INTL(DATE($B$3,11,24),DATE($B$3,11,24),1,'Non-working days'!$A$6:$A$45)=0),"",IF(COUNTIFS('Leave log'!$A$7:$A$306,Employees!$A$17,'Leave log'!$B$7:$B$306,"&lt;="&amp;DATE($B$3,11,24),'Leave log'!$C$7:$C$306,"&gt;="&amp;DATE($B$3,11,24),'Leave log'!$F$7:$F$306,"Approved")&gt;0,"A",""))="A","A",IF(OR(DATE($B$3,11,24)&gt;EOMONTH(DATE($B$3,11,1),0),NETWORKDAYS.INTL(DATE($B$3,11,24),DATE($B$3,11,24),1,'Non-working days'!$A$6:$A$45)=0),"",IF(COUNTIFS('Leave log'!$A$7:$A$306,Employees!$A$17,'Leave log'!$B$7:$B$306,"&lt;="&amp;DATE($B$3,11,24),'Leave log'!$C$7:$C$306,"&gt;="&amp;DATE($B$3,11,24),'Leave log'!$F$7:$F$306,"Pending")&gt;0,"P",""))))</f>
        <v/>
      </c>
      <c r="Z358" s="23" t="str">
        <f>IF(A358="","",IF(IF(OR(DATE($B$3,11,25)&gt;EOMONTH(DATE($B$3,11,1),0),NETWORKDAYS.INTL(DATE($B$3,11,25),DATE($B$3,11,25),1,'Non-working days'!$A$6:$A$45)=0),"",IF(COUNTIFS('Leave log'!$A$7:$A$306,Employees!$A$17,'Leave log'!$B$7:$B$306,"&lt;="&amp;DATE($B$3,11,25),'Leave log'!$C$7:$C$306,"&gt;="&amp;DATE($B$3,11,25),'Leave log'!$F$7:$F$306,"Approved")&gt;0,"A",""))="A","A",IF(OR(DATE($B$3,11,25)&gt;EOMONTH(DATE($B$3,11,1),0),NETWORKDAYS.INTL(DATE($B$3,11,25),DATE($B$3,11,25),1,'Non-working days'!$A$6:$A$45)=0),"",IF(COUNTIFS('Leave log'!$A$7:$A$306,Employees!$A$17,'Leave log'!$B$7:$B$306,"&lt;="&amp;DATE($B$3,11,25),'Leave log'!$C$7:$C$306,"&gt;="&amp;DATE($B$3,11,25),'Leave log'!$F$7:$F$306,"Pending")&gt;0,"P",""))))</f>
        <v/>
      </c>
      <c r="AA358" s="23" t="str">
        <f>IF(A358="","",IF(IF(OR(DATE($B$3,11,26)&gt;EOMONTH(DATE($B$3,11,1),0),NETWORKDAYS.INTL(DATE($B$3,11,26),DATE($B$3,11,26),1,'Non-working days'!$A$6:$A$45)=0),"",IF(COUNTIFS('Leave log'!$A$7:$A$306,Employees!$A$17,'Leave log'!$B$7:$B$306,"&lt;="&amp;DATE($B$3,11,26),'Leave log'!$C$7:$C$306,"&gt;="&amp;DATE($B$3,11,26),'Leave log'!$F$7:$F$306,"Approved")&gt;0,"A",""))="A","A",IF(OR(DATE($B$3,11,26)&gt;EOMONTH(DATE($B$3,11,1),0),NETWORKDAYS.INTL(DATE($B$3,11,26),DATE($B$3,11,26),1,'Non-working days'!$A$6:$A$45)=0),"",IF(COUNTIFS('Leave log'!$A$7:$A$306,Employees!$A$17,'Leave log'!$B$7:$B$306,"&lt;="&amp;DATE($B$3,11,26),'Leave log'!$C$7:$C$306,"&gt;="&amp;DATE($B$3,11,26),'Leave log'!$F$7:$F$306,"Pending")&gt;0,"P",""))))</f>
        <v/>
      </c>
      <c r="AB358" s="23" t="str">
        <f>IF(A358="","",IF(IF(OR(DATE($B$3,11,27)&gt;EOMONTH(DATE($B$3,11,1),0),NETWORKDAYS.INTL(DATE($B$3,11,27),DATE($B$3,11,27),1,'Non-working days'!$A$6:$A$45)=0),"",IF(COUNTIFS('Leave log'!$A$7:$A$306,Employees!$A$17,'Leave log'!$B$7:$B$306,"&lt;="&amp;DATE($B$3,11,27),'Leave log'!$C$7:$C$306,"&gt;="&amp;DATE($B$3,11,27),'Leave log'!$F$7:$F$306,"Approved")&gt;0,"A",""))="A","A",IF(OR(DATE($B$3,11,27)&gt;EOMONTH(DATE($B$3,11,1),0),NETWORKDAYS.INTL(DATE($B$3,11,27),DATE($B$3,11,27),1,'Non-working days'!$A$6:$A$45)=0),"",IF(COUNTIFS('Leave log'!$A$7:$A$306,Employees!$A$17,'Leave log'!$B$7:$B$306,"&lt;="&amp;DATE($B$3,11,27),'Leave log'!$C$7:$C$306,"&gt;="&amp;DATE($B$3,11,27),'Leave log'!$F$7:$F$306,"Pending")&gt;0,"P",""))))</f>
        <v/>
      </c>
      <c r="AC358" s="23" t="str">
        <f>IF(A358="","",IF(IF(OR(DATE($B$3,11,28)&gt;EOMONTH(DATE($B$3,11,1),0),NETWORKDAYS.INTL(DATE($B$3,11,28),DATE($B$3,11,28),1,'Non-working days'!$A$6:$A$45)=0),"",IF(COUNTIFS('Leave log'!$A$7:$A$306,Employees!$A$17,'Leave log'!$B$7:$B$306,"&lt;="&amp;DATE($B$3,11,28),'Leave log'!$C$7:$C$306,"&gt;="&amp;DATE($B$3,11,28),'Leave log'!$F$7:$F$306,"Approved")&gt;0,"A",""))="A","A",IF(OR(DATE($B$3,11,28)&gt;EOMONTH(DATE($B$3,11,1),0),NETWORKDAYS.INTL(DATE($B$3,11,28),DATE($B$3,11,28),1,'Non-working days'!$A$6:$A$45)=0),"",IF(COUNTIFS('Leave log'!$A$7:$A$306,Employees!$A$17,'Leave log'!$B$7:$B$306,"&lt;="&amp;DATE($B$3,11,28),'Leave log'!$C$7:$C$306,"&gt;="&amp;DATE($B$3,11,28),'Leave log'!$F$7:$F$306,"Pending")&gt;0,"P",""))))</f>
        <v/>
      </c>
      <c r="AD358" s="23" t="str">
        <f>IF(A358="","",IF(IF(OR(DATE($B$3,11,29)&gt;EOMONTH(DATE($B$3,11,1),0),NETWORKDAYS.INTL(DATE($B$3,11,29),DATE($B$3,11,29),1,'Non-working days'!$A$6:$A$45)=0),"",IF(COUNTIFS('Leave log'!$A$7:$A$306,Employees!$A$17,'Leave log'!$B$7:$B$306,"&lt;="&amp;DATE($B$3,11,29),'Leave log'!$C$7:$C$306,"&gt;="&amp;DATE($B$3,11,29),'Leave log'!$F$7:$F$306,"Approved")&gt;0,"A",""))="A","A",IF(OR(DATE($B$3,11,29)&gt;EOMONTH(DATE($B$3,11,1),0),NETWORKDAYS.INTL(DATE($B$3,11,29),DATE($B$3,11,29),1,'Non-working days'!$A$6:$A$45)=0),"",IF(COUNTIFS('Leave log'!$A$7:$A$306,Employees!$A$17,'Leave log'!$B$7:$B$306,"&lt;="&amp;DATE($B$3,11,29),'Leave log'!$C$7:$C$306,"&gt;="&amp;DATE($B$3,11,29),'Leave log'!$F$7:$F$306,"Pending")&gt;0,"P",""))))</f>
        <v/>
      </c>
      <c r="AE358" s="23" t="str">
        <f>IF(A358="","",IF(IF(OR(DATE($B$3,11,30)&gt;EOMONTH(DATE($B$3,11,1),0),NETWORKDAYS.INTL(DATE($B$3,11,30),DATE($B$3,11,30),1,'Non-working days'!$A$6:$A$45)=0),"",IF(COUNTIFS('Leave log'!$A$7:$A$306,Employees!$A$17,'Leave log'!$B$7:$B$306,"&lt;="&amp;DATE($B$3,11,30),'Leave log'!$C$7:$C$306,"&gt;="&amp;DATE($B$3,11,30),'Leave log'!$F$7:$F$306,"Approved")&gt;0,"A",""))="A","A",IF(OR(DATE($B$3,11,30)&gt;EOMONTH(DATE($B$3,11,1),0),NETWORKDAYS.INTL(DATE($B$3,11,30),DATE($B$3,11,30),1,'Non-working days'!$A$6:$A$45)=0),"",IF(COUNTIFS('Leave log'!$A$7:$A$306,Employees!$A$17,'Leave log'!$B$7:$B$306,"&lt;="&amp;DATE($B$3,11,30),'Leave log'!$C$7:$C$306,"&gt;="&amp;DATE($B$3,11,30),'Leave log'!$F$7:$F$306,"Pending")&gt;0,"P",""))))</f>
        <v/>
      </c>
      <c r="AF358" s="23" t="str">
        <f>IF(A358="","",IF(IF(OR(DATE($B$3,11,31)&gt;EOMONTH(DATE($B$3,11,1),0),NETWORKDAYS.INTL(DATE($B$3,11,31),DATE($B$3,11,31),1,'Non-working days'!$A$6:$A$45)=0),"",IF(COUNTIFS('Leave log'!$A$7:$A$306,Employees!$A$17,'Leave log'!$B$7:$B$306,"&lt;="&amp;DATE($B$3,11,31),'Leave log'!$C$7:$C$306,"&gt;="&amp;DATE($B$3,11,31),'Leave log'!$F$7:$F$306,"Approved")&gt;0,"A",""))="A","A",IF(OR(DATE($B$3,11,31)&gt;EOMONTH(DATE($B$3,11,1),0),NETWORKDAYS.INTL(DATE($B$3,11,31),DATE($B$3,11,31),1,'Non-working days'!$A$6:$A$45)=0),"",IF(COUNTIFS('Leave log'!$A$7:$A$306,Employees!$A$17,'Leave log'!$B$7:$B$306,"&lt;="&amp;DATE($B$3,11,31),'Leave log'!$C$7:$C$306,"&gt;="&amp;DATE($B$3,11,31),'Leave log'!$F$7:$F$306,"Pending")&gt;0,"P",""))))</f>
        <v/>
      </c>
    </row>
    <row r="359" spans="1:32" ht="18" customHeight="1" x14ac:dyDescent="0.3">
      <c r="A359" s="22" t="str">
        <f>IF(Employees!F18="Yes",Employees!B18,"")</f>
        <v/>
      </c>
      <c r="B359" s="23" t="str">
        <f>IF(A359="","",IF(IF(OR(DATE($B$3,11,1)&gt;EOMONTH(DATE($B$3,11,1),0),NETWORKDAYS.INTL(DATE($B$3,11,1),DATE($B$3,11,1),1,'Non-working days'!$A$6:$A$45)=0),"",IF(COUNTIFS('Leave log'!$A$7:$A$306,Employees!$A$18,'Leave log'!$B$7:$B$306,"&lt;="&amp;DATE($B$3,11,1),'Leave log'!$C$7:$C$306,"&gt;="&amp;DATE($B$3,11,1),'Leave log'!$F$7:$F$306,"Approved")&gt;0,"A",""))="A","A",IF(OR(DATE($B$3,11,1)&gt;EOMONTH(DATE($B$3,11,1),0),NETWORKDAYS.INTL(DATE($B$3,11,1),DATE($B$3,11,1),1,'Non-working days'!$A$6:$A$45)=0),"",IF(COUNTIFS('Leave log'!$A$7:$A$306,Employees!$A$18,'Leave log'!$B$7:$B$306,"&lt;="&amp;DATE($B$3,11,1),'Leave log'!$C$7:$C$306,"&gt;="&amp;DATE($B$3,11,1),'Leave log'!$F$7:$F$306,"Pending")&gt;0,"P",""))))</f>
        <v/>
      </c>
      <c r="C359" s="23" t="str">
        <f>IF(A359="","",IF(IF(OR(DATE($B$3,11,2)&gt;EOMONTH(DATE($B$3,11,1),0),NETWORKDAYS.INTL(DATE($B$3,11,2),DATE($B$3,11,2),1,'Non-working days'!$A$6:$A$45)=0),"",IF(COUNTIFS('Leave log'!$A$7:$A$306,Employees!$A$18,'Leave log'!$B$7:$B$306,"&lt;="&amp;DATE($B$3,11,2),'Leave log'!$C$7:$C$306,"&gt;="&amp;DATE($B$3,11,2),'Leave log'!$F$7:$F$306,"Approved")&gt;0,"A",""))="A","A",IF(OR(DATE($B$3,11,2)&gt;EOMONTH(DATE($B$3,11,1),0),NETWORKDAYS.INTL(DATE($B$3,11,2),DATE($B$3,11,2),1,'Non-working days'!$A$6:$A$45)=0),"",IF(COUNTIFS('Leave log'!$A$7:$A$306,Employees!$A$18,'Leave log'!$B$7:$B$306,"&lt;="&amp;DATE($B$3,11,2),'Leave log'!$C$7:$C$306,"&gt;="&amp;DATE($B$3,11,2),'Leave log'!$F$7:$F$306,"Pending")&gt;0,"P",""))))</f>
        <v/>
      </c>
      <c r="D359" s="23" t="str">
        <f>IF(A359="","",IF(IF(OR(DATE($B$3,11,3)&gt;EOMONTH(DATE($B$3,11,1),0),NETWORKDAYS.INTL(DATE($B$3,11,3),DATE($B$3,11,3),1,'Non-working days'!$A$6:$A$45)=0),"",IF(COUNTIFS('Leave log'!$A$7:$A$306,Employees!$A$18,'Leave log'!$B$7:$B$306,"&lt;="&amp;DATE($B$3,11,3),'Leave log'!$C$7:$C$306,"&gt;="&amp;DATE($B$3,11,3),'Leave log'!$F$7:$F$306,"Approved")&gt;0,"A",""))="A","A",IF(OR(DATE($B$3,11,3)&gt;EOMONTH(DATE($B$3,11,1),0),NETWORKDAYS.INTL(DATE($B$3,11,3),DATE($B$3,11,3),1,'Non-working days'!$A$6:$A$45)=0),"",IF(COUNTIFS('Leave log'!$A$7:$A$306,Employees!$A$18,'Leave log'!$B$7:$B$306,"&lt;="&amp;DATE($B$3,11,3),'Leave log'!$C$7:$C$306,"&gt;="&amp;DATE($B$3,11,3),'Leave log'!$F$7:$F$306,"Pending")&gt;0,"P",""))))</f>
        <v/>
      </c>
      <c r="E359" s="23" t="str">
        <f>IF(A359="","",IF(IF(OR(DATE($B$3,11,4)&gt;EOMONTH(DATE($B$3,11,1),0),NETWORKDAYS.INTL(DATE($B$3,11,4),DATE($B$3,11,4),1,'Non-working days'!$A$6:$A$45)=0),"",IF(COUNTIFS('Leave log'!$A$7:$A$306,Employees!$A$18,'Leave log'!$B$7:$B$306,"&lt;="&amp;DATE($B$3,11,4),'Leave log'!$C$7:$C$306,"&gt;="&amp;DATE($B$3,11,4),'Leave log'!$F$7:$F$306,"Approved")&gt;0,"A",""))="A","A",IF(OR(DATE($B$3,11,4)&gt;EOMONTH(DATE($B$3,11,1),0),NETWORKDAYS.INTL(DATE($B$3,11,4),DATE($B$3,11,4),1,'Non-working days'!$A$6:$A$45)=0),"",IF(COUNTIFS('Leave log'!$A$7:$A$306,Employees!$A$18,'Leave log'!$B$7:$B$306,"&lt;="&amp;DATE($B$3,11,4),'Leave log'!$C$7:$C$306,"&gt;="&amp;DATE($B$3,11,4),'Leave log'!$F$7:$F$306,"Pending")&gt;0,"P",""))))</f>
        <v/>
      </c>
      <c r="F359" s="23" t="str">
        <f>IF(A359="","",IF(IF(OR(DATE($B$3,11,5)&gt;EOMONTH(DATE($B$3,11,1),0),NETWORKDAYS.INTL(DATE($B$3,11,5),DATE($B$3,11,5),1,'Non-working days'!$A$6:$A$45)=0),"",IF(COUNTIFS('Leave log'!$A$7:$A$306,Employees!$A$18,'Leave log'!$B$7:$B$306,"&lt;="&amp;DATE($B$3,11,5),'Leave log'!$C$7:$C$306,"&gt;="&amp;DATE($B$3,11,5),'Leave log'!$F$7:$F$306,"Approved")&gt;0,"A",""))="A","A",IF(OR(DATE($B$3,11,5)&gt;EOMONTH(DATE($B$3,11,1),0),NETWORKDAYS.INTL(DATE($B$3,11,5),DATE($B$3,11,5),1,'Non-working days'!$A$6:$A$45)=0),"",IF(COUNTIFS('Leave log'!$A$7:$A$306,Employees!$A$18,'Leave log'!$B$7:$B$306,"&lt;="&amp;DATE($B$3,11,5),'Leave log'!$C$7:$C$306,"&gt;="&amp;DATE($B$3,11,5),'Leave log'!$F$7:$F$306,"Pending")&gt;0,"P",""))))</f>
        <v/>
      </c>
      <c r="G359" s="23" t="str">
        <f>IF(A359="","",IF(IF(OR(DATE($B$3,11,6)&gt;EOMONTH(DATE($B$3,11,1),0),NETWORKDAYS.INTL(DATE($B$3,11,6),DATE($B$3,11,6),1,'Non-working days'!$A$6:$A$45)=0),"",IF(COUNTIFS('Leave log'!$A$7:$A$306,Employees!$A$18,'Leave log'!$B$7:$B$306,"&lt;="&amp;DATE($B$3,11,6),'Leave log'!$C$7:$C$306,"&gt;="&amp;DATE($B$3,11,6),'Leave log'!$F$7:$F$306,"Approved")&gt;0,"A",""))="A","A",IF(OR(DATE($B$3,11,6)&gt;EOMONTH(DATE($B$3,11,1),0),NETWORKDAYS.INTL(DATE($B$3,11,6),DATE($B$3,11,6),1,'Non-working days'!$A$6:$A$45)=0),"",IF(COUNTIFS('Leave log'!$A$7:$A$306,Employees!$A$18,'Leave log'!$B$7:$B$306,"&lt;="&amp;DATE($B$3,11,6),'Leave log'!$C$7:$C$306,"&gt;="&amp;DATE($B$3,11,6),'Leave log'!$F$7:$F$306,"Pending")&gt;0,"P",""))))</f>
        <v/>
      </c>
      <c r="H359" s="23" t="str">
        <f>IF(A359="","",IF(IF(OR(DATE($B$3,11,7)&gt;EOMONTH(DATE($B$3,11,1),0),NETWORKDAYS.INTL(DATE($B$3,11,7),DATE($B$3,11,7),1,'Non-working days'!$A$6:$A$45)=0),"",IF(COUNTIFS('Leave log'!$A$7:$A$306,Employees!$A$18,'Leave log'!$B$7:$B$306,"&lt;="&amp;DATE($B$3,11,7),'Leave log'!$C$7:$C$306,"&gt;="&amp;DATE($B$3,11,7),'Leave log'!$F$7:$F$306,"Approved")&gt;0,"A",""))="A","A",IF(OR(DATE($B$3,11,7)&gt;EOMONTH(DATE($B$3,11,1),0),NETWORKDAYS.INTL(DATE($B$3,11,7),DATE($B$3,11,7),1,'Non-working days'!$A$6:$A$45)=0),"",IF(COUNTIFS('Leave log'!$A$7:$A$306,Employees!$A$18,'Leave log'!$B$7:$B$306,"&lt;="&amp;DATE($B$3,11,7),'Leave log'!$C$7:$C$306,"&gt;="&amp;DATE($B$3,11,7),'Leave log'!$F$7:$F$306,"Pending")&gt;0,"P",""))))</f>
        <v/>
      </c>
      <c r="I359" s="23" t="str">
        <f>IF(A359="","",IF(IF(OR(DATE($B$3,11,8)&gt;EOMONTH(DATE($B$3,11,1),0),NETWORKDAYS.INTL(DATE($B$3,11,8),DATE($B$3,11,8),1,'Non-working days'!$A$6:$A$45)=0),"",IF(COUNTIFS('Leave log'!$A$7:$A$306,Employees!$A$18,'Leave log'!$B$7:$B$306,"&lt;="&amp;DATE($B$3,11,8),'Leave log'!$C$7:$C$306,"&gt;="&amp;DATE($B$3,11,8),'Leave log'!$F$7:$F$306,"Approved")&gt;0,"A",""))="A","A",IF(OR(DATE($B$3,11,8)&gt;EOMONTH(DATE($B$3,11,1),0),NETWORKDAYS.INTL(DATE($B$3,11,8),DATE($B$3,11,8),1,'Non-working days'!$A$6:$A$45)=0),"",IF(COUNTIFS('Leave log'!$A$7:$A$306,Employees!$A$18,'Leave log'!$B$7:$B$306,"&lt;="&amp;DATE($B$3,11,8),'Leave log'!$C$7:$C$306,"&gt;="&amp;DATE($B$3,11,8),'Leave log'!$F$7:$F$306,"Pending")&gt;0,"P",""))))</f>
        <v/>
      </c>
      <c r="J359" s="23" t="str">
        <f>IF(A359="","",IF(IF(OR(DATE($B$3,11,9)&gt;EOMONTH(DATE($B$3,11,1),0),NETWORKDAYS.INTL(DATE($B$3,11,9),DATE($B$3,11,9),1,'Non-working days'!$A$6:$A$45)=0),"",IF(COUNTIFS('Leave log'!$A$7:$A$306,Employees!$A$18,'Leave log'!$B$7:$B$306,"&lt;="&amp;DATE($B$3,11,9),'Leave log'!$C$7:$C$306,"&gt;="&amp;DATE($B$3,11,9),'Leave log'!$F$7:$F$306,"Approved")&gt;0,"A",""))="A","A",IF(OR(DATE($B$3,11,9)&gt;EOMONTH(DATE($B$3,11,1),0),NETWORKDAYS.INTL(DATE($B$3,11,9),DATE($B$3,11,9),1,'Non-working days'!$A$6:$A$45)=0),"",IF(COUNTIFS('Leave log'!$A$7:$A$306,Employees!$A$18,'Leave log'!$B$7:$B$306,"&lt;="&amp;DATE($B$3,11,9),'Leave log'!$C$7:$C$306,"&gt;="&amp;DATE($B$3,11,9),'Leave log'!$F$7:$F$306,"Pending")&gt;0,"P",""))))</f>
        <v/>
      </c>
      <c r="K359" s="23" t="str">
        <f>IF(A359="","",IF(IF(OR(DATE($B$3,11,10)&gt;EOMONTH(DATE($B$3,11,1),0),NETWORKDAYS.INTL(DATE($B$3,11,10),DATE($B$3,11,10),1,'Non-working days'!$A$6:$A$45)=0),"",IF(COUNTIFS('Leave log'!$A$7:$A$306,Employees!$A$18,'Leave log'!$B$7:$B$306,"&lt;="&amp;DATE($B$3,11,10),'Leave log'!$C$7:$C$306,"&gt;="&amp;DATE($B$3,11,10),'Leave log'!$F$7:$F$306,"Approved")&gt;0,"A",""))="A","A",IF(OR(DATE($B$3,11,10)&gt;EOMONTH(DATE($B$3,11,1),0),NETWORKDAYS.INTL(DATE($B$3,11,10),DATE($B$3,11,10),1,'Non-working days'!$A$6:$A$45)=0),"",IF(COUNTIFS('Leave log'!$A$7:$A$306,Employees!$A$18,'Leave log'!$B$7:$B$306,"&lt;="&amp;DATE($B$3,11,10),'Leave log'!$C$7:$C$306,"&gt;="&amp;DATE($B$3,11,10),'Leave log'!$F$7:$F$306,"Pending")&gt;0,"P",""))))</f>
        <v/>
      </c>
      <c r="L359" s="23" t="str">
        <f>IF(A359="","",IF(IF(OR(DATE($B$3,11,11)&gt;EOMONTH(DATE($B$3,11,1),0),NETWORKDAYS.INTL(DATE($B$3,11,11),DATE($B$3,11,11),1,'Non-working days'!$A$6:$A$45)=0),"",IF(COUNTIFS('Leave log'!$A$7:$A$306,Employees!$A$18,'Leave log'!$B$7:$B$306,"&lt;="&amp;DATE($B$3,11,11),'Leave log'!$C$7:$C$306,"&gt;="&amp;DATE($B$3,11,11),'Leave log'!$F$7:$F$306,"Approved")&gt;0,"A",""))="A","A",IF(OR(DATE($B$3,11,11)&gt;EOMONTH(DATE($B$3,11,1),0),NETWORKDAYS.INTL(DATE($B$3,11,11),DATE($B$3,11,11),1,'Non-working days'!$A$6:$A$45)=0),"",IF(COUNTIFS('Leave log'!$A$7:$A$306,Employees!$A$18,'Leave log'!$B$7:$B$306,"&lt;="&amp;DATE($B$3,11,11),'Leave log'!$C$7:$C$306,"&gt;="&amp;DATE($B$3,11,11),'Leave log'!$F$7:$F$306,"Pending")&gt;0,"P",""))))</f>
        <v/>
      </c>
      <c r="M359" s="23" t="str">
        <f>IF(A359="","",IF(IF(OR(DATE($B$3,11,12)&gt;EOMONTH(DATE($B$3,11,1),0),NETWORKDAYS.INTL(DATE($B$3,11,12),DATE($B$3,11,12),1,'Non-working days'!$A$6:$A$45)=0),"",IF(COUNTIFS('Leave log'!$A$7:$A$306,Employees!$A$18,'Leave log'!$B$7:$B$306,"&lt;="&amp;DATE($B$3,11,12),'Leave log'!$C$7:$C$306,"&gt;="&amp;DATE($B$3,11,12),'Leave log'!$F$7:$F$306,"Approved")&gt;0,"A",""))="A","A",IF(OR(DATE($B$3,11,12)&gt;EOMONTH(DATE($B$3,11,1),0),NETWORKDAYS.INTL(DATE($B$3,11,12),DATE($B$3,11,12),1,'Non-working days'!$A$6:$A$45)=0),"",IF(COUNTIFS('Leave log'!$A$7:$A$306,Employees!$A$18,'Leave log'!$B$7:$B$306,"&lt;="&amp;DATE($B$3,11,12),'Leave log'!$C$7:$C$306,"&gt;="&amp;DATE($B$3,11,12),'Leave log'!$F$7:$F$306,"Pending")&gt;0,"P",""))))</f>
        <v/>
      </c>
      <c r="N359" s="23" t="str">
        <f>IF(A359="","",IF(IF(OR(DATE($B$3,11,13)&gt;EOMONTH(DATE($B$3,11,1),0),NETWORKDAYS.INTL(DATE($B$3,11,13),DATE($B$3,11,13),1,'Non-working days'!$A$6:$A$45)=0),"",IF(COUNTIFS('Leave log'!$A$7:$A$306,Employees!$A$18,'Leave log'!$B$7:$B$306,"&lt;="&amp;DATE($B$3,11,13),'Leave log'!$C$7:$C$306,"&gt;="&amp;DATE($B$3,11,13),'Leave log'!$F$7:$F$306,"Approved")&gt;0,"A",""))="A","A",IF(OR(DATE($B$3,11,13)&gt;EOMONTH(DATE($B$3,11,1),0),NETWORKDAYS.INTL(DATE($B$3,11,13),DATE($B$3,11,13),1,'Non-working days'!$A$6:$A$45)=0),"",IF(COUNTIFS('Leave log'!$A$7:$A$306,Employees!$A$18,'Leave log'!$B$7:$B$306,"&lt;="&amp;DATE($B$3,11,13),'Leave log'!$C$7:$C$306,"&gt;="&amp;DATE($B$3,11,13),'Leave log'!$F$7:$F$306,"Pending")&gt;0,"P",""))))</f>
        <v/>
      </c>
      <c r="O359" s="23" t="str">
        <f>IF(A359="","",IF(IF(OR(DATE($B$3,11,14)&gt;EOMONTH(DATE($B$3,11,1),0),NETWORKDAYS.INTL(DATE($B$3,11,14),DATE($B$3,11,14),1,'Non-working days'!$A$6:$A$45)=0),"",IF(COUNTIFS('Leave log'!$A$7:$A$306,Employees!$A$18,'Leave log'!$B$7:$B$306,"&lt;="&amp;DATE($B$3,11,14),'Leave log'!$C$7:$C$306,"&gt;="&amp;DATE($B$3,11,14),'Leave log'!$F$7:$F$306,"Approved")&gt;0,"A",""))="A","A",IF(OR(DATE($B$3,11,14)&gt;EOMONTH(DATE($B$3,11,1),0),NETWORKDAYS.INTL(DATE($B$3,11,14),DATE($B$3,11,14),1,'Non-working days'!$A$6:$A$45)=0),"",IF(COUNTIFS('Leave log'!$A$7:$A$306,Employees!$A$18,'Leave log'!$B$7:$B$306,"&lt;="&amp;DATE($B$3,11,14),'Leave log'!$C$7:$C$306,"&gt;="&amp;DATE($B$3,11,14),'Leave log'!$F$7:$F$306,"Pending")&gt;0,"P",""))))</f>
        <v/>
      </c>
      <c r="P359" s="23" t="str">
        <f>IF(A359="","",IF(IF(OR(DATE($B$3,11,15)&gt;EOMONTH(DATE($B$3,11,1),0),NETWORKDAYS.INTL(DATE($B$3,11,15),DATE($B$3,11,15),1,'Non-working days'!$A$6:$A$45)=0),"",IF(COUNTIFS('Leave log'!$A$7:$A$306,Employees!$A$18,'Leave log'!$B$7:$B$306,"&lt;="&amp;DATE($B$3,11,15),'Leave log'!$C$7:$C$306,"&gt;="&amp;DATE($B$3,11,15),'Leave log'!$F$7:$F$306,"Approved")&gt;0,"A",""))="A","A",IF(OR(DATE($B$3,11,15)&gt;EOMONTH(DATE($B$3,11,1),0),NETWORKDAYS.INTL(DATE($B$3,11,15),DATE($B$3,11,15),1,'Non-working days'!$A$6:$A$45)=0),"",IF(COUNTIFS('Leave log'!$A$7:$A$306,Employees!$A$18,'Leave log'!$B$7:$B$306,"&lt;="&amp;DATE($B$3,11,15),'Leave log'!$C$7:$C$306,"&gt;="&amp;DATE($B$3,11,15),'Leave log'!$F$7:$F$306,"Pending")&gt;0,"P",""))))</f>
        <v/>
      </c>
      <c r="Q359" s="23" t="str">
        <f>IF(A359="","",IF(IF(OR(DATE($B$3,11,16)&gt;EOMONTH(DATE($B$3,11,1),0),NETWORKDAYS.INTL(DATE($B$3,11,16),DATE($B$3,11,16),1,'Non-working days'!$A$6:$A$45)=0),"",IF(COUNTIFS('Leave log'!$A$7:$A$306,Employees!$A$18,'Leave log'!$B$7:$B$306,"&lt;="&amp;DATE($B$3,11,16),'Leave log'!$C$7:$C$306,"&gt;="&amp;DATE($B$3,11,16),'Leave log'!$F$7:$F$306,"Approved")&gt;0,"A",""))="A","A",IF(OR(DATE($B$3,11,16)&gt;EOMONTH(DATE($B$3,11,1),0),NETWORKDAYS.INTL(DATE($B$3,11,16),DATE($B$3,11,16),1,'Non-working days'!$A$6:$A$45)=0),"",IF(COUNTIFS('Leave log'!$A$7:$A$306,Employees!$A$18,'Leave log'!$B$7:$B$306,"&lt;="&amp;DATE($B$3,11,16),'Leave log'!$C$7:$C$306,"&gt;="&amp;DATE($B$3,11,16),'Leave log'!$F$7:$F$306,"Pending")&gt;0,"P",""))))</f>
        <v/>
      </c>
      <c r="R359" s="23" t="str">
        <f>IF(A359="","",IF(IF(OR(DATE($B$3,11,17)&gt;EOMONTH(DATE($B$3,11,1),0),NETWORKDAYS.INTL(DATE($B$3,11,17),DATE($B$3,11,17),1,'Non-working days'!$A$6:$A$45)=0),"",IF(COUNTIFS('Leave log'!$A$7:$A$306,Employees!$A$18,'Leave log'!$B$7:$B$306,"&lt;="&amp;DATE($B$3,11,17),'Leave log'!$C$7:$C$306,"&gt;="&amp;DATE($B$3,11,17),'Leave log'!$F$7:$F$306,"Approved")&gt;0,"A",""))="A","A",IF(OR(DATE($B$3,11,17)&gt;EOMONTH(DATE($B$3,11,1),0),NETWORKDAYS.INTL(DATE($B$3,11,17),DATE($B$3,11,17),1,'Non-working days'!$A$6:$A$45)=0),"",IF(COUNTIFS('Leave log'!$A$7:$A$306,Employees!$A$18,'Leave log'!$B$7:$B$306,"&lt;="&amp;DATE($B$3,11,17),'Leave log'!$C$7:$C$306,"&gt;="&amp;DATE($B$3,11,17),'Leave log'!$F$7:$F$306,"Pending")&gt;0,"P",""))))</f>
        <v/>
      </c>
      <c r="S359" s="23" t="str">
        <f>IF(A359="","",IF(IF(OR(DATE($B$3,11,18)&gt;EOMONTH(DATE($B$3,11,1),0),NETWORKDAYS.INTL(DATE($B$3,11,18),DATE($B$3,11,18),1,'Non-working days'!$A$6:$A$45)=0),"",IF(COUNTIFS('Leave log'!$A$7:$A$306,Employees!$A$18,'Leave log'!$B$7:$B$306,"&lt;="&amp;DATE($B$3,11,18),'Leave log'!$C$7:$C$306,"&gt;="&amp;DATE($B$3,11,18),'Leave log'!$F$7:$F$306,"Approved")&gt;0,"A",""))="A","A",IF(OR(DATE($B$3,11,18)&gt;EOMONTH(DATE($B$3,11,1),0),NETWORKDAYS.INTL(DATE($B$3,11,18),DATE($B$3,11,18),1,'Non-working days'!$A$6:$A$45)=0),"",IF(COUNTIFS('Leave log'!$A$7:$A$306,Employees!$A$18,'Leave log'!$B$7:$B$306,"&lt;="&amp;DATE($B$3,11,18),'Leave log'!$C$7:$C$306,"&gt;="&amp;DATE($B$3,11,18),'Leave log'!$F$7:$F$306,"Pending")&gt;0,"P",""))))</f>
        <v/>
      </c>
      <c r="T359" s="23" t="str">
        <f>IF(A359="","",IF(IF(OR(DATE($B$3,11,19)&gt;EOMONTH(DATE($B$3,11,1),0),NETWORKDAYS.INTL(DATE($B$3,11,19),DATE($B$3,11,19),1,'Non-working days'!$A$6:$A$45)=0),"",IF(COUNTIFS('Leave log'!$A$7:$A$306,Employees!$A$18,'Leave log'!$B$7:$B$306,"&lt;="&amp;DATE($B$3,11,19),'Leave log'!$C$7:$C$306,"&gt;="&amp;DATE($B$3,11,19),'Leave log'!$F$7:$F$306,"Approved")&gt;0,"A",""))="A","A",IF(OR(DATE($B$3,11,19)&gt;EOMONTH(DATE($B$3,11,1),0),NETWORKDAYS.INTL(DATE($B$3,11,19),DATE($B$3,11,19),1,'Non-working days'!$A$6:$A$45)=0),"",IF(COUNTIFS('Leave log'!$A$7:$A$306,Employees!$A$18,'Leave log'!$B$7:$B$306,"&lt;="&amp;DATE($B$3,11,19),'Leave log'!$C$7:$C$306,"&gt;="&amp;DATE($B$3,11,19),'Leave log'!$F$7:$F$306,"Pending")&gt;0,"P",""))))</f>
        <v/>
      </c>
      <c r="U359" s="23" t="str">
        <f>IF(A359="","",IF(IF(OR(DATE($B$3,11,20)&gt;EOMONTH(DATE($B$3,11,1),0),NETWORKDAYS.INTL(DATE($B$3,11,20),DATE($B$3,11,20),1,'Non-working days'!$A$6:$A$45)=0),"",IF(COUNTIFS('Leave log'!$A$7:$A$306,Employees!$A$18,'Leave log'!$B$7:$B$306,"&lt;="&amp;DATE($B$3,11,20),'Leave log'!$C$7:$C$306,"&gt;="&amp;DATE($B$3,11,20),'Leave log'!$F$7:$F$306,"Approved")&gt;0,"A",""))="A","A",IF(OR(DATE($B$3,11,20)&gt;EOMONTH(DATE($B$3,11,1),0),NETWORKDAYS.INTL(DATE($B$3,11,20),DATE($B$3,11,20),1,'Non-working days'!$A$6:$A$45)=0),"",IF(COUNTIFS('Leave log'!$A$7:$A$306,Employees!$A$18,'Leave log'!$B$7:$B$306,"&lt;="&amp;DATE($B$3,11,20),'Leave log'!$C$7:$C$306,"&gt;="&amp;DATE($B$3,11,20),'Leave log'!$F$7:$F$306,"Pending")&gt;0,"P",""))))</f>
        <v/>
      </c>
      <c r="V359" s="23" t="str">
        <f>IF(A359="","",IF(IF(OR(DATE($B$3,11,21)&gt;EOMONTH(DATE($B$3,11,1),0),NETWORKDAYS.INTL(DATE($B$3,11,21),DATE($B$3,11,21),1,'Non-working days'!$A$6:$A$45)=0),"",IF(COUNTIFS('Leave log'!$A$7:$A$306,Employees!$A$18,'Leave log'!$B$7:$B$306,"&lt;="&amp;DATE($B$3,11,21),'Leave log'!$C$7:$C$306,"&gt;="&amp;DATE($B$3,11,21),'Leave log'!$F$7:$F$306,"Approved")&gt;0,"A",""))="A","A",IF(OR(DATE($B$3,11,21)&gt;EOMONTH(DATE($B$3,11,1),0),NETWORKDAYS.INTL(DATE($B$3,11,21),DATE($B$3,11,21),1,'Non-working days'!$A$6:$A$45)=0),"",IF(COUNTIFS('Leave log'!$A$7:$A$306,Employees!$A$18,'Leave log'!$B$7:$B$306,"&lt;="&amp;DATE($B$3,11,21),'Leave log'!$C$7:$C$306,"&gt;="&amp;DATE($B$3,11,21),'Leave log'!$F$7:$F$306,"Pending")&gt;0,"P",""))))</f>
        <v/>
      </c>
      <c r="W359" s="23" t="str">
        <f>IF(A359="","",IF(IF(OR(DATE($B$3,11,22)&gt;EOMONTH(DATE($B$3,11,1),0),NETWORKDAYS.INTL(DATE($B$3,11,22),DATE($B$3,11,22),1,'Non-working days'!$A$6:$A$45)=0),"",IF(COUNTIFS('Leave log'!$A$7:$A$306,Employees!$A$18,'Leave log'!$B$7:$B$306,"&lt;="&amp;DATE($B$3,11,22),'Leave log'!$C$7:$C$306,"&gt;="&amp;DATE($B$3,11,22),'Leave log'!$F$7:$F$306,"Approved")&gt;0,"A",""))="A","A",IF(OR(DATE($B$3,11,22)&gt;EOMONTH(DATE($B$3,11,1),0),NETWORKDAYS.INTL(DATE($B$3,11,22),DATE($B$3,11,22),1,'Non-working days'!$A$6:$A$45)=0),"",IF(COUNTIFS('Leave log'!$A$7:$A$306,Employees!$A$18,'Leave log'!$B$7:$B$306,"&lt;="&amp;DATE($B$3,11,22),'Leave log'!$C$7:$C$306,"&gt;="&amp;DATE($B$3,11,22),'Leave log'!$F$7:$F$306,"Pending")&gt;0,"P",""))))</f>
        <v/>
      </c>
      <c r="X359" s="23" t="str">
        <f>IF(A359="","",IF(IF(OR(DATE($B$3,11,23)&gt;EOMONTH(DATE($B$3,11,1),0),NETWORKDAYS.INTL(DATE($B$3,11,23),DATE($B$3,11,23),1,'Non-working days'!$A$6:$A$45)=0),"",IF(COUNTIFS('Leave log'!$A$7:$A$306,Employees!$A$18,'Leave log'!$B$7:$B$306,"&lt;="&amp;DATE($B$3,11,23),'Leave log'!$C$7:$C$306,"&gt;="&amp;DATE($B$3,11,23),'Leave log'!$F$7:$F$306,"Approved")&gt;0,"A",""))="A","A",IF(OR(DATE($B$3,11,23)&gt;EOMONTH(DATE($B$3,11,1),0),NETWORKDAYS.INTL(DATE($B$3,11,23),DATE($B$3,11,23),1,'Non-working days'!$A$6:$A$45)=0),"",IF(COUNTIFS('Leave log'!$A$7:$A$306,Employees!$A$18,'Leave log'!$B$7:$B$306,"&lt;="&amp;DATE($B$3,11,23),'Leave log'!$C$7:$C$306,"&gt;="&amp;DATE($B$3,11,23),'Leave log'!$F$7:$F$306,"Pending")&gt;0,"P",""))))</f>
        <v/>
      </c>
      <c r="Y359" s="23" t="str">
        <f>IF(A359="","",IF(IF(OR(DATE($B$3,11,24)&gt;EOMONTH(DATE($B$3,11,1),0),NETWORKDAYS.INTL(DATE($B$3,11,24),DATE($B$3,11,24),1,'Non-working days'!$A$6:$A$45)=0),"",IF(COUNTIFS('Leave log'!$A$7:$A$306,Employees!$A$18,'Leave log'!$B$7:$B$306,"&lt;="&amp;DATE($B$3,11,24),'Leave log'!$C$7:$C$306,"&gt;="&amp;DATE($B$3,11,24),'Leave log'!$F$7:$F$306,"Approved")&gt;0,"A",""))="A","A",IF(OR(DATE($B$3,11,24)&gt;EOMONTH(DATE($B$3,11,1),0),NETWORKDAYS.INTL(DATE($B$3,11,24),DATE($B$3,11,24),1,'Non-working days'!$A$6:$A$45)=0),"",IF(COUNTIFS('Leave log'!$A$7:$A$306,Employees!$A$18,'Leave log'!$B$7:$B$306,"&lt;="&amp;DATE($B$3,11,24),'Leave log'!$C$7:$C$306,"&gt;="&amp;DATE($B$3,11,24),'Leave log'!$F$7:$F$306,"Pending")&gt;0,"P",""))))</f>
        <v/>
      </c>
      <c r="Z359" s="23" t="str">
        <f>IF(A359="","",IF(IF(OR(DATE($B$3,11,25)&gt;EOMONTH(DATE($B$3,11,1),0),NETWORKDAYS.INTL(DATE($B$3,11,25),DATE($B$3,11,25),1,'Non-working days'!$A$6:$A$45)=0),"",IF(COUNTIFS('Leave log'!$A$7:$A$306,Employees!$A$18,'Leave log'!$B$7:$B$306,"&lt;="&amp;DATE($B$3,11,25),'Leave log'!$C$7:$C$306,"&gt;="&amp;DATE($B$3,11,25),'Leave log'!$F$7:$F$306,"Approved")&gt;0,"A",""))="A","A",IF(OR(DATE($B$3,11,25)&gt;EOMONTH(DATE($B$3,11,1),0),NETWORKDAYS.INTL(DATE($B$3,11,25),DATE($B$3,11,25),1,'Non-working days'!$A$6:$A$45)=0),"",IF(COUNTIFS('Leave log'!$A$7:$A$306,Employees!$A$18,'Leave log'!$B$7:$B$306,"&lt;="&amp;DATE($B$3,11,25),'Leave log'!$C$7:$C$306,"&gt;="&amp;DATE($B$3,11,25),'Leave log'!$F$7:$F$306,"Pending")&gt;0,"P",""))))</f>
        <v/>
      </c>
      <c r="AA359" s="23" t="str">
        <f>IF(A359="","",IF(IF(OR(DATE($B$3,11,26)&gt;EOMONTH(DATE($B$3,11,1),0),NETWORKDAYS.INTL(DATE($B$3,11,26),DATE($B$3,11,26),1,'Non-working days'!$A$6:$A$45)=0),"",IF(COUNTIFS('Leave log'!$A$7:$A$306,Employees!$A$18,'Leave log'!$B$7:$B$306,"&lt;="&amp;DATE($B$3,11,26),'Leave log'!$C$7:$C$306,"&gt;="&amp;DATE($B$3,11,26),'Leave log'!$F$7:$F$306,"Approved")&gt;0,"A",""))="A","A",IF(OR(DATE($B$3,11,26)&gt;EOMONTH(DATE($B$3,11,1),0),NETWORKDAYS.INTL(DATE($B$3,11,26),DATE($B$3,11,26),1,'Non-working days'!$A$6:$A$45)=0),"",IF(COUNTIFS('Leave log'!$A$7:$A$306,Employees!$A$18,'Leave log'!$B$7:$B$306,"&lt;="&amp;DATE($B$3,11,26),'Leave log'!$C$7:$C$306,"&gt;="&amp;DATE($B$3,11,26),'Leave log'!$F$7:$F$306,"Pending")&gt;0,"P",""))))</f>
        <v/>
      </c>
      <c r="AB359" s="23" t="str">
        <f>IF(A359="","",IF(IF(OR(DATE($B$3,11,27)&gt;EOMONTH(DATE($B$3,11,1),0),NETWORKDAYS.INTL(DATE($B$3,11,27),DATE($B$3,11,27),1,'Non-working days'!$A$6:$A$45)=0),"",IF(COUNTIFS('Leave log'!$A$7:$A$306,Employees!$A$18,'Leave log'!$B$7:$B$306,"&lt;="&amp;DATE($B$3,11,27),'Leave log'!$C$7:$C$306,"&gt;="&amp;DATE($B$3,11,27),'Leave log'!$F$7:$F$306,"Approved")&gt;0,"A",""))="A","A",IF(OR(DATE($B$3,11,27)&gt;EOMONTH(DATE($B$3,11,1),0),NETWORKDAYS.INTL(DATE($B$3,11,27),DATE($B$3,11,27),1,'Non-working days'!$A$6:$A$45)=0),"",IF(COUNTIFS('Leave log'!$A$7:$A$306,Employees!$A$18,'Leave log'!$B$7:$B$306,"&lt;="&amp;DATE($B$3,11,27),'Leave log'!$C$7:$C$306,"&gt;="&amp;DATE($B$3,11,27),'Leave log'!$F$7:$F$306,"Pending")&gt;0,"P",""))))</f>
        <v/>
      </c>
      <c r="AC359" s="23" t="str">
        <f>IF(A359="","",IF(IF(OR(DATE($B$3,11,28)&gt;EOMONTH(DATE($B$3,11,1),0),NETWORKDAYS.INTL(DATE($B$3,11,28),DATE($B$3,11,28),1,'Non-working days'!$A$6:$A$45)=0),"",IF(COUNTIFS('Leave log'!$A$7:$A$306,Employees!$A$18,'Leave log'!$B$7:$B$306,"&lt;="&amp;DATE($B$3,11,28),'Leave log'!$C$7:$C$306,"&gt;="&amp;DATE($B$3,11,28),'Leave log'!$F$7:$F$306,"Approved")&gt;0,"A",""))="A","A",IF(OR(DATE($B$3,11,28)&gt;EOMONTH(DATE($B$3,11,1),0),NETWORKDAYS.INTL(DATE($B$3,11,28),DATE($B$3,11,28),1,'Non-working days'!$A$6:$A$45)=0),"",IF(COUNTIFS('Leave log'!$A$7:$A$306,Employees!$A$18,'Leave log'!$B$7:$B$306,"&lt;="&amp;DATE($B$3,11,28),'Leave log'!$C$7:$C$306,"&gt;="&amp;DATE($B$3,11,28),'Leave log'!$F$7:$F$306,"Pending")&gt;0,"P",""))))</f>
        <v/>
      </c>
      <c r="AD359" s="23" t="str">
        <f>IF(A359="","",IF(IF(OR(DATE($B$3,11,29)&gt;EOMONTH(DATE($B$3,11,1),0),NETWORKDAYS.INTL(DATE($B$3,11,29),DATE($B$3,11,29),1,'Non-working days'!$A$6:$A$45)=0),"",IF(COUNTIFS('Leave log'!$A$7:$A$306,Employees!$A$18,'Leave log'!$B$7:$B$306,"&lt;="&amp;DATE($B$3,11,29),'Leave log'!$C$7:$C$306,"&gt;="&amp;DATE($B$3,11,29),'Leave log'!$F$7:$F$306,"Approved")&gt;0,"A",""))="A","A",IF(OR(DATE($B$3,11,29)&gt;EOMONTH(DATE($B$3,11,1),0),NETWORKDAYS.INTL(DATE($B$3,11,29),DATE($B$3,11,29),1,'Non-working days'!$A$6:$A$45)=0),"",IF(COUNTIFS('Leave log'!$A$7:$A$306,Employees!$A$18,'Leave log'!$B$7:$B$306,"&lt;="&amp;DATE($B$3,11,29),'Leave log'!$C$7:$C$306,"&gt;="&amp;DATE($B$3,11,29),'Leave log'!$F$7:$F$306,"Pending")&gt;0,"P",""))))</f>
        <v/>
      </c>
      <c r="AE359" s="23" t="str">
        <f>IF(A359="","",IF(IF(OR(DATE($B$3,11,30)&gt;EOMONTH(DATE($B$3,11,1),0),NETWORKDAYS.INTL(DATE($B$3,11,30),DATE($B$3,11,30),1,'Non-working days'!$A$6:$A$45)=0),"",IF(COUNTIFS('Leave log'!$A$7:$A$306,Employees!$A$18,'Leave log'!$B$7:$B$306,"&lt;="&amp;DATE($B$3,11,30),'Leave log'!$C$7:$C$306,"&gt;="&amp;DATE($B$3,11,30),'Leave log'!$F$7:$F$306,"Approved")&gt;0,"A",""))="A","A",IF(OR(DATE($B$3,11,30)&gt;EOMONTH(DATE($B$3,11,1),0),NETWORKDAYS.INTL(DATE($B$3,11,30),DATE($B$3,11,30),1,'Non-working days'!$A$6:$A$45)=0),"",IF(COUNTIFS('Leave log'!$A$7:$A$306,Employees!$A$18,'Leave log'!$B$7:$B$306,"&lt;="&amp;DATE($B$3,11,30),'Leave log'!$C$7:$C$306,"&gt;="&amp;DATE($B$3,11,30),'Leave log'!$F$7:$F$306,"Pending")&gt;0,"P",""))))</f>
        <v/>
      </c>
      <c r="AF359" s="23" t="str">
        <f>IF(A359="","",IF(IF(OR(DATE($B$3,11,31)&gt;EOMONTH(DATE($B$3,11,1),0),NETWORKDAYS.INTL(DATE($B$3,11,31),DATE($B$3,11,31),1,'Non-working days'!$A$6:$A$45)=0),"",IF(COUNTIFS('Leave log'!$A$7:$A$306,Employees!$A$18,'Leave log'!$B$7:$B$306,"&lt;="&amp;DATE($B$3,11,31),'Leave log'!$C$7:$C$306,"&gt;="&amp;DATE($B$3,11,31),'Leave log'!$F$7:$F$306,"Approved")&gt;0,"A",""))="A","A",IF(OR(DATE($B$3,11,31)&gt;EOMONTH(DATE($B$3,11,1),0),NETWORKDAYS.INTL(DATE($B$3,11,31),DATE($B$3,11,31),1,'Non-working days'!$A$6:$A$45)=0),"",IF(COUNTIFS('Leave log'!$A$7:$A$306,Employees!$A$18,'Leave log'!$B$7:$B$306,"&lt;="&amp;DATE($B$3,11,31),'Leave log'!$C$7:$C$306,"&gt;="&amp;DATE($B$3,11,31),'Leave log'!$F$7:$F$306,"Pending")&gt;0,"P",""))))</f>
        <v/>
      </c>
    </row>
    <row r="360" spans="1:32" ht="18" customHeight="1" x14ac:dyDescent="0.3">
      <c r="A360" s="22" t="str">
        <f>IF(Employees!F19="Yes",Employees!B19,"")</f>
        <v/>
      </c>
      <c r="B360" s="23" t="str">
        <f>IF(A360="","",IF(IF(OR(DATE($B$3,11,1)&gt;EOMONTH(DATE($B$3,11,1),0),NETWORKDAYS.INTL(DATE($B$3,11,1),DATE($B$3,11,1),1,'Non-working days'!$A$6:$A$45)=0),"",IF(COUNTIFS('Leave log'!$A$7:$A$306,Employees!$A$19,'Leave log'!$B$7:$B$306,"&lt;="&amp;DATE($B$3,11,1),'Leave log'!$C$7:$C$306,"&gt;="&amp;DATE($B$3,11,1),'Leave log'!$F$7:$F$306,"Approved")&gt;0,"A",""))="A","A",IF(OR(DATE($B$3,11,1)&gt;EOMONTH(DATE($B$3,11,1),0),NETWORKDAYS.INTL(DATE($B$3,11,1),DATE($B$3,11,1),1,'Non-working days'!$A$6:$A$45)=0),"",IF(COUNTIFS('Leave log'!$A$7:$A$306,Employees!$A$19,'Leave log'!$B$7:$B$306,"&lt;="&amp;DATE($B$3,11,1),'Leave log'!$C$7:$C$306,"&gt;="&amp;DATE($B$3,11,1),'Leave log'!$F$7:$F$306,"Pending")&gt;0,"P",""))))</f>
        <v/>
      </c>
      <c r="C360" s="23" t="str">
        <f>IF(A360="","",IF(IF(OR(DATE($B$3,11,2)&gt;EOMONTH(DATE($B$3,11,1),0),NETWORKDAYS.INTL(DATE($B$3,11,2),DATE($B$3,11,2),1,'Non-working days'!$A$6:$A$45)=0),"",IF(COUNTIFS('Leave log'!$A$7:$A$306,Employees!$A$19,'Leave log'!$B$7:$B$306,"&lt;="&amp;DATE($B$3,11,2),'Leave log'!$C$7:$C$306,"&gt;="&amp;DATE($B$3,11,2),'Leave log'!$F$7:$F$306,"Approved")&gt;0,"A",""))="A","A",IF(OR(DATE($B$3,11,2)&gt;EOMONTH(DATE($B$3,11,1),0),NETWORKDAYS.INTL(DATE($B$3,11,2),DATE($B$3,11,2),1,'Non-working days'!$A$6:$A$45)=0),"",IF(COUNTIFS('Leave log'!$A$7:$A$306,Employees!$A$19,'Leave log'!$B$7:$B$306,"&lt;="&amp;DATE($B$3,11,2),'Leave log'!$C$7:$C$306,"&gt;="&amp;DATE($B$3,11,2),'Leave log'!$F$7:$F$306,"Pending")&gt;0,"P",""))))</f>
        <v/>
      </c>
      <c r="D360" s="23" t="str">
        <f>IF(A360="","",IF(IF(OR(DATE($B$3,11,3)&gt;EOMONTH(DATE($B$3,11,1),0),NETWORKDAYS.INTL(DATE($B$3,11,3),DATE($B$3,11,3),1,'Non-working days'!$A$6:$A$45)=0),"",IF(COUNTIFS('Leave log'!$A$7:$A$306,Employees!$A$19,'Leave log'!$B$7:$B$306,"&lt;="&amp;DATE($B$3,11,3),'Leave log'!$C$7:$C$306,"&gt;="&amp;DATE($B$3,11,3),'Leave log'!$F$7:$F$306,"Approved")&gt;0,"A",""))="A","A",IF(OR(DATE($B$3,11,3)&gt;EOMONTH(DATE($B$3,11,1),0),NETWORKDAYS.INTL(DATE($B$3,11,3),DATE($B$3,11,3),1,'Non-working days'!$A$6:$A$45)=0),"",IF(COUNTIFS('Leave log'!$A$7:$A$306,Employees!$A$19,'Leave log'!$B$7:$B$306,"&lt;="&amp;DATE($B$3,11,3),'Leave log'!$C$7:$C$306,"&gt;="&amp;DATE($B$3,11,3),'Leave log'!$F$7:$F$306,"Pending")&gt;0,"P",""))))</f>
        <v/>
      </c>
      <c r="E360" s="23" t="str">
        <f>IF(A360="","",IF(IF(OR(DATE($B$3,11,4)&gt;EOMONTH(DATE($B$3,11,1),0),NETWORKDAYS.INTL(DATE($B$3,11,4),DATE($B$3,11,4),1,'Non-working days'!$A$6:$A$45)=0),"",IF(COUNTIFS('Leave log'!$A$7:$A$306,Employees!$A$19,'Leave log'!$B$7:$B$306,"&lt;="&amp;DATE($B$3,11,4),'Leave log'!$C$7:$C$306,"&gt;="&amp;DATE($B$3,11,4),'Leave log'!$F$7:$F$306,"Approved")&gt;0,"A",""))="A","A",IF(OR(DATE($B$3,11,4)&gt;EOMONTH(DATE($B$3,11,1),0),NETWORKDAYS.INTL(DATE($B$3,11,4),DATE($B$3,11,4),1,'Non-working days'!$A$6:$A$45)=0),"",IF(COUNTIFS('Leave log'!$A$7:$A$306,Employees!$A$19,'Leave log'!$B$7:$B$306,"&lt;="&amp;DATE($B$3,11,4),'Leave log'!$C$7:$C$306,"&gt;="&amp;DATE($B$3,11,4),'Leave log'!$F$7:$F$306,"Pending")&gt;0,"P",""))))</f>
        <v/>
      </c>
      <c r="F360" s="23" t="str">
        <f>IF(A360="","",IF(IF(OR(DATE($B$3,11,5)&gt;EOMONTH(DATE($B$3,11,1),0),NETWORKDAYS.INTL(DATE($B$3,11,5),DATE($B$3,11,5),1,'Non-working days'!$A$6:$A$45)=0),"",IF(COUNTIFS('Leave log'!$A$7:$A$306,Employees!$A$19,'Leave log'!$B$7:$B$306,"&lt;="&amp;DATE($B$3,11,5),'Leave log'!$C$7:$C$306,"&gt;="&amp;DATE($B$3,11,5),'Leave log'!$F$7:$F$306,"Approved")&gt;0,"A",""))="A","A",IF(OR(DATE($B$3,11,5)&gt;EOMONTH(DATE($B$3,11,1),0),NETWORKDAYS.INTL(DATE($B$3,11,5),DATE($B$3,11,5),1,'Non-working days'!$A$6:$A$45)=0),"",IF(COUNTIFS('Leave log'!$A$7:$A$306,Employees!$A$19,'Leave log'!$B$7:$B$306,"&lt;="&amp;DATE($B$3,11,5),'Leave log'!$C$7:$C$306,"&gt;="&amp;DATE($B$3,11,5),'Leave log'!$F$7:$F$306,"Pending")&gt;0,"P",""))))</f>
        <v/>
      </c>
      <c r="G360" s="23" t="str">
        <f>IF(A360="","",IF(IF(OR(DATE($B$3,11,6)&gt;EOMONTH(DATE($B$3,11,1),0),NETWORKDAYS.INTL(DATE($B$3,11,6),DATE($B$3,11,6),1,'Non-working days'!$A$6:$A$45)=0),"",IF(COUNTIFS('Leave log'!$A$7:$A$306,Employees!$A$19,'Leave log'!$B$7:$B$306,"&lt;="&amp;DATE($B$3,11,6),'Leave log'!$C$7:$C$306,"&gt;="&amp;DATE($B$3,11,6),'Leave log'!$F$7:$F$306,"Approved")&gt;0,"A",""))="A","A",IF(OR(DATE($B$3,11,6)&gt;EOMONTH(DATE($B$3,11,1),0),NETWORKDAYS.INTL(DATE($B$3,11,6),DATE($B$3,11,6),1,'Non-working days'!$A$6:$A$45)=0),"",IF(COUNTIFS('Leave log'!$A$7:$A$306,Employees!$A$19,'Leave log'!$B$7:$B$306,"&lt;="&amp;DATE($B$3,11,6),'Leave log'!$C$7:$C$306,"&gt;="&amp;DATE($B$3,11,6),'Leave log'!$F$7:$F$306,"Pending")&gt;0,"P",""))))</f>
        <v/>
      </c>
      <c r="H360" s="23" t="str">
        <f>IF(A360="","",IF(IF(OR(DATE($B$3,11,7)&gt;EOMONTH(DATE($B$3,11,1),0),NETWORKDAYS.INTL(DATE($B$3,11,7),DATE($B$3,11,7),1,'Non-working days'!$A$6:$A$45)=0),"",IF(COUNTIFS('Leave log'!$A$7:$A$306,Employees!$A$19,'Leave log'!$B$7:$B$306,"&lt;="&amp;DATE($B$3,11,7),'Leave log'!$C$7:$C$306,"&gt;="&amp;DATE($B$3,11,7),'Leave log'!$F$7:$F$306,"Approved")&gt;0,"A",""))="A","A",IF(OR(DATE($B$3,11,7)&gt;EOMONTH(DATE($B$3,11,1),0),NETWORKDAYS.INTL(DATE($B$3,11,7),DATE($B$3,11,7),1,'Non-working days'!$A$6:$A$45)=0),"",IF(COUNTIFS('Leave log'!$A$7:$A$306,Employees!$A$19,'Leave log'!$B$7:$B$306,"&lt;="&amp;DATE($B$3,11,7),'Leave log'!$C$7:$C$306,"&gt;="&amp;DATE($B$3,11,7),'Leave log'!$F$7:$F$306,"Pending")&gt;0,"P",""))))</f>
        <v/>
      </c>
      <c r="I360" s="23" t="str">
        <f>IF(A360="","",IF(IF(OR(DATE($B$3,11,8)&gt;EOMONTH(DATE($B$3,11,1),0),NETWORKDAYS.INTL(DATE($B$3,11,8),DATE($B$3,11,8),1,'Non-working days'!$A$6:$A$45)=0),"",IF(COUNTIFS('Leave log'!$A$7:$A$306,Employees!$A$19,'Leave log'!$B$7:$B$306,"&lt;="&amp;DATE($B$3,11,8),'Leave log'!$C$7:$C$306,"&gt;="&amp;DATE($B$3,11,8),'Leave log'!$F$7:$F$306,"Approved")&gt;0,"A",""))="A","A",IF(OR(DATE($B$3,11,8)&gt;EOMONTH(DATE($B$3,11,1),0),NETWORKDAYS.INTL(DATE($B$3,11,8),DATE($B$3,11,8),1,'Non-working days'!$A$6:$A$45)=0),"",IF(COUNTIFS('Leave log'!$A$7:$A$306,Employees!$A$19,'Leave log'!$B$7:$B$306,"&lt;="&amp;DATE($B$3,11,8),'Leave log'!$C$7:$C$306,"&gt;="&amp;DATE($B$3,11,8),'Leave log'!$F$7:$F$306,"Pending")&gt;0,"P",""))))</f>
        <v/>
      </c>
      <c r="J360" s="23" t="str">
        <f>IF(A360="","",IF(IF(OR(DATE($B$3,11,9)&gt;EOMONTH(DATE($B$3,11,1),0),NETWORKDAYS.INTL(DATE($B$3,11,9),DATE($B$3,11,9),1,'Non-working days'!$A$6:$A$45)=0),"",IF(COUNTIFS('Leave log'!$A$7:$A$306,Employees!$A$19,'Leave log'!$B$7:$B$306,"&lt;="&amp;DATE($B$3,11,9),'Leave log'!$C$7:$C$306,"&gt;="&amp;DATE($B$3,11,9),'Leave log'!$F$7:$F$306,"Approved")&gt;0,"A",""))="A","A",IF(OR(DATE($B$3,11,9)&gt;EOMONTH(DATE($B$3,11,1),0),NETWORKDAYS.INTL(DATE($B$3,11,9),DATE($B$3,11,9),1,'Non-working days'!$A$6:$A$45)=0),"",IF(COUNTIFS('Leave log'!$A$7:$A$306,Employees!$A$19,'Leave log'!$B$7:$B$306,"&lt;="&amp;DATE($B$3,11,9),'Leave log'!$C$7:$C$306,"&gt;="&amp;DATE($B$3,11,9),'Leave log'!$F$7:$F$306,"Pending")&gt;0,"P",""))))</f>
        <v/>
      </c>
      <c r="K360" s="23" t="str">
        <f>IF(A360="","",IF(IF(OR(DATE($B$3,11,10)&gt;EOMONTH(DATE($B$3,11,1),0),NETWORKDAYS.INTL(DATE($B$3,11,10),DATE($B$3,11,10),1,'Non-working days'!$A$6:$A$45)=0),"",IF(COUNTIFS('Leave log'!$A$7:$A$306,Employees!$A$19,'Leave log'!$B$7:$B$306,"&lt;="&amp;DATE($B$3,11,10),'Leave log'!$C$7:$C$306,"&gt;="&amp;DATE($B$3,11,10),'Leave log'!$F$7:$F$306,"Approved")&gt;0,"A",""))="A","A",IF(OR(DATE($B$3,11,10)&gt;EOMONTH(DATE($B$3,11,1),0),NETWORKDAYS.INTL(DATE($B$3,11,10),DATE($B$3,11,10),1,'Non-working days'!$A$6:$A$45)=0),"",IF(COUNTIFS('Leave log'!$A$7:$A$306,Employees!$A$19,'Leave log'!$B$7:$B$306,"&lt;="&amp;DATE($B$3,11,10),'Leave log'!$C$7:$C$306,"&gt;="&amp;DATE($B$3,11,10),'Leave log'!$F$7:$F$306,"Pending")&gt;0,"P",""))))</f>
        <v/>
      </c>
      <c r="L360" s="23" t="str">
        <f>IF(A360="","",IF(IF(OR(DATE($B$3,11,11)&gt;EOMONTH(DATE($B$3,11,1),0),NETWORKDAYS.INTL(DATE($B$3,11,11),DATE($B$3,11,11),1,'Non-working days'!$A$6:$A$45)=0),"",IF(COUNTIFS('Leave log'!$A$7:$A$306,Employees!$A$19,'Leave log'!$B$7:$B$306,"&lt;="&amp;DATE($B$3,11,11),'Leave log'!$C$7:$C$306,"&gt;="&amp;DATE($B$3,11,11),'Leave log'!$F$7:$F$306,"Approved")&gt;0,"A",""))="A","A",IF(OR(DATE($B$3,11,11)&gt;EOMONTH(DATE($B$3,11,1),0),NETWORKDAYS.INTL(DATE($B$3,11,11),DATE($B$3,11,11),1,'Non-working days'!$A$6:$A$45)=0),"",IF(COUNTIFS('Leave log'!$A$7:$A$306,Employees!$A$19,'Leave log'!$B$7:$B$306,"&lt;="&amp;DATE($B$3,11,11),'Leave log'!$C$7:$C$306,"&gt;="&amp;DATE($B$3,11,11),'Leave log'!$F$7:$F$306,"Pending")&gt;0,"P",""))))</f>
        <v/>
      </c>
      <c r="M360" s="23" t="str">
        <f>IF(A360="","",IF(IF(OR(DATE($B$3,11,12)&gt;EOMONTH(DATE($B$3,11,1),0),NETWORKDAYS.INTL(DATE($B$3,11,12),DATE($B$3,11,12),1,'Non-working days'!$A$6:$A$45)=0),"",IF(COUNTIFS('Leave log'!$A$7:$A$306,Employees!$A$19,'Leave log'!$B$7:$B$306,"&lt;="&amp;DATE($B$3,11,12),'Leave log'!$C$7:$C$306,"&gt;="&amp;DATE($B$3,11,12),'Leave log'!$F$7:$F$306,"Approved")&gt;0,"A",""))="A","A",IF(OR(DATE($B$3,11,12)&gt;EOMONTH(DATE($B$3,11,1),0),NETWORKDAYS.INTL(DATE($B$3,11,12),DATE($B$3,11,12),1,'Non-working days'!$A$6:$A$45)=0),"",IF(COUNTIFS('Leave log'!$A$7:$A$306,Employees!$A$19,'Leave log'!$B$7:$B$306,"&lt;="&amp;DATE($B$3,11,12),'Leave log'!$C$7:$C$306,"&gt;="&amp;DATE($B$3,11,12),'Leave log'!$F$7:$F$306,"Pending")&gt;0,"P",""))))</f>
        <v/>
      </c>
      <c r="N360" s="23" t="str">
        <f>IF(A360="","",IF(IF(OR(DATE($B$3,11,13)&gt;EOMONTH(DATE($B$3,11,1),0),NETWORKDAYS.INTL(DATE($B$3,11,13),DATE($B$3,11,13),1,'Non-working days'!$A$6:$A$45)=0),"",IF(COUNTIFS('Leave log'!$A$7:$A$306,Employees!$A$19,'Leave log'!$B$7:$B$306,"&lt;="&amp;DATE($B$3,11,13),'Leave log'!$C$7:$C$306,"&gt;="&amp;DATE($B$3,11,13),'Leave log'!$F$7:$F$306,"Approved")&gt;0,"A",""))="A","A",IF(OR(DATE($B$3,11,13)&gt;EOMONTH(DATE($B$3,11,1),0),NETWORKDAYS.INTL(DATE($B$3,11,13),DATE($B$3,11,13),1,'Non-working days'!$A$6:$A$45)=0),"",IF(COUNTIFS('Leave log'!$A$7:$A$306,Employees!$A$19,'Leave log'!$B$7:$B$306,"&lt;="&amp;DATE($B$3,11,13),'Leave log'!$C$7:$C$306,"&gt;="&amp;DATE($B$3,11,13),'Leave log'!$F$7:$F$306,"Pending")&gt;0,"P",""))))</f>
        <v/>
      </c>
      <c r="O360" s="23" t="str">
        <f>IF(A360="","",IF(IF(OR(DATE($B$3,11,14)&gt;EOMONTH(DATE($B$3,11,1),0),NETWORKDAYS.INTL(DATE($B$3,11,14),DATE($B$3,11,14),1,'Non-working days'!$A$6:$A$45)=0),"",IF(COUNTIFS('Leave log'!$A$7:$A$306,Employees!$A$19,'Leave log'!$B$7:$B$306,"&lt;="&amp;DATE($B$3,11,14),'Leave log'!$C$7:$C$306,"&gt;="&amp;DATE($B$3,11,14),'Leave log'!$F$7:$F$306,"Approved")&gt;0,"A",""))="A","A",IF(OR(DATE($B$3,11,14)&gt;EOMONTH(DATE($B$3,11,1),0),NETWORKDAYS.INTL(DATE($B$3,11,14),DATE($B$3,11,14),1,'Non-working days'!$A$6:$A$45)=0),"",IF(COUNTIFS('Leave log'!$A$7:$A$306,Employees!$A$19,'Leave log'!$B$7:$B$306,"&lt;="&amp;DATE($B$3,11,14),'Leave log'!$C$7:$C$306,"&gt;="&amp;DATE($B$3,11,14),'Leave log'!$F$7:$F$306,"Pending")&gt;0,"P",""))))</f>
        <v/>
      </c>
      <c r="P360" s="23" t="str">
        <f>IF(A360="","",IF(IF(OR(DATE($B$3,11,15)&gt;EOMONTH(DATE($B$3,11,1),0),NETWORKDAYS.INTL(DATE($B$3,11,15),DATE($B$3,11,15),1,'Non-working days'!$A$6:$A$45)=0),"",IF(COUNTIFS('Leave log'!$A$7:$A$306,Employees!$A$19,'Leave log'!$B$7:$B$306,"&lt;="&amp;DATE($B$3,11,15),'Leave log'!$C$7:$C$306,"&gt;="&amp;DATE($B$3,11,15),'Leave log'!$F$7:$F$306,"Approved")&gt;0,"A",""))="A","A",IF(OR(DATE($B$3,11,15)&gt;EOMONTH(DATE($B$3,11,1),0),NETWORKDAYS.INTL(DATE($B$3,11,15),DATE($B$3,11,15),1,'Non-working days'!$A$6:$A$45)=0),"",IF(COUNTIFS('Leave log'!$A$7:$A$306,Employees!$A$19,'Leave log'!$B$7:$B$306,"&lt;="&amp;DATE($B$3,11,15),'Leave log'!$C$7:$C$306,"&gt;="&amp;DATE($B$3,11,15),'Leave log'!$F$7:$F$306,"Pending")&gt;0,"P",""))))</f>
        <v/>
      </c>
      <c r="Q360" s="23" t="str">
        <f>IF(A360="","",IF(IF(OR(DATE($B$3,11,16)&gt;EOMONTH(DATE($B$3,11,1),0),NETWORKDAYS.INTL(DATE($B$3,11,16),DATE($B$3,11,16),1,'Non-working days'!$A$6:$A$45)=0),"",IF(COUNTIFS('Leave log'!$A$7:$A$306,Employees!$A$19,'Leave log'!$B$7:$B$306,"&lt;="&amp;DATE($B$3,11,16),'Leave log'!$C$7:$C$306,"&gt;="&amp;DATE($B$3,11,16),'Leave log'!$F$7:$F$306,"Approved")&gt;0,"A",""))="A","A",IF(OR(DATE($B$3,11,16)&gt;EOMONTH(DATE($B$3,11,1),0),NETWORKDAYS.INTL(DATE($B$3,11,16),DATE($B$3,11,16),1,'Non-working days'!$A$6:$A$45)=0),"",IF(COUNTIFS('Leave log'!$A$7:$A$306,Employees!$A$19,'Leave log'!$B$7:$B$306,"&lt;="&amp;DATE($B$3,11,16),'Leave log'!$C$7:$C$306,"&gt;="&amp;DATE($B$3,11,16),'Leave log'!$F$7:$F$306,"Pending")&gt;0,"P",""))))</f>
        <v/>
      </c>
      <c r="R360" s="23" t="str">
        <f>IF(A360="","",IF(IF(OR(DATE($B$3,11,17)&gt;EOMONTH(DATE($B$3,11,1),0),NETWORKDAYS.INTL(DATE($B$3,11,17),DATE($B$3,11,17),1,'Non-working days'!$A$6:$A$45)=0),"",IF(COUNTIFS('Leave log'!$A$7:$A$306,Employees!$A$19,'Leave log'!$B$7:$B$306,"&lt;="&amp;DATE($B$3,11,17),'Leave log'!$C$7:$C$306,"&gt;="&amp;DATE($B$3,11,17),'Leave log'!$F$7:$F$306,"Approved")&gt;0,"A",""))="A","A",IF(OR(DATE($B$3,11,17)&gt;EOMONTH(DATE($B$3,11,1),0),NETWORKDAYS.INTL(DATE($B$3,11,17),DATE($B$3,11,17),1,'Non-working days'!$A$6:$A$45)=0),"",IF(COUNTIFS('Leave log'!$A$7:$A$306,Employees!$A$19,'Leave log'!$B$7:$B$306,"&lt;="&amp;DATE($B$3,11,17),'Leave log'!$C$7:$C$306,"&gt;="&amp;DATE($B$3,11,17),'Leave log'!$F$7:$F$306,"Pending")&gt;0,"P",""))))</f>
        <v/>
      </c>
      <c r="S360" s="23" t="str">
        <f>IF(A360="","",IF(IF(OR(DATE($B$3,11,18)&gt;EOMONTH(DATE($B$3,11,1),0),NETWORKDAYS.INTL(DATE($B$3,11,18),DATE($B$3,11,18),1,'Non-working days'!$A$6:$A$45)=0),"",IF(COUNTIFS('Leave log'!$A$7:$A$306,Employees!$A$19,'Leave log'!$B$7:$B$306,"&lt;="&amp;DATE($B$3,11,18),'Leave log'!$C$7:$C$306,"&gt;="&amp;DATE($B$3,11,18),'Leave log'!$F$7:$F$306,"Approved")&gt;0,"A",""))="A","A",IF(OR(DATE($B$3,11,18)&gt;EOMONTH(DATE($B$3,11,1),0),NETWORKDAYS.INTL(DATE($B$3,11,18),DATE($B$3,11,18),1,'Non-working days'!$A$6:$A$45)=0),"",IF(COUNTIFS('Leave log'!$A$7:$A$306,Employees!$A$19,'Leave log'!$B$7:$B$306,"&lt;="&amp;DATE($B$3,11,18),'Leave log'!$C$7:$C$306,"&gt;="&amp;DATE($B$3,11,18),'Leave log'!$F$7:$F$306,"Pending")&gt;0,"P",""))))</f>
        <v/>
      </c>
      <c r="T360" s="23" t="str">
        <f>IF(A360="","",IF(IF(OR(DATE($B$3,11,19)&gt;EOMONTH(DATE($B$3,11,1),0),NETWORKDAYS.INTL(DATE($B$3,11,19),DATE($B$3,11,19),1,'Non-working days'!$A$6:$A$45)=0),"",IF(COUNTIFS('Leave log'!$A$7:$A$306,Employees!$A$19,'Leave log'!$B$7:$B$306,"&lt;="&amp;DATE($B$3,11,19),'Leave log'!$C$7:$C$306,"&gt;="&amp;DATE($B$3,11,19),'Leave log'!$F$7:$F$306,"Approved")&gt;0,"A",""))="A","A",IF(OR(DATE($B$3,11,19)&gt;EOMONTH(DATE($B$3,11,1),0),NETWORKDAYS.INTL(DATE($B$3,11,19),DATE($B$3,11,19),1,'Non-working days'!$A$6:$A$45)=0),"",IF(COUNTIFS('Leave log'!$A$7:$A$306,Employees!$A$19,'Leave log'!$B$7:$B$306,"&lt;="&amp;DATE($B$3,11,19),'Leave log'!$C$7:$C$306,"&gt;="&amp;DATE($B$3,11,19),'Leave log'!$F$7:$F$306,"Pending")&gt;0,"P",""))))</f>
        <v/>
      </c>
      <c r="U360" s="23" t="str">
        <f>IF(A360="","",IF(IF(OR(DATE($B$3,11,20)&gt;EOMONTH(DATE($B$3,11,1),0),NETWORKDAYS.INTL(DATE($B$3,11,20),DATE($B$3,11,20),1,'Non-working days'!$A$6:$A$45)=0),"",IF(COUNTIFS('Leave log'!$A$7:$A$306,Employees!$A$19,'Leave log'!$B$7:$B$306,"&lt;="&amp;DATE($B$3,11,20),'Leave log'!$C$7:$C$306,"&gt;="&amp;DATE($B$3,11,20),'Leave log'!$F$7:$F$306,"Approved")&gt;0,"A",""))="A","A",IF(OR(DATE($B$3,11,20)&gt;EOMONTH(DATE($B$3,11,1),0),NETWORKDAYS.INTL(DATE($B$3,11,20),DATE($B$3,11,20),1,'Non-working days'!$A$6:$A$45)=0),"",IF(COUNTIFS('Leave log'!$A$7:$A$306,Employees!$A$19,'Leave log'!$B$7:$B$306,"&lt;="&amp;DATE($B$3,11,20),'Leave log'!$C$7:$C$306,"&gt;="&amp;DATE($B$3,11,20),'Leave log'!$F$7:$F$306,"Pending")&gt;0,"P",""))))</f>
        <v/>
      </c>
      <c r="V360" s="23" t="str">
        <f>IF(A360="","",IF(IF(OR(DATE($B$3,11,21)&gt;EOMONTH(DATE($B$3,11,1),0),NETWORKDAYS.INTL(DATE($B$3,11,21),DATE($B$3,11,21),1,'Non-working days'!$A$6:$A$45)=0),"",IF(COUNTIFS('Leave log'!$A$7:$A$306,Employees!$A$19,'Leave log'!$B$7:$B$306,"&lt;="&amp;DATE($B$3,11,21),'Leave log'!$C$7:$C$306,"&gt;="&amp;DATE($B$3,11,21),'Leave log'!$F$7:$F$306,"Approved")&gt;0,"A",""))="A","A",IF(OR(DATE($B$3,11,21)&gt;EOMONTH(DATE($B$3,11,1),0),NETWORKDAYS.INTL(DATE($B$3,11,21),DATE($B$3,11,21),1,'Non-working days'!$A$6:$A$45)=0),"",IF(COUNTIFS('Leave log'!$A$7:$A$306,Employees!$A$19,'Leave log'!$B$7:$B$306,"&lt;="&amp;DATE($B$3,11,21),'Leave log'!$C$7:$C$306,"&gt;="&amp;DATE($B$3,11,21),'Leave log'!$F$7:$F$306,"Pending")&gt;0,"P",""))))</f>
        <v/>
      </c>
      <c r="W360" s="23" t="str">
        <f>IF(A360="","",IF(IF(OR(DATE($B$3,11,22)&gt;EOMONTH(DATE($B$3,11,1),0),NETWORKDAYS.INTL(DATE($B$3,11,22),DATE($B$3,11,22),1,'Non-working days'!$A$6:$A$45)=0),"",IF(COUNTIFS('Leave log'!$A$7:$A$306,Employees!$A$19,'Leave log'!$B$7:$B$306,"&lt;="&amp;DATE($B$3,11,22),'Leave log'!$C$7:$C$306,"&gt;="&amp;DATE($B$3,11,22),'Leave log'!$F$7:$F$306,"Approved")&gt;0,"A",""))="A","A",IF(OR(DATE($B$3,11,22)&gt;EOMONTH(DATE($B$3,11,1),0),NETWORKDAYS.INTL(DATE($B$3,11,22),DATE($B$3,11,22),1,'Non-working days'!$A$6:$A$45)=0),"",IF(COUNTIFS('Leave log'!$A$7:$A$306,Employees!$A$19,'Leave log'!$B$7:$B$306,"&lt;="&amp;DATE($B$3,11,22),'Leave log'!$C$7:$C$306,"&gt;="&amp;DATE($B$3,11,22),'Leave log'!$F$7:$F$306,"Pending")&gt;0,"P",""))))</f>
        <v/>
      </c>
      <c r="X360" s="23" t="str">
        <f>IF(A360="","",IF(IF(OR(DATE($B$3,11,23)&gt;EOMONTH(DATE($B$3,11,1),0),NETWORKDAYS.INTL(DATE($B$3,11,23),DATE($B$3,11,23),1,'Non-working days'!$A$6:$A$45)=0),"",IF(COUNTIFS('Leave log'!$A$7:$A$306,Employees!$A$19,'Leave log'!$B$7:$B$306,"&lt;="&amp;DATE($B$3,11,23),'Leave log'!$C$7:$C$306,"&gt;="&amp;DATE($B$3,11,23),'Leave log'!$F$7:$F$306,"Approved")&gt;0,"A",""))="A","A",IF(OR(DATE($B$3,11,23)&gt;EOMONTH(DATE($B$3,11,1),0),NETWORKDAYS.INTL(DATE($B$3,11,23),DATE($B$3,11,23),1,'Non-working days'!$A$6:$A$45)=0),"",IF(COUNTIFS('Leave log'!$A$7:$A$306,Employees!$A$19,'Leave log'!$B$7:$B$306,"&lt;="&amp;DATE($B$3,11,23),'Leave log'!$C$7:$C$306,"&gt;="&amp;DATE($B$3,11,23),'Leave log'!$F$7:$F$306,"Pending")&gt;0,"P",""))))</f>
        <v/>
      </c>
      <c r="Y360" s="23" t="str">
        <f>IF(A360="","",IF(IF(OR(DATE($B$3,11,24)&gt;EOMONTH(DATE($B$3,11,1),0),NETWORKDAYS.INTL(DATE($B$3,11,24),DATE($B$3,11,24),1,'Non-working days'!$A$6:$A$45)=0),"",IF(COUNTIFS('Leave log'!$A$7:$A$306,Employees!$A$19,'Leave log'!$B$7:$B$306,"&lt;="&amp;DATE($B$3,11,24),'Leave log'!$C$7:$C$306,"&gt;="&amp;DATE($B$3,11,24),'Leave log'!$F$7:$F$306,"Approved")&gt;0,"A",""))="A","A",IF(OR(DATE($B$3,11,24)&gt;EOMONTH(DATE($B$3,11,1),0),NETWORKDAYS.INTL(DATE($B$3,11,24),DATE($B$3,11,24),1,'Non-working days'!$A$6:$A$45)=0),"",IF(COUNTIFS('Leave log'!$A$7:$A$306,Employees!$A$19,'Leave log'!$B$7:$B$306,"&lt;="&amp;DATE($B$3,11,24),'Leave log'!$C$7:$C$306,"&gt;="&amp;DATE($B$3,11,24),'Leave log'!$F$7:$F$306,"Pending")&gt;0,"P",""))))</f>
        <v/>
      </c>
      <c r="Z360" s="23" t="str">
        <f>IF(A360="","",IF(IF(OR(DATE($B$3,11,25)&gt;EOMONTH(DATE($B$3,11,1),0),NETWORKDAYS.INTL(DATE($B$3,11,25),DATE($B$3,11,25),1,'Non-working days'!$A$6:$A$45)=0),"",IF(COUNTIFS('Leave log'!$A$7:$A$306,Employees!$A$19,'Leave log'!$B$7:$B$306,"&lt;="&amp;DATE($B$3,11,25),'Leave log'!$C$7:$C$306,"&gt;="&amp;DATE($B$3,11,25),'Leave log'!$F$7:$F$306,"Approved")&gt;0,"A",""))="A","A",IF(OR(DATE($B$3,11,25)&gt;EOMONTH(DATE($B$3,11,1),0),NETWORKDAYS.INTL(DATE($B$3,11,25),DATE($B$3,11,25),1,'Non-working days'!$A$6:$A$45)=0),"",IF(COUNTIFS('Leave log'!$A$7:$A$306,Employees!$A$19,'Leave log'!$B$7:$B$306,"&lt;="&amp;DATE($B$3,11,25),'Leave log'!$C$7:$C$306,"&gt;="&amp;DATE($B$3,11,25),'Leave log'!$F$7:$F$306,"Pending")&gt;0,"P",""))))</f>
        <v/>
      </c>
      <c r="AA360" s="23" t="str">
        <f>IF(A360="","",IF(IF(OR(DATE($B$3,11,26)&gt;EOMONTH(DATE($B$3,11,1),0),NETWORKDAYS.INTL(DATE($B$3,11,26),DATE($B$3,11,26),1,'Non-working days'!$A$6:$A$45)=0),"",IF(COUNTIFS('Leave log'!$A$7:$A$306,Employees!$A$19,'Leave log'!$B$7:$B$306,"&lt;="&amp;DATE($B$3,11,26),'Leave log'!$C$7:$C$306,"&gt;="&amp;DATE($B$3,11,26),'Leave log'!$F$7:$F$306,"Approved")&gt;0,"A",""))="A","A",IF(OR(DATE($B$3,11,26)&gt;EOMONTH(DATE($B$3,11,1),0),NETWORKDAYS.INTL(DATE($B$3,11,26),DATE($B$3,11,26),1,'Non-working days'!$A$6:$A$45)=0),"",IF(COUNTIFS('Leave log'!$A$7:$A$306,Employees!$A$19,'Leave log'!$B$7:$B$306,"&lt;="&amp;DATE($B$3,11,26),'Leave log'!$C$7:$C$306,"&gt;="&amp;DATE($B$3,11,26),'Leave log'!$F$7:$F$306,"Pending")&gt;0,"P",""))))</f>
        <v/>
      </c>
      <c r="AB360" s="23" t="str">
        <f>IF(A360="","",IF(IF(OR(DATE($B$3,11,27)&gt;EOMONTH(DATE($B$3,11,1),0),NETWORKDAYS.INTL(DATE($B$3,11,27),DATE($B$3,11,27),1,'Non-working days'!$A$6:$A$45)=0),"",IF(COUNTIFS('Leave log'!$A$7:$A$306,Employees!$A$19,'Leave log'!$B$7:$B$306,"&lt;="&amp;DATE($B$3,11,27),'Leave log'!$C$7:$C$306,"&gt;="&amp;DATE($B$3,11,27),'Leave log'!$F$7:$F$306,"Approved")&gt;0,"A",""))="A","A",IF(OR(DATE($B$3,11,27)&gt;EOMONTH(DATE($B$3,11,1),0),NETWORKDAYS.INTL(DATE($B$3,11,27),DATE($B$3,11,27),1,'Non-working days'!$A$6:$A$45)=0),"",IF(COUNTIFS('Leave log'!$A$7:$A$306,Employees!$A$19,'Leave log'!$B$7:$B$306,"&lt;="&amp;DATE($B$3,11,27),'Leave log'!$C$7:$C$306,"&gt;="&amp;DATE($B$3,11,27),'Leave log'!$F$7:$F$306,"Pending")&gt;0,"P",""))))</f>
        <v/>
      </c>
      <c r="AC360" s="23" t="str">
        <f>IF(A360="","",IF(IF(OR(DATE($B$3,11,28)&gt;EOMONTH(DATE($B$3,11,1),0),NETWORKDAYS.INTL(DATE($B$3,11,28),DATE($B$3,11,28),1,'Non-working days'!$A$6:$A$45)=0),"",IF(COUNTIFS('Leave log'!$A$7:$A$306,Employees!$A$19,'Leave log'!$B$7:$B$306,"&lt;="&amp;DATE($B$3,11,28),'Leave log'!$C$7:$C$306,"&gt;="&amp;DATE($B$3,11,28),'Leave log'!$F$7:$F$306,"Approved")&gt;0,"A",""))="A","A",IF(OR(DATE($B$3,11,28)&gt;EOMONTH(DATE($B$3,11,1),0),NETWORKDAYS.INTL(DATE($B$3,11,28),DATE($B$3,11,28),1,'Non-working days'!$A$6:$A$45)=0),"",IF(COUNTIFS('Leave log'!$A$7:$A$306,Employees!$A$19,'Leave log'!$B$7:$B$306,"&lt;="&amp;DATE($B$3,11,28),'Leave log'!$C$7:$C$306,"&gt;="&amp;DATE($B$3,11,28),'Leave log'!$F$7:$F$306,"Pending")&gt;0,"P",""))))</f>
        <v/>
      </c>
      <c r="AD360" s="23" t="str">
        <f>IF(A360="","",IF(IF(OR(DATE($B$3,11,29)&gt;EOMONTH(DATE($B$3,11,1),0),NETWORKDAYS.INTL(DATE($B$3,11,29),DATE($B$3,11,29),1,'Non-working days'!$A$6:$A$45)=0),"",IF(COUNTIFS('Leave log'!$A$7:$A$306,Employees!$A$19,'Leave log'!$B$7:$B$306,"&lt;="&amp;DATE($B$3,11,29),'Leave log'!$C$7:$C$306,"&gt;="&amp;DATE($B$3,11,29),'Leave log'!$F$7:$F$306,"Approved")&gt;0,"A",""))="A","A",IF(OR(DATE($B$3,11,29)&gt;EOMONTH(DATE($B$3,11,1),0),NETWORKDAYS.INTL(DATE($B$3,11,29),DATE($B$3,11,29),1,'Non-working days'!$A$6:$A$45)=0),"",IF(COUNTIFS('Leave log'!$A$7:$A$306,Employees!$A$19,'Leave log'!$B$7:$B$306,"&lt;="&amp;DATE($B$3,11,29),'Leave log'!$C$7:$C$306,"&gt;="&amp;DATE($B$3,11,29),'Leave log'!$F$7:$F$306,"Pending")&gt;0,"P",""))))</f>
        <v/>
      </c>
      <c r="AE360" s="23" t="str">
        <f>IF(A360="","",IF(IF(OR(DATE($B$3,11,30)&gt;EOMONTH(DATE($B$3,11,1),0),NETWORKDAYS.INTL(DATE($B$3,11,30),DATE($B$3,11,30),1,'Non-working days'!$A$6:$A$45)=0),"",IF(COUNTIFS('Leave log'!$A$7:$A$306,Employees!$A$19,'Leave log'!$B$7:$B$306,"&lt;="&amp;DATE($B$3,11,30),'Leave log'!$C$7:$C$306,"&gt;="&amp;DATE($B$3,11,30),'Leave log'!$F$7:$F$306,"Approved")&gt;0,"A",""))="A","A",IF(OR(DATE($B$3,11,30)&gt;EOMONTH(DATE($B$3,11,1),0),NETWORKDAYS.INTL(DATE($B$3,11,30),DATE($B$3,11,30),1,'Non-working days'!$A$6:$A$45)=0),"",IF(COUNTIFS('Leave log'!$A$7:$A$306,Employees!$A$19,'Leave log'!$B$7:$B$306,"&lt;="&amp;DATE($B$3,11,30),'Leave log'!$C$7:$C$306,"&gt;="&amp;DATE($B$3,11,30),'Leave log'!$F$7:$F$306,"Pending")&gt;0,"P",""))))</f>
        <v/>
      </c>
      <c r="AF360" s="23" t="str">
        <f>IF(A360="","",IF(IF(OR(DATE($B$3,11,31)&gt;EOMONTH(DATE($B$3,11,1),0),NETWORKDAYS.INTL(DATE($B$3,11,31),DATE($B$3,11,31),1,'Non-working days'!$A$6:$A$45)=0),"",IF(COUNTIFS('Leave log'!$A$7:$A$306,Employees!$A$19,'Leave log'!$B$7:$B$306,"&lt;="&amp;DATE($B$3,11,31),'Leave log'!$C$7:$C$306,"&gt;="&amp;DATE($B$3,11,31),'Leave log'!$F$7:$F$306,"Approved")&gt;0,"A",""))="A","A",IF(OR(DATE($B$3,11,31)&gt;EOMONTH(DATE($B$3,11,1),0),NETWORKDAYS.INTL(DATE($B$3,11,31),DATE($B$3,11,31),1,'Non-working days'!$A$6:$A$45)=0),"",IF(COUNTIFS('Leave log'!$A$7:$A$306,Employees!$A$19,'Leave log'!$B$7:$B$306,"&lt;="&amp;DATE($B$3,11,31),'Leave log'!$C$7:$C$306,"&gt;="&amp;DATE($B$3,11,31),'Leave log'!$F$7:$F$306,"Pending")&gt;0,"P",""))))</f>
        <v/>
      </c>
    </row>
    <row r="361" spans="1:32" ht="18" customHeight="1" x14ac:dyDescent="0.3">
      <c r="A361" s="22" t="str">
        <f>IF(Employees!F20="Yes",Employees!B20,"")</f>
        <v/>
      </c>
      <c r="B361" s="23" t="str">
        <f>IF(A361="","",IF(IF(OR(DATE($B$3,11,1)&gt;EOMONTH(DATE($B$3,11,1),0),NETWORKDAYS.INTL(DATE($B$3,11,1),DATE($B$3,11,1),1,'Non-working days'!$A$6:$A$45)=0),"",IF(COUNTIFS('Leave log'!$A$7:$A$306,Employees!$A$20,'Leave log'!$B$7:$B$306,"&lt;="&amp;DATE($B$3,11,1),'Leave log'!$C$7:$C$306,"&gt;="&amp;DATE($B$3,11,1),'Leave log'!$F$7:$F$306,"Approved")&gt;0,"A",""))="A","A",IF(OR(DATE($B$3,11,1)&gt;EOMONTH(DATE($B$3,11,1),0),NETWORKDAYS.INTL(DATE($B$3,11,1),DATE($B$3,11,1),1,'Non-working days'!$A$6:$A$45)=0),"",IF(COUNTIFS('Leave log'!$A$7:$A$306,Employees!$A$20,'Leave log'!$B$7:$B$306,"&lt;="&amp;DATE($B$3,11,1),'Leave log'!$C$7:$C$306,"&gt;="&amp;DATE($B$3,11,1),'Leave log'!$F$7:$F$306,"Pending")&gt;0,"P",""))))</f>
        <v/>
      </c>
      <c r="C361" s="23" t="str">
        <f>IF(A361="","",IF(IF(OR(DATE($B$3,11,2)&gt;EOMONTH(DATE($B$3,11,1),0),NETWORKDAYS.INTL(DATE($B$3,11,2),DATE($B$3,11,2),1,'Non-working days'!$A$6:$A$45)=0),"",IF(COUNTIFS('Leave log'!$A$7:$A$306,Employees!$A$20,'Leave log'!$B$7:$B$306,"&lt;="&amp;DATE($B$3,11,2),'Leave log'!$C$7:$C$306,"&gt;="&amp;DATE($B$3,11,2),'Leave log'!$F$7:$F$306,"Approved")&gt;0,"A",""))="A","A",IF(OR(DATE($B$3,11,2)&gt;EOMONTH(DATE($B$3,11,1),0),NETWORKDAYS.INTL(DATE($B$3,11,2),DATE($B$3,11,2),1,'Non-working days'!$A$6:$A$45)=0),"",IF(COUNTIFS('Leave log'!$A$7:$A$306,Employees!$A$20,'Leave log'!$B$7:$B$306,"&lt;="&amp;DATE($B$3,11,2),'Leave log'!$C$7:$C$306,"&gt;="&amp;DATE($B$3,11,2),'Leave log'!$F$7:$F$306,"Pending")&gt;0,"P",""))))</f>
        <v/>
      </c>
      <c r="D361" s="23" t="str">
        <f>IF(A361="","",IF(IF(OR(DATE($B$3,11,3)&gt;EOMONTH(DATE($B$3,11,1),0),NETWORKDAYS.INTL(DATE($B$3,11,3),DATE($B$3,11,3),1,'Non-working days'!$A$6:$A$45)=0),"",IF(COUNTIFS('Leave log'!$A$7:$A$306,Employees!$A$20,'Leave log'!$B$7:$B$306,"&lt;="&amp;DATE($B$3,11,3),'Leave log'!$C$7:$C$306,"&gt;="&amp;DATE($B$3,11,3),'Leave log'!$F$7:$F$306,"Approved")&gt;0,"A",""))="A","A",IF(OR(DATE($B$3,11,3)&gt;EOMONTH(DATE($B$3,11,1),0),NETWORKDAYS.INTL(DATE($B$3,11,3),DATE($B$3,11,3),1,'Non-working days'!$A$6:$A$45)=0),"",IF(COUNTIFS('Leave log'!$A$7:$A$306,Employees!$A$20,'Leave log'!$B$7:$B$306,"&lt;="&amp;DATE($B$3,11,3),'Leave log'!$C$7:$C$306,"&gt;="&amp;DATE($B$3,11,3),'Leave log'!$F$7:$F$306,"Pending")&gt;0,"P",""))))</f>
        <v/>
      </c>
      <c r="E361" s="23" t="str">
        <f>IF(A361="","",IF(IF(OR(DATE($B$3,11,4)&gt;EOMONTH(DATE($B$3,11,1),0),NETWORKDAYS.INTL(DATE($B$3,11,4),DATE($B$3,11,4),1,'Non-working days'!$A$6:$A$45)=0),"",IF(COUNTIFS('Leave log'!$A$7:$A$306,Employees!$A$20,'Leave log'!$B$7:$B$306,"&lt;="&amp;DATE($B$3,11,4),'Leave log'!$C$7:$C$306,"&gt;="&amp;DATE($B$3,11,4),'Leave log'!$F$7:$F$306,"Approved")&gt;0,"A",""))="A","A",IF(OR(DATE($B$3,11,4)&gt;EOMONTH(DATE($B$3,11,1),0),NETWORKDAYS.INTL(DATE($B$3,11,4),DATE($B$3,11,4),1,'Non-working days'!$A$6:$A$45)=0),"",IF(COUNTIFS('Leave log'!$A$7:$A$306,Employees!$A$20,'Leave log'!$B$7:$B$306,"&lt;="&amp;DATE($B$3,11,4),'Leave log'!$C$7:$C$306,"&gt;="&amp;DATE($B$3,11,4),'Leave log'!$F$7:$F$306,"Pending")&gt;0,"P",""))))</f>
        <v/>
      </c>
      <c r="F361" s="23" t="str">
        <f>IF(A361="","",IF(IF(OR(DATE($B$3,11,5)&gt;EOMONTH(DATE($B$3,11,1),0),NETWORKDAYS.INTL(DATE($B$3,11,5),DATE($B$3,11,5),1,'Non-working days'!$A$6:$A$45)=0),"",IF(COUNTIFS('Leave log'!$A$7:$A$306,Employees!$A$20,'Leave log'!$B$7:$B$306,"&lt;="&amp;DATE($B$3,11,5),'Leave log'!$C$7:$C$306,"&gt;="&amp;DATE($B$3,11,5),'Leave log'!$F$7:$F$306,"Approved")&gt;0,"A",""))="A","A",IF(OR(DATE($B$3,11,5)&gt;EOMONTH(DATE($B$3,11,1),0),NETWORKDAYS.INTL(DATE($B$3,11,5),DATE($B$3,11,5),1,'Non-working days'!$A$6:$A$45)=0),"",IF(COUNTIFS('Leave log'!$A$7:$A$306,Employees!$A$20,'Leave log'!$B$7:$B$306,"&lt;="&amp;DATE($B$3,11,5),'Leave log'!$C$7:$C$306,"&gt;="&amp;DATE($B$3,11,5),'Leave log'!$F$7:$F$306,"Pending")&gt;0,"P",""))))</f>
        <v/>
      </c>
      <c r="G361" s="23" t="str">
        <f>IF(A361="","",IF(IF(OR(DATE($B$3,11,6)&gt;EOMONTH(DATE($B$3,11,1),0),NETWORKDAYS.INTL(DATE($B$3,11,6),DATE($B$3,11,6),1,'Non-working days'!$A$6:$A$45)=0),"",IF(COUNTIFS('Leave log'!$A$7:$A$306,Employees!$A$20,'Leave log'!$B$7:$B$306,"&lt;="&amp;DATE($B$3,11,6),'Leave log'!$C$7:$C$306,"&gt;="&amp;DATE($B$3,11,6),'Leave log'!$F$7:$F$306,"Approved")&gt;0,"A",""))="A","A",IF(OR(DATE($B$3,11,6)&gt;EOMONTH(DATE($B$3,11,1),0),NETWORKDAYS.INTL(DATE($B$3,11,6),DATE($B$3,11,6),1,'Non-working days'!$A$6:$A$45)=0),"",IF(COUNTIFS('Leave log'!$A$7:$A$306,Employees!$A$20,'Leave log'!$B$7:$B$306,"&lt;="&amp;DATE($B$3,11,6),'Leave log'!$C$7:$C$306,"&gt;="&amp;DATE($B$3,11,6),'Leave log'!$F$7:$F$306,"Pending")&gt;0,"P",""))))</f>
        <v/>
      </c>
      <c r="H361" s="23" t="str">
        <f>IF(A361="","",IF(IF(OR(DATE($B$3,11,7)&gt;EOMONTH(DATE($B$3,11,1),0),NETWORKDAYS.INTL(DATE($B$3,11,7),DATE($B$3,11,7),1,'Non-working days'!$A$6:$A$45)=0),"",IF(COUNTIFS('Leave log'!$A$7:$A$306,Employees!$A$20,'Leave log'!$B$7:$B$306,"&lt;="&amp;DATE($B$3,11,7),'Leave log'!$C$7:$C$306,"&gt;="&amp;DATE($B$3,11,7),'Leave log'!$F$7:$F$306,"Approved")&gt;0,"A",""))="A","A",IF(OR(DATE($B$3,11,7)&gt;EOMONTH(DATE($B$3,11,1),0),NETWORKDAYS.INTL(DATE($B$3,11,7),DATE($B$3,11,7),1,'Non-working days'!$A$6:$A$45)=0),"",IF(COUNTIFS('Leave log'!$A$7:$A$306,Employees!$A$20,'Leave log'!$B$7:$B$306,"&lt;="&amp;DATE($B$3,11,7),'Leave log'!$C$7:$C$306,"&gt;="&amp;DATE($B$3,11,7),'Leave log'!$F$7:$F$306,"Pending")&gt;0,"P",""))))</f>
        <v/>
      </c>
      <c r="I361" s="23" t="str">
        <f>IF(A361="","",IF(IF(OR(DATE($B$3,11,8)&gt;EOMONTH(DATE($B$3,11,1),0),NETWORKDAYS.INTL(DATE($B$3,11,8),DATE($B$3,11,8),1,'Non-working days'!$A$6:$A$45)=0),"",IF(COUNTIFS('Leave log'!$A$7:$A$306,Employees!$A$20,'Leave log'!$B$7:$B$306,"&lt;="&amp;DATE($B$3,11,8),'Leave log'!$C$7:$C$306,"&gt;="&amp;DATE($B$3,11,8),'Leave log'!$F$7:$F$306,"Approved")&gt;0,"A",""))="A","A",IF(OR(DATE($B$3,11,8)&gt;EOMONTH(DATE($B$3,11,1),0),NETWORKDAYS.INTL(DATE($B$3,11,8),DATE($B$3,11,8),1,'Non-working days'!$A$6:$A$45)=0),"",IF(COUNTIFS('Leave log'!$A$7:$A$306,Employees!$A$20,'Leave log'!$B$7:$B$306,"&lt;="&amp;DATE($B$3,11,8),'Leave log'!$C$7:$C$306,"&gt;="&amp;DATE($B$3,11,8),'Leave log'!$F$7:$F$306,"Pending")&gt;0,"P",""))))</f>
        <v/>
      </c>
      <c r="J361" s="23" t="str">
        <f>IF(A361="","",IF(IF(OR(DATE($B$3,11,9)&gt;EOMONTH(DATE($B$3,11,1),0),NETWORKDAYS.INTL(DATE($B$3,11,9),DATE($B$3,11,9),1,'Non-working days'!$A$6:$A$45)=0),"",IF(COUNTIFS('Leave log'!$A$7:$A$306,Employees!$A$20,'Leave log'!$B$7:$B$306,"&lt;="&amp;DATE($B$3,11,9),'Leave log'!$C$7:$C$306,"&gt;="&amp;DATE($B$3,11,9),'Leave log'!$F$7:$F$306,"Approved")&gt;0,"A",""))="A","A",IF(OR(DATE($B$3,11,9)&gt;EOMONTH(DATE($B$3,11,1),0),NETWORKDAYS.INTL(DATE($B$3,11,9),DATE($B$3,11,9),1,'Non-working days'!$A$6:$A$45)=0),"",IF(COUNTIFS('Leave log'!$A$7:$A$306,Employees!$A$20,'Leave log'!$B$7:$B$306,"&lt;="&amp;DATE($B$3,11,9),'Leave log'!$C$7:$C$306,"&gt;="&amp;DATE($B$3,11,9),'Leave log'!$F$7:$F$306,"Pending")&gt;0,"P",""))))</f>
        <v/>
      </c>
      <c r="K361" s="23" t="str">
        <f>IF(A361="","",IF(IF(OR(DATE($B$3,11,10)&gt;EOMONTH(DATE($B$3,11,1),0),NETWORKDAYS.INTL(DATE($B$3,11,10),DATE($B$3,11,10),1,'Non-working days'!$A$6:$A$45)=0),"",IF(COUNTIFS('Leave log'!$A$7:$A$306,Employees!$A$20,'Leave log'!$B$7:$B$306,"&lt;="&amp;DATE($B$3,11,10),'Leave log'!$C$7:$C$306,"&gt;="&amp;DATE($B$3,11,10),'Leave log'!$F$7:$F$306,"Approved")&gt;0,"A",""))="A","A",IF(OR(DATE($B$3,11,10)&gt;EOMONTH(DATE($B$3,11,1),0),NETWORKDAYS.INTL(DATE($B$3,11,10),DATE($B$3,11,10),1,'Non-working days'!$A$6:$A$45)=0),"",IF(COUNTIFS('Leave log'!$A$7:$A$306,Employees!$A$20,'Leave log'!$B$7:$B$306,"&lt;="&amp;DATE($B$3,11,10),'Leave log'!$C$7:$C$306,"&gt;="&amp;DATE($B$3,11,10),'Leave log'!$F$7:$F$306,"Pending")&gt;0,"P",""))))</f>
        <v/>
      </c>
      <c r="L361" s="23" t="str">
        <f>IF(A361="","",IF(IF(OR(DATE($B$3,11,11)&gt;EOMONTH(DATE($B$3,11,1),0),NETWORKDAYS.INTL(DATE($B$3,11,11),DATE($B$3,11,11),1,'Non-working days'!$A$6:$A$45)=0),"",IF(COUNTIFS('Leave log'!$A$7:$A$306,Employees!$A$20,'Leave log'!$B$7:$B$306,"&lt;="&amp;DATE($B$3,11,11),'Leave log'!$C$7:$C$306,"&gt;="&amp;DATE($B$3,11,11),'Leave log'!$F$7:$F$306,"Approved")&gt;0,"A",""))="A","A",IF(OR(DATE($B$3,11,11)&gt;EOMONTH(DATE($B$3,11,1),0),NETWORKDAYS.INTL(DATE($B$3,11,11),DATE($B$3,11,11),1,'Non-working days'!$A$6:$A$45)=0),"",IF(COUNTIFS('Leave log'!$A$7:$A$306,Employees!$A$20,'Leave log'!$B$7:$B$306,"&lt;="&amp;DATE($B$3,11,11),'Leave log'!$C$7:$C$306,"&gt;="&amp;DATE($B$3,11,11),'Leave log'!$F$7:$F$306,"Pending")&gt;0,"P",""))))</f>
        <v/>
      </c>
      <c r="M361" s="23" t="str">
        <f>IF(A361="","",IF(IF(OR(DATE($B$3,11,12)&gt;EOMONTH(DATE($B$3,11,1),0),NETWORKDAYS.INTL(DATE($B$3,11,12),DATE($B$3,11,12),1,'Non-working days'!$A$6:$A$45)=0),"",IF(COUNTIFS('Leave log'!$A$7:$A$306,Employees!$A$20,'Leave log'!$B$7:$B$306,"&lt;="&amp;DATE($B$3,11,12),'Leave log'!$C$7:$C$306,"&gt;="&amp;DATE($B$3,11,12),'Leave log'!$F$7:$F$306,"Approved")&gt;0,"A",""))="A","A",IF(OR(DATE($B$3,11,12)&gt;EOMONTH(DATE($B$3,11,1),0),NETWORKDAYS.INTL(DATE($B$3,11,12),DATE($B$3,11,12),1,'Non-working days'!$A$6:$A$45)=0),"",IF(COUNTIFS('Leave log'!$A$7:$A$306,Employees!$A$20,'Leave log'!$B$7:$B$306,"&lt;="&amp;DATE($B$3,11,12),'Leave log'!$C$7:$C$306,"&gt;="&amp;DATE($B$3,11,12),'Leave log'!$F$7:$F$306,"Pending")&gt;0,"P",""))))</f>
        <v/>
      </c>
      <c r="N361" s="23" t="str">
        <f>IF(A361="","",IF(IF(OR(DATE($B$3,11,13)&gt;EOMONTH(DATE($B$3,11,1),0),NETWORKDAYS.INTL(DATE($B$3,11,13),DATE($B$3,11,13),1,'Non-working days'!$A$6:$A$45)=0),"",IF(COUNTIFS('Leave log'!$A$7:$A$306,Employees!$A$20,'Leave log'!$B$7:$B$306,"&lt;="&amp;DATE($B$3,11,13),'Leave log'!$C$7:$C$306,"&gt;="&amp;DATE($B$3,11,13),'Leave log'!$F$7:$F$306,"Approved")&gt;0,"A",""))="A","A",IF(OR(DATE($B$3,11,13)&gt;EOMONTH(DATE($B$3,11,1),0),NETWORKDAYS.INTL(DATE($B$3,11,13),DATE($B$3,11,13),1,'Non-working days'!$A$6:$A$45)=0),"",IF(COUNTIFS('Leave log'!$A$7:$A$306,Employees!$A$20,'Leave log'!$B$7:$B$306,"&lt;="&amp;DATE($B$3,11,13),'Leave log'!$C$7:$C$306,"&gt;="&amp;DATE($B$3,11,13),'Leave log'!$F$7:$F$306,"Pending")&gt;0,"P",""))))</f>
        <v/>
      </c>
      <c r="O361" s="23" t="str">
        <f>IF(A361="","",IF(IF(OR(DATE($B$3,11,14)&gt;EOMONTH(DATE($B$3,11,1),0),NETWORKDAYS.INTL(DATE($B$3,11,14),DATE($B$3,11,14),1,'Non-working days'!$A$6:$A$45)=0),"",IF(COUNTIFS('Leave log'!$A$7:$A$306,Employees!$A$20,'Leave log'!$B$7:$B$306,"&lt;="&amp;DATE($B$3,11,14),'Leave log'!$C$7:$C$306,"&gt;="&amp;DATE($B$3,11,14),'Leave log'!$F$7:$F$306,"Approved")&gt;0,"A",""))="A","A",IF(OR(DATE($B$3,11,14)&gt;EOMONTH(DATE($B$3,11,1),0),NETWORKDAYS.INTL(DATE($B$3,11,14),DATE($B$3,11,14),1,'Non-working days'!$A$6:$A$45)=0),"",IF(COUNTIFS('Leave log'!$A$7:$A$306,Employees!$A$20,'Leave log'!$B$7:$B$306,"&lt;="&amp;DATE($B$3,11,14),'Leave log'!$C$7:$C$306,"&gt;="&amp;DATE($B$3,11,14),'Leave log'!$F$7:$F$306,"Pending")&gt;0,"P",""))))</f>
        <v/>
      </c>
      <c r="P361" s="23" t="str">
        <f>IF(A361="","",IF(IF(OR(DATE($B$3,11,15)&gt;EOMONTH(DATE($B$3,11,1),0),NETWORKDAYS.INTL(DATE($B$3,11,15),DATE($B$3,11,15),1,'Non-working days'!$A$6:$A$45)=0),"",IF(COUNTIFS('Leave log'!$A$7:$A$306,Employees!$A$20,'Leave log'!$B$7:$B$306,"&lt;="&amp;DATE($B$3,11,15),'Leave log'!$C$7:$C$306,"&gt;="&amp;DATE($B$3,11,15),'Leave log'!$F$7:$F$306,"Approved")&gt;0,"A",""))="A","A",IF(OR(DATE($B$3,11,15)&gt;EOMONTH(DATE($B$3,11,1),0),NETWORKDAYS.INTL(DATE($B$3,11,15),DATE($B$3,11,15),1,'Non-working days'!$A$6:$A$45)=0),"",IF(COUNTIFS('Leave log'!$A$7:$A$306,Employees!$A$20,'Leave log'!$B$7:$B$306,"&lt;="&amp;DATE($B$3,11,15),'Leave log'!$C$7:$C$306,"&gt;="&amp;DATE($B$3,11,15),'Leave log'!$F$7:$F$306,"Pending")&gt;0,"P",""))))</f>
        <v/>
      </c>
      <c r="Q361" s="23" t="str">
        <f>IF(A361="","",IF(IF(OR(DATE($B$3,11,16)&gt;EOMONTH(DATE($B$3,11,1),0),NETWORKDAYS.INTL(DATE($B$3,11,16),DATE($B$3,11,16),1,'Non-working days'!$A$6:$A$45)=0),"",IF(COUNTIFS('Leave log'!$A$7:$A$306,Employees!$A$20,'Leave log'!$B$7:$B$306,"&lt;="&amp;DATE($B$3,11,16),'Leave log'!$C$7:$C$306,"&gt;="&amp;DATE($B$3,11,16),'Leave log'!$F$7:$F$306,"Approved")&gt;0,"A",""))="A","A",IF(OR(DATE($B$3,11,16)&gt;EOMONTH(DATE($B$3,11,1),0),NETWORKDAYS.INTL(DATE($B$3,11,16),DATE($B$3,11,16),1,'Non-working days'!$A$6:$A$45)=0),"",IF(COUNTIFS('Leave log'!$A$7:$A$306,Employees!$A$20,'Leave log'!$B$7:$B$306,"&lt;="&amp;DATE($B$3,11,16),'Leave log'!$C$7:$C$306,"&gt;="&amp;DATE($B$3,11,16),'Leave log'!$F$7:$F$306,"Pending")&gt;0,"P",""))))</f>
        <v/>
      </c>
      <c r="R361" s="23" t="str">
        <f>IF(A361="","",IF(IF(OR(DATE($B$3,11,17)&gt;EOMONTH(DATE($B$3,11,1),0),NETWORKDAYS.INTL(DATE($B$3,11,17),DATE($B$3,11,17),1,'Non-working days'!$A$6:$A$45)=0),"",IF(COUNTIFS('Leave log'!$A$7:$A$306,Employees!$A$20,'Leave log'!$B$7:$B$306,"&lt;="&amp;DATE($B$3,11,17),'Leave log'!$C$7:$C$306,"&gt;="&amp;DATE($B$3,11,17),'Leave log'!$F$7:$F$306,"Approved")&gt;0,"A",""))="A","A",IF(OR(DATE($B$3,11,17)&gt;EOMONTH(DATE($B$3,11,1),0),NETWORKDAYS.INTL(DATE($B$3,11,17),DATE($B$3,11,17),1,'Non-working days'!$A$6:$A$45)=0),"",IF(COUNTIFS('Leave log'!$A$7:$A$306,Employees!$A$20,'Leave log'!$B$7:$B$306,"&lt;="&amp;DATE($B$3,11,17),'Leave log'!$C$7:$C$306,"&gt;="&amp;DATE($B$3,11,17),'Leave log'!$F$7:$F$306,"Pending")&gt;0,"P",""))))</f>
        <v/>
      </c>
      <c r="S361" s="23" t="str">
        <f>IF(A361="","",IF(IF(OR(DATE($B$3,11,18)&gt;EOMONTH(DATE($B$3,11,1),0),NETWORKDAYS.INTL(DATE($B$3,11,18),DATE($B$3,11,18),1,'Non-working days'!$A$6:$A$45)=0),"",IF(COUNTIFS('Leave log'!$A$7:$A$306,Employees!$A$20,'Leave log'!$B$7:$B$306,"&lt;="&amp;DATE($B$3,11,18),'Leave log'!$C$7:$C$306,"&gt;="&amp;DATE($B$3,11,18),'Leave log'!$F$7:$F$306,"Approved")&gt;0,"A",""))="A","A",IF(OR(DATE($B$3,11,18)&gt;EOMONTH(DATE($B$3,11,1),0),NETWORKDAYS.INTL(DATE($B$3,11,18),DATE($B$3,11,18),1,'Non-working days'!$A$6:$A$45)=0),"",IF(COUNTIFS('Leave log'!$A$7:$A$306,Employees!$A$20,'Leave log'!$B$7:$B$306,"&lt;="&amp;DATE($B$3,11,18),'Leave log'!$C$7:$C$306,"&gt;="&amp;DATE($B$3,11,18),'Leave log'!$F$7:$F$306,"Pending")&gt;0,"P",""))))</f>
        <v/>
      </c>
      <c r="T361" s="23" t="str">
        <f>IF(A361="","",IF(IF(OR(DATE($B$3,11,19)&gt;EOMONTH(DATE($B$3,11,1),0),NETWORKDAYS.INTL(DATE($B$3,11,19),DATE($B$3,11,19),1,'Non-working days'!$A$6:$A$45)=0),"",IF(COUNTIFS('Leave log'!$A$7:$A$306,Employees!$A$20,'Leave log'!$B$7:$B$306,"&lt;="&amp;DATE($B$3,11,19),'Leave log'!$C$7:$C$306,"&gt;="&amp;DATE($B$3,11,19),'Leave log'!$F$7:$F$306,"Approved")&gt;0,"A",""))="A","A",IF(OR(DATE($B$3,11,19)&gt;EOMONTH(DATE($B$3,11,1),0),NETWORKDAYS.INTL(DATE($B$3,11,19),DATE($B$3,11,19),1,'Non-working days'!$A$6:$A$45)=0),"",IF(COUNTIFS('Leave log'!$A$7:$A$306,Employees!$A$20,'Leave log'!$B$7:$B$306,"&lt;="&amp;DATE($B$3,11,19),'Leave log'!$C$7:$C$306,"&gt;="&amp;DATE($B$3,11,19),'Leave log'!$F$7:$F$306,"Pending")&gt;0,"P",""))))</f>
        <v/>
      </c>
      <c r="U361" s="23" t="str">
        <f>IF(A361="","",IF(IF(OR(DATE($B$3,11,20)&gt;EOMONTH(DATE($B$3,11,1),0),NETWORKDAYS.INTL(DATE($B$3,11,20),DATE($B$3,11,20),1,'Non-working days'!$A$6:$A$45)=0),"",IF(COUNTIFS('Leave log'!$A$7:$A$306,Employees!$A$20,'Leave log'!$B$7:$B$306,"&lt;="&amp;DATE($B$3,11,20),'Leave log'!$C$7:$C$306,"&gt;="&amp;DATE($B$3,11,20),'Leave log'!$F$7:$F$306,"Approved")&gt;0,"A",""))="A","A",IF(OR(DATE($B$3,11,20)&gt;EOMONTH(DATE($B$3,11,1),0),NETWORKDAYS.INTL(DATE($B$3,11,20),DATE($B$3,11,20),1,'Non-working days'!$A$6:$A$45)=0),"",IF(COUNTIFS('Leave log'!$A$7:$A$306,Employees!$A$20,'Leave log'!$B$7:$B$306,"&lt;="&amp;DATE($B$3,11,20),'Leave log'!$C$7:$C$306,"&gt;="&amp;DATE($B$3,11,20),'Leave log'!$F$7:$F$306,"Pending")&gt;0,"P",""))))</f>
        <v/>
      </c>
      <c r="V361" s="23" t="str">
        <f>IF(A361="","",IF(IF(OR(DATE($B$3,11,21)&gt;EOMONTH(DATE($B$3,11,1),0),NETWORKDAYS.INTL(DATE($B$3,11,21),DATE($B$3,11,21),1,'Non-working days'!$A$6:$A$45)=0),"",IF(COUNTIFS('Leave log'!$A$7:$A$306,Employees!$A$20,'Leave log'!$B$7:$B$306,"&lt;="&amp;DATE($B$3,11,21),'Leave log'!$C$7:$C$306,"&gt;="&amp;DATE($B$3,11,21),'Leave log'!$F$7:$F$306,"Approved")&gt;0,"A",""))="A","A",IF(OR(DATE($B$3,11,21)&gt;EOMONTH(DATE($B$3,11,1),0),NETWORKDAYS.INTL(DATE($B$3,11,21),DATE($B$3,11,21),1,'Non-working days'!$A$6:$A$45)=0),"",IF(COUNTIFS('Leave log'!$A$7:$A$306,Employees!$A$20,'Leave log'!$B$7:$B$306,"&lt;="&amp;DATE($B$3,11,21),'Leave log'!$C$7:$C$306,"&gt;="&amp;DATE($B$3,11,21),'Leave log'!$F$7:$F$306,"Pending")&gt;0,"P",""))))</f>
        <v/>
      </c>
      <c r="W361" s="23" t="str">
        <f>IF(A361="","",IF(IF(OR(DATE($B$3,11,22)&gt;EOMONTH(DATE($B$3,11,1),0),NETWORKDAYS.INTL(DATE($B$3,11,22),DATE($B$3,11,22),1,'Non-working days'!$A$6:$A$45)=0),"",IF(COUNTIFS('Leave log'!$A$7:$A$306,Employees!$A$20,'Leave log'!$B$7:$B$306,"&lt;="&amp;DATE($B$3,11,22),'Leave log'!$C$7:$C$306,"&gt;="&amp;DATE($B$3,11,22),'Leave log'!$F$7:$F$306,"Approved")&gt;0,"A",""))="A","A",IF(OR(DATE($B$3,11,22)&gt;EOMONTH(DATE($B$3,11,1),0),NETWORKDAYS.INTL(DATE($B$3,11,22),DATE($B$3,11,22),1,'Non-working days'!$A$6:$A$45)=0),"",IF(COUNTIFS('Leave log'!$A$7:$A$306,Employees!$A$20,'Leave log'!$B$7:$B$306,"&lt;="&amp;DATE($B$3,11,22),'Leave log'!$C$7:$C$306,"&gt;="&amp;DATE($B$3,11,22),'Leave log'!$F$7:$F$306,"Pending")&gt;0,"P",""))))</f>
        <v/>
      </c>
      <c r="X361" s="23" t="str">
        <f>IF(A361="","",IF(IF(OR(DATE($B$3,11,23)&gt;EOMONTH(DATE($B$3,11,1),0),NETWORKDAYS.INTL(DATE($B$3,11,23),DATE($B$3,11,23),1,'Non-working days'!$A$6:$A$45)=0),"",IF(COUNTIFS('Leave log'!$A$7:$A$306,Employees!$A$20,'Leave log'!$B$7:$B$306,"&lt;="&amp;DATE($B$3,11,23),'Leave log'!$C$7:$C$306,"&gt;="&amp;DATE($B$3,11,23),'Leave log'!$F$7:$F$306,"Approved")&gt;0,"A",""))="A","A",IF(OR(DATE($B$3,11,23)&gt;EOMONTH(DATE($B$3,11,1),0),NETWORKDAYS.INTL(DATE($B$3,11,23),DATE($B$3,11,23),1,'Non-working days'!$A$6:$A$45)=0),"",IF(COUNTIFS('Leave log'!$A$7:$A$306,Employees!$A$20,'Leave log'!$B$7:$B$306,"&lt;="&amp;DATE($B$3,11,23),'Leave log'!$C$7:$C$306,"&gt;="&amp;DATE($B$3,11,23),'Leave log'!$F$7:$F$306,"Pending")&gt;0,"P",""))))</f>
        <v/>
      </c>
      <c r="Y361" s="23" t="str">
        <f>IF(A361="","",IF(IF(OR(DATE($B$3,11,24)&gt;EOMONTH(DATE($B$3,11,1),0),NETWORKDAYS.INTL(DATE($B$3,11,24),DATE($B$3,11,24),1,'Non-working days'!$A$6:$A$45)=0),"",IF(COUNTIFS('Leave log'!$A$7:$A$306,Employees!$A$20,'Leave log'!$B$7:$B$306,"&lt;="&amp;DATE($B$3,11,24),'Leave log'!$C$7:$C$306,"&gt;="&amp;DATE($B$3,11,24),'Leave log'!$F$7:$F$306,"Approved")&gt;0,"A",""))="A","A",IF(OR(DATE($B$3,11,24)&gt;EOMONTH(DATE($B$3,11,1),0),NETWORKDAYS.INTL(DATE($B$3,11,24),DATE($B$3,11,24),1,'Non-working days'!$A$6:$A$45)=0),"",IF(COUNTIFS('Leave log'!$A$7:$A$306,Employees!$A$20,'Leave log'!$B$7:$B$306,"&lt;="&amp;DATE($B$3,11,24),'Leave log'!$C$7:$C$306,"&gt;="&amp;DATE($B$3,11,24),'Leave log'!$F$7:$F$306,"Pending")&gt;0,"P",""))))</f>
        <v/>
      </c>
      <c r="Z361" s="23" t="str">
        <f>IF(A361="","",IF(IF(OR(DATE($B$3,11,25)&gt;EOMONTH(DATE($B$3,11,1),0),NETWORKDAYS.INTL(DATE($B$3,11,25),DATE($B$3,11,25),1,'Non-working days'!$A$6:$A$45)=0),"",IF(COUNTIFS('Leave log'!$A$7:$A$306,Employees!$A$20,'Leave log'!$B$7:$B$306,"&lt;="&amp;DATE($B$3,11,25),'Leave log'!$C$7:$C$306,"&gt;="&amp;DATE($B$3,11,25),'Leave log'!$F$7:$F$306,"Approved")&gt;0,"A",""))="A","A",IF(OR(DATE($B$3,11,25)&gt;EOMONTH(DATE($B$3,11,1),0),NETWORKDAYS.INTL(DATE($B$3,11,25),DATE($B$3,11,25),1,'Non-working days'!$A$6:$A$45)=0),"",IF(COUNTIFS('Leave log'!$A$7:$A$306,Employees!$A$20,'Leave log'!$B$7:$B$306,"&lt;="&amp;DATE($B$3,11,25),'Leave log'!$C$7:$C$306,"&gt;="&amp;DATE($B$3,11,25),'Leave log'!$F$7:$F$306,"Pending")&gt;0,"P",""))))</f>
        <v/>
      </c>
      <c r="AA361" s="23" t="str">
        <f>IF(A361="","",IF(IF(OR(DATE($B$3,11,26)&gt;EOMONTH(DATE($B$3,11,1),0),NETWORKDAYS.INTL(DATE($B$3,11,26),DATE($B$3,11,26),1,'Non-working days'!$A$6:$A$45)=0),"",IF(COUNTIFS('Leave log'!$A$7:$A$306,Employees!$A$20,'Leave log'!$B$7:$B$306,"&lt;="&amp;DATE($B$3,11,26),'Leave log'!$C$7:$C$306,"&gt;="&amp;DATE($B$3,11,26),'Leave log'!$F$7:$F$306,"Approved")&gt;0,"A",""))="A","A",IF(OR(DATE($B$3,11,26)&gt;EOMONTH(DATE($B$3,11,1),0),NETWORKDAYS.INTL(DATE($B$3,11,26),DATE($B$3,11,26),1,'Non-working days'!$A$6:$A$45)=0),"",IF(COUNTIFS('Leave log'!$A$7:$A$306,Employees!$A$20,'Leave log'!$B$7:$B$306,"&lt;="&amp;DATE($B$3,11,26),'Leave log'!$C$7:$C$306,"&gt;="&amp;DATE($B$3,11,26),'Leave log'!$F$7:$F$306,"Pending")&gt;0,"P",""))))</f>
        <v/>
      </c>
      <c r="AB361" s="23" t="str">
        <f>IF(A361="","",IF(IF(OR(DATE($B$3,11,27)&gt;EOMONTH(DATE($B$3,11,1),0),NETWORKDAYS.INTL(DATE($B$3,11,27),DATE($B$3,11,27),1,'Non-working days'!$A$6:$A$45)=0),"",IF(COUNTIFS('Leave log'!$A$7:$A$306,Employees!$A$20,'Leave log'!$B$7:$B$306,"&lt;="&amp;DATE($B$3,11,27),'Leave log'!$C$7:$C$306,"&gt;="&amp;DATE($B$3,11,27),'Leave log'!$F$7:$F$306,"Approved")&gt;0,"A",""))="A","A",IF(OR(DATE($B$3,11,27)&gt;EOMONTH(DATE($B$3,11,1),0),NETWORKDAYS.INTL(DATE($B$3,11,27),DATE($B$3,11,27),1,'Non-working days'!$A$6:$A$45)=0),"",IF(COUNTIFS('Leave log'!$A$7:$A$306,Employees!$A$20,'Leave log'!$B$7:$B$306,"&lt;="&amp;DATE($B$3,11,27),'Leave log'!$C$7:$C$306,"&gt;="&amp;DATE($B$3,11,27),'Leave log'!$F$7:$F$306,"Pending")&gt;0,"P",""))))</f>
        <v/>
      </c>
      <c r="AC361" s="23" t="str">
        <f>IF(A361="","",IF(IF(OR(DATE($B$3,11,28)&gt;EOMONTH(DATE($B$3,11,1),0),NETWORKDAYS.INTL(DATE($B$3,11,28),DATE($B$3,11,28),1,'Non-working days'!$A$6:$A$45)=0),"",IF(COUNTIFS('Leave log'!$A$7:$A$306,Employees!$A$20,'Leave log'!$B$7:$B$306,"&lt;="&amp;DATE($B$3,11,28),'Leave log'!$C$7:$C$306,"&gt;="&amp;DATE($B$3,11,28),'Leave log'!$F$7:$F$306,"Approved")&gt;0,"A",""))="A","A",IF(OR(DATE($B$3,11,28)&gt;EOMONTH(DATE($B$3,11,1),0),NETWORKDAYS.INTL(DATE($B$3,11,28),DATE($B$3,11,28),1,'Non-working days'!$A$6:$A$45)=0),"",IF(COUNTIFS('Leave log'!$A$7:$A$306,Employees!$A$20,'Leave log'!$B$7:$B$306,"&lt;="&amp;DATE($B$3,11,28),'Leave log'!$C$7:$C$306,"&gt;="&amp;DATE($B$3,11,28),'Leave log'!$F$7:$F$306,"Pending")&gt;0,"P",""))))</f>
        <v/>
      </c>
      <c r="AD361" s="23" t="str">
        <f>IF(A361="","",IF(IF(OR(DATE($B$3,11,29)&gt;EOMONTH(DATE($B$3,11,1),0),NETWORKDAYS.INTL(DATE($B$3,11,29),DATE($B$3,11,29),1,'Non-working days'!$A$6:$A$45)=0),"",IF(COUNTIFS('Leave log'!$A$7:$A$306,Employees!$A$20,'Leave log'!$B$7:$B$306,"&lt;="&amp;DATE($B$3,11,29),'Leave log'!$C$7:$C$306,"&gt;="&amp;DATE($B$3,11,29),'Leave log'!$F$7:$F$306,"Approved")&gt;0,"A",""))="A","A",IF(OR(DATE($B$3,11,29)&gt;EOMONTH(DATE($B$3,11,1),0),NETWORKDAYS.INTL(DATE($B$3,11,29),DATE($B$3,11,29),1,'Non-working days'!$A$6:$A$45)=0),"",IF(COUNTIFS('Leave log'!$A$7:$A$306,Employees!$A$20,'Leave log'!$B$7:$B$306,"&lt;="&amp;DATE($B$3,11,29),'Leave log'!$C$7:$C$306,"&gt;="&amp;DATE($B$3,11,29),'Leave log'!$F$7:$F$306,"Pending")&gt;0,"P",""))))</f>
        <v/>
      </c>
      <c r="AE361" s="23" t="str">
        <f>IF(A361="","",IF(IF(OR(DATE($B$3,11,30)&gt;EOMONTH(DATE($B$3,11,1),0),NETWORKDAYS.INTL(DATE($B$3,11,30),DATE($B$3,11,30),1,'Non-working days'!$A$6:$A$45)=0),"",IF(COUNTIFS('Leave log'!$A$7:$A$306,Employees!$A$20,'Leave log'!$B$7:$B$306,"&lt;="&amp;DATE($B$3,11,30),'Leave log'!$C$7:$C$306,"&gt;="&amp;DATE($B$3,11,30),'Leave log'!$F$7:$F$306,"Approved")&gt;0,"A",""))="A","A",IF(OR(DATE($B$3,11,30)&gt;EOMONTH(DATE($B$3,11,1),0),NETWORKDAYS.INTL(DATE($B$3,11,30),DATE($B$3,11,30),1,'Non-working days'!$A$6:$A$45)=0),"",IF(COUNTIFS('Leave log'!$A$7:$A$306,Employees!$A$20,'Leave log'!$B$7:$B$306,"&lt;="&amp;DATE($B$3,11,30),'Leave log'!$C$7:$C$306,"&gt;="&amp;DATE($B$3,11,30),'Leave log'!$F$7:$F$306,"Pending")&gt;0,"P",""))))</f>
        <v/>
      </c>
      <c r="AF361" s="23" t="str">
        <f>IF(A361="","",IF(IF(OR(DATE($B$3,11,31)&gt;EOMONTH(DATE($B$3,11,1),0),NETWORKDAYS.INTL(DATE($B$3,11,31),DATE($B$3,11,31),1,'Non-working days'!$A$6:$A$45)=0),"",IF(COUNTIFS('Leave log'!$A$7:$A$306,Employees!$A$20,'Leave log'!$B$7:$B$306,"&lt;="&amp;DATE($B$3,11,31),'Leave log'!$C$7:$C$306,"&gt;="&amp;DATE($B$3,11,31),'Leave log'!$F$7:$F$306,"Approved")&gt;0,"A",""))="A","A",IF(OR(DATE($B$3,11,31)&gt;EOMONTH(DATE($B$3,11,1),0),NETWORKDAYS.INTL(DATE($B$3,11,31),DATE($B$3,11,31),1,'Non-working days'!$A$6:$A$45)=0),"",IF(COUNTIFS('Leave log'!$A$7:$A$306,Employees!$A$20,'Leave log'!$B$7:$B$306,"&lt;="&amp;DATE($B$3,11,31),'Leave log'!$C$7:$C$306,"&gt;="&amp;DATE($B$3,11,31),'Leave log'!$F$7:$F$306,"Pending")&gt;0,"P",""))))</f>
        <v/>
      </c>
    </row>
    <row r="362" spans="1:32" ht="18" customHeight="1" x14ac:dyDescent="0.3">
      <c r="A362" s="22" t="str">
        <f>IF(Employees!F21="Yes",Employees!B21,"")</f>
        <v/>
      </c>
      <c r="B362" s="23" t="str">
        <f>IF(A362="","",IF(IF(OR(DATE($B$3,11,1)&gt;EOMONTH(DATE($B$3,11,1),0),NETWORKDAYS.INTL(DATE($B$3,11,1),DATE($B$3,11,1),1,'Non-working days'!$A$6:$A$45)=0),"",IF(COUNTIFS('Leave log'!$A$7:$A$306,Employees!$A$21,'Leave log'!$B$7:$B$306,"&lt;="&amp;DATE($B$3,11,1),'Leave log'!$C$7:$C$306,"&gt;="&amp;DATE($B$3,11,1),'Leave log'!$F$7:$F$306,"Approved")&gt;0,"A",""))="A","A",IF(OR(DATE($B$3,11,1)&gt;EOMONTH(DATE($B$3,11,1),0),NETWORKDAYS.INTL(DATE($B$3,11,1),DATE($B$3,11,1),1,'Non-working days'!$A$6:$A$45)=0),"",IF(COUNTIFS('Leave log'!$A$7:$A$306,Employees!$A$21,'Leave log'!$B$7:$B$306,"&lt;="&amp;DATE($B$3,11,1),'Leave log'!$C$7:$C$306,"&gt;="&amp;DATE($B$3,11,1),'Leave log'!$F$7:$F$306,"Pending")&gt;0,"P",""))))</f>
        <v/>
      </c>
      <c r="C362" s="23" t="str">
        <f>IF(A362="","",IF(IF(OR(DATE($B$3,11,2)&gt;EOMONTH(DATE($B$3,11,1),0),NETWORKDAYS.INTL(DATE($B$3,11,2),DATE($B$3,11,2),1,'Non-working days'!$A$6:$A$45)=0),"",IF(COUNTIFS('Leave log'!$A$7:$A$306,Employees!$A$21,'Leave log'!$B$7:$B$306,"&lt;="&amp;DATE($B$3,11,2),'Leave log'!$C$7:$C$306,"&gt;="&amp;DATE($B$3,11,2),'Leave log'!$F$7:$F$306,"Approved")&gt;0,"A",""))="A","A",IF(OR(DATE($B$3,11,2)&gt;EOMONTH(DATE($B$3,11,1),0),NETWORKDAYS.INTL(DATE($B$3,11,2),DATE($B$3,11,2),1,'Non-working days'!$A$6:$A$45)=0),"",IF(COUNTIFS('Leave log'!$A$7:$A$306,Employees!$A$21,'Leave log'!$B$7:$B$306,"&lt;="&amp;DATE($B$3,11,2),'Leave log'!$C$7:$C$306,"&gt;="&amp;DATE($B$3,11,2),'Leave log'!$F$7:$F$306,"Pending")&gt;0,"P",""))))</f>
        <v/>
      </c>
      <c r="D362" s="23" t="str">
        <f>IF(A362="","",IF(IF(OR(DATE($B$3,11,3)&gt;EOMONTH(DATE($B$3,11,1),0),NETWORKDAYS.INTL(DATE($B$3,11,3),DATE($B$3,11,3),1,'Non-working days'!$A$6:$A$45)=0),"",IF(COUNTIFS('Leave log'!$A$7:$A$306,Employees!$A$21,'Leave log'!$B$7:$B$306,"&lt;="&amp;DATE($B$3,11,3),'Leave log'!$C$7:$C$306,"&gt;="&amp;DATE($B$3,11,3),'Leave log'!$F$7:$F$306,"Approved")&gt;0,"A",""))="A","A",IF(OR(DATE($B$3,11,3)&gt;EOMONTH(DATE($B$3,11,1),0),NETWORKDAYS.INTL(DATE($B$3,11,3),DATE($B$3,11,3),1,'Non-working days'!$A$6:$A$45)=0),"",IF(COUNTIFS('Leave log'!$A$7:$A$306,Employees!$A$21,'Leave log'!$B$7:$B$306,"&lt;="&amp;DATE($B$3,11,3),'Leave log'!$C$7:$C$306,"&gt;="&amp;DATE($B$3,11,3),'Leave log'!$F$7:$F$306,"Pending")&gt;0,"P",""))))</f>
        <v/>
      </c>
      <c r="E362" s="23" t="str">
        <f>IF(A362="","",IF(IF(OR(DATE($B$3,11,4)&gt;EOMONTH(DATE($B$3,11,1),0),NETWORKDAYS.INTL(DATE($B$3,11,4),DATE($B$3,11,4),1,'Non-working days'!$A$6:$A$45)=0),"",IF(COUNTIFS('Leave log'!$A$7:$A$306,Employees!$A$21,'Leave log'!$B$7:$B$306,"&lt;="&amp;DATE($B$3,11,4),'Leave log'!$C$7:$C$306,"&gt;="&amp;DATE($B$3,11,4),'Leave log'!$F$7:$F$306,"Approved")&gt;0,"A",""))="A","A",IF(OR(DATE($B$3,11,4)&gt;EOMONTH(DATE($B$3,11,1),0),NETWORKDAYS.INTL(DATE($B$3,11,4),DATE($B$3,11,4),1,'Non-working days'!$A$6:$A$45)=0),"",IF(COUNTIFS('Leave log'!$A$7:$A$306,Employees!$A$21,'Leave log'!$B$7:$B$306,"&lt;="&amp;DATE($B$3,11,4),'Leave log'!$C$7:$C$306,"&gt;="&amp;DATE($B$3,11,4),'Leave log'!$F$7:$F$306,"Pending")&gt;0,"P",""))))</f>
        <v/>
      </c>
      <c r="F362" s="23" t="str">
        <f>IF(A362="","",IF(IF(OR(DATE($B$3,11,5)&gt;EOMONTH(DATE($B$3,11,1),0),NETWORKDAYS.INTL(DATE($B$3,11,5),DATE($B$3,11,5),1,'Non-working days'!$A$6:$A$45)=0),"",IF(COUNTIFS('Leave log'!$A$7:$A$306,Employees!$A$21,'Leave log'!$B$7:$B$306,"&lt;="&amp;DATE($B$3,11,5),'Leave log'!$C$7:$C$306,"&gt;="&amp;DATE($B$3,11,5),'Leave log'!$F$7:$F$306,"Approved")&gt;0,"A",""))="A","A",IF(OR(DATE($B$3,11,5)&gt;EOMONTH(DATE($B$3,11,1),0),NETWORKDAYS.INTL(DATE($B$3,11,5),DATE($B$3,11,5),1,'Non-working days'!$A$6:$A$45)=0),"",IF(COUNTIFS('Leave log'!$A$7:$A$306,Employees!$A$21,'Leave log'!$B$7:$B$306,"&lt;="&amp;DATE($B$3,11,5),'Leave log'!$C$7:$C$306,"&gt;="&amp;DATE($B$3,11,5),'Leave log'!$F$7:$F$306,"Pending")&gt;0,"P",""))))</f>
        <v/>
      </c>
      <c r="G362" s="23" t="str">
        <f>IF(A362="","",IF(IF(OR(DATE($B$3,11,6)&gt;EOMONTH(DATE($B$3,11,1),0),NETWORKDAYS.INTL(DATE($B$3,11,6),DATE($B$3,11,6),1,'Non-working days'!$A$6:$A$45)=0),"",IF(COUNTIFS('Leave log'!$A$7:$A$306,Employees!$A$21,'Leave log'!$B$7:$B$306,"&lt;="&amp;DATE($B$3,11,6),'Leave log'!$C$7:$C$306,"&gt;="&amp;DATE($B$3,11,6),'Leave log'!$F$7:$F$306,"Approved")&gt;0,"A",""))="A","A",IF(OR(DATE($B$3,11,6)&gt;EOMONTH(DATE($B$3,11,1),0),NETWORKDAYS.INTL(DATE($B$3,11,6),DATE($B$3,11,6),1,'Non-working days'!$A$6:$A$45)=0),"",IF(COUNTIFS('Leave log'!$A$7:$A$306,Employees!$A$21,'Leave log'!$B$7:$B$306,"&lt;="&amp;DATE($B$3,11,6),'Leave log'!$C$7:$C$306,"&gt;="&amp;DATE($B$3,11,6),'Leave log'!$F$7:$F$306,"Pending")&gt;0,"P",""))))</f>
        <v/>
      </c>
      <c r="H362" s="23" t="str">
        <f>IF(A362="","",IF(IF(OR(DATE($B$3,11,7)&gt;EOMONTH(DATE($B$3,11,1),0),NETWORKDAYS.INTL(DATE($B$3,11,7),DATE($B$3,11,7),1,'Non-working days'!$A$6:$A$45)=0),"",IF(COUNTIFS('Leave log'!$A$7:$A$306,Employees!$A$21,'Leave log'!$B$7:$B$306,"&lt;="&amp;DATE($B$3,11,7),'Leave log'!$C$7:$C$306,"&gt;="&amp;DATE($B$3,11,7),'Leave log'!$F$7:$F$306,"Approved")&gt;0,"A",""))="A","A",IF(OR(DATE($B$3,11,7)&gt;EOMONTH(DATE($B$3,11,1),0),NETWORKDAYS.INTL(DATE($B$3,11,7),DATE($B$3,11,7),1,'Non-working days'!$A$6:$A$45)=0),"",IF(COUNTIFS('Leave log'!$A$7:$A$306,Employees!$A$21,'Leave log'!$B$7:$B$306,"&lt;="&amp;DATE($B$3,11,7),'Leave log'!$C$7:$C$306,"&gt;="&amp;DATE($B$3,11,7),'Leave log'!$F$7:$F$306,"Pending")&gt;0,"P",""))))</f>
        <v/>
      </c>
      <c r="I362" s="23" t="str">
        <f>IF(A362="","",IF(IF(OR(DATE($B$3,11,8)&gt;EOMONTH(DATE($B$3,11,1),0),NETWORKDAYS.INTL(DATE($B$3,11,8),DATE($B$3,11,8),1,'Non-working days'!$A$6:$A$45)=0),"",IF(COUNTIFS('Leave log'!$A$7:$A$306,Employees!$A$21,'Leave log'!$B$7:$B$306,"&lt;="&amp;DATE($B$3,11,8),'Leave log'!$C$7:$C$306,"&gt;="&amp;DATE($B$3,11,8),'Leave log'!$F$7:$F$306,"Approved")&gt;0,"A",""))="A","A",IF(OR(DATE($B$3,11,8)&gt;EOMONTH(DATE($B$3,11,1),0),NETWORKDAYS.INTL(DATE($B$3,11,8),DATE($B$3,11,8),1,'Non-working days'!$A$6:$A$45)=0),"",IF(COUNTIFS('Leave log'!$A$7:$A$306,Employees!$A$21,'Leave log'!$B$7:$B$306,"&lt;="&amp;DATE($B$3,11,8),'Leave log'!$C$7:$C$306,"&gt;="&amp;DATE($B$3,11,8),'Leave log'!$F$7:$F$306,"Pending")&gt;0,"P",""))))</f>
        <v/>
      </c>
      <c r="J362" s="23" t="str">
        <f>IF(A362="","",IF(IF(OR(DATE($B$3,11,9)&gt;EOMONTH(DATE($B$3,11,1),0),NETWORKDAYS.INTL(DATE($B$3,11,9),DATE($B$3,11,9),1,'Non-working days'!$A$6:$A$45)=0),"",IF(COUNTIFS('Leave log'!$A$7:$A$306,Employees!$A$21,'Leave log'!$B$7:$B$306,"&lt;="&amp;DATE($B$3,11,9),'Leave log'!$C$7:$C$306,"&gt;="&amp;DATE($B$3,11,9),'Leave log'!$F$7:$F$306,"Approved")&gt;0,"A",""))="A","A",IF(OR(DATE($B$3,11,9)&gt;EOMONTH(DATE($B$3,11,1),0),NETWORKDAYS.INTL(DATE($B$3,11,9),DATE($B$3,11,9),1,'Non-working days'!$A$6:$A$45)=0),"",IF(COUNTIFS('Leave log'!$A$7:$A$306,Employees!$A$21,'Leave log'!$B$7:$B$306,"&lt;="&amp;DATE($B$3,11,9),'Leave log'!$C$7:$C$306,"&gt;="&amp;DATE($B$3,11,9),'Leave log'!$F$7:$F$306,"Pending")&gt;0,"P",""))))</f>
        <v/>
      </c>
      <c r="K362" s="23" t="str">
        <f>IF(A362="","",IF(IF(OR(DATE($B$3,11,10)&gt;EOMONTH(DATE($B$3,11,1),0),NETWORKDAYS.INTL(DATE($B$3,11,10),DATE($B$3,11,10),1,'Non-working days'!$A$6:$A$45)=0),"",IF(COUNTIFS('Leave log'!$A$7:$A$306,Employees!$A$21,'Leave log'!$B$7:$B$306,"&lt;="&amp;DATE($B$3,11,10),'Leave log'!$C$7:$C$306,"&gt;="&amp;DATE($B$3,11,10),'Leave log'!$F$7:$F$306,"Approved")&gt;0,"A",""))="A","A",IF(OR(DATE($B$3,11,10)&gt;EOMONTH(DATE($B$3,11,1),0),NETWORKDAYS.INTL(DATE($B$3,11,10),DATE($B$3,11,10),1,'Non-working days'!$A$6:$A$45)=0),"",IF(COUNTIFS('Leave log'!$A$7:$A$306,Employees!$A$21,'Leave log'!$B$7:$B$306,"&lt;="&amp;DATE($B$3,11,10),'Leave log'!$C$7:$C$306,"&gt;="&amp;DATE($B$3,11,10),'Leave log'!$F$7:$F$306,"Pending")&gt;0,"P",""))))</f>
        <v/>
      </c>
      <c r="L362" s="23" t="str">
        <f>IF(A362="","",IF(IF(OR(DATE($B$3,11,11)&gt;EOMONTH(DATE($B$3,11,1),0),NETWORKDAYS.INTL(DATE($B$3,11,11),DATE($B$3,11,11),1,'Non-working days'!$A$6:$A$45)=0),"",IF(COUNTIFS('Leave log'!$A$7:$A$306,Employees!$A$21,'Leave log'!$B$7:$B$306,"&lt;="&amp;DATE($B$3,11,11),'Leave log'!$C$7:$C$306,"&gt;="&amp;DATE($B$3,11,11),'Leave log'!$F$7:$F$306,"Approved")&gt;0,"A",""))="A","A",IF(OR(DATE($B$3,11,11)&gt;EOMONTH(DATE($B$3,11,1),0),NETWORKDAYS.INTL(DATE($B$3,11,11),DATE($B$3,11,11),1,'Non-working days'!$A$6:$A$45)=0),"",IF(COUNTIFS('Leave log'!$A$7:$A$306,Employees!$A$21,'Leave log'!$B$7:$B$306,"&lt;="&amp;DATE($B$3,11,11),'Leave log'!$C$7:$C$306,"&gt;="&amp;DATE($B$3,11,11),'Leave log'!$F$7:$F$306,"Pending")&gt;0,"P",""))))</f>
        <v/>
      </c>
      <c r="M362" s="23" t="str">
        <f>IF(A362="","",IF(IF(OR(DATE($B$3,11,12)&gt;EOMONTH(DATE($B$3,11,1),0),NETWORKDAYS.INTL(DATE($B$3,11,12),DATE($B$3,11,12),1,'Non-working days'!$A$6:$A$45)=0),"",IF(COUNTIFS('Leave log'!$A$7:$A$306,Employees!$A$21,'Leave log'!$B$7:$B$306,"&lt;="&amp;DATE($B$3,11,12),'Leave log'!$C$7:$C$306,"&gt;="&amp;DATE($B$3,11,12),'Leave log'!$F$7:$F$306,"Approved")&gt;0,"A",""))="A","A",IF(OR(DATE($B$3,11,12)&gt;EOMONTH(DATE($B$3,11,1),0),NETWORKDAYS.INTL(DATE($B$3,11,12),DATE($B$3,11,12),1,'Non-working days'!$A$6:$A$45)=0),"",IF(COUNTIFS('Leave log'!$A$7:$A$306,Employees!$A$21,'Leave log'!$B$7:$B$306,"&lt;="&amp;DATE($B$3,11,12),'Leave log'!$C$7:$C$306,"&gt;="&amp;DATE($B$3,11,12),'Leave log'!$F$7:$F$306,"Pending")&gt;0,"P",""))))</f>
        <v/>
      </c>
      <c r="N362" s="23" t="str">
        <f>IF(A362="","",IF(IF(OR(DATE($B$3,11,13)&gt;EOMONTH(DATE($B$3,11,1),0),NETWORKDAYS.INTL(DATE($B$3,11,13),DATE($B$3,11,13),1,'Non-working days'!$A$6:$A$45)=0),"",IF(COUNTIFS('Leave log'!$A$7:$A$306,Employees!$A$21,'Leave log'!$B$7:$B$306,"&lt;="&amp;DATE($B$3,11,13),'Leave log'!$C$7:$C$306,"&gt;="&amp;DATE($B$3,11,13),'Leave log'!$F$7:$F$306,"Approved")&gt;0,"A",""))="A","A",IF(OR(DATE($B$3,11,13)&gt;EOMONTH(DATE($B$3,11,1),0),NETWORKDAYS.INTL(DATE($B$3,11,13),DATE($B$3,11,13),1,'Non-working days'!$A$6:$A$45)=0),"",IF(COUNTIFS('Leave log'!$A$7:$A$306,Employees!$A$21,'Leave log'!$B$7:$B$306,"&lt;="&amp;DATE($B$3,11,13),'Leave log'!$C$7:$C$306,"&gt;="&amp;DATE($B$3,11,13),'Leave log'!$F$7:$F$306,"Pending")&gt;0,"P",""))))</f>
        <v/>
      </c>
      <c r="O362" s="23" t="str">
        <f>IF(A362="","",IF(IF(OR(DATE($B$3,11,14)&gt;EOMONTH(DATE($B$3,11,1),0),NETWORKDAYS.INTL(DATE($B$3,11,14),DATE($B$3,11,14),1,'Non-working days'!$A$6:$A$45)=0),"",IF(COUNTIFS('Leave log'!$A$7:$A$306,Employees!$A$21,'Leave log'!$B$7:$B$306,"&lt;="&amp;DATE($B$3,11,14),'Leave log'!$C$7:$C$306,"&gt;="&amp;DATE($B$3,11,14),'Leave log'!$F$7:$F$306,"Approved")&gt;0,"A",""))="A","A",IF(OR(DATE($B$3,11,14)&gt;EOMONTH(DATE($B$3,11,1),0),NETWORKDAYS.INTL(DATE($B$3,11,14),DATE($B$3,11,14),1,'Non-working days'!$A$6:$A$45)=0),"",IF(COUNTIFS('Leave log'!$A$7:$A$306,Employees!$A$21,'Leave log'!$B$7:$B$306,"&lt;="&amp;DATE($B$3,11,14),'Leave log'!$C$7:$C$306,"&gt;="&amp;DATE($B$3,11,14),'Leave log'!$F$7:$F$306,"Pending")&gt;0,"P",""))))</f>
        <v/>
      </c>
      <c r="P362" s="23" t="str">
        <f>IF(A362="","",IF(IF(OR(DATE($B$3,11,15)&gt;EOMONTH(DATE($B$3,11,1),0),NETWORKDAYS.INTL(DATE($B$3,11,15),DATE($B$3,11,15),1,'Non-working days'!$A$6:$A$45)=0),"",IF(COUNTIFS('Leave log'!$A$7:$A$306,Employees!$A$21,'Leave log'!$B$7:$B$306,"&lt;="&amp;DATE($B$3,11,15),'Leave log'!$C$7:$C$306,"&gt;="&amp;DATE($B$3,11,15),'Leave log'!$F$7:$F$306,"Approved")&gt;0,"A",""))="A","A",IF(OR(DATE($B$3,11,15)&gt;EOMONTH(DATE($B$3,11,1),0),NETWORKDAYS.INTL(DATE($B$3,11,15),DATE($B$3,11,15),1,'Non-working days'!$A$6:$A$45)=0),"",IF(COUNTIFS('Leave log'!$A$7:$A$306,Employees!$A$21,'Leave log'!$B$7:$B$306,"&lt;="&amp;DATE($B$3,11,15),'Leave log'!$C$7:$C$306,"&gt;="&amp;DATE($B$3,11,15),'Leave log'!$F$7:$F$306,"Pending")&gt;0,"P",""))))</f>
        <v/>
      </c>
      <c r="Q362" s="23" t="str">
        <f>IF(A362="","",IF(IF(OR(DATE($B$3,11,16)&gt;EOMONTH(DATE($B$3,11,1),0),NETWORKDAYS.INTL(DATE($B$3,11,16),DATE($B$3,11,16),1,'Non-working days'!$A$6:$A$45)=0),"",IF(COUNTIFS('Leave log'!$A$7:$A$306,Employees!$A$21,'Leave log'!$B$7:$B$306,"&lt;="&amp;DATE($B$3,11,16),'Leave log'!$C$7:$C$306,"&gt;="&amp;DATE($B$3,11,16),'Leave log'!$F$7:$F$306,"Approved")&gt;0,"A",""))="A","A",IF(OR(DATE($B$3,11,16)&gt;EOMONTH(DATE($B$3,11,1),0),NETWORKDAYS.INTL(DATE($B$3,11,16),DATE($B$3,11,16),1,'Non-working days'!$A$6:$A$45)=0),"",IF(COUNTIFS('Leave log'!$A$7:$A$306,Employees!$A$21,'Leave log'!$B$7:$B$306,"&lt;="&amp;DATE($B$3,11,16),'Leave log'!$C$7:$C$306,"&gt;="&amp;DATE($B$3,11,16),'Leave log'!$F$7:$F$306,"Pending")&gt;0,"P",""))))</f>
        <v/>
      </c>
      <c r="R362" s="23" t="str">
        <f>IF(A362="","",IF(IF(OR(DATE($B$3,11,17)&gt;EOMONTH(DATE($B$3,11,1),0),NETWORKDAYS.INTL(DATE($B$3,11,17),DATE($B$3,11,17),1,'Non-working days'!$A$6:$A$45)=0),"",IF(COUNTIFS('Leave log'!$A$7:$A$306,Employees!$A$21,'Leave log'!$B$7:$B$306,"&lt;="&amp;DATE($B$3,11,17),'Leave log'!$C$7:$C$306,"&gt;="&amp;DATE($B$3,11,17),'Leave log'!$F$7:$F$306,"Approved")&gt;0,"A",""))="A","A",IF(OR(DATE($B$3,11,17)&gt;EOMONTH(DATE($B$3,11,1),0),NETWORKDAYS.INTL(DATE($B$3,11,17),DATE($B$3,11,17),1,'Non-working days'!$A$6:$A$45)=0),"",IF(COUNTIFS('Leave log'!$A$7:$A$306,Employees!$A$21,'Leave log'!$B$7:$B$306,"&lt;="&amp;DATE($B$3,11,17),'Leave log'!$C$7:$C$306,"&gt;="&amp;DATE($B$3,11,17),'Leave log'!$F$7:$F$306,"Pending")&gt;0,"P",""))))</f>
        <v/>
      </c>
      <c r="S362" s="23" t="str">
        <f>IF(A362="","",IF(IF(OR(DATE($B$3,11,18)&gt;EOMONTH(DATE($B$3,11,1),0),NETWORKDAYS.INTL(DATE($B$3,11,18),DATE($B$3,11,18),1,'Non-working days'!$A$6:$A$45)=0),"",IF(COUNTIFS('Leave log'!$A$7:$A$306,Employees!$A$21,'Leave log'!$B$7:$B$306,"&lt;="&amp;DATE($B$3,11,18),'Leave log'!$C$7:$C$306,"&gt;="&amp;DATE($B$3,11,18),'Leave log'!$F$7:$F$306,"Approved")&gt;0,"A",""))="A","A",IF(OR(DATE($B$3,11,18)&gt;EOMONTH(DATE($B$3,11,1),0),NETWORKDAYS.INTL(DATE($B$3,11,18),DATE($B$3,11,18),1,'Non-working days'!$A$6:$A$45)=0),"",IF(COUNTIFS('Leave log'!$A$7:$A$306,Employees!$A$21,'Leave log'!$B$7:$B$306,"&lt;="&amp;DATE($B$3,11,18),'Leave log'!$C$7:$C$306,"&gt;="&amp;DATE($B$3,11,18),'Leave log'!$F$7:$F$306,"Pending")&gt;0,"P",""))))</f>
        <v/>
      </c>
      <c r="T362" s="23" t="str">
        <f>IF(A362="","",IF(IF(OR(DATE($B$3,11,19)&gt;EOMONTH(DATE($B$3,11,1),0),NETWORKDAYS.INTL(DATE($B$3,11,19),DATE($B$3,11,19),1,'Non-working days'!$A$6:$A$45)=0),"",IF(COUNTIFS('Leave log'!$A$7:$A$306,Employees!$A$21,'Leave log'!$B$7:$B$306,"&lt;="&amp;DATE($B$3,11,19),'Leave log'!$C$7:$C$306,"&gt;="&amp;DATE($B$3,11,19),'Leave log'!$F$7:$F$306,"Approved")&gt;0,"A",""))="A","A",IF(OR(DATE($B$3,11,19)&gt;EOMONTH(DATE($B$3,11,1),0),NETWORKDAYS.INTL(DATE($B$3,11,19),DATE($B$3,11,19),1,'Non-working days'!$A$6:$A$45)=0),"",IF(COUNTIFS('Leave log'!$A$7:$A$306,Employees!$A$21,'Leave log'!$B$7:$B$306,"&lt;="&amp;DATE($B$3,11,19),'Leave log'!$C$7:$C$306,"&gt;="&amp;DATE($B$3,11,19),'Leave log'!$F$7:$F$306,"Pending")&gt;0,"P",""))))</f>
        <v/>
      </c>
      <c r="U362" s="23" t="str">
        <f>IF(A362="","",IF(IF(OR(DATE($B$3,11,20)&gt;EOMONTH(DATE($B$3,11,1),0),NETWORKDAYS.INTL(DATE($B$3,11,20),DATE($B$3,11,20),1,'Non-working days'!$A$6:$A$45)=0),"",IF(COUNTIFS('Leave log'!$A$7:$A$306,Employees!$A$21,'Leave log'!$B$7:$B$306,"&lt;="&amp;DATE($B$3,11,20),'Leave log'!$C$7:$C$306,"&gt;="&amp;DATE($B$3,11,20),'Leave log'!$F$7:$F$306,"Approved")&gt;0,"A",""))="A","A",IF(OR(DATE($B$3,11,20)&gt;EOMONTH(DATE($B$3,11,1),0),NETWORKDAYS.INTL(DATE($B$3,11,20),DATE($B$3,11,20),1,'Non-working days'!$A$6:$A$45)=0),"",IF(COUNTIFS('Leave log'!$A$7:$A$306,Employees!$A$21,'Leave log'!$B$7:$B$306,"&lt;="&amp;DATE($B$3,11,20),'Leave log'!$C$7:$C$306,"&gt;="&amp;DATE($B$3,11,20),'Leave log'!$F$7:$F$306,"Pending")&gt;0,"P",""))))</f>
        <v/>
      </c>
      <c r="V362" s="23" t="str">
        <f>IF(A362="","",IF(IF(OR(DATE($B$3,11,21)&gt;EOMONTH(DATE($B$3,11,1),0),NETWORKDAYS.INTL(DATE($B$3,11,21),DATE($B$3,11,21),1,'Non-working days'!$A$6:$A$45)=0),"",IF(COUNTIFS('Leave log'!$A$7:$A$306,Employees!$A$21,'Leave log'!$B$7:$B$306,"&lt;="&amp;DATE($B$3,11,21),'Leave log'!$C$7:$C$306,"&gt;="&amp;DATE($B$3,11,21),'Leave log'!$F$7:$F$306,"Approved")&gt;0,"A",""))="A","A",IF(OR(DATE($B$3,11,21)&gt;EOMONTH(DATE($B$3,11,1),0),NETWORKDAYS.INTL(DATE($B$3,11,21),DATE($B$3,11,21),1,'Non-working days'!$A$6:$A$45)=0),"",IF(COUNTIFS('Leave log'!$A$7:$A$306,Employees!$A$21,'Leave log'!$B$7:$B$306,"&lt;="&amp;DATE($B$3,11,21),'Leave log'!$C$7:$C$306,"&gt;="&amp;DATE($B$3,11,21),'Leave log'!$F$7:$F$306,"Pending")&gt;0,"P",""))))</f>
        <v/>
      </c>
      <c r="W362" s="23" t="str">
        <f>IF(A362="","",IF(IF(OR(DATE($B$3,11,22)&gt;EOMONTH(DATE($B$3,11,1),0),NETWORKDAYS.INTL(DATE($B$3,11,22),DATE($B$3,11,22),1,'Non-working days'!$A$6:$A$45)=0),"",IF(COUNTIFS('Leave log'!$A$7:$A$306,Employees!$A$21,'Leave log'!$B$7:$B$306,"&lt;="&amp;DATE($B$3,11,22),'Leave log'!$C$7:$C$306,"&gt;="&amp;DATE($B$3,11,22),'Leave log'!$F$7:$F$306,"Approved")&gt;0,"A",""))="A","A",IF(OR(DATE($B$3,11,22)&gt;EOMONTH(DATE($B$3,11,1),0),NETWORKDAYS.INTL(DATE($B$3,11,22),DATE($B$3,11,22),1,'Non-working days'!$A$6:$A$45)=0),"",IF(COUNTIFS('Leave log'!$A$7:$A$306,Employees!$A$21,'Leave log'!$B$7:$B$306,"&lt;="&amp;DATE($B$3,11,22),'Leave log'!$C$7:$C$306,"&gt;="&amp;DATE($B$3,11,22),'Leave log'!$F$7:$F$306,"Pending")&gt;0,"P",""))))</f>
        <v/>
      </c>
      <c r="X362" s="23" t="str">
        <f>IF(A362="","",IF(IF(OR(DATE($B$3,11,23)&gt;EOMONTH(DATE($B$3,11,1),0),NETWORKDAYS.INTL(DATE($B$3,11,23),DATE($B$3,11,23),1,'Non-working days'!$A$6:$A$45)=0),"",IF(COUNTIFS('Leave log'!$A$7:$A$306,Employees!$A$21,'Leave log'!$B$7:$B$306,"&lt;="&amp;DATE($B$3,11,23),'Leave log'!$C$7:$C$306,"&gt;="&amp;DATE($B$3,11,23),'Leave log'!$F$7:$F$306,"Approved")&gt;0,"A",""))="A","A",IF(OR(DATE($B$3,11,23)&gt;EOMONTH(DATE($B$3,11,1),0),NETWORKDAYS.INTL(DATE($B$3,11,23),DATE($B$3,11,23),1,'Non-working days'!$A$6:$A$45)=0),"",IF(COUNTIFS('Leave log'!$A$7:$A$306,Employees!$A$21,'Leave log'!$B$7:$B$306,"&lt;="&amp;DATE($B$3,11,23),'Leave log'!$C$7:$C$306,"&gt;="&amp;DATE($B$3,11,23),'Leave log'!$F$7:$F$306,"Pending")&gt;0,"P",""))))</f>
        <v/>
      </c>
      <c r="Y362" s="23" t="str">
        <f>IF(A362="","",IF(IF(OR(DATE($B$3,11,24)&gt;EOMONTH(DATE($B$3,11,1),0),NETWORKDAYS.INTL(DATE($B$3,11,24),DATE($B$3,11,24),1,'Non-working days'!$A$6:$A$45)=0),"",IF(COUNTIFS('Leave log'!$A$7:$A$306,Employees!$A$21,'Leave log'!$B$7:$B$306,"&lt;="&amp;DATE($B$3,11,24),'Leave log'!$C$7:$C$306,"&gt;="&amp;DATE($B$3,11,24),'Leave log'!$F$7:$F$306,"Approved")&gt;0,"A",""))="A","A",IF(OR(DATE($B$3,11,24)&gt;EOMONTH(DATE($B$3,11,1),0),NETWORKDAYS.INTL(DATE($B$3,11,24),DATE($B$3,11,24),1,'Non-working days'!$A$6:$A$45)=0),"",IF(COUNTIFS('Leave log'!$A$7:$A$306,Employees!$A$21,'Leave log'!$B$7:$B$306,"&lt;="&amp;DATE($B$3,11,24),'Leave log'!$C$7:$C$306,"&gt;="&amp;DATE($B$3,11,24),'Leave log'!$F$7:$F$306,"Pending")&gt;0,"P",""))))</f>
        <v/>
      </c>
      <c r="Z362" s="23" t="str">
        <f>IF(A362="","",IF(IF(OR(DATE($B$3,11,25)&gt;EOMONTH(DATE($B$3,11,1),0),NETWORKDAYS.INTL(DATE($B$3,11,25),DATE($B$3,11,25),1,'Non-working days'!$A$6:$A$45)=0),"",IF(COUNTIFS('Leave log'!$A$7:$A$306,Employees!$A$21,'Leave log'!$B$7:$B$306,"&lt;="&amp;DATE($B$3,11,25),'Leave log'!$C$7:$C$306,"&gt;="&amp;DATE($B$3,11,25),'Leave log'!$F$7:$F$306,"Approved")&gt;0,"A",""))="A","A",IF(OR(DATE($B$3,11,25)&gt;EOMONTH(DATE($B$3,11,1),0),NETWORKDAYS.INTL(DATE($B$3,11,25),DATE($B$3,11,25),1,'Non-working days'!$A$6:$A$45)=0),"",IF(COUNTIFS('Leave log'!$A$7:$A$306,Employees!$A$21,'Leave log'!$B$7:$B$306,"&lt;="&amp;DATE($B$3,11,25),'Leave log'!$C$7:$C$306,"&gt;="&amp;DATE($B$3,11,25),'Leave log'!$F$7:$F$306,"Pending")&gt;0,"P",""))))</f>
        <v/>
      </c>
      <c r="AA362" s="23" t="str">
        <f>IF(A362="","",IF(IF(OR(DATE($B$3,11,26)&gt;EOMONTH(DATE($B$3,11,1),0),NETWORKDAYS.INTL(DATE($B$3,11,26),DATE($B$3,11,26),1,'Non-working days'!$A$6:$A$45)=0),"",IF(COUNTIFS('Leave log'!$A$7:$A$306,Employees!$A$21,'Leave log'!$B$7:$B$306,"&lt;="&amp;DATE($B$3,11,26),'Leave log'!$C$7:$C$306,"&gt;="&amp;DATE($B$3,11,26),'Leave log'!$F$7:$F$306,"Approved")&gt;0,"A",""))="A","A",IF(OR(DATE($B$3,11,26)&gt;EOMONTH(DATE($B$3,11,1),0),NETWORKDAYS.INTL(DATE($B$3,11,26),DATE($B$3,11,26),1,'Non-working days'!$A$6:$A$45)=0),"",IF(COUNTIFS('Leave log'!$A$7:$A$306,Employees!$A$21,'Leave log'!$B$7:$B$306,"&lt;="&amp;DATE($B$3,11,26),'Leave log'!$C$7:$C$306,"&gt;="&amp;DATE($B$3,11,26),'Leave log'!$F$7:$F$306,"Pending")&gt;0,"P",""))))</f>
        <v/>
      </c>
      <c r="AB362" s="23" t="str">
        <f>IF(A362="","",IF(IF(OR(DATE($B$3,11,27)&gt;EOMONTH(DATE($B$3,11,1),0),NETWORKDAYS.INTL(DATE($B$3,11,27),DATE($B$3,11,27),1,'Non-working days'!$A$6:$A$45)=0),"",IF(COUNTIFS('Leave log'!$A$7:$A$306,Employees!$A$21,'Leave log'!$B$7:$B$306,"&lt;="&amp;DATE($B$3,11,27),'Leave log'!$C$7:$C$306,"&gt;="&amp;DATE($B$3,11,27),'Leave log'!$F$7:$F$306,"Approved")&gt;0,"A",""))="A","A",IF(OR(DATE($B$3,11,27)&gt;EOMONTH(DATE($B$3,11,1),0),NETWORKDAYS.INTL(DATE($B$3,11,27),DATE($B$3,11,27),1,'Non-working days'!$A$6:$A$45)=0),"",IF(COUNTIFS('Leave log'!$A$7:$A$306,Employees!$A$21,'Leave log'!$B$7:$B$306,"&lt;="&amp;DATE($B$3,11,27),'Leave log'!$C$7:$C$306,"&gt;="&amp;DATE($B$3,11,27),'Leave log'!$F$7:$F$306,"Pending")&gt;0,"P",""))))</f>
        <v/>
      </c>
      <c r="AC362" s="23" t="str">
        <f>IF(A362="","",IF(IF(OR(DATE($B$3,11,28)&gt;EOMONTH(DATE($B$3,11,1),0),NETWORKDAYS.INTL(DATE($B$3,11,28),DATE($B$3,11,28),1,'Non-working days'!$A$6:$A$45)=0),"",IF(COUNTIFS('Leave log'!$A$7:$A$306,Employees!$A$21,'Leave log'!$B$7:$B$306,"&lt;="&amp;DATE($B$3,11,28),'Leave log'!$C$7:$C$306,"&gt;="&amp;DATE($B$3,11,28),'Leave log'!$F$7:$F$306,"Approved")&gt;0,"A",""))="A","A",IF(OR(DATE($B$3,11,28)&gt;EOMONTH(DATE($B$3,11,1),0),NETWORKDAYS.INTL(DATE($B$3,11,28),DATE($B$3,11,28),1,'Non-working days'!$A$6:$A$45)=0),"",IF(COUNTIFS('Leave log'!$A$7:$A$306,Employees!$A$21,'Leave log'!$B$7:$B$306,"&lt;="&amp;DATE($B$3,11,28),'Leave log'!$C$7:$C$306,"&gt;="&amp;DATE($B$3,11,28),'Leave log'!$F$7:$F$306,"Pending")&gt;0,"P",""))))</f>
        <v/>
      </c>
      <c r="AD362" s="23" t="str">
        <f>IF(A362="","",IF(IF(OR(DATE($B$3,11,29)&gt;EOMONTH(DATE($B$3,11,1),0),NETWORKDAYS.INTL(DATE($B$3,11,29),DATE($B$3,11,29),1,'Non-working days'!$A$6:$A$45)=0),"",IF(COUNTIFS('Leave log'!$A$7:$A$306,Employees!$A$21,'Leave log'!$B$7:$B$306,"&lt;="&amp;DATE($B$3,11,29),'Leave log'!$C$7:$C$306,"&gt;="&amp;DATE($B$3,11,29),'Leave log'!$F$7:$F$306,"Approved")&gt;0,"A",""))="A","A",IF(OR(DATE($B$3,11,29)&gt;EOMONTH(DATE($B$3,11,1),0),NETWORKDAYS.INTL(DATE($B$3,11,29),DATE($B$3,11,29),1,'Non-working days'!$A$6:$A$45)=0),"",IF(COUNTIFS('Leave log'!$A$7:$A$306,Employees!$A$21,'Leave log'!$B$7:$B$306,"&lt;="&amp;DATE($B$3,11,29),'Leave log'!$C$7:$C$306,"&gt;="&amp;DATE($B$3,11,29),'Leave log'!$F$7:$F$306,"Pending")&gt;0,"P",""))))</f>
        <v/>
      </c>
      <c r="AE362" s="23" t="str">
        <f>IF(A362="","",IF(IF(OR(DATE($B$3,11,30)&gt;EOMONTH(DATE($B$3,11,1),0),NETWORKDAYS.INTL(DATE($B$3,11,30),DATE($B$3,11,30),1,'Non-working days'!$A$6:$A$45)=0),"",IF(COUNTIFS('Leave log'!$A$7:$A$306,Employees!$A$21,'Leave log'!$B$7:$B$306,"&lt;="&amp;DATE($B$3,11,30),'Leave log'!$C$7:$C$306,"&gt;="&amp;DATE($B$3,11,30),'Leave log'!$F$7:$F$306,"Approved")&gt;0,"A",""))="A","A",IF(OR(DATE($B$3,11,30)&gt;EOMONTH(DATE($B$3,11,1),0),NETWORKDAYS.INTL(DATE($B$3,11,30),DATE($B$3,11,30),1,'Non-working days'!$A$6:$A$45)=0),"",IF(COUNTIFS('Leave log'!$A$7:$A$306,Employees!$A$21,'Leave log'!$B$7:$B$306,"&lt;="&amp;DATE($B$3,11,30),'Leave log'!$C$7:$C$306,"&gt;="&amp;DATE($B$3,11,30),'Leave log'!$F$7:$F$306,"Pending")&gt;0,"P",""))))</f>
        <v/>
      </c>
      <c r="AF362" s="23" t="str">
        <f>IF(A362="","",IF(IF(OR(DATE($B$3,11,31)&gt;EOMONTH(DATE($B$3,11,1),0),NETWORKDAYS.INTL(DATE($B$3,11,31),DATE($B$3,11,31),1,'Non-working days'!$A$6:$A$45)=0),"",IF(COUNTIFS('Leave log'!$A$7:$A$306,Employees!$A$21,'Leave log'!$B$7:$B$306,"&lt;="&amp;DATE($B$3,11,31),'Leave log'!$C$7:$C$306,"&gt;="&amp;DATE($B$3,11,31),'Leave log'!$F$7:$F$306,"Approved")&gt;0,"A",""))="A","A",IF(OR(DATE($B$3,11,31)&gt;EOMONTH(DATE($B$3,11,1),0),NETWORKDAYS.INTL(DATE($B$3,11,31),DATE($B$3,11,31),1,'Non-working days'!$A$6:$A$45)=0),"",IF(COUNTIFS('Leave log'!$A$7:$A$306,Employees!$A$21,'Leave log'!$B$7:$B$306,"&lt;="&amp;DATE($B$3,11,31),'Leave log'!$C$7:$C$306,"&gt;="&amp;DATE($B$3,11,31),'Leave log'!$F$7:$F$306,"Pending")&gt;0,"P",""))))</f>
        <v/>
      </c>
    </row>
    <row r="363" spans="1:32" ht="18" customHeight="1" x14ac:dyDescent="0.3">
      <c r="A363" s="22" t="str">
        <f>IF(Employees!F22="Yes",Employees!B22,"")</f>
        <v/>
      </c>
      <c r="B363" s="23" t="str">
        <f>IF(A363="","",IF(IF(OR(DATE($B$3,11,1)&gt;EOMONTH(DATE($B$3,11,1),0),NETWORKDAYS.INTL(DATE($B$3,11,1),DATE($B$3,11,1),1,'Non-working days'!$A$6:$A$45)=0),"",IF(COUNTIFS('Leave log'!$A$7:$A$306,Employees!$A$22,'Leave log'!$B$7:$B$306,"&lt;="&amp;DATE($B$3,11,1),'Leave log'!$C$7:$C$306,"&gt;="&amp;DATE($B$3,11,1),'Leave log'!$F$7:$F$306,"Approved")&gt;0,"A",""))="A","A",IF(OR(DATE($B$3,11,1)&gt;EOMONTH(DATE($B$3,11,1),0),NETWORKDAYS.INTL(DATE($B$3,11,1),DATE($B$3,11,1),1,'Non-working days'!$A$6:$A$45)=0),"",IF(COUNTIFS('Leave log'!$A$7:$A$306,Employees!$A$22,'Leave log'!$B$7:$B$306,"&lt;="&amp;DATE($B$3,11,1),'Leave log'!$C$7:$C$306,"&gt;="&amp;DATE($B$3,11,1),'Leave log'!$F$7:$F$306,"Pending")&gt;0,"P",""))))</f>
        <v/>
      </c>
      <c r="C363" s="23" t="str">
        <f>IF(A363="","",IF(IF(OR(DATE($B$3,11,2)&gt;EOMONTH(DATE($B$3,11,1),0),NETWORKDAYS.INTL(DATE($B$3,11,2),DATE($B$3,11,2),1,'Non-working days'!$A$6:$A$45)=0),"",IF(COUNTIFS('Leave log'!$A$7:$A$306,Employees!$A$22,'Leave log'!$B$7:$B$306,"&lt;="&amp;DATE($B$3,11,2),'Leave log'!$C$7:$C$306,"&gt;="&amp;DATE($B$3,11,2),'Leave log'!$F$7:$F$306,"Approved")&gt;0,"A",""))="A","A",IF(OR(DATE($B$3,11,2)&gt;EOMONTH(DATE($B$3,11,1),0),NETWORKDAYS.INTL(DATE($B$3,11,2),DATE($B$3,11,2),1,'Non-working days'!$A$6:$A$45)=0),"",IF(COUNTIFS('Leave log'!$A$7:$A$306,Employees!$A$22,'Leave log'!$B$7:$B$306,"&lt;="&amp;DATE($B$3,11,2),'Leave log'!$C$7:$C$306,"&gt;="&amp;DATE($B$3,11,2),'Leave log'!$F$7:$F$306,"Pending")&gt;0,"P",""))))</f>
        <v/>
      </c>
      <c r="D363" s="23" t="str">
        <f>IF(A363="","",IF(IF(OR(DATE($B$3,11,3)&gt;EOMONTH(DATE($B$3,11,1),0),NETWORKDAYS.INTL(DATE($B$3,11,3),DATE($B$3,11,3),1,'Non-working days'!$A$6:$A$45)=0),"",IF(COUNTIFS('Leave log'!$A$7:$A$306,Employees!$A$22,'Leave log'!$B$7:$B$306,"&lt;="&amp;DATE($B$3,11,3),'Leave log'!$C$7:$C$306,"&gt;="&amp;DATE($B$3,11,3),'Leave log'!$F$7:$F$306,"Approved")&gt;0,"A",""))="A","A",IF(OR(DATE($B$3,11,3)&gt;EOMONTH(DATE($B$3,11,1),0),NETWORKDAYS.INTL(DATE($B$3,11,3),DATE($B$3,11,3),1,'Non-working days'!$A$6:$A$45)=0),"",IF(COUNTIFS('Leave log'!$A$7:$A$306,Employees!$A$22,'Leave log'!$B$7:$B$306,"&lt;="&amp;DATE($B$3,11,3),'Leave log'!$C$7:$C$306,"&gt;="&amp;DATE($B$3,11,3),'Leave log'!$F$7:$F$306,"Pending")&gt;0,"P",""))))</f>
        <v/>
      </c>
      <c r="E363" s="23" t="str">
        <f>IF(A363="","",IF(IF(OR(DATE($B$3,11,4)&gt;EOMONTH(DATE($B$3,11,1),0),NETWORKDAYS.INTL(DATE($B$3,11,4),DATE($B$3,11,4),1,'Non-working days'!$A$6:$A$45)=0),"",IF(COUNTIFS('Leave log'!$A$7:$A$306,Employees!$A$22,'Leave log'!$B$7:$B$306,"&lt;="&amp;DATE($B$3,11,4),'Leave log'!$C$7:$C$306,"&gt;="&amp;DATE($B$3,11,4),'Leave log'!$F$7:$F$306,"Approved")&gt;0,"A",""))="A","A",IF(OR(DATE($B$3,11,4)&gt;EOMONTH(DATE($B$3,11,1),0),NETWORKDAYS.INTL(DATE($B$3,11,4),DATE($B$3,11,4),1,'Non-working days'!$A$6:$A$45)=0),"",IF(COUNTIFS('Leave log'!$A$7:$A$306,Employees!$A$22,'Leave log'!$B$7:$B$306,"&lt;="&amp;DATE($B$3,11,4),'Leave log'!$C$7:$C$306,"&gt;="&amp;DATE($B$3,11,4),'Leave log'!$F$7:$F$306,"Pending")&gt;0,"P",""))))</f>
        <v/>
      </c>
      <c r="F363" s="23" t="str">
        <f>IF(A363="","",IF(IF(OR(DATE($B$3,11,5)&gt;EOMONTH(DATE($B$3,11,1),0),NETWORKDAYS.INTL(DATE($B$3,11,5),DATE($B$3,11,5),1,'Non-working days'!$A$6:$A$45)=0),"",IF(COUNTIFS('Leave log'!$A$7:$A$306,Employees!$A$22,'Leave log'!$B$7:$B$306,"&lt;="&amp;DATE($B$3,11,5),'Leave log'!$C$7:$C$306,"&gt;="&amp;DATE($B$3,11,5),'Leave log'!$F$7:$F$306,"Approved")&gt;0,"A",""))="A","A",IF(OR(DATE($B$3,11,5)&gt;EOMONTH(DATE($B$3,11,1),0),NETWORKDAYS.INTL(DATE($B$3,11,5),DATE($B$3,11,5),1,'Non-working days'!$A$6:$A$45)=0),"",IF(COUNTIFS('Leave log'!$A$7:$A$306,Employees!$A$22,'Leave log'!$B$7:$B$306,"&lt;="&amp;DATE($B$3,11,5),'Leave log'!$C$7:$C$306,"&gt;="&amp;DATE($B$3,11,5),'Leave log'!$F$7:$F$306,"Pending")&gt;0,"P",""))))</f>
        <v/>
      </c>
      <c r="G363" s="23" t="str">
        <f>IF(A363="","",IF(IF(OR(DATE($B$3,11,6)&gt;EOMONTH(DATE($B$3,11,1),0),NETWORKDAYS.INTL(DATE($B$3,11,6),DATE($B$3,11,6),1,'Non-working days'!$A$6:$A$45)=0),"",IF(COUNTIFS('Leave log'!$A$7:$A$306,Employees!$A$22,'Leave log'!$B$7:$B$306,"&lt;="&amp;DATE($B$3,11,6),'Leave log'!$C$7:$C$306,"&gt;="&amp;DATE($B$3,11,6),'Leave log'!$F$7:$F$306,"Approved")&gt;0,"A",""))="A","A",IF(OR(DATE($B$3,11,6)&gt;EOMONTH(DATE($B$3,11,1),0),NETWORKDAYS.INTL(DATE($B$3,11,6),DATE($B$3,11,6),1,'Non-working days'!$A$6:$A$45)=0),"",IF(COUNTIFS('Leave log'!$A$7:$A$306,Employees!$A$22,'Leave log'!$B$7:$B$306,"&lt;="&amp;DATE($B$3,11,6),'Leave log'!$C$7:$C$306,"&gt;="&amp;DATE($B$3,11,6),'Leave log'!$F$7:$F$306,"Pending")&gt;0,"P",""))))</f>
        <v/>
      </c>
      <c r="H363" s="23" t="str">
        <f>IF(A363="","",IF(IF(OR(DATE($B$3,11,7)&gt;EOMONTH(DATE($B$3,11,1),0),NETWORKDAYS.INTL(DATE($B$3,11,7),DATE($B$3,11,7),1,'Non-working days'!$A$6:$A$45)=0),"",IF(COUNTIFS('Leave log'!$A$7:$A$306,Employees!$A$22,'Leave log'!$B$7:$B$306,"&lt;="&amp;DATE($B$3,11,7),'Leave log'!$C$7:$C$306,"&gt;="&amp;DATE($B$3,11,7),'Leave log'!$F$7:$F$306,"Approved")&gt;0,"A",""))="A","A",IF(OR(DATE($B$3,11,7)&gt;EOMONTH(DATE($B$3,11,1),0),NETWORKDAYS.INTL(DATE($B$3,11,7),DATE($B$3,11,7),1,'Non-working days'!$A$6:$A$45)=0),"",IF(COUNTIFS('Leave log'!$A$7:$A$306,Employees!$A$22,'Leave log'!$B$7:$B$306,"&lt;="&amp;DATE($B$3,11,7),'Leave log'!$C$7:$C$306,"&gt;="&amp;DATE($B$3,11,7),'Leave log'!$F$7:$F$306,"Pending")&gt;0,"P",""))))</f>
        <v/>
      </c>
      <c r="I363" s="23" t="str">
        <f>IF(A363="","",IF(IF(OR(DATE($B$3,11,8)&gt;EOMONTH(DATE($B$3,11,1),0),NETWORKDAYS.INTL(DATE($B$3,11,8),DATE($B$3,11,8),1,'Non-working days'!$A$6:$A$45)=0),"",IF(COUNTIFS('Leave log'!$A$7:$A$306,Employees!$A$22,'Leave log'!$B$7:$B$306,"&lt;="&amp;DATE($B$3,11,8),'Leave log'!$C$7:$C$306,"&gt;="&amp;DATE($B$3,11,8),'Leave log'!$F$7:$F$306,"Approved")&gt;0,"A",""))="A","A",IF(OR(DATE($B$3,11,8)&gt;EOMONTH(DATE($B$3,11,1),0),NETWORKDAYS.INTL(DATE($B$3,11,8),DATE($B$3,11,8),1,'Non-working days'!$A$6:$A$45)=0),"",IF(COUNTIFS('Leave log'!$A$7:$A$306,Employees!$A$22,'Leave log'!$B$7:$B$306,"&lt;="&amp;DATE($B$3,11,8),'Leave log'!$C$7:$C$306,"&gt;="&amp;DATE($B$3,11,8),'Leave log'!$F$7:$F$306,"Pending")&gt;0,"P",""))))</f>
        <v/>
      </c>
      <c r="J363" s="23" t="str">
        <f>IF(A363="","",IF(IF(OR(DATE($B$3,11,9)&gt;EOMONTH(DATE($B$3,11,1),0),NETWORKDAYS.INTL(DATE($B$3,11,9),DATE($B$3,11,9),1,'Non-working days'!$A$6:$A$45)=0),"",IF(COUNTIFS('Leave log'!$A$7:$A$306,Employees!$A$22,'Leave log'!$B$7:$B$306,"&lt;="&amp;DATE($B$3,11,9),'Leave log'!$C$7:$C$306,"&gt;="&amp;DATE($B$3,11,9),'Leave log'!$F$7:$F$306,"Approved")&gt;0,"A",""))="A","A",IF(OR(DATE($B$3,11,9)&gt;EOMONTH(DATE($B$3,11,1),0),NETWORKDAYS.INTL(DATE($B$3,11,9),DATE($B$3,11,9),1,'Non-working days'!$A$6:$A$45)=0),"",IF(COUNTIFS('Leave log'!$A$7:$A$306,Employees!$A$22,'Leave log'!$B$7:$B$306,"&lt;="&amp;DATE($B$3,11,9),'Leave log'!$C$7:$C$306,"&gt;="&amp;DATE($B$3,11,9),'Leave log'!$F$7:$F$306,"Pending")&gt;0,"P",""))))</f>
        <v/>
      </c>
      <c r="K363" s="23" t="str">
        <f>IF(A363="","",IF(IF(OR(DATE($B$3,11,10)&gt;EOMONTH(DATE($B$3,11,1),0),NETWORKDAYS.INTL(DATE($B$3,11,10),DATE($B$3,11,10),1,'Non-working days'!$A$6:$A$45)=0),"",IF(COUNTIFS('Leave log'!$A$7:$A$306,Employees!$A$22,'Leave log'!$B$7:$B$306,"&lt;="&amp;DATE($B$3,11,10),'Leave log'!$C$7:$C$306,"&gt;="&amp;DATE($B$3,11,10),'Leave log'!$F$7:$F$306,"Approved")&gt;0,"A",""))="A","A",IF(OR(DATE($B$3,11,10)&gt;EOMONTH(DATE($B$3,11,1),0),NETWORKDAYS.INTL(DATE($B$3,11,10),DATE($B$3,11,10),1,'Non-working days'!$A$6:$A$45)=0),"",IF(COUNTIFS('Leave log'!$A$7:$A$306,Employees!$A$22,'Leave log'!$B$7:$B$306,"&lt;="&amp;DATE($B$3,11,10),'Leave log'!$C$7:$C$306,"&gt;="&amp;DATE($B$3,11,10),'Leave log'!$F$7:$F$306,"Pending")&gt;0,"P",""))))</f>
        <v/>
      </c>
      <c r="L363" s="23" t="str">
        <f>IF(A363="","",IF(IF(OR(DATE($B$3,11,11)&gt;EOMONTH(DATE($B$3,11,1),0),NETWORKDAYS.INTL(DATE($B$3,11,11),DATE($B$3,11,11),1,'Non-working days'!$A$6:$A$45)=0),"",IF(COUNTIFS('Leave log'!$A$7:$A$306,Employees!$A$22,'Leave log'!$B$7:$B$306,"&lt;="&amp;DATE($B$3,11,11),'Leave log'!$C$7:$C$306,"&gt;="&amp;DATE($B$3,11,11),'Leave log'!$F$7:$F$306,"Approved")&gt;0,"A",""))="A","A",IF(OR(DATE($B$3,11,11)&gt;EOMONTH(DATE($B$3,11,1),0),NETWORKDAYS.INTL(DATE($B$3,11,11),DATE($B$3,11,11),1,'Non-working days'!$A$6:$A$45)=0),"",IF(COUNTIFS('Leave log'!$A$7:$A$306,Employees!$A$22,'Leave log'!$B$7:$B$306,"&lt;="&amp;DATE($B$3,11,11),'Leave log'!$C$7:$C$306,"&gt;="&amp;DATE($B$3,11,11),'Leave log'!$F$7:$F$306,"Pending")&gt;0,"P",""))))</f>
        <v/>
      </c>
      <c r="M363" s="23" t="str">
        <f>IF(A363="","",IF(IF(OR(DATE($B$3,11,12)&gt;EOMONTH(DATE($B$3,11,1),0),NETWORKDAYS.INTL(DATE($B$3,11,12),DATE($B$3,11,12),1,'Non-working days'!$A$6:$A$45)=0),"",IF(COUNTIFS('Leave log'!$A$7:$A$306,Employees!$A$22,'Leave log'!$B$7:$B$306,"&lt;="&amp;DATE($B$3,11,12),'Leave log'!$C$7:$C$306,"&gt;="&amp;DATE($B$3,11,12),'Leave log'!$F$7:$F$306,"Approved")&gt;0,"A",""))="A","A",IF(OR(DATE($B$3,11,12)&gt;EOMONTH(DATE($B$3,11,1),0),NETWORKDAYS.INTL(DATE($B$3,11,12),DATE($B$3,11,12),1,'Non-working days'!$A$6:$A$45)=0),"",IF(COUNTIFS('Leave log'!$A$7:$A$306,Employees!$A$22,'Leave log'!$B$7:$B$306,"&lt;="&amp;DATE($B$3,11,12),'Leave log'!$C$7:$C$306,"&gt;="&amp;DATE($B$3,11,12),'Leave log'!$F$7:$F$306,"Pending")&gt;0,"P",""))))</f>
        <v/>
      </c>
      <c r="N363" s="23" t="str">
        <f>IF(A363="","",IF(IF(OR(DATE($B$3,11,13)&gt;EOMONTH(DATE($B$3,11,1),0),NETWORKDAYS.INTL(DATE($B$3,11,13),DATE($B$3,11,13),1,'Non-working days'!$A$6:$A$45)=0),"",IF(COUNTIFS('Leave log'!$A$7:$A$306,Employees!$A$22,'Leave log'!$B$7:$B$306,"&lt;="&amp;DATE($B$3,11,13),'Leave log'!$C$7:$C$306,"&gt;="&amp;DATE($B$3,11,13),'Leave log'!$F$7:$F$306,"Approved")&gt;0,"A",""))="A","A",IF(OR(DATE($B$3,11,13)&gt;EOMONTH(DATE($B$3,11,1),0),NETWORKDAYS.INTL(DATE($B$3,11,13),DATE($B$3,11,13),1,'Non-working days'!$A$6:$A$45)=0),"",IF(COUNTIFS('Leave log'!$A$7:$A$306,Employees!$A$22,'Leave log'!$B$7:$B$306,"&lt;="&amp;DATE($B$3,11,13),'Leave log'!$C$7:$C$306,"&gt;="&amp;DATE($B$3,11,13),'Leave log'!$F$7:$F$306,"Pending")&gt;0,"P",""))))</f>
        <v/>
      </c>
      <c r="O363" s="23" t="str">
        <f>IF(A363="","",IF(IF(OR(DATE($B$3,11,14)&gt;EOMONTH(DATE($B$3,11,1),0),NETWORKDAYS.INTL(DATE($B$3,11,14),DATE($B$3,11,14),1,'Non-working days'!$A$6:$A$45)=0),"",IF(COUNTIFS('Leave log'!$A$7:$A$306,Employees!$A$22,'Leave log'!$B$7:$B$306,"&lt;="&amp;DATE($B$3,11,14),'Leave log'!$C$7:$C$306,"&gt;="&amp;DATE($B$3,11,14),'Leave log'!$F$7:$F$306,"Approved")&gt;0,"A",""))="A","A",IF(OR(DATE($B$3,11,14)&gt;EOMONTH(DATE($B$3,11,1),0),NETWORKDAYS.INTL(DATE($B$3,11,14),DATE($B$3,11,14),1,'Non-working days'!$A$6:$A$45)=0),"",IF(COUNTIFS('Leave log'!$A$7:$A$306,Employees!$A$22,'Leave log'!$B$7:$B$306,"&lt;="&amp;DATE($B$3,11,14),'Leave log'!$C$7:$C$306,"&gt;="&amp;DATE($B$3,11,14),'Leave log'!$F$7:$F$306,"Pending")&gt;0,"P",""))))</f>
        <v/>
      </c>
      <c r="P363" s="23" t="str">
        <f>IF(A363="","",IF(IF(OR(DATE($B$3,11,15)&gt;EOMONTH(DATE($B$3,11,1),0),NETWORKDAYS.INTL(DATE($B$3,11,15),DATE($B$3,11,15),1,'Non-working days'!$A$6:$A$45)=0),"",IF(COUNTIFS('Leave log'!$A$7:$A$306,Employees!$A$22,'Leave log'!$B$7:$B$306,"&lt;="&amp;DATE($B$3,11,15),'Leave log'!$C$7:$C$306,"&gt;="&amp;DATE($B$3,11,15),'Leave log'!$F$7:$F$306,"Approved")&gt;0,"A",""))="A","A",IF(OR(DATE($B$3,11,15)&gt;EOMONTH(DATE($B$3,11,1),0),NETWORKDAYS.INTL(DATE($B$3,11,15),DATE($B$3,11,15),1,'Non-working days'!$A$6:$A$45)=0),"",IF(COUNTIFS('Leave log'!$A$7:$A$306,Employees!$A$22,'Leave log'!$B$7:$B$306,"&lt;="&amp;DATE($B$3,11,15),'Leave log'!$C$7:$C$306,"&gt;="&amp;DATE($B$3,11,15),'Leave log'!$F$7:$F$306,"Pending")&gt;0,"P",""))))</f>
        <v/>
      </c>
      <c r="Q363" s="23" t="str">
        <f>IF(A363="","",IF(IF(OR(DATE($B$3,11,16)&gt;EOMONTH(DATE($B$3,11,1),0),NETWORKDAYS.INTL(DATE($B$3,11,16),DATE($B$3,11,16),1,'Non-working days'!$A$6:$A$45)=0),"",IF(COUNTIFS('Leave log'!$A$7:$A$306,Employees!$A$22,'Leave log'!$B$7:$B$306,"&lt;="&amp;DATE($B$3,11,16),'Leave log'!$C$7:$C$306,"&gt;="&amp;DATE($B$3,11,16),'Leave log'!$F$7:$F$306,"Approved")&gt;0,"A",""))="A","A",IF(OR(DATE($B$3,11,16)&gt;EOMONTH(DATE($B$3,11,1),0),NETWORKDAYS.INTL(DATE($B$3,11,16),DATE($B$3,11,16),1,'Non-working days'!$A$6:$A$45)=0),"",IF(COUNTIFS('Leave log'!$A$7:$A$306,Employees!$A$22,'Leave log'!$B$7:$B$306,"&lt;="&amp;DATE($B$3,11,16),'Leave log'!$C$7:$C$306,"&gt;="&amp;DATE($B$3,11,16),'Leave log'!$F$7:$F$306,"Pending")&gt;0,"P",""))))</f>
        <v/>
      </c>
      <c r="R363" s="23" t="str">
        <f>IF(A363="","",IF(IF(OR(DATE($B$3,11,17)&gt;EOMONTH(DATE($B$3,11,1),0),NETWORKDAYS.INTL(DATE($B$3,11,17),DATE($B$3,11,17),1,'Non-working days'!$A$6:$A$45)=0),"",IF(COUNTIFS('Leave log'!$A$7:$A$306,Employees!$A$22,'Leave log'!$B$7:$B$306,"&lt;="&amp;DATE($B$3,11,17),'Leave log'!$C$7:$C$306,"&gt;="&amp;DATE($B$3,11,17),'Leave log'!$F$7:$F$306,"Approved")&gt;0,"A",""))="A","A",IF(OR(DATE($B$3,11,17)&gt;EOMONTH(DATE($B$3,11,1),0),NETWORKDAYS.INTL(DATE($B$3,11,17),DATE($B$3,11,17),1,'Non-working days'!$A$6:$A$45)=0),"",IF(COUNTIFS('Leave log'!$A$7:$A$306,Employees!$A$22,'Leave log'!$B$7:$B$306,"&lt;="&amp;DATE($B$3,11,17),'Leave log'!$C$7:$C$306,"&gt;="&amp;DATE($B$3,11,17),'Leave log'!$F$7:$F$306,"Pending")&gt;0,"P",""))))</f>
        <v/>
      </c>
      <c r="S363" s="23" t="str">
        <f>IF(A363="","",IF(IF(OR(DATE($B$3,11,18)&gt;EOMONTH(DATE($B$3,11,1),0),NETWORKDAYS.INTL(DATE($B$3,11,18),DATE($B$3,11,18),1,'Non-working days'!$A$6:$A$45)=0),"",IF(COUNTIFS('Leave log'!$A$7:$A$306,Employees!$A$22,'Leave log'!$B$7:$B$306,"&lt;="&amp;DATE($B$3,11,18),'Leave log'!$C$7:$C$306,"&gt;="&amp;DATE($B$3,11,18),'Leave log'!$F$7:$F$306,"Approved")&gt;0,"A",""))="A","A",IF(OR(DATE($B$3,11,18)&gt;EOMONTH(DATE($B$3,11,1),0),NETWORKDAYS.INTL(DATE($B$3,11,18),DATE($B$3,11,18),1,'Non-working days'!$A$6:$A$45)=0),"",IF(COUNTIFS('Leave log'!$A$7:$A$306,Employees!$A$22,'Leave log'!$B$7:$B$306,"&lt;="&amp;DATE($B$3,11,18),'Leave log'!$C$7:$C$306,"&gt;="&amp;DATE($B$3,11,18),'Leave log'!$F$7:$F$306,"Pending")&gt;0,"P",""))))</f>
        <v/>
      </c>
      <c r="T363" s="23" t="str">
        <f>IF(A363="","",IF(IF(OR(DATE($B$3,11,19)&gt;EOMONTH(DATE($B$3,11,1),0),NETWORKDAYS.INTL(DATE($B$3,11,19),DATE($B$3,11,19),1,'Non-working days'!$A$6:$A$45)=0),"",IF(COUNTIFS('Leave log'!$A$7:$A$306,Employees!$A$22,'Leave log'!$B$7:$B$306,"&lt;="&amp;DATE($B$3,11,19),'Leave log'!$C$7:$C$306,"&gt;="&amp;DATE($B$3,11,19),'Leave log'!$F$7:$F$306,"Approved")&gt;0,"A",""))="A","A",IF(OR(DATE($B$3,11,19)&gt;EOMONTH(DATE($B$3,11,1),0),NETWORKDAYS.INTL(DATE($B$3,11,19),DATE($B$3,11,19),1,'Non-working days'!$A$6:$A$45)=0),"",IF(COUNTIFS('Leave log'!$A$7:$A$306,Employees!$A$22,'Leave log'!$B$7:$B$306,"&lt;="&amp;DATE($B$3,11,19),'Leave log'!$C$7:$C$306,"&gt;="&amp;DATE($B$3,11,19),'Leave log'!$F$7:$F$306,"Pending")&gt;0,"P",""))))</f>
        <v/>
      </c>
      <c r="U363" s="23" t="str">
        <f>IF(A363="","",IF(IF(OR(DATE($B$3,11,20)&gt;EOMONTH(DATE($B$3,11,1),0),NETWORKDAYS.INTL(DATE($B$3,11,20),DATE($B$3,11,20),1,'Non-working days'!$A$6:$A$45)=0),"",IF(COUNTIFS('Leave log'!$A$7:$A$306,Employees!$A$22,'Leave log'!$B$7:$B$306,"&lt;="&amp;DATE($B$3,11,20),'Leave log'!$C$7:$C$306,"&gt;="&amp;DATE($B$3,11,20),'Leave log'!$F$7:$F$306,"Approved")&gt;0,"A",""))="A","A",IF(OR(DATE($B$3,11,20)&gt;EOMONTH(DATE($B$3,11,1),0),NETWORKDAYS.INTL(DATE($B$3,11,20),DATE($B$3,11,20),1,'Non-working days'!$A$6:$A$45)=0),"",IF(COUNTIFS('Leave log'!$A$7:$A$306,Employees!$A$22,'Leave log'!$B$7:$B$306,"&lt;="&amp;DATE($B$3,11,20),'Leave log'!$C$7:$C$306,"&gt;="&amp;DATE($B$3,11,20),'Leave log'!$F$7:$F$306,"Pending")&gt;0,"P",""))))</f>
        <v/>
      </c>
      <c r="V363" s="23" t="str">
        <f>IF(A363="","",IF(IF(OR(DATE($B$3,11,21)&gt;EOMONTH(DATE($B$3,11,1),0),NETWORKDAYS.INTL(DATE($B$3,11,21),DATE($B$3,11,21),1,'Non-working days'!$A$6:$A$45)=0),"",IF(COUNTIFS('Leave log'!$A$7:$A$306,Employees!$A$22,'Leave log'!$B$7:$B$306,"&lt;="&amp;DATE($B$3,11,21),'Leave log'!$C$7:$C$306,"&gt;="&amp;DATE($B$3,11,21),'Leave log'!$F$7:$F$306,"Approved")&gt;0,"A",""))="A","A",IF(OR(DATE($B$3,11,21)&gt;EOMONTH(DATE($B$3,11,1),0),NETWORKDAYS.INTL(DATE($B$3,11,21),DATE($B$3,11,21),1,'Non-working days'!$A$6:$A$45)=0),"",IF(COUNTIFS('Leave log'!$A$7:$A$306,Employees!$A$22,'Leave log'!$B$7:$B$306,"&lt;="&amp;DATE($B$3,11,21),'Leave log'!$C$7:$C$306,"&gt;="&amp;DATE($B$3,11,21),'Leave log'!$F$7:$F$306,"Pending")&gt;0,"P",""))))</f>
        <v/>
      </c>
      <c r="W363" s="23" t="str">
        <f>IF(A363="","",IF(IF(OR(DATE($B$3,11,22)&gt;EOMONTH(DATE($B$3,11,1),0),NETWORKDAYS.INTL(DATE($B$3,11,22),DATE($B$3,11,22),1,'Non-working days'!$A$6:$A$45)=0),"",IF(COUNTIFS('Leave log'!$A$7:$A$306,Employees!$A$22,'Leave log'!$B$7:$B$306,"&lt;="&amp;DATE($B$3,11,22),'Leave log'!$C$7:$C$306,"&gt;="&amp;DATE($B$3,11,22),'Leave log'!$F$7:$F$306,"Approved")&gt;0,"A",""))="A","A",IF(OR(DATE($B$3,11,22)&gt;EOMONTH(DATE($B$3,11,1),0),NETWORKDAYS.INTL(DATE($B$3,11,22),DATE($B$3,11,22),1,'Non-working days'!$A$6:$A$45)=0),"",IF(COUNTIFS('Leave log'!$A$7:$A$306,Employees!$A$22,'Leave log'!$B$7:$B$306,"&lt;="&amp;DATE($B$3,11,22),'Leave log'!$C$7:$C$306,"&gt;="&amp;DATE($B$3,11,22),'Leave log'!$F$7:$F$306,"Pending")&gt;0,"P",""))))</f>
        <v/>
      </c>
      <c r="X363" s="23" t="str">
        <f>IF(A363="","",IF(IF(OR(DATE($B$3,11,23)&gt;EOMONTH(DATE($B$3,11,1),0),NETWORKDAYS.INTL(DATE($B$3,11,23),DATE($B$3,11,23),1,'Non-working days'!$A$6:$A$45)=0),"",IF(COUNTIFS('Leave log'!$A$7:$A$306,Employees!$A$22,'Leave log'!$B$7:$B$306,"&lt;="&amp;DATE($B$3,11,23),'Leave log'!$C$7:$C$306,"&gt;="&amp;DATE($B$3,11,23),'Leave log'!$F$7:$F$306,"Approved")&gt;0,"A",""))="A","A",IF(OR(DATE($B$3,11,23)&gt;EOMONTH(DATE($B$3,11,1),0),NETWORKDAYS.INTL(DATE($B$3,11,23),DATE($B$3,11,23),1,'Non-working days'!$A$6:$A$45)=0),"",IF(COUNTIFS('Leave log'!$A$7:$A$306,Employees!$A$22,'Leave log'!$B$7:$B$306,"&lt;="&amp;DATE($B$3,11,23),'Leave log'!$C$7:$C$306,"&gt;="&amp;DATE($B$3,11,23),'Leave log'!$F$7:$F$306,"Pending")&gt;0,"P",""))))</f>
        <v/>
      </c>
      <c r="Y363" s="23" t="str">
        <f>IF(A363="","",IF(IF(OR(DATE($B$3,11,24)&gt;EOMONTH(DATE($B$3,11,1),0),NETWORKDAYS.INTL(DATE($B$3,11,24),DATE($B$3,11,24),1,'Non-working days'!$A$6:$A$45)=0),"",IF(COUNTIFS('Leave log'!$A$7:$A$306,Employees!$A$22,'Leave log'!$B$7:$B$306,"&lt;="&amp;DATE($B$3,11,24),'Leave log'!$C$7:$C$306,"&gt;="&amp;DATE($B$3,11,24),'Leave log'!$F$7:$F$306,"Approved")&gt;0,"A",""))="A","A",IF(OR(DATE($B$3,11,24)&gt;EOMONTH(DATE($B$3,11,1),0),NETWORKDAYS.INTL(DATE($B$3,11,24),DATE($B$3,11,24),1,'Non-working days'!$A$6:$A$45)=0),"",IF(COUNTIFS('Leave log'!$A$7:$A$306,Employees!$A$22,'Leave log'!$B$7:$B$306,"&lt;="&amp;DATE($B$3,11,24),'Leave log'!$C$7:$C$306,"&gt;="&amp;DATE($B$3,11,24),'Leave log'!$F$7:$F$306,"Pending")&gt;0,"P",""))))</f>
        <v/>
      </c>
      <c r="Z363" s="23" t="str">
        <f>IF(A363="","",IF(IF(OR(DATE($B$3,11,25)&gt;EOMONTH(DATE($B$3,11,1),0),NETWORKDAYS.INTL(DATE($B$3,11,25),DATE($B$3,11,25),1,'Non-working days'!$A$6:$A$45)=0),"",IF(COUNTIFS('Leave log'!$A$7:$A$306,Employees!$A$22,'Leave log'!$B$7:$B$306,"&lt;="&amp;DATE($B$3,11,25),'Leave log'!$C$7:$C$306,"&gt;="&amp;DATE($B$3,11,25),'Leave log'!$F$7:$F$306,"Approved")&gt;0,"A",""))="A","A",IF(OR(DATE($B$3,11,25)&gt;EOMONTH(DATE($B$3,11,1),0),NETWORKDAYS.INTL(DATE($B$3,11,25),DATE($B$3,11,25),1,'Non-working days'!$A$6:$A$45)=0),"",IF(COUNTIFS('Leave log'!$A$7:$A$306,Employees!$A$22,'Leave log'!$B$7:$B$306,"&lt;="&amp;DATE($B$3,11,25),'Leave log'!$C$7:$C$306,"&gt;="&amp;DATE($B$3,11,25),'Leave log'!$F$7:$F$306,"Pending")&gt;0,"P",""))))</f>
        <v/>
      </c>
      <c r="AA363" s="23" t="str">
        <f>IF(A363="","",IF(IF(OR(DATE($B$3,11,26)&gt;EOMONTH(DATE($B$3,11,1),0),NETWORKDAYS.INTL(DATE($B$3,11,26),DATE($B$3,11,26),1,'Non-working days'!$A$6:$A$45)=0),"",IF(COUNTIFS('Leave log'!$A$7:$A$306,Employees!$A$22,'Leave log'!$B$7:$B$306,"&lt;="&amp;DATE($B$3,11,26),'Leave log'!$C$7:$C$306,"&gt;="&amp;DATE($B$3,11,26),'Leave log'!$F$7:$F$306,"Approved")&gt;0,"A",""))="A","A",IF(OR(DATE($B$3,11,26)&gt;EOMONTH(DATE($B$3,11,1),0),NETWORKDAYS.INTL(DATE($B$3,11,26),DATE($B$3,11,26),1,'Non-working days'!$A$6:$A$45)=0),"",IF(COUNTIFS('Leave log'!$A$7:$A$306,Employees!$A$22,'Leave log'!$B$7:$B$306,"&lt;="&amp;DATE($B$3,11,26),'Leave log'!$C$7:$C$306,"&gt;="&amp;DATE($B$3,11,26),'Leave log'!$F$7:$F$306,"Pending")&gt;0,"P",""))))</f>
        <v/>
      </c>
      <c r="AB363" s="23" t="str">
        <f>IF(A363="","",IF(IF(OR(DATE($B$3,11,27)&gt;EOMONTH(DATE($B$3,11,1),0),NETWORKDAYS.INTL(DATE($B$3,11,27),DATE($B$3,11,27),1,'Non-working days'!$A$6:$A$45)=0),"",IF(COUNTIFS('Leave log'!$A$7:$A$306,Employees!$A$22,'Leave log'!$B$7:$B$306,"&lt;="&amp;DATE($B$3,11,27),'Leave log'!$C$7:$C$306,"&gt;="&amp;DATE($B$3,11,27),'Leave log'!$F$7:$F$306,"Approved")&gt;0,"A",""))="A","A",IF(OR(DATE($B$3,11,27)&gt;EOMONTH(DATE($B$3,11,1),0),NETWORKDAYS.INTL(DATE($B$3,11,27),DATE($B$3,11,27),1,'Non-working days'!$A$6:$A$45)=0),"",IF(COUNTIFS('Leave log'!$A$7:$A$306,Employees!$A$22,'Leave log'!$B$7:$B$306,"&lt;="&amp;DATE($B$3,11,27),'Leave log'!$C$7:$C$306,"&gt;="&amp;DATE($B$3,11,27),'Leave log'!$F$7:$F$306,"Pending")&gt;0,"P",""))))</f>
        <v/>
      </c>
      <c r="AC363" s="23" t="str">
        <f>IF(A363="","",IF(IF(OR(DATE($B$3,11,28)&gt;EOMONTH(DATE($B$3,11,1),0),NETWORKDAYS.INTL(DATE($B$3,11,28),DATE($B$3,11,28),1,'Non-working days'!$A$6:$A$45)=0),"",IF(COUNTIFS('Leave log'!$A$7:$A$306,Employees!$A$22,'Leave log'!$B$7:$B$306,"&lt;="&amp;DATE($B$3,11,28),'Leave log'!$C$7:$C$306,"&gt;="&amp;DATE($B$3,11,28),'Leave log'!$F$7:$F$306,"Approved")&gt;0,"A",""))="A","A",IF(OR(DATE($B$3,11,28)&gt;EOMONTH(DATE($B$3,11,1),0),NETWORKDAYS.INTL(DATE($B$3,11,28),DATE($B$3,11,28),1,'Non-working days'!$A$6:$A$45)=0),"",IF(COUNTIFS('Leave log'!$A$7:$A$306,Employees!$A$22,'Leave log'!$B$7:$B$306,"&lt;="&amp;DATE($B$3,11,28),'Leave log'!$C$7:$C$306,"&gt;="&amp;DATE($B$3,11,28),'Leave log'!$F$7:$F$306,"Pending")&gt;0,"P",""))))</f>
        <v/>
      </c>
      <c r="AD363" s="23" t="str">
        <f>IF(A363="","",IF(IF(OR(DATE($B$3,11,29)&gt;EOMONTH(DATE($B$3,11,1),0),NETWORKDAYS.INTL(DATE($B$3,11,29),DATE($B$3,11,29),1,'Non-working days'!$A$6:$A$45)=0),"",IF(COUNTIFS('Leave log'!$A$7:$A$306,Employees!$A$22,'Leave log'!$B$7:$B$306,"&lt;="&amp;DATE($B$3,11,29),'Leave log'!$C$7:$C$306,"&gt;="&amp;DATE($B$3,11,29),'Leave log'!$F$7:$F$306,"Approved")&gt;0,"A",""))="A","A",IF(OR(DATE($B$3,11,29)&gt;EOMONTH(DATE($B$3,11,1),0),NETWORKDAYS.INTL(DATE($B$3,11,29),DATE($B$3,11,29),1,'Non-working days'!$A$6:$A$45)=0),"",IF(COUNTIFS('Leave log'!$A$7:$A$306,Employees!$A$22,'Leave log'!$B$7:$B$306,"&lt;="&amp;DATE($B$3,11,29),'Leave log'!$C$7:$C$306,"&gt;="&amp;DATE($B$3,11,29),'Leave log'!$F$7:$F$306,"Pending")&gt;0,"P",""))))</f>
        <v/>
      </c>
      <c r="AE363" s="23" t="str">
        <f>IF(A363="","",IF(IF(OR(DATE($B$3,11,30)&gt;EOMONTH(DATE($B$3,11,1),0),NETWORKDAYS.INTL(DATE($B$3,11,30),DATE($B$3,11,30),1,'Non-working days'!$A$6:$A$45)=0),"",IF(COUNTIFS('Leave log'!$A$7:$A$306,Employees!$A$22,'Leave log'!$B$7:$B$306,"&lt;="&amp;DATE($B$3,11,30),'Leave log'!$C$7:$C$306,"&gt;="&amp;DATE($B$3,11,30),'Leave log'!$F$7:$F$306,"Approved")&gt;0,"A",""))="A","A",IF(OR(DATE($B$3,11,30)&gt;EOMONTH(DATE($B$3,11,1),0),NETWORKDAYS.INTL(DATE($B$3,11,30),DATE($B$3,11,30),1,'Non-working days'!$A$6:$A$45)=0),"",IF(COUNTIFS('Leave log'!$A$7:$A$306,Employees!$A$22,'Leave log'!$B$7:$B$306,"&lt;="&amp;DATE($B$3,11,30),'Leave log'!$C$7:$C$306,"&gt;="&amp;DATE($B$3,11,30),'Leave log'!$F$7:$F$306,"Pending")&gt;0,"P",""))))</f>
        <v/>
      </c>
      <c r="AF363" s="23" t="str">
        <f>IF(A363="","",IF(IF(OR(DATE($B$3,11,31)&gt;EOMONTH(DATE($B$3,11,1),0),NETWORKDAYS.INTL(DATE($B$3,11,31),DATE($B$3,11,31),1,'Non-working days'!$A$6:$A$45)=0),"",IF(COUNTIFS('Leave log'!$A$7:$A$306,Employees!$A$22,'Leave log'!$B$7:$B$306,"&lt;="&amp;DATE($B$3,11,31),'Leave log'!$C$7:$C$306,"&gt;="&amp;DATE($B$3,11,31),'Leave log'!$F$7:$F$306,"Approved")&gt;0,"A",""))="A","A",IF(OR(DATE($B$3,11,31)&gt;EOMONTH(DATE($B$3,11,1),0),NETWORKDAYS.INTL(DATE($B$3,11,31),DATE($B$3,11,31),1,'Non-working days'!$A$6:$A$45)=0),"",IF(COUNTIFS('Leave log'!$A$7:$A$306,Employees!$A$22,'Leave log'!$B$7:$B$306,"&lt;="&amp;DATE($B$3,11,31),'Leave log'!$C$7:$C$306,"&gt;="&amp;DATE($B$3,11,31),'Leave log'!$F$7:$F$306,"Pending")&gt;0,"P",""))))</f>
        <v/>
      </c>
    </row>
    <row r="364" spans="1:32" ht="18" customHeight="1" x14ac:dyDescent="0.3">
      <c r="A364" s="22" t="str">
        <f>IF(Employees!F23="Yes",Employees!B23,"")</f>
        <v/>
      </c>
      <c r="B364" s="23" t="str">
        <f>IF(A364="","",IF(IF(OR(DATE($B$3,11,1)&gt;EOMONTH(DATE($B$3,11,1),0),NETWORKDAYS.INTL(DATE($B$3,11,1),DATE($B$3,11,1),1,'Non-working days'!$A$6:$A$45)=0),"",IF(COUNTIFS('Leave log'!$A$7:$A$306,Employees!$A$23,'Leave log'!$B$7:$B$306,"&lt;="&amp;DATE($B$3,11,1),'Leave log'!$C$7:$C$306,"&gt;="&amp;DATE($B$3,11,1),'Leave log'!$F$7:$F$306,"Approved")&gt;0,"A",""))="A","A",IF(OR(DATE($B$3,11,1)&gt;EOMONTH(DATE($B$3,11,1),0),NETWORKDAYS.INTL(DATE($B$3,11,1),DATE($B$3,11,1),1,'Non-working days'!$A$6:$A$45)=0),"",IF(COUNTIFS('Leave log'!$A$7:$A$306,Employees!$A$23,'Leave log'!$B$7:$B$306,"&lt;="&amp;DATE($B$3,11,1),'Leave log'!$C$7:$C$306,"&gt;="&amp;DATE($B$3,11,1),'Leave log'!$F$7:$F$306,"Pending")&gt;0,"P",""))))</f>
        <v/>
      </c>
      <c r="C364" s="23" t="str">
        <f>IF(A364="","",IF(IF(OR(DATE($B$3,11,2)&gt;EOMONTH(DATE($B$3,11,1),0),NETWORKDAYS.INTL(DATE($B$3,11,2),DATE($B$3,11,2),1,'Non-working days'!$A$6:$A$45)=0),"",IF(COUNTIFS('Leave log'!$A$7:$A$306,Employees!$A$23,'Leave log'!$B$7:$B$306,"&lt;="&amp;DATE($B$3,11,2),'Leave log'!$C$7:$C$306,"&gt;="&amp;DATE($B$3,11,2),'Leave log'!$F$7:$F$306,"Approved")&gt;0,"A",""))="A","A",IF(OR(DATE($B$3,11,2)&gt;EOMONTH(DATE($B$3,11,1),0),NETWORKDAYS.INTL(DATE($B$3,11,2),DATE($B$3,11,2),1,'Non-working days'!$A$6:$A$45)=0),"",IF(COUNTIFS('Leave log'!$A$7:$A$306,Employees!$A$23,'Leave log'!$B$7:$B$306,"&lt;="&amp;DATE($B$3,11,2),'Leave log'!$C$7:$C$306,"&gt;="&amp;DATE($B$3,11,2),'Leave log'!$F$7:$F$306,"Pending")&gt;0,"P",""))))</f>
        <v/>
      </c>
      <c r="D364" s="23" t="str">
        <f>IF(A364="","",IF(IF(OR(DATE($B$3,11,3)&gt;EOMONTH(DATE($B$3,11,1),0),NETWORKDAYS.INTL(DATE($B$3,11,3),DATE($B$3,11,3),1,'Non-working days'!$A$6:$A$45)=0),"",IF(COUNTIFS('Leave log'!$A$7:$A$306,Employees!$A$23,'Leave log'!$B$7:$B$306,"&lt;="&amp;DATE($B$3,11,3),'Leave log'!$C$7:$C$306,"&gt;="&amp;DATE($B$3,11,3),'Leave log'!$F$7:$F$306,"Approved")&gt;0,"A",""))="A","A",IF(OR(DATE($B$3,11,3)&gt;EOMONTH(DATE($B$3,11,1),0),NETWORKDAYS.INTL(DATE($B$3,11,3),DATE($B$3,11,3),1,'Non-working days'!$A$6:$A$45)=0),"",IF(COUNTIFS('Leave log'!$A$7:$A$306,Employees!$A$23,'Leave log'!$B$7:$B$306,"&lt;="&amp;DATE($B$3,11,3),'Leave log'!$C$7:$C$306,"&gt;="&amp;DATE($B$3,11,3),'Leave log'!$F$7:$F$306,"Pending")&gt;0,"P",""))))</f>
        <v/>
      </c>
      <c r="E364" s="23" t="str">
        <f>IF(A364="","",IF(IF(OR(DATE($B$3,11,4)&gt;EOMONTH(DATE($B$3,11,1),0),NETWORKDAYS.INTL(DATE($B$3,11,4),DATE($B$3,11,4),1,'Non-working days'!$A$6:$A$45)=0),"",IF(COUNTIFS('Leave log'!$A$7:$A$306,Employees!$A$23,'Leave log'!$B$7:$B$306,"&lt;="&amp;DATE($B$3,11,4),'Leave log'!$C$7:$C$306,"&gt;="&amp;DATE($B$3,11,4),'Leave log'!$F$7:$F$306,"Approved")&gt;0,"A",""))="A","A",IF(OR(DATE($B$3,11,4)&gt;EOMONTH(DATE($B$3,11,1),0),NETWORKDAYS.INTL(DATE($B$3,11,4),DATE($B$3,11,4),1,'Non-working days'!$A$6:$A$45)=0),"",IF(COUNTIFS('Leave log'!$A$7:$A$306,Employees!$A$23,'Leave log'!$B$7:$B$306,"&lt;="&amp;DATE($B$3,11,4),'Leave log'!$C$7:$C$306,"&gt;="&amp;DATE($B$3,11,4),'Leave log'!$F$7:$F$306,"Pending")&gt;0,"P",""))))</f>
        <v/>
      </c>
      <c r="F364" s="23" t="str">
        <f>IF(A364="","",IF(IF(OR(DATE($B$3,11,5)&gt;EOMONTH(DATE($B$3,11,1),0),NETWORKDAYS.INTL(DATE($B$3,11,5),DATE($B$3,11,5),1,'Non-working days'!$A$6:$A$45)=0),"",IF(COUNTIFS('Leave log'!$A$7:$A$306,Employees!$A$23,'Leave log'!$B$7:$B$306,"&lt;="&amp;DATE($B$3,11,5),'Leave log'!$C$7:$C$306,"&gt;="&amp;DATE($B$3,11,5),'Leave log'!$F$7:$F$306,"Approved")&gt;0,"A",""))="A","A",IF(OR(DATE($B$3,11,5)&gt;EOMONTH(DATE($B$3,11,1),0),NETWORKDAYS.INTL(DATE($B$3,11,5),DATE($B$3,11,5),1,'Non-working days'!$A$6:$A$45)=0),"",IF(COUNTIFS('Leave log'!$A$7:$A$306,Employees!$A$23,'Leave log'!$B$7:$B$306,"&lt;="&amp;DATE($B$3,11,5),'Leave log'!$C$7:$C$306,"&gt;="&amp;DATE($B$3,11,5),'Leave log'!$F$7:$F$306,"Pending")&gt;0,"P",""))))</f>
        <v/>
      </c>
      <c r="G364" s="23" t="str">
        <f>IF(A364="","",IF(IF(OR(DATE($B$3,11,6)&gt;EOMONTH(DATE($B$3,11,1),0),NETWORKDAYS.INTL(DATE($B$3,11,6),DATE($B$3,11,6),1,'Non-working days'!$A$6:$A$45)=0),"",IF(COUNTIFS('Leave log'!$A$7:$A$306,Employees!$A$23,'Leave log'!$B$7:$B$306,"&lt;="&amp;DATE($B$3,11,6),'Leave log'!$C$7:$C$306,"&gt;="&amp;DATE($B$3,11,6),'Leave log'!$F$7:$F$306,"Approved")&gt;0,"A",""))="A","A",IF(OR(DATE($B$3,11,6)&gt;EOMONTH(DATE($B$3,11,1),0),NETWORKDAYS.INTL(DATE($B$3,11,6),DATE($B$3,11,6),1,'Non-working days'!$A$6:$A$45)=0),"",IF(COUNTIFS('Leave log'!$A$7:$A$306,Employees!$A$23,'Leave log'!$B$7:$B$306,"&lt;="&amp;DATE($B$3,11,6),'Leave log'!$C$7:$C$306,"&gt;="&amp;DATE($B$3,11,6),'Leave log'!$F$7:$F$306,"Pending")&gt;0,"P",""))))</f>
        <v/>
      </c>
      <c r="H364" s="23" t="str">
        <f>IF(A364="","",IF(IF(OR(DATE($B$3,11,7)&gt;EOMONTH(DATE($B$3,11,1),0),NETWORKDAYS.INTL(DATE($B$3,11,7),DATE($B$3,11,7),1,'Non-working days'!$A$6:$A$45)=0),"",IF(COUNTIFS('Leave log'!$A$7:$A$306,Employees!$A$23,'Leave log'!$B$7:$B$306,"&lt;="&amp;DATE($B$3,11,7),'Leave log'!$C$7:$C$306,"&gt;="&amp;DATE($B$3,11,7),'Leave log'!$F$7:$F$306,"Approved")&gt;0,"A",""))="A","A",IF(OR(DATE($B$3,11,7)&gt;EOMONTH(DATE($B$3,11,1),0),NETWORKDAYS.INTL(DATE($B$3,11,7),DATE($B$3,11,7),1,'Non-working days'!$A$6:$A$45)=0),"",IF(COUNTIFS('Leave log'!$A$7:$A$306,Employees!$A$23,'Leave log'!$B$7:$B$306,"&lt;="&amp;DATE($B$3,11,7),'Leave log'!$C$7:$C$306,"&gt;="&amp;DATE($B$3,11,7),'Leave log'!$F$7:$F$306,"Pending")&gt;0,"P",""))))</f>
        <v/>
      </c>
      <c r="I364" s="23" t="str">
        <f>IF(A364="","",IF(IF(OR(DATE($B$3,11,8)&gt;EOMONTH(DATE($B$3,11,1),0),NETWORKDAYS.INTL(DATE($B$3,11,8),DATE($B$3,11,8),1,'Non-working days'!$A$6:$A$45)=0),"",IF(COUNTIFS('Leave log'!$A$7:$A$306,Employees!$A$23,'Leave log'!$B$7:$B$306,"&lt;="&amp;DATE($B$3,11,8),'Leave log'!$C$7:$C$306,"&gt;="&amp;DATE($B$3,11,8),'Leave log'!$F$7:$F$306,"Approved")&gt;0,"A",""))="A","A",IF(OR(DATE($B$3,11,8)&gt;EOMONTH(DATE($B$3,11,1),0),NETWORKDAYS.INTL(DATE($B$3,11,8),DATE($B$3,11,8),1,'Non-working days'!$A$6:$A$45)=0),"",IF(COUNTIFS('Leave log'!$A$7:$A$306,Employees!$A$23,'Leave log'!$B$7:$B$306,"&lt;="&amp;DATE($B$3,11,8),'Leave log'!$C$7:$C$306,"&gt;="&amp;DATE($B$3,11,8),'Leave log'!$F$7:$F$306,"Pending")&gt;0,"P",""))))</f>
        <v/>
      </c>
      <c r="J364" s="23" t="str">
        <f>IF(A364="","",IF(IF(OR(DATE($B$3,11,9)&gt;EOMONTH(DATE($B$3,11,1),0),NETWORKDAYS.INTL(DATE($B$3,11,9),DATE($B$3,11,9),1,'Non-working days'!$A$6:$A$45)=0),"",IF(COUNTIFS('Leave log'!$A$7:$A$306,Employees!$A$23,'Leave log'!$B$7:$B$306,"&lt;="&amp;DATE($B$3,11,9),'Leave log'!$C$7:$C$306,"&gt;="&amp;DATE($B$3,11,9),'Leave log'!$F$7:$F$306,"Approved")&gt;0,"A",""))="A","A",IF(OR(DATE($B$3,11,9)&gt;EOMONTH(DATE($B$3,11,1),0),NETWORKDAYS.INTL(DATE($B$3,11,9),DATE($B$3,11,9),1,'Non-working days'!$A$6:$A$45)=0),"",IF(COUNTIFS('Leave log'!$A$7:$A$306,Employees!$A$23,'Leave log'!$B$7:$B$306,"&lt;="&amp;DATE($B$3,11,9),'Leave log'!$C$7:$C$306,"&gt;="&amp;DATE($B$3,11,9),'Leave log'!$F$7:$F$306,"Pending")&gt;0,"P",""))))</f>
        <v/>
      </c>
      <c r="K364" s="23" t="str">
        <f>IF(A364="","",IF(IF(OR(DATE($B$3,11,10)&gt;EOMONTH(DATE($B$3,11,1),0),NETWORKDAYS.INTL(DATE($B$3,11,10),DATE($B$3,11,10),1,'Non-working days'!$A$6:$A$45)=0),"",IF(COUNTIFS('Leave log'!$A$7:$A$306,Employees!$A$23,'Leave log'!$B$7:$B$306,"&lt;="&amp;DATE($B$3,11,10),'Leave log'!$C$7:$C$306,"&gt;="&amp;DATE($B$3,11,10),'Leave log'!$F$7:$F$306,"Approved")&gt;0,"A",""))="A","A",IF(OR(DATE($B$3,11,10)&gt;EOMONTH(DATE($B$3,11,1),0),NETWORKDAYS.INTL(DATE($B$3,11,10),DATE($B$3,11,10),1,'Non-working days'!$A$6:$A$45)=0),"",IF(COUNTIFS('Leave log'!$A$7:$A$306,Employees!$A$23,'Leave log'!$B$7:$B$306,"&lt;="&amp;DATE($B$3,11,10),'Leave log'!$C$7:$C$306,"&gt;="&amp;DATE($B$3,11,10),'Leave log'!$F$7:$F$306,"Pending")&gt;0,"P",""))))</f>
        <v/>
      </c>
      <c r="L364" s="23" t="str">
        <f>IF(A364="","",IF(IF(OR(DATE($B$3,11,11)&gt;EOMONTH(DATE($B$3,11,1),0),NETWORKDAYS.INTL(DATE($B$3,11,11),DATE($B$3,11,11),1,'Non-working days'!$A$6:$A$45)=0),"",IF(COUNTIFS('Leave log'!$A$7:$A$306,Employees!$A$23,'Leave log'!$B$7:$B$306,"&lt;="&amp;DATE($B$3,11,11),'Leave log'!$C$7:$C$306,"&gt;="&amp;DATE($B$3,11,11),'Leave log'!$F$7:$F$306,"Approved")&gt;0,"A",""))="A","A",IF(OR(DATE($B$3,11,11)&gt;EOMONTH(DATE($B$3,11,1),0),NETWORKDAYS.INTL(DATE($B$3,11,11),DATE($B$3,11,11),1,'Non-working days'!$A$6:$A$45)=0),"",IF(COUNTIFS('Leave log'!$A$7:$A$306,Employees!$A$23,'Leave log'!$B$7:$B$306,"&lt;="&amp;DATE($B$3,11,11),'Leave log'!$C$7:$C$306,"&gt;="&amp;DATE($B$3,11,11),'Leave log'!$F$7:$F$306,"Pending")&gt;0,"P",""))))</f>
        <v/>
      </c>
      <c r="M364" s="23" t="str">
        <f>IF(A364="","",IF(IF(OR(DATE($B$3,11,12)&gt;EOMONTH(DATE($B$3,11,1),0),NETWORKDAYS.INTL(DATE($B$3,11,12),DATE($B$3,11,12),1,'Non-working days'!$A$6:$A$45)=0),"",IF(COUNTIFS('Leave log'!$A$7:$A$306,Employees!$A$23,'Leave log'!$B$7:$B$306,"&lt;="&amp;DATE($B$3,11,12),'Leave log'!$C$7:$C$306,"&gt;="&amp;DATE($B$3,11,12),'Leave log'!$F$7:$F$306,"Approved")&gt;0,"A",""))="A","A",IF(OR(DATE($B$3,11,12)&gt;EOMONTH(DATE($B$3,11,1),0),NETWORKDAYS.INTL(DATE($B$3,11,12),DATE($B$3,11,12),1,'Non-working days'!$A$6:$A$45)=0),"",IF(COUNTIFS('Leave log'!$A$7:$A$306,Employees!$A$23,'Leave log'!$B$7:$B$306,"&lt;="&amp;DATE($B$3,11,12),'Leave log'!$C$7:$C$306,"&gt;="&amp;DATE($B$3,11,12),'Leave log'!$F$7:$F$306,"Pending")&gt;0,"P",""))))</f>
        <v/>
      </c>
      <c r="N364" s="23" t="str">
        <f>IF(A364="","",IF(IF(OR(DATE($B$3,11,13)&gt;EOMONTH(DATE($B$3,11,1),0),NETWORKDAYS.INTL(DATE($B$3,11,13),DATE($B$3,11,13),1,'Non-working days'!$A$6:$A$45)=0),"",IF(COUNTIFS('Leave log'!$A$7:$A$306,Employees!$A$23,'Leave log'!$B$7:$B$306,"&lt;="&amp;DATE($B$3,11,13),'Leave log'!$C$7:$C$306,"&gt;="&amp;DATE($B$3,11,13),'Leave log'!$F$7:$F$306,"Approved")&gt;0,"A",""))="A","A",IF(OR(DATE($B$3,11,13)&gt;EOMONTH(DATE($B$3,11,1),0),NETWORKDAYS.INTL(DATE($B$3,11,13),DATE($B$3,11,13),1,'Non-working days'!$A$6:$A$45)=0),"",IF(COUNTIFS('Leave log'!$A$7:$A$306,Employees!$A$23,'Leave log'!$B$7:$B$306,"&lt;="&amp;DATE($B$3,11,13),'Leave log'!$C$7:$C$306,"&gt;="&amp;DATE($B$3,11,13),'Leave log'!$F$7:$F$306,"Pending")&gt;0,"P",""))))</f>
        <v/>
      </c>
      <c r="O364" s="23" t="str">
        <f>IF(A364="","",IF(IF(OR(DATE($B$3,11,14)&gt;EOMONTH(DATE($B$3,11,1),0),NETWORKDAYS.INTL(DATE($B$3,11,14),DATE($B$3,11,14),1,'Non-working days'!$A$6:$A$45)=0),"",IF(COUNTIFS('Leave log'!$A$7:$A$306,Employees!$A$23,'Leave log'!$B$7:$B$306,"&lt;="&amp;DATE($B$3,11,14),'Leave log'!$C$7:$C$306,"&gt;="&amp;DATE($B$3,11,14),'Leave log'!$F$7:$F$306,"Approved")&gt;0,"A",""))="A","A",IF(OR(DATE($B$3,11,14)&gt;EOMONTH(DATE($B$3,11,1),0),NETWORKDAYS.INTL(DATE($B$3,11,14),DATE($B$3,11,14),1,'Non-working days'!$A$6:$A$45)=0),"",IF(COUNTIFS('Leave log'!$A$7:$A$306,Employees!$A$23,'Leave log'!$B$7:$B$306,"&lt;="&amp;DATE($B$3,11,14),'Leave log'!$C$7:$C$306,"&gt;="&amp;DATE($B$3,11,14),'Leave log'!$F$7:$F$306,"Pending")&gt;0,"P",""))))</f>
        <v/>
      </c>
      <c r="P364" s="23" t="str">
        <f>IF(A364="","",IF(IF(OR(DATE($B$3,11,15)&gt;EOMONTH(DATE($B$3,11,1),0),NETWORKDAYS.INTL(DATE($B$3,11,15),DATE($B$3,11,15),1,'Non-working days'!$A$6:$A$45)=0),"",IF(COUNTIFS('Leave log'!$A$7:$A$306,Employees!$A$23,'Leave log'!$B$7:$B$306,"&lt;="&amp;DATE($B$3,11,15),'Leave log'!$C$7:$C$306,"&gt;="&amp;DATE($B$3,11,15),'Leave log'!$F$7:$F$306,"Approved")&gt;0,"A",""))="A","A",IF(OR(DATE($B$3,11,15)&gt;EOMONTH(DATE($B$3,11,1),0),NETWORKDAYS.INTL(DATE($B$3,11,15),DATE($B$3,11,15),1,'Non-working days'!$A$6:$A$45)=0),"",IF(COUNTIFS('Leave log'!$A$7:$A$306,Employees!$A$23,'Leave log'!$B$7:$B$306,"&lt;="&amp;DATE($B$3,11,15),'Leave log'!$C$7:$C$306,"&gt;="&amp;DATE($B$3,11,15),'Leave log'!$F$7:$F$306,"Pending")&gt;0,"P",""))))</f>
        <v/>
      </c>
      <c r="Q364" s="23" t="str">
        <f>IF(A364="","",IF(IF(OR(DATE($B$3,11,16)&gt;EOMONTH(DATE($B$3,11,1),0),NETWORKDAYS.INTL(DATE($B$3,11,16),DATE($B$3,11,16),1,'Non-working days'!$A$6:$A$45)=0),"",IF(COUNTIFS('Leave log'!$A$7:$A$306,Employees!$A$23,'Leave log'!$B$7:$B$306,"&lt;="&amp;DATE($B$3,11,16),'Leave log'!$C$7:$C$306,"&gt;="&amp;DATE($B$3,11,16),'Leave log'!$F$7:$F$306,"Approved")&gt;0,"A",""))="A","A",IF(OR(DATE($B$3,11,16)&gt;EOMONTH(DATE($B$3,11,1),0),NETWORKDAYS.INTL(DATE($B$3,11,16),DATE($B$3,11,16),1,'Non-working days'!$A$6:$A$45)=0),"",IF(COUNTIFS('Leave log'!$A$7:$A$306,Employees!$A$23,'Leave log'!$B$7:$B$306,"&lt;="&amp;DATE($B$3,11,16),'Leave log'!$C$7:$C$306,"&gt;="&amp;DATE($B$3,11,16),'Leave log'!$F$7:$F$306,"Pending")&gt;0,"P",""))))</f>
        <v/>
      </c>
      <c r="R364" s="23" t="str">
        <f>IF(A364="","",IF(IF(OR(DATE($B$3,11,17)&gt;EOMONTH(DATE($B$3,11,1),0),NETWORKDAYS.INTL(DATE($B$3,11,17),DATE($B$3,11,17),1,'Non-working days'!$A$6:$A$45)=0),"",IF(COUNTIFS('Leave log'!$A$7:$A$306,Employees!$A$23,'Leave log'!$B$7:$B$306,"&lt;="&amp;DATE($B$3,11,17),'Leave log'!$C$7:$C$306,"&gt;="&amp;DATE($B$3,11,17),'Leave log'!$F$7:$F$306,"Approved")&gt;0,"A",""))="A","A",IF(OR(DATE($B$3,11,17)&gt;EOMONTH(DATE($B$3,11,1),0),NETWORKDAYS.INTL(DATE($B$3,11,17),DATE($B$3,11,17),1,'Non-working days'!$A$6:$A$45)=0),"",IF(COUNTIFS('Leave log'!$A$7:$A$306,Employees!$A$23,'Leave log'!$B$7:$B$306,"&lt;="&amp;DATE($B$3,11,17),'Leave log'!$C$7:$C$306,"&gt;="&amp;DATE($B$3,11,17),'Leave log'!$F$7:$F$306,"Pending")&gt;0,"P",""))))</f>
        <v/>
      </c>
      <c r="S364" s="23" t="str">
        <f>IF(A364="","",IF(IF(OR(DATE($B$3,11,18)&gt;EOMONTH(DATE($B$3,11,1),0),NETWORKDAYS.INTL(DATE($B$3,11,18),DATE($B$3,11,18),1,'Non-working days'!$A$6:$A$45)=0),"",IF(COUNTIFS('Leave log'!$A$7:$A$306,Employees!$A$23,'Leave log'!$B$7:$B$306,"&lt;="&amp;DATE($B$3,11,18),'Leave log'!$C$7:$C$306,"&gt;="&amp;DATE($B$3,11,18),'Leave log'!$F$7:$F$306,"Approved")&gt;0,"A",""))="A","A",IF(OR(DATE($B$3,11,18)&gt;EOMONTH(DATE($B$3,11,1),0),NETWORKDAYS.INTL(DATE($B$3,11,18),DATE($B$3,11,18),1,'Non-working days'!$A$6:$A$45)=0),"",IF(COUNTIFS('Leave log'!$A$7:$A$306,Employees!$A$23,'Leave log'!$B$7:$B$306,"&lt;="&amp;DATE($B$3,11,18),'Leave log'!$C$7:$C$306,"&gt;="&amp;DATE($B$3,11,18),'Leave log'!$F$7:$F$306,"Pending")&gt;0,"P",""))))</f>
        <v/>
      </c>
      <c r="T364" s="23" t="str">
        <f>IF(A364="","",IF(IF(OR(DATE($B$3,11,19)&gt;EOMONTH(DATE($B$3,11,1),0),NETWORKDAYS.INTL(DATE($B$3,11,19),DATE($B$3,11,19),1,'Non-working days'!$A$6:$A$45)=0),"",IF(COUNTIFS('Leave log'!$A$7:$A$306,Employees!$A$23,'Leave log'!$B$7:$B$306,"&lt;="&amp;DATE($B$3,11,19),'Leave log'!$C$7:$C$306,"&gt;="&amp;DATE($B$3,11,19),'Leave log'!$F$7:$F$306,"Approved")&gt;0,"A",""))="A","A",IF(OR(DATE($B$3,11,19)&gt;EOMONTH(DATE($B$3,11,1),0),NETWORKDAYS.INTL(DATE($B$3,11,19),DATE($B$3,11,19),1,'Non-working days'!$A$6:$A$45)=0),"",IF(COUNTIFS('Leave log'!$A$7:$A$306,Employees!$A$23,'Leave log'!$B$7:$B$306,"&lt;="&amp;DATE($B$3,11,19),'Leave log'!$C$7:$C$306,"&gt;="&amp;DATE($B$3,11,19),'Leave log'!$F$7:$F$306,"Pending")&gt;0,"P",""))))</f>
        <v/>
      </c>
      <c r="U364" s="23" t="str">
        <f>IF(A364="","",IF(IF(OR(DATE($B$3,11,20)&gt;EOMONTH(DATE($B$3,11,1),0),NETWORKDAYS.INTL(DATE($B$3,11,20),DATE($B$3,11,20),1,'Non-working days'!$A$6:$A$45)=0),"",IF(COUNTIFS('Leave log'!$A$7:$A$306,Employees!$A$23,'Leave log'!$B$7:$B$306,"&lt;="&amp;DATE($B$3,11,20),'Leave log'!$C$7:$C$306,"&gt;="&amp;DATE($B$3,11,20),'Leave log'!$F$7:$F$306,"Approved")&gt;0,"A",""))="A","A",IF(OR(DATE($B$3,11,20)&gt;EOMONTH(DATE($B$3,11,1),0),NETWORKDAYS.INTL(DATE($B$3,11,20),DATE($B$3,11,20),1,'Non-working days'!$A$6:$A$45)=0),"",IF(COUNTIFS('Leave log'!$A$7:$A$306,Employees!$A$23,'Leave log'!$B$7:$B$306,"&lt;="&amp;DATE($B$3,11,20),'Leave log'!$C$7:$C$306,"&gt;="&amp;DATE($B$3,11,20),'Leave log'!$F$7:$F$306,"Pending")&gt;0,"P",""))))</f>
        <v/>
      </c>
      <c r="V364" s="23" t="str">
        <f>IF(A364="","",IF(IF(OR(DATE($B$3,11,21)&gt;EOMONTH(DATE($B$3,11,1),0),NETWORKDAYS.INTL(DATE($B$3,11,21),DATE($B$3,11,21),1,'Non-working days'!$A$6:$A$45)=0),"",IF(COUNTIFS('Leave log'!$A$7:$A$306,Employees!$A$23,'Leave log'!$B$7:$B$306,"&lt;="&amp;DATE($B$3,11,21),'Leave log'!$C$7:$C$306,"&gt;="&amp;DATE($B$3,11,21),'Leave log'!$F$7:$F$306,"Approved")&gt;0,"A",""))="A","A",IF(OR(DATE($B$3,11,21)&gt;EOMONTH(DATE($B$3,11,1),0),NETWORKDAYS.INTL(DATE($B$3,11,21),DATE($B$3,11,21),1,'Non-working days'!$A$6:$A$45)=0),"",IF(COUNTIFS('Leave log'!$A$7:$A$306,Employees!$A$23,'Leave log'!$B$7:$B$306,"&lt;="&amp;DATE($B$3,11,21),'Leave log'!$C$7:$C$306,"&gt;="&amp;DATE($B$3,11,21),'Leave log'!$F$7:$F$306,"Pending")&gt;0,"P",""))))</f>
        <v/>
      </c>
      <c r="W364" s="23" t="str">
        <f>IF(A364="","",IF(IF(OR(DATE($B$3,11,22)&gt;EOMONTH(DATE($B$3,11,1),0),NETWORKDAYS.INTL(DATE($B$3,11,22),DATE($B$3,11,22),1,'Non-working days'!$A$6:$A$45)=0),"",IF(COUNTIFS('Leave log'!$A$7:$A$306,Employees!$A$23,'Leave log'!$B$7:$B$306,"&lt;="&amp;DATE($B$3,11,22),'Leave log'!$C$7:$C$306,"&gt;="&amp;DATE($B$3,11,22),'Leave log'!$F$7:$F$306,"Approved")&gt;0,"A",""))="A","A",IF(OR(DATE($B$3,11,22)&gt;EOMONTH(DATE($B$3,11,1),0),NETWORKDAYS.INTL(DATE($B$3,11,22),DATE($B$3,11,22),1,'Non-working days'!$A$6:$A$45)=0),"",IF(COUNTIFS('Leave log'!$A$7:$A$306,Employees!$A$23,'Leave log'!$B$7:$B$306,"&lt;="&amp;DATE($B$3,11,22),'Leave log'!$C$7:$C$306,"&gt;="&amp;DATE($B$3,11,22),'Leave log'!$F$7:$F$306,"Pending")&gt;0,"P",""))))</f>
        <v/>
      </c>
      <c r="X364" s="23" t="str">
        <f>IF(A364="","",IF(IF(OR(DATE($B$3,11,23)&gt;EOMONTH(DATE($B$3,11,1),0),NETWORKDAYS.INTL(DATE($B$3,11,23),DATE($B$3,11,23),1,'Non-working days'!$A$6:$A$45)=0),"",IF(COUNTIFS('Leave log'!$A$7:$A$306,Employees!$A$23,'Leave log'!$B$7:$B$306,"&lt;="&amp;DATE($B$3,11,23),'Leave log'!$C$7:$C$306,"&gt;="&amp;DATE($B$3,11,23),'Leave log'!$F$7:$F$306,"Approved")&gt;0,"A",""))="A","A",IF(OR(DATE($B$3,11,23)&gt;EOMONTH(DATE($B$3,11,1),0),NETWORKDAYS.INTL(DATE($B$3,11,23),DATE($B$3,11,23),1,'Non-working days'!$A$6:$A$45)=0),"",IF(COUNTIFS('Leave log'!$A$7:$A$306,Employees!$A$23,'Leave log'!$B$7:$B$306,"&lt;="&amp;DATE($B$3,11,23),'Leave log'!$C$7:$C$306,"&gt;="&amp;DATE($B$3,11,23),'Leave log'!$F$7:$F$306,"Pending")&gt;0,"P",""))))</f>
        <v/>
      </c>
      <c r="Y364" s="23" t="str">
        <f>IF(A364="","",IF(IF(OR(DATE($B$3,11,24)&gt;EOMONTH(DATE($B$3,11,1),0),NETWORKDAYS.INTL(DATE($B$3,11,24),DATE($B$3,11,24),1,'Non-working days'!$A$6:$A$45)=0),"",IF(COUNTIFS('Leave log'!$A$7:$A$306,Employees!$A$23,'Leave log'!$B$7:$B$306,"&lt;="&amp;DATE($B$3,11,24),'Leave log'!$C$7:$C$306,"&gt;="&amp;DATE($B$3,11,24),'Leave log'!$F$7:$F$306,"Approved")&gt;0,"A",""))="A","A",IF(OR(DATE($B$3,11,24)&gt;EOMONTH(DATE($B$3,11,1),0),NETWORKDAYS.INTL(DATE($B$3,11,24),DATE($B$3,11,24),1,'Non-working days'!$A$6:$A$45)=0),"",IF(COUNTIFS('Leave log'!$A$7:$A$306,Employees!$A$23,'Leave log'!$B$7:$B$306,"&lt;="&amp;DATE($B$3,11,24),'Leave log'!$C$7:$C$306,"&gt;="&amp;DATE($B$3,11,24),'Leave log'!$F$7:$F$306,"Pending")&gt;0,"P",""))))</f>
        <v/>
      </c>
      <c r="Z364" s="23" t="str">
        <f>IF(A364="","",IF(IF(OR(DATE($B$3,11,25)&gt;EOMONTH(DATE($B$3,11,1),0),NETWORKDAYS.INTL(DATE($B$3,11,25),DATE($B$3,11,25),1,'Non-working days'!$A$6:$A$45)=0),"",IF(COUNTIFS('Leave log'!$A$7:$A$306,Employees!$A$23,'Leave log'!$B$7:$B$306,"&lt;="&amp;DATE($B$3,11,25),'Leave log'!$C$7:$C$306,"&gt;="&amp;DATE($B$3,11,25),'Leave log'!$F$7:$F$306,"Approved")&gt;0,"A",""))="A","A",IF(OR(DATE($B$3,11,25)&gt;EOMONTH(DATE($B$3,11,1),0),NETWORKDAYS.INTL(DATE($B$3,11,25),DATE($B$3,11,25),1,'Non-working days'!$A$6:$A$45)=0),"",IF(COUNTIFS('Leave log'!$A$7:$A$306,Employees!$A$23,'Leave log'!$B$7:$B$306,"&lt;="&amp;DATE($B$3,11,25),'Leave log'!$C$7:$C$306,"&gt;="&amp;DATE($B$3,11,25),'Leave log'!$F$7:$F$306,"Pending")&gt;0,"P",""))))</f>
        <v/>
      </c>
      <c r="AA364" s="23" t="str">
        <f>IF(A364="","",IF(IF(OR(DATE($B$3,11,26)&gt;EOMONTH(DATE($B$3,11,1),0),NETWORKDAYS.INTL(DATE($B$3,11,26),DATE($B$3,11,26),1,'Non-working days'!$A$6:$A$45)=0),"",IF(COUNTIFS('Leave log'!$A$7:$A$306,Employees!$A$23,'Leave log'!$B$7:$B$306,"&lt;="&amp;DATE($B$3,11,26),'Leave log'!$C$7:$C$306,"&gt;="&amp;DATE($B$3,11,26),'Leave log'!$F$7:$F$306,"Approved")&gt;0,"A",""))="A","A",IF(OR(DATE($B$3,11,26)&gt;EOMONTH(DATE($B$3,11,1),0),NETWORKDAYS.INTL(DATE($B$3,11,26),DATE($B$3,11,26),1,'Non-working days'!$A$6:$A$45)=0),"",IF(COUNTIFS('Leave log'!$A$7:$A$306,Employees!$A$23,'Leave log'!$B$7:$B$306,"&lt;="&amp;DATE($B$3,11,26),'Leave log'!$C$7:$C$306,"&gt;="&amp;DATE($B$3,11,26),'Leave log'!$F$7:$F$306,"Pending")&gt;0,"P",""))))</f>
        <v/>
      </c>
      <c r="AB364" s="23" t="str">
        <f>IF(A364="","",IF(IF(OR(DATE($B$3,11,27)&gt;EOMONTH(DATE($B$3,11,1),0),NETWORKDAYS.INTL(DATE($B$3,11,27),DATE($B$3,11,27),1,'Non-working days'!$A$6:$A$45)=0),"",IF(COUNTIFS('Leave log'!$A$7:$A$306,Employees!$A$23,'Leave log'!$B$7:$B$306,"&lt;="&amp;DATE($B$3,11,27),'Leave log'!$C$7:$C$306,"&gt;="&amp;DATE($B$3,11,27),'Leave log'!$F$7:$F$306,"Approved")&gt;0,"A",""))="A","A",IF(OR(DATE($B$3,11,27)&gt;EOMONTH(DATE($B$3,11,1),0),NETWORKDAYS.INTL(DATE($B$3,11,27),DATE($B$3,11,27),1,'Non-working days'!$A$6:$A$45)=0),"",IF(COUNTIFS('Leave log'!$A$7:$A$306,Employees!$A$23,'Leave log'!$B$7:$B$306,"&lt;="&amp;DATE($B$3,11,27),'Leave log'!$C$7:$C$306,"&gt;="&amp;DATE($B$3,11,27),'Leave log'!$F$7:$F$306,"Pending")&gt;0,"P",""))))</f>
        <v/>
      </c>
      <c r="AC364" s="23" t="str">
        <f>IF(A364="","",IF(IF(OR(DATE($B$3,11,28)&gt;EOMONTH(DATE($B$3,11,1),0),NETWORKDAYS.INTL(DATE($B$3,11,28),DATE($B$3,11,28),1,'Non-working days'!$A$6:$A$45)=0),"",IF(COUNTIFS('Leave log'!$A$7:$A$306,Employees!$A$23,'Leave log'!$B$7:$B$306,"&lt;="&amp;DATE($B$3,11,28),'Leave log'!$C$7:$C$306,"&gt;="&amp;DATE($B$3,11,28),'Leave log'!$F$7:$F$306,"Approved")&gt;0,"A",""))="A","A",IF(OR(DATE($B$3,11,28)&gt;EOMONTH(DATE($B$3,11,1),0),NETWORKDAYS.INTL(DATE($B$3,11,28),DATE($B$3,11,28),1,'Non-working days'!$A$6:$A$45)=0),"",IF(COUNTIFS('Leave log'!$A$7:$A$306,Employees!$A$23,'Leave log'!$B$7:$B$306,"&lt;="&amp;DATE($B$3,11,28),'Leave log'!$C$7:$C$306,"&gt;="&amp;DATE($B$3,11,28),'Leave log'!$F$7:$F$306,"Pending")&gt;0,"P",""))))</f>
        <v/>
      </c>
      <c r="AD364" s="23" t="str">
        <f>IF(A364="","",IF(IF(OR(DATE($B$3,11,29)&gt;EOMONTH(DATE($B$3,11,1),0),NETWORKDAYS.INTL(DATE($B$3,11,29),DATE($B$3,11,29),1,'Non-working days'!$A$6:$A$45)=0),"",IF(COUNTIFS('Leave log'!$A$7:$A$306,Employees!$A$23,'Leave log'!$B$7:$B$306,"&lt;="&amp;DATE($B$3,11,29),'Leave log'!$C$7:$C$306,"&gt;="&amp;DATE($B$3,11,29),'Leave log'!$F$7:$F$306,"Approved")&gt;0,"A",""))="A","A",IF(OR(DATE($B$3,11,29)&gt;EOMONTH(DATE($B$3,11,1),0),NETWORKDAYS.INTL(DATE($B$3,11,29),DATE($B$3,11,29),1,'Non-working days'!$A$6:$A$45)=0),"",IF(COUNTIFS('Leave log'!$A$7:$A$306,Employees!$A$23,'Leave log'!$B$7:$B$306,"&lt;="&amp;DATE($B$3,11,29),'Leave log'!$C$7:$C$306,"&gt;="&amp;DATE($B$3,11,29),'Leave log'!$F$7:$F$306,"Pending")&gt;0,"P",""))))</f>
        <v/>
      </c>
      <c r="AE364" s="23" t="str">
        <f>IF(A364="","",IF(IF(OR(DATE($B$3,11,30)&gt;EOMONTH(DATE($B$3,11,1),0),NETWORKDAYS.INTL(DATE($B$3,11,30),DATE($B$3,11,30),1,'Non-working days'!$A$6:$A$45)=0),"",IF(COUNTIFS('Leave log'!$A$7:$A$306,Employees!$A$23,'Leave log'!$B$7:$B$306,"&lt;="&amp;DATE($B$3,11,30),'Leave log'!$C$7:$C$306,"&gt;="&amp;DATE($B$3,11,30),'Leave log'!$F$7:$F$306,"Approved")&gt;0,"A",""))="A","A",IF(OR(DATE($B$3,11,30)&gt;EOMONTH(DATE($B$3,11,1),0),NETWORKDAYS.INTL(DATE($B$3,11,30),DATE($B$3,11,30),1,'Non-working days'!$A$6:$A$45)=0),"",IF(COUNTIFS('Leave log'!$A$7:$A$306,Employees!$A$23,'Leave log'!$B$7:$B$306,"&lt;="&amp;DATE($B$3,11,30),'Leave log'!$C$7:$C$306,"&gt;="&amp;DATE($B$3,11,30),'Leave log'!$F$7:$F$306,"Pending")&gt;0,"P",""))))</f>
        <v/>
      </c>
      <c r="AF364" s="23" t="str">
        <f>IF(A364="","",IF(IF(OR(DATE($B$3,11,31)&gt;EOMONTH(DATE($B$3,11,1),0),NETWORKDAYS.INTL(DATE($B$3,11,31),DATE($B$3,11,31),1,'Non-working days'!$A$6:$A$45)=0),"",IF(COUNTIFS('Leave log'!$A$7:$A$306,Employees!$A$23,'Leave log'!$B$7:$B$306,"&lt;="&amp;DATE($B$3,11,31),'Leave log'!$C$7:$C$306,"&gt;="&amp;DATE($B$3,11,31),'Leave log'!$F$7:$F$306,"Approved")&gt;0,"A",""))="A","A",IF(OR(DATE($B$3,11,31)&gt;EOMONTH(DATE($B$3,11,1),0),NETWORKDAYS.INTL(DATE($B$3,11,31),DATE($B$3,11,31),1,'Non-working days'!$A$6:$A$45)=0),"",IF(COUNTIFS('Leave log'!$A$7:$A$306,Employees!$A$23,'Leave log'!$B$7:$B$306,"&lt;="&amp;DATE($B$3,11,31),'Leave log'!$C$7:$C$306,"&gt;="&amp;DATE($B$3,11,31),'Leave log'!$F$7:$F$306,"Pending")&gt;0,"P",""))))</f>
        <v/>
      </c>
    </row>
    <row r="365" spans="1:32" ht="18" customHeight="1" x14ac:dyDescent="0.3">
      <c r="A365" s="22" t="str">
        <f>IF(Employees!F24="Yes",Employees!B24,"")</f>
        <v/>
      </c>
      <c r="B365" s="23" t="str">
        <f>IF(A365="","",IF(IF(OR(DATE($B$3,11,1)&gt;EOMONTH(DATE($B$3,11,1),0),NETWORKDAYS.INTL(DATE($B$3,11,1),DATE($B$3,11,1),1,'Non-working days'!$A$6:$A$45)=0),"",IF(COUNTIFS('Leave log'!$A$7:$A$306,Employees!$A$24,'Leave log'!$B$7:$B$306,"&lt;="&amp;DATE($B$3,11,1),'Leave log'!$C$7:$C$306,"&gt;="&amp;DATE($B$3,11,1),'Leave log'!$F$7:$F$306,"Approved")&gt;0,"A",""))="A","A",IF(OR(DATE($B$3,11,1)&gt;EOMONTH(DATE($B$3,11,1),0),NETWORKDAYS.INTL(DATE($B$3,11,1),DATE($B$3,11,1),1,'Non-working days'!$A$6:$A$45)=0),"",IF(COUNTIFS('Leave log'!$A$7:$A$306,Employees!$A$24,'Leave log'!$B$7:$B$306,"&lt;="&amp;DATE($B$3,11,1),'Leave log'!$C$7:$C$306,"&gt;="&amp;DATE($B$3,11,1),'Leave log'!$F$7:$F$306,"Pending")&gt;0,"P",""))))</f>
        <v/>
      </c>
      <c r="C365" s="23" t="str">
        <f>IF(A365="","",IF(IF(OR(DATE($B$3,11,2)&gt;EOMONTH(DATE($B$3,11,1),0),NETWORKDAYS.INTL(DATE($B$3,11,2),DATE($B$3,11,2),1,'Non-working days'!$A$6:$A$45)=0),"",IF(COUNTIFS('Leave log'!$A$7:$A$306,Employees!$A$24,'Leave log'!$B$7:$B$306,"&lt;="&amp;DATE($B$3,11,2),'Leave log'!$C$7:$C$306,"&gt;="&amp;DATE($B$3,11,2),'Leave log'!$F$7:$F$306,"Approved")&gt;0,"A",""))="A","A",IF(OR(DATE($B$3,11,2)&gt;EOMONTH(DATE($B$3,11,1),0),NETWORKDAYS.INTL(DATE($B$3,11,2),DATE($B$3,11,2),1,'Non-working days'!$A$6:$A$45)=0),"",IF(COUNTIFS('Leave log'!$A$7:$A$306,Employees!$A$24,'Leave log'!$B$7:$B$306,"&lt;="&amp;DATE($B$3,11,2),'Leave log'!$C$7:$C$306,"&gt;="&amp;DATE($B$3,11,2),'Leave log'!$F$7:$F$306,"Pending")&gt;0,"P",""))))</f>
        <v/>
      </c>
      <c r="D365" s="23" t="str">
        <f>IF(A365="","",IF(IF(OR(DATE($B$3,11,3)&gt;EOMONTH(DATE($B$3,11,1),0),NETWORKDAYS.INTL(DATE($B$3,11,3),DATE($B$3,11,3),1,'Non-working days'!$A$6:$A$45)=0),"",IF(COUNTIFS('Leave log'!$A$7:$A$306,Employees!$A$24,'Leave log'!$B$7:$B$306,"&lt;="&amp;DATE($B$3,11,3),'Leave log'!$C$7:$C$306,"&gt;="&amp;DATE($B$3,11,3),'Leave log'!$F$7:$F$306,"Approved")&gt;0,"A",""))="A","A",IF(OR(DATE($B$3,11,3)&gt;EOMONTH(DATE($B$3,11,1),0),NETWORKDAYS.INTL(DATE($B$3,11,3),DATE($B$3,11,3),1,'Non-working days'!$A$6:$A$45)=0),"",IF(COUNTIFS('Leave log'!$A$7:$A$306,Employees!$A$24,'Leave log'!$B$7:$B$306,"&lt;="&amp;DATE($B$3,11,3),'Leave log'!$C$7:$C$306,"&gt;="&amp;DATE($B$3,11,3),'Leave log'!$F$7:$F$306,"Pending")&gt;0,"P",""))))</f>
        <v/>
      </c>
      <c r="E365" s="23" t="str">
        <f>IF(A365="","",IF(IF(OR(DATE($B$3,11,4)&gt;EOMONTH(DATE($B$3,11,1),0),NETWORKDAYS.INTL(DATE($B$3,11,4),DATE($B$3,11,4),1,'Non-working days'!$A$6:$A$45)=0),"",IF(COUNTIFS('Leave log'!$A$7:$A$306,Employees!$A$24,'Leave log'!$B$7:$B$306,"&lt;="&amp;DATE($B$3,11,4),'Leave log'!$C$7:$C$306,"&gt;="&amp;DATE($B$3,11,4),'Leave log'!$F$7:$F$306,"Approved")&gt;0,"A",""))="A","A",IF(OR(DATE($B$3,11,4)&gt;EOMONTH(DATE($B$3,11,1),0),NETWORKDAYS.INTL(DATE($B$3,11,4),DATE($B$3,11,4),1,'Non-working days'!$A$6:$A$45)=0),"",IF(COUNTIFS('Leave log'!$A$7:$A$306,Employees!$A$24,'Leave log'!$B$7:$B$306,"&lt;="&amp;DATE($B$3,11,4),'Leave log'!$C$7:$C$306,"&gt;="&amp;DATE($B$3,11,4),'Leave log'!$F$7:$F$306,"Pending")&gt;0,"P",""))))</f>
        <v/>
      </c>
      <c r="F365" s="23" t="str">
        <f>IF(A365="","",IF(IF(OR(DATE($B$3,11,5)&gt;EOMONTH(DATE($B$3,11,1),0),NETWORKDAYS.INTL(DATE($B$3,11,5),DATE($B$3,11,5),1,'Non-working days'!$A$6:$A$45)=0),"",IF(COUNTIFS('Leave log'!$A$7:$A$306,Employees!$A$24,'Leave log'!$B$7:$B$306,"&lt;="&amp;DATE($B$3,11,5),'Leave log'!$C$7:$C$306,"&gt;="&amp;DATE($B$3,11,5),'Leave log'!$F$7:$F$306,"Approved")&gt;0,"A",""))="A","A",IF(OR(DATE($B$3,11,5)&gt;EOMONTH(DATE($B$3,11,1),0),NETWORKDAYS.INTL(DATE($B$3,11,5),DATE($B$3,11,5),1,'Non-working days'!$A$6:$A$45)=0),"",IF(COUNTIFS('Leave log'!$A$7:$A$306,Employees!$A$24,'Leave log'!$B$7:$B$306,"&lt;="&amp;DATE($B$3,11,5),'Leave log'!$C$7:$C$306,"&gt;="&amp;DATE($B$3,11,5),'Leave log'!$F$7:$F$306,"Pending")&gt;0,"P",""))))</f>
        <v/>
      </c>
      <c r="G365" s="23" t="str">
        <f>IF(A365="","",IF(IF(OR(DATE($B$3,11,6)&gt;EOMONTH(DATE($B$3,11,1),0),NETWORKDAYS.INTL(DATE($B$3,11,6),DATE($B$3,11,6),1,'Non-working days'!$A$6:$A$45)=0),"",IF(COUNTIFS('Leave log'!$A$7:$A$306,Employees!$A$24,'Leave log'!$B$7:$B$306,"&lt;="&amp;DATE($B$3,11,6),'Leave log'!$C$7:$C$306,"&gt;="&amp;DATE($B$3,11,6),'Leave log'!$F$7:$F$306,"Approved")&gt;0,"A",""))="A","A",IF(OR(DATE($B$3,11,6)&gt;EOMONTH(DATE($B$3,11,1),0),NETWORKDAYS.INTL(DATE($B$3,11,6),DATE($B$3,11,6),1,'Non-working days'!$A$6:$A$45)=0),"",IF(COUNTIFS('Leave log'!$A$7:$A$306,Employees!$A$24,'Leave log'!$B$7:$B$306,"&lt;="&amp;DATE($B$3,11,6),'Leave log'!$C$7:$C$306,"&gt;="&amp;DATE($B$3,11,6),'Leave log'!$F$7:$F$306,"Pending")&gt;0,"P",""))))</f>
        <v/>
      </c>
      <c r="H365" s="23" t="str">
        <f>IF(A365="","",IF(IF(OR(DATE($B$3,11,7)&gt;EOMONTH(DATE($B$3,11,1),0),NETWORKDAYS.INTL(DATE($B$3,11,7),DATE($B$3,11,7),1,'Non-working days'!$A$6:$A$45)=0),"",IF(COUNTIFS('Leave log'!$A$7:$A$306,Employees!$A$24,'Leave log'!$B$7:$B$306,"&lt;="&amp;DATE($B$3,11,7),'Leave log'!$C$7:$C$306,"&gt;="&amp;DATE($B$3,11,7),'Leave log'!$F$7:$F$306,"Approved")&gt;0,"A",""))="A","A",IF(OR(DATE($B$3,11,7)&gt;EOMONTH(DATE($B$3,11,1),0),NETWORKDAYS.INTL(DATE($B$3,11,7),DATE($B$3,11,7),1,'Non-working days'!$A$6:$A$45)=0),"",IF(COUNTIFS('Leave log'!$A$7:$A$306,Employees!$A$24,'Leave log'!$B$7:$B$306,"&lt;="&amp;DATE($B$3,11,7),'Leave log'!$C$7:$C$306,"&gt;="&amp;DATE($B$3,11,7),'Leave log'!$F$7:$F$306,"Pending")&gt;0,"P",""))))</f>
        <v/>
      </c>
      <c r="I365" s="23" t="str">
        <f>IF(A365="","",IF(IF(OR(DATE($B$3,11,8)&gt;EOMONTH(DATE($B$3,11,1),0),NETWORKDAYS.INTL(DATE($B$3,11,8),DATE($B$3,11,8),1,'Non-working days'!$A$6:$A$45)=0),"",IF(COUNTIFS('Leave log'!$A$7:$A$306,Employees!$A$24,'Leave log'!$B$7:$B$306,"&lt;="&amp;DATE($B$3,11,8),'Leave log'!$C$7:$C$306,"&gt;="&amp;DATE($B$3,11,8),'Leave log'!$F$7:$F$306,"Approved")&gt;0,"A",""))="A","A",IF(OR(DATE($B$3,11,8)&gt;EOMONTH(DATE($B$3,11,1),0),NETWORKDAYS.INTL(DATE($B$3,11,8),DATE($B$3,11,8),1,'Non-working days'!$A$6:$A$45)=0),"",IF(COUNTIFS('Leave log'!$A$7:$A$306,Employees!$A$24,'Leave log'!$B$7:$B$306,"&lt;="&amp;DATE($B$3,11,8),'Leave log'!$C$7:$C$306,"&gt;="&amp;DATE($B$3,11,8),'Leave log'!$F$7:$F$306,"Pending")&gt;0,"P",""))))</f>
        <v/>
      </c>
      <c r="J365" s="23" t="str">
        <f>IF(A365="","",IF(IF(OR(DATE($B$3,11,9)&gt;EOMONTH(DATE($B$3,11,1),0),NETWORKDAYS.INTL(DATE($B$3,11,9),DATE($B$3,11,9),1,'Non-working days'!$A$6:$A$45)=0),"",IF(COUNTIFS('Leave log'!$A$7:$A$306,Employees!$A$24,'Leave log'!$B$7:$B$306,"&lt;="&amp;DATE($B$3,11,9),'Leave log'!$C$7:$C$306,"&gt;="&amp;DATE($B$3,11,9),'Leave log'!$F$7:$F$306,"Approved")&gt;0,"A",""))="A","A",IF(OR(DATE($B$3,11,9)&gt;EOMONTH(DATE($B$3,11,1),0),NETWORKDAYS.INTL(DATE($B$3,11,9),DATE($B$3,11,9),1,'Non-working days'!$A$6:$A$45)=0),"",IF(COUNTIFS('Leave log'!$A$7:$A$306,Employees!$A$24,'Leave log'!$B$7:$B$306,"&lt;="&amp;DATE($B$3,11,9),'Leave log'!$C$7:$C$306,"&gt;="&amp;DATE($B$3,11,9),'Leave log'!$F$7:$F$306,"Pending")&gt;0,"P",""))))</f>
        <v/>
      </c>
      <c r="K365" s="23" t="str">
        <f>IF(A365="","",IF(IF(OR(DATE($B$3,11,10)&gt;EOMONTH(DATE($B$3,11,1),0),NETWORKDAYS.INTL(DATE($B$3,11,10),DATE($B$3,11,10),1,'Non-working days'!$A$6:$A$45)=0),"",IF(COUNTIFS('Leave log'!$A$7:$A$306,Employees!$A$24,'Leave log'!$B$7:$B$306,"&lt;="&amp;DATE($B$3,11,10),'Leave log'!$C$7:$C$306,"&gt;="&amp;DATE($B$3,11,10),'Leave log'!$F$7:$F$306,"Approved")&gt;0,"A",""))="A","A",IF(OR(DATE($B$3,11,10)&gt;EOMONTH(DATE($B$3,11,1),0),NETWORKDAYS.INTL(DATE($B$3,11,10),DATE($B$3,11,10),1,'Non-working days'!$A$6:$A$45)=0),"",IF(COUNTIFS('Leave log'!$A$7:$A$306,Employees!$A$24,'Leave log'!$B$7:$B$306,"&lt;="&amp;DATE($B$3,11,10),'Leave log'!$C$7:$C$306,"&gt;="&amp;DATE($B$3,11,10),'Leave log'!$F$7:$F$306,"Pending")&gt;0,"P",""))))</f>
        <v/>
      </c>
      <c r="L365" s="23" t="str">
        <f>IF(A365="","",IF(IF(OR(DATE($B$3,11,11)&gt;EOMONTH(DATE($B$3,11,1),0),NETWORKDAYS.INTL(DATE($B$3,11,11),DATE($B$3,11,11),1,'Non-working days'!$A$6:$A$45)=0),"",IF(COUNTIFS('Leave log'!$A$7:$A$306,Employees!$A$24,'Leave log'!$B$7:$B$306,"&lt;="&amp;DATE($B$3,11,11),'Leave log'!$C$7:$C$306,"&gt;="&amp;DATE($B$3,11,11),'Leave log'!$F$7:$F$306,"Approved")&gt;0,"A",""))="A","A",IF(OR(DATE($B$3,11,11)&gt;EOMONTH(DATE($B$3,11,1),0),NETWORKDAYS.INTL(DATE($B$3,11,11),DATE($B$3,11,11),1,'Non-working days'!$A$6:$A$45)=0),"",IF(COUNTIFS('Leave log'!$A$7:$A$306,Employees!$A$24,'Leave log'!$B$7:$B$306,"&lt;="&amp;DATE($B$3,11,11),'Leave log'!$C$7:$C$306,"&gt;="&amp;DATE($B$3,11,11),'Leave log'!$F$7:$F$306,"Pending")&gt;0,"P",""))))</f>
        <v/>
      </c>
      <c r="M365" s="23" t="str">
        <f>IF(A365="","",IF(IF(OR(DATE($B$3,11,12)&gt;EOMONTH(DATE($B$3,11,1),0),NETWORKDAYS.INTL(DATE($B$3,11,12),DATE($B$3,11,12),1,'Non-working days'!$A$6:$A$45)=0),"",IF(COUNTIFS('Leave log'!$A$7:$A$306,Employees!$A$24,'Leave log'!$B$7:$B$306,"&lt;="&amp;DATE($B$3,11,12),'Leave log'!$C$7:$C$306,"&gt;="&amp;DATE($B$3,11,12),'Leave log'!$F$7:$F$306,"Approved")&gt;0,"A",""))="A","A",IF(OR(DATE($B$3,11,12)&gt;EOMONTH(DATE($B$3,11,1),0),NETWORKDAYS.INTL(DATE($B$3,11,12),DATE($B$3,11,12),1,'Non-working days'!$A$6:$A$45)=0),"",IF(COUNTIFS('Leave log'!$A$7:$A$306,Employees!$A$24,'Leave log'!$B$7:$B$306,"&lt;="&amp;DATE($B$3,11,12),'Leave log'!$C$7:$C$306,"&gt;="&amp;DATE($B$3,11,12),'Leave log'!$F$7:$F$306,"Pending")&gt;0,"P",""))))</f>
        <v/>
      </c>
      <c r="N365" s="23" t="str">
        <f>IF(A365="","",IF(IF(OR(DATE($B$3,11,13)&gt;EOMONTH(DATE($B$3,11,1),0),NETWORKDAYS.INTL(DATE($B$3,11,13),DATE($B$3,11,13),1,'Non-working days'!$A$6:$A$45)=0),"",IF(COUNTIFS('Leave log'!$A$7:$A$306,Employees!$A$24,'Leave log'!$B$7:$B$306,"&lt;="&amp;DATE($B$3,11,13),'Leave log'!$C$7:$C$306,"&gt;="&amp;DATE($B$3,11,13),'Leave log'!$F$7:$F$306,"Approved")&gt;0,"A",""))="A","A",IF(OR(DATE($B$3,11,13)&gt;EOMONTH(DATE($B$3,11,1),0),NETWORKDAYS.INTL(DATE($B$3,11,13),DATE($B$3,11,13),1,'Non-working days'!$A$6:$A$45)=0),"",IF(COUNTIFS('Leave log'!$A$7:$A$306,Employees!$A$24,'Leave log'!$B$7:$B$306,"&lt;="&amp;DATE($B$3,11,13),'Leave log'!$C$7:$C$306,"&gt;="&amp;DATE($B$3,11,13),'Leave log'!$F$7:$F$306,"Pending")&gt;0,"P",""))))</f>
        <v/>
      </c>
      <c r="O365" s="23" t="str">
        <f>IF(A365="","",IF(IF(OR(DATE($B$3,11,14)&gt;EOMONTH(DATE($B$3,11,1),0),NETWORKDAYS.INTL(DATE($B$3,11,14),DATE($B$3,11,14),1,'Non-working days'!$A$6:$A$45)=0),"",IF(COUNTIFS('Leave log'!$A$7:$A$306,Employees!$A$24,'Leave log'!$B$7:$B$306,"&lt;="&amp;DATE($B$3,11,14),'Leave log'!$C$7:$C$306,"&gt;="&amp;DATE($B$3,11,14),'Leave log'!$F$7:$F$306,"Approved")&gt;0,"A",""))="A","A",IF(OR(DATE($B$3,11,14)&gt;EOMONTH(DATE($B$3,11,1),0),NETWORKDAYS.INTL(DATE($B$3,11,14),DATE($B$3,11,14),1,'Non-working days'!$A$6:$A$45)=0),"",IF(COUNTIFS('Leave log'!$A$7:$A$306,Employees!$A$24,'Leave log'!$B$7:$B$306,"&lt;="&amp;DATE($B$3,11,14),'Leave log'!$C$7:$C$306,"&gt;="&amp;DATE($B$3,11,14),'Leave log'!$F$7:$F$306,"Pending")&gt;0,"P",""))))</f>
        <v/>
      </c>
      <c r="P365" s="23" t="str">
        <f>IF(A365="","",IF(IF(OR(DATE($B$3,11,15)&gt;EOMONTH(DATE($B$3,11,1),0),NETWORKDAYS.INTL(DATE($B$3,11,15),DATE($B$3,11,15),1,'Non-working days'!$A$6:$A$45)=0),"",IF(COUNTIFS('Leave log'!$A$7:$A$306,Employees!$A$24,'Leave log'!$B$7:$B$306,"&lt;="&amp;DATE($B$3,11,15),'Leave log'!$C$7:$C$306,"&gt;="&amp;DATE($B$3,11,15),'Leave log'!$F$7:$F$306,"Approved")&gt;0,"A",""))="A","A",IF(OR(DATE($B$3,11,15)&gt;EOMONTH(DATE($B$3,11,1),0),NETWORKDAYS.INTL(DATE($B$3,11,15),DATE($B$3,11,15),1,'Non-working days'!$A$6:$A$45)=0),"",IF(COUNTIFS('Leave log'!$A$7:$A$306,Employees!$A$24,'Leave log'!$B$7:$B$306,"&lt;="&amp;DATE($B$3,11,15),'Leave log'!$C$7:$C$306,"&gt;="&amp;DATE($B$3,11,15),'Leave log'!$F$7:$F$306,"Pending")&gt;0,"P",""))))</f>
        <v/>
      </c>
      <c r="Q365" s="23" t="str">
        <f>IF(A365="","",IF(IF(OR(DATE($B$3,11,16)&gt;EOMONTH(DATE($B$3,11,1),0),NETWORKDAYS.INTL(DATE($B$3,11,16),DATE($B$3,11,16),1,'Non-working days'!$A$6:$A$45)=0),"",IF(COUNTIFS('Leave log'!$A$7:$A$306,Employees!$A$24,'Leave log'!$B$7:$B$306,"&lt;="&amp;DATE($B$3,11,16),'Leave log'!$C$7:$C$306,"&gt;="&amp;DATE($B$3,11,16),'Leave log'!$F$7:$F$306,"Approved")&gt;0,"A",""))="A","A",IF(OR(DATE($B$3,11,16)&gt;EOMONTH(DATE($B$3,11,1),0),NETWORKDAYS.INTL(DATE($B$3,11,16),DATE($B$3,11,16),1,'Non-working days'!$A$6:$A$45)=0),"",IF(COUNTIFS('Leave log'!$A$7:$A$306,Employees!$A$24,'Leave log'!$B$7:$B$306,"&lt;="&amp;DATE($B$3,11,16),'Leave log'!$C$7:$C$306,"&gt;="&amp;DATE($B$3,11,16),'Leave log'!$F$7:$F$306,"Pending")&gt;0,"P",""))))</f>
        <v/>
      </c>
      <c r="R365" s="23" t="str">
        <f>IF(A365="","",IF(IF(OR(DATE($B$3,11,17)&gt;EOMONTH(DATE($B$3,11,1),0),NETWORKDAYS.INTL(DATE($B$3,11,17),DATE($B$3,11,17),1,'Non-working days'!$A$6:$A$45)=0),"",IF(COUNTIFS('Leave log'!$A$7:$A$306,Employees!$A$24,'Leave log'!$B$7:$B$306,"&lt;="&amp;DATE($B$3,11,17),'Leave log'!$C$7:$C$306,"&gt;="&amp;DATE($B$3,11,17),'Leave log'!$F$7:$F$306,"Approved")&gt;0,"A",""))="A","A",IF(OR(DATE($B$3,11,17)&gt;EOMONTH(DATE($B$3,11,1),0),NETWORKDAYS.INTL(DATE($B$3,11,17),DATE($B$3,11,17),1,'Non-working days'!$A$6:$A$45)=0),"",IF(COUNTIFS('Leave log'!$A$7:$A$306,Employees!$A$24,'Leave log'!$B$7:$B$306,"&lt;="&amp;DATE($B$3,11,17),'Leave log'!$C$7:$C$306,"&gt;="&amp;DATE($B$3,11,17),'Leave log'!$F$7:$F$306,"Pending")&gt;0,"P",""))))</f>
        <v/>
      </c>
      <c r="S365" s="23" t="str">
        <f>IF(A365="","",IF(IF(OR(DATE($B$3,11,18)&gt;EOMONTH(DATE($B$3,11,1),0),NETWORKDAYS.INTL(DATE($B$3,11,18),DATE($B$3,11,18),1,'Non-working days'!$A$6:$A$45)=0),"",IF(COUNTIFS('Leave log'!$A$7:$A$306,Employees!$A$24,'Leave log'!$B$7:$B$306,"&lt;="&amp;DATE($B$3,11,18),'Leave log'!$C$7:$C$306,"&gt;="&amp;DATE($B$3,11,18),'Leave log'!$F$7:$F$306,"Approved")&gt;0,"A",""))="A","A",IF(OR(DATE($B$3,11,18)&gt;EOMONTH(DATE($B$3,11,1),0),NETWORKDAYS.INTL(DATE($B$3,11,18),DATE($B$3,11,18),1,'Non-working days'!$A$6:$A$45)=0),"",IF(COUNTIFS('Leave log'!$A$7:$A$306,Employees!$A$24,'Leave log'!$B$7:$B$306,"&lt;="&amp;DATE($B$3,11,18),'Leave log'!$C$7:$C$306,"&gt;="&amp;DATE($B$3,11,18),'Leave log'!$F$7:$F$306,"Pending")&gt;0,"P",""))))</f>
        <v/>
      </c>
      <c r="T365" s="23" t="str">
        <f>IF(A365="","",IF(IF(OR(DATE($B$3,11,19)&gt;EOMONTH(DATE($B$3,11,1),0),NETWORKDAYS.INTL(DATE($B$3,11,19),DATE($B$3,11,19),1,'Non-working days'!$A$6:$A$45)=0),"",IF(COUNTIFS('Leave log'!$A$7:$A$306,Employees!$A$24,'Leave log'!$B$7:$B$306,"&lt;="&amp;DATE($B$3,11,19),'Leave log'!$C$7:$C$306,"&gt;="&amp;DATE($B$3,11,19),'Leave log'!$F$7:$F$306,"Approved")&gt;0,"A",""))="A","A",IF(OR(DATE($B$3,11,19)&gt;EOMONTH(DATE($B$3,11,1),0),NETWORKDAYS.INTL(DATE($B$3,11,19),DATE($B$3,11,19),1,'Non-working days'!$A$6:$A$45)=0),"",IF(COUNTIFS('Leave log'!$A$7:$A$306,Employees!$A$24,'Leave log'!$B$7:$B$306,"&lt;="&amp;DATE($B$3,11,19),'Leave log'!$C$7:$C$306,"&gt;="&amp;DATE($B$3,11,19),'Leave log'!$F$7:$F$306,"Pending")&gt;0,"P",""))))</f>
        <v/>
      </c>
      <c r="U365" s="23" t="str">
        <f>IF(A365="","",IF(IF(OR(DATE($B$3,11,20)&gt;EOMONTH(DATE($B$3,11,1),0),NETWORKDAYS.INTL(DATE($B$3,11,20),DATE($B$3,11,20),1,'Non-working days'!$A$6:$A$45)=0),"",IF(COUNTIFS('Leave log'!$A$7:$A$306,Employees!$A$24,'Leave log'!$B$7:$B$306,"&lt;="&amp;DATE($B$3,11,20),'Leave log'!$C$7:$C$306,"&gt;="&amp;DATE($B$3,11,20),'Leave log'!$F$7:$F$306,"Approved")&gt;0,"A",""))="A","A",IF(OR(DATE($B$3,11,20)&gt;EOMONTH(DATE($B$3,11,1),0),NETWORKDAYS.INTL(DATE($B$3,11,20),DATE($B$3,11,20),1,'Non-working days'!$A$6:$A$45)=0),"",IF(COUNTIFS('Leave log'!$A$7:$A$306,Employees!$A$24,'Leave log'!$B$7:$B$306,"&lt;="&amp;DATE($B$3,11,20),'Leave log'!$C$7:$C$306,"&gt;="&amp;DATE($B$3,11,20),'Leave log'!$F$7:$F$306,"Pending")&gt;0,"P",""))))</f>
        <v/>
      </c>
      <c r="V365" s="23" t="str">
        <f>IF(A365="","",IF(IF(OR(DATE($B$3,11,21)&gt;EOMONTH(DATE($B$3,11,1),0),NETWORKDAYS.INTL(DATE($B$3,11,21),DATE($B$3,11,21),1,'Non-working days'!$A$6:$A$45)=0),"",IF(COUNTIFS('Leave log'!$A$7:$A$306,Employees!$A$24,'Leave log'!$B$7:$B$306,"&lt;="&amp;DATE($B$3,11,21),'Leave log'!$C$7:$C$306,"&gt;="&amp;DATE($B$3,11,21),'Leave log'!$F$7:$F$306,"Approved")&gt;0,"A",""))="A","A",IF(OR(DATE($B$3,11,21)&gt;EOMONTH(DATE($B$3,11,1),0),NETWORKDAYS.INTL(DATE($B$3,11,21),DATE($B$3,11,21),1,'Non-working days'!$A$6:$A$45)=0),"",IF(COUNTIFS('Leave log'!$A$7:$A$306,Employees!$A$24,'Leave log'!$B$7:$B$306,"&lt;="&amp;DATE($B$3,11,21),'Leave log'!$C$7:$C$306,"&gt;="&amp;DATE($B$3,11,21),'Leave log'!$F$7:$F$306,"Pending")&gt;0,"P",""))))</f>
        <v/>
      </c>
      <c r="W365" s="23" t="str">
        <f>IF(A365="","",IF(IF(OR(DATE($B$3,11,22)&gt;EOMONTH(DATE($B$3,11,1),0),NETWORKDAYS.INTL(DATE($B$3,11,22),DATE($B$3,11,22),1,'Non-working days'!$A$6:$A$45)=0),"",IF(COUNTIFS('Leave log'!$A$7:$A$306,Employees!$A$24,'Leave log'!$B$7:$B$306,"&lt;="&amp;DATE($B$3,11,22),'Leave log'!$C$7:$C$306,"&gt;="&amp;DATE($B$3,11,22),'Leave log'!$F$7:$F$306,"Approved")&gt;0,"A",""))="A","A",IF(OR(DATE($B$3,11,22)&gt;EOMONTH(DATE($B$3,11,1),0),NETWORKDAYS.INTL(DATE($B$3,11,22),DATE($B$3,11,22),1,'Non-working days'!$A$6:$A$45)=0),"",IF(COUNTIFS('Leave log'!$A$7:$A$306,Employees!$A$24,'Leave log'!$B$7:$B$306,"&lt;="&amp;DATE($B$3,11,22),'Leave log'!$C$7:$C$306,"&gt;="&amp;DATE($B$3,11,22),'Leave log'!$F$7:$F$306,"Pending")&gt;0,"P",""))))</f>
        <v/>
      </c>
      <c r="X365" s="23" t="str">
        <f>IF(A365="","",IF(IF(OR(DATE($B$3,11,23)&gt;EOMONTH(DATE($B$3,11,1),0),NETWORKDAYS.INTL(DATE($B$3,11,23),DATE($B$3,11,23),1,'Non-working days'!$A$6:$A$45)=0),"",IF(COUNTIFS('Leave log'!$A$7:$A$306,Employees!$A$24,'Leave log'!$B$7:$B$306,"&lt;="&amp;DATE($B$3,11,23),'Leave log'!$C$7:$C$306,"&gt;="&amp;DATE($B$3,11,23),'Leave log'!$F$7:$F$306,"Approved")&gt;0,"A",""))="A","A",IF(OR(DATE($B$3,11,23)&gt;EOMONTH(DATE($B$3,11,1),0),NETWORKDAYS.INTL(DATE($B$3,11,23),DATE($B$3,11,23),1,'Non-working days'!$A$6:$A$45)=0),"",IF(COUNTIFS('Leave log'!$A$7:$A$306,Employees!$A$24,'Leave log'!$B$7:$B$306,"&lt;="&amp;DATE($B$3,11,23),'Leave log'!$C$7:$C$306,"&gt;="&amp;DATE($B$3,11,23),'Leave log'!$F$7:$F$306,"Pending")&gt;0,"P",""))))</f>
        <v/>
      </c>
      <c r="Y365" s="23" t="str">
        <f>IF(A365="","",IF(IF(OR(DATE($B$3,11,24)&gt;EOMONTH(DATE($B$3,11,1),0),NETWORKDAYS.INTL(DATE($B$3,11,24),DATE($B$3,11,24),1,'Non-working days'!$A$6:$A$45)=0),"",IF(COUNTIFS('Leave log'!$A$7:$A$306,Employees!$A$24,'Leave log'!$B$7:$B$306,"&lt;="&amp;DATE($B$3,11,24),'Leave log'!$C$7:$C$306,"&gt;="&amp;DATE($B$3,11,24),'Leave log'!$F$7:$F$306,"Approved")&gt;0,"A",""))="A","A",IF(OR(DATE($B$3,11,24)&gt;EOMONTH(DATE($B$3,11,1),0),NETWORKDAYS.INTL(DATE($B$3,11,24),DATE($B$3,11,24),1,'Non-working days'!$A$6:$A$45)=0),"",IF(COUNTIFS('Leave log'!$A$7:$A$306,Employees!$A$24,'Leave log'!$B$7:$B$306,"&lt;="&amp;DATE($B$3,11,24),'Leave log'!$C$7:$C$306,"&gt;="&amp;DATE($B$3,11,24),'Leave log'!$F$7:$F$306,"Pending")&gt;0,"P",""))))</f>
        <v/>
      </c>
      <c r="Z365" s="23" t="str">
        <f>IF(A365="","",IF(IF(OR(DATE($B$3,11,25)&gt;EOMONTH(DATE($B$3,11,1),0),NETWORKDAYS.INTL(DATE($B$3,11,25),DATE($B$3,11,25),1,'Non-working days'!$A$6:$A$45)=0),"",IF(COUNTIFS('Leave log'!$A$7:$A$306,Employees!$A$24,'Leave log'!$B$7:$B$306,"&lt;="&amp;DATE($B$3,11,25),'Leave log'!$C$7:$C$306,"&gt;="&amp;DATE($B$3,11,25),'Leave log'!$F$7:$F$306,"Approved")&gt;0,"A",""))="A","A",IF(OR(DATE($B$3,11,25)&gt;EOMONTH(DATE($B$3,11,1),0),NETWORKDAYS.INTL(DATE($B$3,11,25),DATE($B$3,11,25),1,'Non-working days'!$A$6:$A$45)=0),"",IF(COUNTIFS('Leave log'!$A$7:$A$306,Employees!$A$24,'Leave log'!$B$7:$B$306,"&lt;="&amp;DATE($B$3,11,25),'Leave log'!$C$7:$C$306,"&gt;="&amp;DATE($B$3,11,25),'Leave log'!$F$7:$F$306,"Pending")&gt;0,"P",""))))</f>
        <v/>
      </c>
      <c r="AA365" s="23" t="str">
        <f>IF(A365="","",IF(IF(OR(DATE($B$3,11,26)&gt;EOMONTH(DATE($B$3,11,1),0),NETWORKDAYS.INTL(DATE($B$3,11,26),DATE($B$3,11,26),1,'Non-working days'!$A$6:$A$45)=0),"",IF(COUNTIFS('Leave log'!$A$7:$A$306,Employees!$A$24,'Leave log'!$B$7:$B$306,"&lt;="&amp;DATE($B$3,11,26),'Leave log'!$C$7:$C$306,"&gt;="&amp;DATE($B$3,11,26),'Leave log'!$F$7:$F$306,"Approved")&gt;0,"A",""))="A","A",IF(OR(DATE($B$3,11,26)&gt;EOMONTH(DATE($B$3,11,1),0),NETWORKDAYS.INTL(DATE($B$3,11,26),DATE($B$3,11,26),1,'Non-working days'!$A$6:$A$45)=0),"",IF(COUNTIFS('Leave log'!$A$7:$A$306,Employees!$A$24,'Leave log'!$B$7:$B$306,"&lt;="&amp;DATE($B$3,11,26),'Leave log'!$C$7:$C$306,"&gt;="&amp;DATE($B$3,11,26),'Leave log'!$F$7:$F$306,"Pending")&gt;0,"P",""))))</f>
        <v/>
      </c>
      <c r="AB365" s="23" t="str">
        <f>IF(A365="","",IF(IF(OR(DATE($B$3,11,27)&gt;EOMONTH(DATE($B$3,11,1),0),NETWORKDAYS.INTL(DATE($B$3,11,27),DATE($B$3,11,27),1,'Non-working days'!$A$6:$A$45)=0),"",IF(COUNTIFS('Leave log'!$A$7:$A$306,Employees!$A$24,'Leave log'!$B$7:$B$306,"&lt;="&amp;DATE($B$3,11,27),'Leave log'!$C$7:$C$306,"&gt;="&amp;DATE($B$3,11,27),'Leave log'!$F$7:$F$306,"Approved")&gt;0,"A",""))="A","A",IF(OR(DATE($B$3,11,27)&gt;EOMONTH(DATE($B$3,11,1),0),NETWORKDAYS.INTL(DATE($B$3,11,27),DATE($B$3,11,27),1,'Non-working days'!$A$6:$A$45)=0),"",IF(COUNTIFS('Leave log'!$A$7:$A$306,Employees!$A$24,'Leave log'!$B$7:$B$306,"&lt;="&amp;DATE($B$3,11,27),'Leave log'!$C$7:$C$306,"&gt;="&amp;DATE($B$3,11,27),'Leave log'!$F$7:$F$306,"Pending")&gt;0,"P",""))))</f>
        <v/>
      </c>
      <c r="AC365" s="23" t="str">
        <f>IF(A365="","",IF(IF(OR(DATE($B$3,11,28)&gt;EOMONTH(DATE($B$3,11,1),0),NETWORKDAYS.INTL(DATE($B$3,11,28),DATE($B$3,11,28),1,'Non-working days'!$A$6:$A$45)=0),"",IF(COUNTIFS('Leave log'!$A$7:$A$306,Employees!$A$24,'Leave log'!$B$7:$B$306,"&lt;="&amp;DATE($B$3,11,28),'Leave log'!$C$7:$C$306,"&gt;="&amp;DATE($B$3,11,28),'Leave log'!$F$7:$F$306,"Approved")&gt;0,"A",""))="A","A",IF(OR(DATE($B$3,11,28)&gt;EOMONTH(DATE($B$3,11,1),0),NETWORKDAYS.INTL(DATE($B$3,11,28),DATE($B$3,11,28),1,'Non-working days'!$A$6:$A$45)=0),"",IF(COUNTIFS('Leave log'!$A$7:$A$306,Employees!$A$24,'Leave log'!$B$7:$B$306,"&lt;="&amp;DATE($B$3,11,28),'Leave log'!$C$7:$C$306,"&gt;="&amp;DATE($B$3,11,28),'Leave log'!$F$7:$F$306,"Pending")&gt;0,"P",""))))</f>
        <v/>
      </c>
      <c r="AD365" s="23" t="str">
        <f>IF(A365="","",IF(IF(OR(DATE($B$3,11,29)&gt;EOMONTH(DATE($B$3,11,1),0),NETWORKDAYS.INTL(DATE($B$3,11,29),DATE($B$3,11,29),1,'Non-working days'!$A$6:$A$45)=0),"",IF(COUNTIFS('Leave log'!$A$7:$A$306,Employees!$A$24,'Leave log'!$B$7:$B$306,"&lt;="&amp;DATE($B$3,11,29),'Leave log'!$C$7:$C$306,"&gt;="&amp;DATE($B$3,11,29),'Leave log'!$F$7:$F$306,"Approved")&gt;0,"A",""))="A","A",IF(OR(DATE($B$3,11,29)&gt;EOMONTH(DATE($B$3,11,1),0),NETWORKDAYS.INTL(DATE($B$3,11,29),DATE($B$3,11,29),1,'Non-working days'!$A$6:$A$45)=0),"",IF(COUNTIFS('Leave log'!$A$7:$A$306,Employees!$A$24,'Leave log'!$B$7:$B$306,"&lt;="&amp;DATE($B$3,11,29),'Leave log'!$C$7:$C$306,"&gt;="&amp;DATE($B$3,11,29),'Leave log'!$F$7:$F$306,"Pending")&gt;0,"P",""))))</f>
        <v/>
      </c>
      <c r="AE365" s="23" t="str">
        <f>IF(A365="","",IF(IF(OR(DATE($B$3,11,30)&gt;EOMONTH(DATE($B$3,11,1),0),NETWORKDAYS.INTL(DATE($B$3,11,30),DATE($B$3,11,30),1,'Non-working days'!$A$6:$A$45)=0),"",IF(COUNTIFS('Leave log'!$A$7:$A$306,Employees!$A$24,'Leave log'!$B$7:$B$306,"&lt;="&amp;DATE($B$3,11,30),'Leave log'!$C$7:$C$306,"&gt;="&amp;DATE($B$3,11,30),'Leave log'!$F$7:$F$306,"Approved")&gt;0,"A",""))="A","A",IF(OR(DATE($B$3,11,30)&gt;EOMONTH(DATE($B$3,11,1),0),NETWORKDAYS.INTL(DATE($B$3,11,30),DATE($B$3,11,30),1,'Non-working days'!$A$6:$A$45)=0),"",IF(COUNTIFS('Leave log'!$A$7:$A$306,Employees!$A$24,'Leave log'!$B$7:$B$306,"&lt;="&amp;DATE($B$3,11,30),'Leave log'!$C$7:$C$306,"&gt;="&amp;DATE($B$3,11,30),'Leave log'!$F$7:$F$306,"Pending")&gt;0,"P",""))))</f>
        <v/>
      </c>
      <c r="AF365" s="23" t="str">
        <f>IF(A365="","",IF(IF(OR(DATE($B$3,11,31)&gt;EOMONTH(DATE($B$3,11,1),0),NETWORKDAYS.INTL(DATE($B$3,11,31),DATE($B$3,11,31),1,'Non-working days'!$A$6:$A$45)=0),"",IF(COUNTIFS('Leave log'!$A$7:$A$306,Employees!$A$24,'Leave log'!$B$7:$B$306,"&lt;="&amp;DATE($B$3,11,31),'Leave log'!$C$7:$C$306,"&gt;="&amp;DATE($B$3,11,31),'Leave log'!$F$7:$F$306,"Approved")&gt;0,"A",""))="A","A",IF(OR(DATE($B$3,11,31)&gt;EOMONTH(DATE($B$3,11,1),0),NETWORKDAYS.INTL(DATE($B$3,11,31),DATE($B$3,11,31),1,'Non-working days'!$A$6:$A$45)=0),"",IF(COUNTIFS('Leave log'!$A$7:$A$306,Employees!$A$24,'Leave log'!$B$7:$B$306,"&lt;="&amp;DATE($B$3,11,31),'Leave log'!$C$7:$C$306,"&gt;="&amp;DATE($B$3,11,31),'Leave log'!$F$7:$F$306,"Pending")&gt;0,"P",""))))</f>
        <v/>
      </c>
    </row>
    <row r="366" spans="1:32" ht="18" customHeight="1" x14ac:dyDescent="0.3">
      <c r="A366" s="22" t="str">
        <f>IF(Employees!F25="Yes",Employees!B25,"")</f>
        <v/>
      </c>
      <c r="B366" s="23" t="str">
        <f>IF(A366="","",IF(IF(OR(DATE($B$3,11,1)&gt;EOMONTH(DATE($B$3,11,1),0),NETWORKDAYS.INTL(DATE($B$3,11,1),DATE($B$3,11,1),1,'Non-working days'!$A$6:$A$45)=0),"",IF(COUNTIFS('Leave log'!$A$7:$A$306,Employees!$A$25,'Leave log'!$B$7:$B$306,"&lt;="&amp;DATE($B$3,11,1),'Leave log'!$C$7:$C$306,"&gt;="&amp;DATE($B$3,11,1),'Leave log'!$F$7:$F$306,"Approved")&gt;0,"A",""))="A","A",IF(OR(DATE($B$3,11,1)&gt;EOMONTH(DATE($B$3,11,1),0),NETWORKDAYS.INTL(DATE($B$3,11,1),DATE($B$3,11,1),1,'Non-working days'!$A$6:$A$45)=0),"",IF(COUNTIFS('Leave log'!$A$7:$A$306,Employees!$A$25,'Leave log'!$B$7:$B$306,"&lt;="&amp;DATE($B$3,11,1),'Leave log'!$C$7:$C$306,"&gt;="&amp;DATE($B$3,11,1),'Leave log'!$F$7:$F$306,"Pending")&gt;0,"P",""))))</f>
        <v/>
      </c>
      <c r="C366" s="23" t="str">
        <f>IF(A366="","",IF(IF(OR(DATE($B$3,11,2)&gt;EOMONTH(DATE($B$3,11,1),0),NETWORKDAYS.INTL(DATE($B$3,11,2),DATE($B$3,11,2),1,'Non-working days'!$A$6:$A$45)=0),"",IF(COUNTIFS('Leave log'!$A$7:$A$306,Employees!$A$25,'Leave log'!$B$7:$B$306,"&lt;="&amp;DATE($B$3,11,2),'Leave log'!$C$7:$C$306,"&gt;="&amp;DATE($B$3,11,2),'Leave log'!$F$7:$F$306,"Approved")&gt;0,"A",""))="A","A",IF(OR(DATE($B$3,11,2)&gt;EOMONTH(DATE($B$3,11,1),0),NETWORKDAYS.INTL(DATE($B$3,11,2),DATE($B$3,11,2),1,'Non-working days'!$A$6:$A$45)=0),"",IF(COUNTIFS('Leave log'!$A$7:$A$306,Employees!$A$25,'Leave log'!$B$7:$B$306,"&lt;="&amp;DATE($B$3,11,2),'Leave log'!$C$7:$C$306,"&gt;="&amp;DATE($B$3,11,2),'Leave log'!$F$7:$F$306,"Pending")&gt;0,"P",""))))</f>
        <v/>
      </c>
      <c r="D366" s="23" t="str">
        <f>IF(A366="","",IF(IF(OR(DATE($B$3,11,3)&gt;EOMONTH(DATE($B$3,11,1),0),NETWORKDAYS.INTL(DATE($B$3,11,3),DATE($B$3,11,3),1,'Non-working days'!$A$6:$A$45)=0),"",IF(COUNTIFS('Leave log'!$A$7:$A$306,Employees!$A$25,'Leave log'!$B$7:$B$306,"&lt;="&amp;DATE($B$3,11,3),'Leave log'!$C$7:$C$306,"&gt;="&amp;DATE($B$3,11,3),'Leave log'!$F$7:$F$306,"Approved")&gt;0,"A",""))="A","A",IF(OR(DATE($B$3,11,3)&gt;EOMONTH(DATE($B$3,11,1),0),NETWORKDAYS.INTL(DATE($B$3,11,3),DATE($B$3,11,3),1,'Non-working days'!$A$6:$A$45)=0),"",IF(COUNTIFS('Leave log'!$A$7:$A$306,Employees!$A$25,'Leave log'!$B$7:$B$306,"&lt;="&amp;DATE($B$3,11,3),'Leave log'!$C$7:$C$306,"&gt;="&amp;DATE($B$3,11,3),'Leave log'!$F$7:$F$306,"Pending")&gt;0,"P",""))))</f>
        <v/>
      </c>
      <c r="E366" s="23" t="str">
        <f>IF(A366="","",IF(IF(OR(DATE($B$3,11,4)&gt;EOMONTH(DATE($B$3,11,1),0),NETWORKDAYS.INTL(DATE($B$3,11,4),DATE($B$3,11,4),1,'Non-working days'!$A$6:$A$45)=0),"",IF(COUNTIFS('Leave log'!$A$7:$A$306,Employees!$A$25,'Leave log'!$B$7:$B$306,"&lt;="&amp;DATE($B$3,11,4),'Leave log'!$C$7:$C$306,"&gt;="&amp;DATE($B$3,11,4),'Leave log'!$F$7:$F$306,"Approved")&gt;0,"A",""))="A","A",IF(OR(DATE($B$3,11,4)&gt;EOMONTH(DATE($B$3,11,1),0),NETWORKDAYS.INTL(DATE($B$3,11,4),DATE($B$3,11,4),1,'Non-working days'!$A$6:$A$45)=0),"",IF(COUNTIFS('Leave log'!$A$7:$A$306,Employees!$A$25,'Leave log'!$B$7:$B$306,"&lt;="&amp;DATE($B$3,11,4),'Leave log'!$C$7:$C$306,"&gt;="&amp;DATE($B$3,11,4),'Leave log'!$F$7:$F$306,"Pending")&gt;0,"P",""))))</f>
        <v/>
      </c>
      <c r="F366" s="23" t="str">
        <f>IF(A366="","",IF(IF(OR(DATE($B$3,11,5)&gt;EOMONTH(DATE($B$3,11,1),0),NETWORKDAYS.INTL(DATE($B$3,11,5),DATE($B$3,11,5),1,'Non-working days'!$A$6:$A$45)=0),"",IF(COUNTIFS('Leave log'!$A$7:$A$306,Employees!$A$25,'Leave log'!$B$7:$B$306,"&lt;="&amp;DATE($B$3,11,5),'Leave log'!$C$7:$C$306,"&gt;="&amp;DATE($B$3,11,5),'Leave log'!$F$7:$F$306,"Approved")&gt;0,"A",""))="A","A",IF(OR(DATE($B$3,11,5)&gt;EOMONTH(DATE($B$3,11,1),0),NETWORKDAYS.INTL(DATE($B$3,11,5),DATE($B$3,11,5),1,'Non-working days'!$A$6:$A$45)=0),"",IF(COUNTIFS('Leave log'!$A$7:$A$306,Employees!$A$25,'Leave log'!$B$7:$B$306,"&lt;="&amp;DATE($B$3,11,5),'Leave log'!$C$7:$C$306,"&gt;="&amp;DATE($B$3,11,5),'Leave log'!$F$7:$F$306,"Pending")&gt;0,"P",""))))</f>
        <v/>
      </c>
      <c r="G366" s="23" t="str">
        <f>IF(A366="","",IF(IF(OR(DATE($B$3,11,6)&gt;EOMONTH(DATE($B$3,11,1),0),NETWORKDAYS.INTL(DATE($B$3,11,6),DATE($B$3,11,6),1,'Non-working days'!$A$6:$A$45)=0),"",IF(COUNTIFS('Leave log'!$A$7:$A$306,Employees!$A$25,'Leave log'!$B$7:$B$306,"&lt;="&amp;DATE($B$3,11,6),'Leave log'!$C$7:$C$306,"&gt;="&amp;DATE($B$3,11,6),'Leave log'!$F$7:$F$306,"Approved")&gt;0,"A",""))="A","A",IF(OR(DATE($B$3,11,6)&gt;EOMONTH(DATE($B$3,11,1),0),NETWORKDAYS.INTL(DATE($B$3,11,6),DATE($B$3,11,6),1,'Non-working days'!$A$6:$A$45)=0),"",IF(COUNTIFS('Leave log'!$A$7:$A$306,Employees!$A$25,'Leave log'!$B$7:$B$306,"&lt;="&amp;DATE($B$3,11,6),'Leave log'!$C$7:$C$306,"&gt;="&amp;DATE($B$3,11,6),'Leave log'!$F$7:$F$306,"Pending")&gt;0,"P",""))))</f>
        <v/>
      </c>
      <c r="H366" s="23" t="str">
        <f>IF(A366="","",IF(IF(OR(DATE($B$3,11,7)&gt;EOMONTH(DATE($B$3,11,1),0),NETWORKDAYS.INTL(DATE($B$3,11,7),DATE($B$3,11,7),1,'Non-working days'!$A$6:$A$45)=0),"",IF(COUNTIFS('Leave log'!$A$7:$A$306,Employees!$A$25,'Leave log'!$B$7:$B$306,"&lt;="&amp;DATE($B$3,11,7),'Leave log'!$C$7:$C$306,"&gt;="&amp;DATE($B$3,11,7),'Leave log'!$F$7:$F$306,"Approved")&gt;0,"A",""))="A","A",IF(OR(DATE($B$3,11,7)&gt;EOMONTH(DATE($B$3,11,1),0),NETWORKDAYS.INTL(DATE($B$3,11,7),DATE($B$3,11,7),1,'Non-working days'!$A$6:$A$45)=0),"",IF(COUNTIFS('Leave log'!$A$7:$A$306,Employees!$A$25,'Leave log'!$B$7:$B$306,"&lt;="&amp;DATE($B$3,11,7),'Leave log'!$C$7:$C$306,"&gt;="&amp;DATE($B$3,11,7),'Leave log'!$F$7:$F$306,"Pending")&gt;0,"P",""))))</f>
        <v/>
      </c>
      <c r="I366" s="23" t="str">
        <f>IF(A366="","",IF(IF(OR(DATE($B$3,11,8)&gt;EOMONTH(DATE($B$3,11,1),0),NETWORKDAYS.INTL(DATE($B$3,11,8),DATE($B$3,11,8),1,'Non-working days'!$A$6:$A$45)=0),"",IF(COUNTIFS('Leave log'!$A$7:$A$306,Employees!$A$25,'Leave log'!$B$7:$B$306,"&lt;="&amp;DATE($B$3,11,8),'Leave log'!$C$7:$C$306,"&gt;="&amp;DATE($B$3,11,8),'Leave log'!$F$7:$F$306,"Approved")&gt;0,"A",""))="A","A",IF(OR(DATE($B$3,11,8)&gt;EOMONTH(DATE($B$3,11,1),0),NETWORKDAYS.INTL(DATE($B$3,11,8),DATE($B$3,11,8),1,'Non-working days'!$A$6:$A$45)=0),"",IF(COUNTIFS('Leave log'!$A$7:$A$306,Employees!$A$25,'Leave log'!$B$7:$B$306,"&lt;="&amp;DATE($B$3,11,8),'Leave log'!$C$7:$C$306,"&gt;="&amp;DATE($B$3,11,8),'Leave log'!$F$7:$F$306,"Pending")&gt;0,"P",""))))</f>
        <v/>
      </c>
      <c r="J366" s="23" t="str">
        <f>IF(A366="","",IF(IF(OR(DATE($B$3,11,9)&gt;EOMONTH(DATE($B$3,11,1),0),NETWORKDAYS.INTL(DATE($B$3,11,9),DATE($B$3,11,9),1,'Non-working days'!$A$6:$A$45)=0),"",IF(COUNTIFS('Leave log'!$A$7:$A$306,Employees!$A$25,'Leave log'!$B$7:$B$306,"&lt;="&amp;DATE($B$3,11,9),'Leave log'!$C$7:$C$306,"&gt;="&amp;DATE($B$3,11,9),'Leave log'!$F$7:$F$306,"Approved")&gt;0,"A",""))="A","A",IF(OR(DATE($B$3,11,9)&gt;EOMONTH(DATE($B$3,11,1),0),NETWORKDAYS.INTL(DATE($B$3,11,9),DATE($B$3,11,9),1,'Non-working days'!$A$6:$A$45)=0),"",IF(COUNTIFS('Leave log'!$A$7:$A$306,Employees!$A$25,'Leave log'!$B$7:$B$306,"&lt;="&amp;DATE($B$3,11,9),'Leave log'!$C$7:$C$306,"&gt;="&amp;DATE($B$3,11,9),'Leave log'!$F$7:$F$306,"Pending")&gt;0,"P",""))))</f>
        <v/>
      </c>
      <c r="K366" s="23" t="str">
        <f>IF(A366="","",IF(IF(OR(DATE($B$3,11,10)&gt;EOMONTH(DATE($B$3,11,1),0),NETWORKDAYS.INTL(DATE($B$3,11,10),DATE($B$3,11,10),1,'Non-working days'!$A$6:$A$45)=0),"",IF(COUNTIFS('Leave log'!$A$7:$A$306,Employees!$A$25,'Leave log'!$B$7:$B$306,"&lt;="&amp;DATE($B$3,11,10),'Leave log'!$C$7:$C$306,"&gt;="&amp;DATE($B$3,11,10),'Leave log'!$F$7:$F$306,"Approved")&gt;0,"A",""))="A","A",IF(OR(DATE($B$3,11,10)&gt;EOMONTH(DATE($B$3,11,1),0),NETWORKDAYS.INTL(DATE($B$3,11,10),DATE($B$3,11,10),1,'Non-working days'!$A$6:$A$45)=0),"",IF(COUNTIFS('Leave log'!$A$7:$A$306,Employees!$A$25,'Leave log'!$B$7:$B$306,"&lt;="&amp;DATE($B$3,11,10),'Leave log'!$C$7:$C$306,"&gt;="&amp;DATE($B$3,11,10),'Leave log'!$F$7:$F$306,"Pending")&gt;0,"P",""))))</f>
        <v/>
      </c>
      <c r="L366" s="23" t="str">
        <f>IF(A366="","",IF(IF(OR(DATE($B$3,11,11)&gt;EOMONTH(DATE($B$3,11,1),0),NETWORKDAYS.INTL(DATE($B$3,11,11),DATE($B$3,11,11),1,'Non-working days'!$A$6:$A$45)=0),"",IF(COUNTIFS('Leave log'!$A$7:$A$306,Employees!$A$25,'Leave log'!$B$7:$B$306,"&lt;="&amp;DATE($B$3,11,11),'Leave log'!$C$7:$C$306,"&gt;="&amp;DATE($B$3,11,11),'Leave log'!$F$7:$F$306,"Approved")&gt;0,"A",""))="A","A",IF(OR(DATE($B$3,11,11)&gt;EOMONTH(DATE($B$3,11,1),0),NETWORKDAYS.INTL(DATE($B$3,11,11),DATE($B$3,11,11),1,'Non-working days'!$A$6:$A$45)=0),"",IF(COUNTIFS('Leave log'!$A$7:$A$306,Employees!$A$25,'Leave log'!$B$7:$B$306,"&lt;="&amp;DATE($B$3,11,11),'Leave log'!$C$7:$C$306,"&gt;="&amp;DATE($B$3,11,11),'Leave log'!$F$7:$F$306,"Pending")&gt;0,"P",""))))</f>
        <v/>
      </c>
      <c r="M366" s="23" t="str">
        <f>IF(A366="","",IF(IF(OR(DATE($B$3,11,12)&gt;EOMONTH(DATE($B$3,11,1),0),NETWORKDAYS.INTL(DATE($B$3,11,12),DATE($B$3,11,12),1,'Non-working days'!$A$6:$A$45)=0),"",IF(COUNTIFS('Leave log'!$A$7:$A$306,Employees!$A$25,'Leave log'!$B$7:$B$306,"&lt;="&amp;DATE($B$3,11,12),'Leave log'!$C$7:$C$306,"&gt;="&amp;DATE($B$3,11,12),'Leave log'!$F$7:$F$306,"Approved")&gt;0,"A",""))="A","A",IF(OR(DATE($B$3,11,12)&gt;EOMONTH(DATE($B$3,11,1),0),NETWORKDAYS.INTL(DATE($B$3,11,12),DATE($B$3,11,12),1,'Non-working days'!$A$6:$A$45)=0),"",IF(COUNTIFS('Leave log'!$A$7:$A$306,Employees!$A$25,'Leave log'!$B$7:$B$306,"&lt;="&amp;DATE($B$3,11,12),'Leave log'!$C$7:$C$306,"&gt;="&amp;DATE($B$3,11,12),'Leave log'!$F$7:$F$306,"Pending")&gt;0,"P",""))))</f>
        <v/>
      </c>
      <c r="N366" s="23" t="str">
        <f>IF(A366="","",IF(IF(OR(DATE($B$3,11,13)&gt;EOMONTH(DATE($B$3,11,1),0),NETWORKDAYS.INTL(DATE($B$3,11,13),DATE($B$3,11,13),1,'Non-working days'!$A$6:$A$45)=0),"",IF(COUNTIFS('Leave log'!$A$7:$A$306,Employees!$A$25,'Leave log'!$B$7:$B$306,"&lt;="&amp;DATE($B$3,11,13),'Leave log'!$C$7:$C$306,"&gt;="&amp;DATE($B$3,11,13),'Leave log'!$F$7:$F$306,"Approved")&gt;0,"A",""))="A","A",IF(OR(DATE($B$3,11,13)&gt;EOMONTH(DATE($B$3,11,1),0),NETWORKDAYS.INTL(DATE($B$3,11,13),DATE($B$3,11,13),1,'Non-working days'!$A$6:$A$45)=0),"",IF(COUNTIFS('Leave log'!$A$7:$A$306,Employees!$A$25,'Leave log'!$B$7:$B$306,"&lt;="&amp;DATE($B$3,11,13),'Leave log'!$C$7:$C$306,"&gt;="&amp;DATE($B$3,11,13),'Leave log'!$F$7:$F$306,"Pending")&gt;0,"P",""))))</f>
        <v/>
      </c>
      <c r="O366" s="23" t="str">
        <f>IF(A366="","",IF(IF(OR(DATE($B$3,11,14)&gt;EOMONTH(DATE($B$3,11,1),0),NETWORKDAYS.INTL(DATE($B$3,11,14),DATE($B$3,11,14),1,'Non-working days'!$A$6:$A$45)=0),"",IF(COUNTIFS('Leave log'!$A$7:$A$306,Employees!$A$25,'Leave log'!$B$7:$B$306,"&lt;="&amp;DATE($B$3,11,14),'Leave log'!$C$7:$C$306,"&gt;="&amp;DATE($B$3,11,14),'Leave log'!$F$7:$F$306,"Approved")&gt;0,"A",""))="A","A",IF(OR(DATE($B$3,11,14)&gt;EOMONTH(DATE($B$3,11,1),0),NETWORKDAYS.INTL(DATE($B$3,11,14),DATE($B$3,11,14),1,'Non-working days'!$A$6:$A$45)=0),"",IF(COUNTIFS('Leave log'!$A$7:$A$306,Employees!$A$25,'Leave log'!$B$7:$B$306,"&lt;="&amp;DATE($B$3,11,14),'Leave log'!$C$7:$C$306,"&gt;="&amp;DATE($B$3,11,14),'Leave log'!$F$7:$F$306,"Pending")&gt;0,"P",""))))</f>
        <v/>
      </c>
      <c r="P366" s="23" t="str">
        <f>IF(A366="","",IF(IF(OR(DATE($B$3,11,15)&gt;EOMONTH(DATE($B$3,11,1),0),NETWORKDAYS.INTL(DATE($B$3,11,15),DATE($B$3,11,15),1,'Non-working days'!$A$6:$A$45)=0),"",IF(COUNTIFS('Leave log'!$A$7:$A$306,Employees!$A$25,'Leave log'!$B$7:$B$306,"&lt;="&amp;DATE($B$3,11,15),'Leave log'!$C$7:$C$306,"&gt;="&amp;DATE($B$3,11,15),'Leave log'!$F$7:$F$306,"Approved")&gt;0,"A",""))="A","A",IF(OR(DATE($B$3,11,15)&gt;EOMONTH(DATE($B$3,11,1),0),NETWORKDAYS.INTL(DATE($B$3,11,15),DATE($B$3,11,15),1,'Non-working days'!$A$6:$A$45)=0),"",IF(COUNTIFS('Leave log'!$A$7:$A$306,Employees!$A$25,'Leave log'!$B$7:$B$306,"&lt;="&amp;DATE($B$3,11,15),'Leave log'!$C$7:$C$306,"&gt;="&amp;DATE($B$3,11,15),'Leave log'!$F$7:$F$306,"Pending")&gt;0,"P",""))))</f>
        <v/>
      </c>
      <c r="Q366" s="23" t="str">
        <f>IF(A366="","",IF(IF(OR(DATE($B$3,11,16)&gt;EOMONTH(DATE($B$3,11,1),0),NETWORKDAYS.INTL(DATE($B$3,11,16),DATE($B$3,11,16),1,'Non-working days'!$A$6:$A$45)=0),"",IF(COUNTIFS('Leave log'!$A$7:$A$306,Employees!$A$25,'Leave log'!$B$7:$B$306,"&lt;="&amp;DATE($B$3,11,16),'Leave log'!$C$7:$C$306,"&gt;="&amp;DATE($B$3,11,16),'Leave log'!$F$7:$F$306,"Approved")&gt;0,"A",""))="A","A",IF(OR(DATE($B$3,11,16)&gt;EOMONTH(DATE($B$3,11,1),0),NETWORKDAYS.INTL(DATE($B$3,11,16),DATE($B$3,11,16),1,'Non-working days'!$A$6:$A$45)=0),"",IF(COUNTIFS('Leave log'!$A$7:$A$306,Employees!$A$25,'Leave log'!$B$7:$B$306,"&lt;="&amp;DATE($B$3,11,16),'Leave log'!$C$7:$C$306,"&gt;="&amp;DATE($B$3,11,16),'Leave log'!$F$7:$F$306,"Pending")&gt;0,"P",""))))</f>
        <v/>
      </c>
      <c r="R366" s="23" t="str">
        <f>IF(A366="","",IF(IF(OR(DATE($B$3,11,17)&gt;EOMONTH(DATE($B$3,11,1),0),NETWORKDAYS.INTL(DATE($B$3,11,17),DATE($B$3,11,17),1,'Non-working days'!$A$6:$A$45)=0),"",IF(COUNTIFS('Leave log'!$A$7:$A$306,Employees!$A$25,'Leave log'!$B$7:$B$306,"&lt;="&amp;DATE($B$3,11,17),'Leave log'!$C$7:$C$306,"&gt;="&amp;DATE($B$3,11,17),'Leave log'!$F$7:$F$306,"Approved")&gt;0,"A",""))="A","A",IF(OR(DATE($B$3,11,17)&gt;EOMONTH(DATE($B$3,11,1),0),NETWORKDAYS.INTL(DATE($B$3,11,17),DATE($B$3,11,17),1,'Non-working days'!$A$6:$A$45)=0),"",IF(COUNTIFS('Leave log'!$A$7:$A$306,Employees!$A$25,'Leave log'!$B$7:$B$306,"&lt;="&amp;DATE($B$3,11,17),'Leave log'!$C$7:$C$306,"&gt;="&amp;DATE($B$3,11,17),'Leave log'!$F$7:$F$306,"Pending")&gt;0,"P",""))))</f>
        <v/>
      </c>
      <c r="S366" s="23" t="str">
        <f>IF(A366="","",IF(IF(OR(DATE($B$3,11,18)&gt;EOMONTH(DATE($B$3,11,1),0),NETWORKDAYS.INTL(DATE($B$3,11,18),DATE($B$3,11,18),1,'Non-working days'!$A$6:$A$45)=0),"",IF(COUNTIFS('Leave log'!$A$7:$A$306,Employees!$A$25,'Leave log'!$B$7:$B$306,"&lt;="&amp;DATE($B$3,11,18),'Leave log'!$C$7:$C$306,"&gt;="&amp;DATE($B$3,11,18),'Leave log'!$F$7:$F$306,"Approved")&gt;0,"A",""))="A","A",IF(OR(DATE($B$3,11,18)&gt;EOMONTH(DATE($B$3,11,1),0),NETWORKDAYS.INTL(DATE($B$3,11,18),DATE($B$3,11,18),1,'Non-working days'!$A$6:$A$45)=0),"",IF(COUNTIFS('Leave log'!$A$7:$A$306,Employees!$A$25,'Leave log'!$B$7:$B$306,"&lt;="&amp;DATE($B$3,11,18),'Leave log'!$C$7:$C$306,"&gt;="&amp;DATE($B$3,11,18),'Leave log'!$F$7:$F$306,"Pending")&gt;0,"P",""))))</f>
        <v/>
      </c>
      <c r="T366" s="23" t="str">
        <f>IF(A366="","",IF(IF(OR(DATE($B$3,11,19)&gt;EOMONTH(DATE($B$3,11,1),0),NETWORKDAYS.INTL(DATE($B$3,11,19),DATE($B$3,11,19),1,'Non-working days'!$A$6:$A$45)=0),"",IF(COUNTIFS('Leave log'!$A$7:$A$306,Employees!$A$25,'Leave log'!$B$7:$B$306,"&lt;="&amp;DATE($B$3,11,19),'Leave log'!$C$7:$C$306,"&gt;="&amp;DATE($B$3,11,19),'Leave log'!$F$7:$F$306,"Approved")&gt;0,"A",""))="A","A",IF(OR(DATE($B$3,11,19)&gt;EOMONTH(DATE($B$3,11,1),0),NETWORKDAYS.INTL(DATE($B$3,11,19),DATE($B$3,11,19),1,'Non-working days'!$A$6:$A$45)=0),"",IF(COUNTIFS('Leave log'!$A$7:$A$306,Employees!$A$25,'Leave log'!$B$7:$B$306,"&lt;="&amp;DATE($B$3,11,19),'Leave log'!$C$7:$C$306,"&gt;="&amp;DATE($B$3,11,19),'Leave log'!$F$7:$F$306,"Pending")&gt;0,"P",""))))</f>
        <v/>
      </c>
      <c r="U366" s="23" t="str">
        <f>IF(A366="","",IF(IF(OR(DATE($B$3,11,20)&gt;EOMONTH(DATE($B$3,11,1),0),NETWORKDAYS.INTL(DATE($B$3,11,20),DATE($B$3,11,20),1,'Non-working days'!$A$6:$A$45)=0),"",IF(COUNTIFS('Leave log'!$A$7:$A$306,Employees!$A$25,'Leave log'!$B$7:$B$306,"&lt;="&amp;DATE($B$3,11,20),'Leave log'!$C$7:$C$306,"&gt;="&amp;DATE($B$3,11,20),'Leave log'!$F$7:$F$306,"Approved")&gt;0,"A",""))="A","A",IF(OR(DATE($B$3,11,20)&gt;EOMONTH(DATE($B$3,11,1),0),NETWORKDAYS.INTL(DATE($B$3,11,20),DATE($B$3,11,20),1,'Non-working days'!$A$6:$A$45)=0),"",IF(COUNTIFS('Leave log'!$A$7:$A$306,Employees!$A$25,'Leave log'!$B$7:$B$306,"&lt;="&amp;DATE($B$3,11,20),'Leave log'!$C$7:$C$306,"&gt;="&amp;DATE($B$3,11,20),'Leave log'!$F$7:$F$306,"Pending")&gt;0,"P",""))))</f>
        <v/>
      </c>
      <c r="V366" s="23" t="str">
        <f>IF(A366="","",IF(IF(OR(DATE($B$3,11,21)&gt;EOMONTH(DATE($B$3,11,1),0),NETWORKDAYS.INTL(DATE($B$3,11,21),DATE($B$3,11,21),1,'Non-working days'!$A$6:$A$45)=0),"",IF(COUNTIFS('Leave log'!$A$7:$A$306,Employees!$A$25,'Leave log'!$B$7:$B$306,"&lt;="&amp;DATE($B$3,11,21),'Leave log'!$C$7:$C$306,"&gt;="&amp;DATE($B$3,11,21),'Leave log'!$F$7:$F$306,"Approved")&gt;0,"A",""))="A","A",IF(OR(DATE($B$3,11,21)&gt;EOMONTH(DATE($B$3,11,1),0),NETWORKDAYS.INTL(DATE($B$3,11,21),DATE($B$3,11,21),1,'Non-working days'!$A$6:$A$45)=0),"",IF(COUNTIFS('Leave log'!$A$7:$A$306,Employees!$A$25,'Leave log'!$B$7:$B$306,"&lt;="&amp;DATE($B$3,11,21),'Leave log'!$C$7:$C$306,"&gt;="&amp;DATE($B$3,11,21),'Leave log'!$F$7:$F$306,"Pending")&gt;0,"P",""))))</f>
        <v/>
      </c>
      <c r="W366" s="23" t="str">
        <f>IF(A366="","",IF(IF(OR(DATE($B$3,11,22)&gt;EOMONTH(DATE($B$3,11,1),0),NETWORKDAYS.INTL(DATE($B$3,11,22),DATE($B$3,11,22),1,'Non-working days'!$A$6:$A$45)=0),"",IF(COUNTIFS('Leave log'!$A$7:$A$306,Employees!$A$25,'Leave log'!$B$7:$B$306,"&lt;="&amp;DATE($B$3,11,22),'Leave log'!$C$7:$C$306,"&gt;="&amp;DATE($B$3,11,22),'Leave log'!$F$7:$F$306,"Approved")&gt;0,"A",""))="A","A",IF(OR(DATE($B$3,11,22)&gt;EOMONTH(DATE($B$3,11,1),0),NETWORKDAYS.INTL(DATE($B$3,11,22),DATE($B$3,11,22),1,'Non-working days'!$A$6:$A$45)=0),"",IF(COUNTIFS('Leave log'!$A$7:$A$306,Employees!$A$25,'Leave log'!$B$7:$B$306,"&lt;="&amp;DATE($B$3,11,22),'Leave log'!$C$7:$C$306,"&gt;="&amp;DATE($B$3,11,22),'Leave log'!$F$7:$F$306,"Pending")&gt;0,"P",""))))</f>
        <v/>
      </c>
      <c r="X366" s="23" t="str">
        <f>IF(A366="","",IF(IF(OR(DATE($B$3,11,23)&gt;EOMONTH(DATE($B$3,11,1),0),NETWORKDAYS.INTL(DATE($B$3,11,23),DATE($B$3,11,23),1,'Non-working days'!$A$6:$A$45)=0),"",IF(COUNTIFS('Leave log'!$A$7:$A$306,Employees!$A$25,'Leave log'!$B$7:$B$306,"&lt;="&amp;DATE($B$3,11,23),'Leave log'!$C$7:$C$306,"&gt;="&amp;DATE($B$3,11,23),'Leave log'!$F$7:$F$306,"Approved")&gt;0,"A",""))="A","A",IF(OR(DATE($B$3,11,23)&gt;EOMONTH(DATE($B$3,11,1),0),NETWORKDAYS.INTL(DATE($B$3,11,23),DATE($B$3,11,23),1,'Non-working days'!$A$6:$A$45)=0),"",IF(COUNTIFS('Leave log'!$A$7:$A$306,Employees!$A$25,'Leave log'!$B$7:$B$306,"&lt;="&amp;DATE($B$3,11,23),'Leave log'!$C$7:$C$306,"&gt;="&amp;DATE($B$3,11,23),'Leave log'!$F$7:$F$306,"Pending")&gt;0,"P",""))))</f>
        <v/>
      </c>
      <c r="Y366" s="23" t="str">
        <f>IF(A366="","",IF(IF(OR(DATE($B$3,11,24)&gt;EOMONTH(DATE($B$3,11,1),0),NETWORKDAYS.INTL(DATE($B$3,11,24),DATE($B$3,11,24),1,'Non-working days'!$A$6:$A$45)=0),"",IF(COUNTIFS('Leave log'!$A$7:$A$306,Employees!$A$25,'Leave log'!$B$7:$B$306,"&lt;="&amp;DATE($B$3,11,24),'Leave log'!$C$7:$C$306,"&gt;="&amp;DATE($B$3,11,24),'Leave log'!$F$7:$F$306,"Approved")&gt;0,"A",""))="A","A",IF(OR(DATE($B$3,11,24)&gt;EOMONTH(DATE($B$3,11,1),0),NETWORKDAYS.INTL(DATE($B$3,11,24),DATE($B$3,11,24),1,'Non-working days'!$A$6:$A$45)=0),"",IF(COUNTIFS('Leave log'!$A$7:$A$306,Employees!$A$25,'Leave log'!$B$7:$B$306,"&lt;="&amp;DATE($B$3,11,24),'Leave log'!$C$7:$C$306,"&gt;="&amp;DATE($B$3,11,24),'Leave log'!$F$7:$F$306,"Pending")&gt;0,"P",""))))</f>
        <v/>
      </c>
      <c r="Z366" s="23" t="str">
        <f>IF(A366="","",IF(IF(OR(DATE($B$3,11,25)&gt;EOMONTH(DATE($B$3,11,1),0),NETWORKDAYS.INTL(DATE($B$3,11,25),DATE($B$3,11,25),1,'Non-working days'!$A$6:$A$45)=0),"",IF(COUNTIFS('Leave log'!$A$7:$A$306,Employees!$A$25,'Leave log'!$B$7:$B$306,"&lt;="&amp;DATE($B$3,11,25),'Leave log'!$C$7:$C$306,"&gt;="&amp;DATE($B$3,11,25),'Leave log'!$F$7:$F$306,"Approved")&gt;0,"A",""))="A","A",IF(OR(DATE($B$3,11,25)&gt;EOMONTH(DATE($B$3,11,1),0),NETWORKDAYS.INTL(DATE($B$3,11,25),DATE($B$3,11,25),1,'Non-working days'!$A$6:$A$45)=0),"",IF(COUNTIFS('Leave log'!$A$7:$A$306,Employees!$A$25,'Leave log'!$B$7:$B$306,"&lt;="&amp;DATE($B$3,11,25),'Leave log'!$C$7:$C$306,"&gt;="&amp;DATE($B$3,11,25),'Leave log'!$F$7:$F$306,"Pending")&gt;0,"P",""))))</f>
        <v/>
      </c>
      <c r="AA366" s="23" t="str">
        <f>IF(A366="","",IF(IF(OR(DATE($B$3,11,26)&gt;EOMONTH(DATE($B$3,11,1),0),NETWORKDAYS.INTL(DATE($B$3,11,26),DATE($B$3,11,26),1,'Non-working days'!$A$6:$A$45)=0),"",IF(COUNTIFS('Leave log'!$A$7:$A$306,Employees!$A$25,'Leave log'!$B$7:$B$306,"&lt;="&amp;DATE($B$3,11,26),'Leave log'!$C$7:$C$306,"&gt;="&amp;DATE($B$3,11,26),'Leave log'!$F$7:$F$306,"Approved")&gt;0,"A",""))="A","A",IF(OR(DATE($B$3,11,26)&gt;EOMONTH(DATE($B$3,11,1),0),NETWORKDAYS.INTL(DATE($B$3,11,26),DATE($B$3,11,26),1,'Non-working days'!$A$6:$A$45)=0),"",IF(COUNTIFS('Leave log'!$A$7:$A$306,Employees!$A$25,'Leave log'!$B$7:$B$306,"&lt;="&amp;DATE($B$3,11,26),'Leave log'!$C$7:$C$306,"&gt;="&amp;DATE($B$3,11,26),'Leave log'!$F$7:$F$306,"Pending")&gt;0,"P",""))))</f>
        <v/>
      </c>
      <c r="AB366" s="23" t="str">
        <f>IF(A366="","",IF(IF(OR(DATE($B$3,11,27)&gt;EOMONTH(DATE($B$3,11,1),0),NETWORKDAYS.INTL(DATE($B$3,11,27),DATE($B$3,11,27),1,'Non-working days'!$A$6:$A$45)=0),"",IF(COUNTIFS('Leave log'!$A$7:$A$306,Employees!$A$25,'Leave log'!$B$7:$B$306,"&lt;="&amp;DATE($B$3,11,27),'Leave log'!$C$7:$C$306,"&gt;="&amp;DATE($B$3,11,27),'Leave log'!$F$7:$F$306,"Approved")&gt;0,"A",""))="A","A",IF(OR(DATE($B$3,11,27)&gt;EOMONTH(DATE($B$3,11,1),0),NETWORKDAYS.INTL(DATE($B$3,11,27),DATE($B$3,11,27),1,'Non-working days'!$A$6:$A$45)=0),"",IF(COUNTIFS('Leave log'!$A$7:$A$306,Employees!$A$25,'Leave log'!$B$7:$B$306,"&lt;="&amp;DATE($B$3,11,27),'Leave log'!$C$7:$C$306,"&gt;="&amp;DATE($B$3,11,27),'Leave log'!$F$7:$F$306,"Pending")&gt;0,"P",""))))</f>
        <v/>
      </c>
      <c r="AC366" s="23" t="str">
        <f>IF(A366="","",IF(IF(OR(DATE($B$3,11,28)&gt;EOMONTH(DATE($B$3,11,1),0),NETWORKDAYS.INTL(DATE($B$3,11,28),DATE($B$3,11,28),1,'Non-working days'!$A$6:$A$45)=0),"",IF(COUNTIFS('Leave log'!$A$7:$A$306,Employees!$A$25,'Leave log'!$B$7:$B$306,"&lt;="&amp;DATE($B$3,11,28),'Leave log'!$C$7:$C$306,"&gt;="&amp;DATE($B$3,11,28),'Leave log'!$F$7:$F$306,"Approved")&gt;0,"A",""))="A","A",IF(OR(DATE($B$3,11,28)&gt;EOMONTH(DATE($B$3,11,1),0),NETWORKDAYS.INTL(DATE($B$3,11,28),DATE($B$3,11,28),1,'Non-working days'!$A$6:$A$45)=0),"",IF(COUNTIFS('Leave log'!$A$7:$A$306,Employees!$A$25,'Leave log'!$B$7:$B$306,"&lt;="&amp;DATE($B$3,11,28),'Leave log'!$C$7:$C$306,"&gt;="&amp;DATE($B$3,11,28),'Leave log'!$F$7:$F$306,"Pending")&gt;0,"P",""))))</f>
        <v/>
      </c>
      <c r="AD366" s="23" t="str">
        <f>IF(A366="","",IF(IF(OR(DATE($B$3,11,29)&gt;EOMONTH(DATE($B$3,11,1),0),NETWORKDAYS.INTL(DATE($B$3,11,29),DATE($B$3,11,29),1,'Non-working days'!$A$6:$A$45)=0),"",IF(COUNTIFS('Leave log'!$A$7:$A$306,Employees!$A$25,'Leave log'!$B$7:$B$306,"&lt;="&amp;DATE($B$3,11,29),'Leave log'!$C$7:$C$306,"&gt;="&amp;DATE($B$3,11,29),'Leave log'!$F$7:$F$306,"Approved")&gt;0,"A",""))="A","A",IF(OR(DATE($B$3,11,29)&gt;EOMONTH(DATE($B$3,11,1),0),NETWORKDAYS.INTL(DATE($B$3,11,29),DATE($B$3,11,29),1,'Non-working days'!$A$6:$A$45)=0),"",IF(COUNTIFS('Leave log'!$A$7:$A$306,Employees!$A$25,'Leave log'!$B$7:$B$306,"&lt;="&amp;DATE($B$3,11,29),'Leave log'!$C$7:$C$306,"&gt;="&amp;DATE($B$3,11,29),'Leave log'!$F$7:$F$306,"Pending")&gt;0,"P",""))))</f>
        <v/>
      </c>
      <c r="AE366" s="23" t="str">
        <f>IF(A366="","",IF(IF(OR(DATE($B$3,11,30)&gt;EOMONTH(DATE($B$3,11,1),0),NETWORKDAYS.INTL(DATE($B$3,11,30),DATE($B$3,11,30),1,'Non-working days'!$A$6:$A$45)=0),"",IF(COUNTIFS('Leave log'!$A$7:$A$306,Employees!$A$25,'Leave log'!$B$7:$B$306,"&lt;="&amp;DATE($B$3,11,30),'Leave log'!$C$7:$C$306,"&gt;="&amp;DATE($B$3,11,30),'Leave log'!$F$7:$F$306,"Approved")&gt;0,"A",""))="A","A",IF(OR(DATE($B$3,11,30)&gt;EOMONTH(DATE($B$3,11,1),0),NETWORKDAYS.INTL(DATE($B$3,11,30),DATE($B$3,11,30),1,'Non-working days'!$A$6:$A$45)=0),"",IF(COUNTIFS('Leave log'!$A$7:$A$306,Employees!$A$25,'Leave log'!$B$7:$B$306,"&lt;="&amp;DATE($B$3,11,30),'Leave log'!$C$7:$C$306,"&gt;="&amp;DATE($B$3,11,30),'Leave log'!$F$7:$F$306,"Pending")&gt;0,"P",""))))</f>
        <v/>
      </c>
      <c r="AF366" s="23" t="str">
        <f>IF(A366="","",IF(IF(OR(DATE($B$3,11,31)&gt;EOMONTH(DATE($B$3,11,1),0),NETWORKDAYS.INTL(DATE($B$3,11,31),DATE($B$3,11,31),1,'Non-working days'!$A$6:$A$45)=0),"",IF(COUNTIFS('Leave log'!$A$7:$A$306,Employees!$A$25,'Leave log'!$B$7:$B$306,"&lt;="&amp;DATE($B$3,11,31),'Leave log'!$C$7:$C$306,"&gt;="&amp;DATE($B$3,11,31),'Leave log'!$F$7:$F$306,"Approved")&gt;0,"A",""))="A","A",IF(OR(DATE($B$3,11,31)&gt;EOMONTH(DATE($B$3,11,1),0),NETWORKDAYS.INTL(DATE($B$3,11,31),DATE($B$3,11,31),1,'Non-working days'!$A$6:$A$45)=0),"",IF(COUNTIFS('Leave log'!$A$7:$A$306,Employees!$A$25,'Leave log'!$B$7:$B$306,"&lt;="&amp;DATE($B$3,11,31),'Leave log'!$C$7:$C$306,"&gt;="&amp;DATE($B$3,11,31),'Leave log'!$F$7:$F$306,"Pending")&gt;0,"P",""))))</f>
        <v/>
      </c>
    </row>
    <row r="367" spans="1:32" ht="18" customHeight="1" x14ac:dyDescent="0.3">
      <c r="A367" s="22" t="str">
        <f>IF(Employees!F26="Yes",Employees!B26,"")</f>
        <v/>
      </c>
      <c r="B367" s="23" t="str">
        <f>IF(A367="","",IF(IF(OR(DATE($B$3,11,1)&gt;EOMONTH(DATE($B$3,11,1),0),NETWORKDAYS.INTL(DATE($B$3,11,1),DATE($B$3,11,1),1,'Non-working days'!$A$6:$A$45)=0),"",IF(COUNTIFS('Leave log'!$A$7:$A$306,Employees!$A$26,'Leave log'!$B$7:$B$306,"&lt;="&amp;DATE($B$3,11,1),'Leave log'!$C$7:$C$306,"&gt;="&amp;DATE($B$3,11,1),'Leave log'!$F$7:$F$306,"Approved")&gt;0,"A",""))="A","A",IF(OR(DATE($B$3,11,1)&gt;EOMONTH(DATE($B$3,11,1),0),NETWORKDAYS.INTL(DATE($B$3,11,1),DATE($B$3,11,1),1,'Non-working days'!$A$6:$A$45)=0),"",IF(COUNTIFS('Leave log'!$A$7:$A$306,Employees!$A$26,'Leave log'!$B$7:$B$306,"&lt;="&amp;DATE($B$3,11,1),'Leave log'!$C$7:$C$306,"&gt;="&amp;DATE($B$3,11,1),'Leave log'!$F$7:$F$306,"Pending")&gt;0,"P",""))))</f>
        <v/>
      </c>
      <c r="C367" s="23" t="str">
        <f>IF(A367="","",IF(IF(OR(DATE($B$3,11,2)&gt;EOMONTH(DATE($B$3,11,1),0),NETWORKDAYS.INTL(DATE($B$3,11,2),DATE($B$3,11,2),1,'Non-working days'!$A$6:$A$45)=0),"",IF(COUNTIFS('Leave log'!$A$7:$A$306,Employees!$A$26,'Leave log'!$B$7:$B$306,"&lt;="&amp;DATE($B$3,11,2),'Leave log'!$C$7:$C$306,"&gt;="&amp;DATE($B$3,11,2),'Leave log'!$F$7:$F$306,"Approved")&gt;0,"A",""))="A","A",IF(OR(DATE($B$3,11,2)&gt;EOMONTH(DATE($B$3,11,1),0),NETWORKDAYS.INTL(DATE($B$3,11,2),DATE($B$3,11,2),1,'Non-working days'!$A$6:$A$45)=0),"",IF(COUNTIFS('Leave log'!$A$7:$A$306,Employees!$A$26,'Leave log'!$B$7:$B$306,"&lt;="&amp;DATE($B$3,11,2),'Leave log'!$C$7:$C$306,"&gt;="&amp;DATE($B$3,11,2),'Leave log'!$F$7:$F$306,"Pending")&gt;0,"P",""))))</f>
        <v/>
      </c>
      <c r="D367" s="23" t="str">
        <f>IF(A367="","",IF(IF(OR(DATE($B$3,11,3)&gt;EOMONTH(DATE($B$3,11,1),0),NETWORKDAYS.INTL(DATE($B$3,11,3),DATE($B$3,11,3),1,'Non-working days'!$A$6:$A$45)=0),"",IF(COUNTIFS('Leave log'!$A$7:$A$306,Employees!$A$26,'Leave log'!$B$7:$B$306,"&lt;="&amp;DATE($B$3,11,3),'Leave log'!$C$7:$C$306,"&gt;="&amp;DATE($B$3,11,3),'Leave log'!$F$7:$F$306,"Approved")&gt;0,"A",""))="A","A",IF(OR(DATE($B$3,11,3)&gt;EOMONTH(DATE($B$3,11,1),0),NETWORKDAYS.INTL(DATE($B$3,11,3),DATE($B$3,11,3),1,'Non-working days'!$A$6:$A$45)=0),"",IF(COUNTIFS('Leave log'!$A$7:$A$306,Employees!$A$26,'Leave log'!$B$7:$B$306,"&lt;="&amp;DATE($B$3,11,3),'Leave log'!$C$7:$C$306,"&gt;="&amp;DATE($B$3,11,3),'Leave log'!$F$7:$F$306,"Pending")&gt;0,"P",""))))</f>
        <v/>
      </c>
      <c r="E367" s="23" t="str">
        <f>IF(A367="","",IF(IF(OR(DATE($B$3,11,4)&gt;EOMONTH(DATE($B$3,11,1),0),NETWORKDAYS.INTL(DATE($B$3,11,4),DATE($B$3,11,4),1,'Non-working days'!$A$6:$A$45)=0),"",IF(COUNTIFS('Leave log'!$A$7:$A$306,Employees!$A$26,'Leave log'!$B$7:$B$306,"&lt;="&amp;DATE($B$3,11,4),'Leave log'!$C$7:$C$306,"&gt;="&amp;DATE($B$3,11,4),'Leave log'!$F$7:$F$306,"Approved")&gt;0,"A",""))="A","A",IF(OR(DATE($B$3,11,4)&gt;EOMONTH(DATE($B$3,11,1),0),NETWORKDAYS.INTL(DATE($B$3,11,4),DATE($B$3,11,4),1,'Non-working days'!$A$6:$A$45)=0),"",IF(COUNTIFS('Leave log'!$A$7:$A$306,Employees!$A$26,'Leave log'!$B$7:$B$306,"&lt;="&amp;DATE($B$3,11,4),'Leave log'!$C$7:$C$306,"&gt;="&amp;DATE($B$3,11,4),'Leave log'!$F$7:$F$306,"Pending")&gt;0,"P",""))))</f>
        <v/>
      </c>
      <c r="F367" s="23" t="str">
        <f>IF(A367="","",IF(IF(OR(DATE($B$3,11,5)&gt;EOMONTH(DATE($B$3,11,1),0),NETWORKDAYS.INTL(DATE($B$3,11,5),DATE($B$3,11,5),1,'Non-working days'!$A$6:$A$45)=0),"",IF(COUNTIFS('Leave log'!$A$7:$A$306,Employees!$A$26,'Leave log'!$B$7:$B$306,"&lt;="&amp;DATE($B$3,11,5),'Leave log'!$C$7:$C$306,"&gt;="&amp;DATE($B$3,11,5),'Leave log'!$F$7:$F$306,"Approved")&gt;0,"A",""))="A","A",IF(OR(DATE($B$3,11,5)&gt;EOMONTH(DATE($B$3,11,1),0),NETWORKDAYS.INTL(DATE($B$3,11,5),DATE($B$3,11,5),1,'Non-working days'!$A$6:$A$45)=0),"",IF(COUNTIFS('Leave log'!$A$7:$A$306,Employees!$A$26,'Leave log'!$B$7:$B$306,"&lt;="&amp;DATE($B$3,11,5),'Leave log'!$C$7:$C$306,"&gt;="&amp;DATE($B$3,11,5),'Leave log'!$F$7:$F$306,"Pending")&gt;0,"P",""))))</f>
        <v/>
      </c>
      <c r="G367" s="23" t="str">
        <f>IF(A367="","",IF(IF(OR(DATE($B$3,11,6)&gt;EOMONTH(DATE($B$3,11,1),0),NETWORKDAYS.INTL(DATE($B$3,11,6),DATE($B$3,11,6),1,'Non-working days'!$A$6:$A$45)=0),"",IF(COUNTIFS('Leave log'!$A$7:$A$306,Employees!$A$26,'Leave log'!$B$7:$B$306,"&lt;="&amp;DATE($B$3,11,6),'Leave log'!$C$7:$C$306,"&gt;="&amp;DATE($B$3,11,6),'Leave log'!$F$7:$F$306,"Approved")&gt;0,"A",""))="A","A",IF(OR(DATE($B$3,11,6)&gt;EOMONTH(DATE($B$3,11,1),0),NETWORKDAYS.INTL(DATE($B$3,11,6),DATE($B$3,11,6),1,'Non-working days'!$A$6:$A$45)=0),"",IF(COUNTIFS('Leave log'!$A$7:$A$306,Employees!$A$26,'Leave log'!$B$7:$B$306,"&lt;="&amp;DATE($B$3,11,6),'Leave log'!$C$7:$C$306,"&gt;="&amp;DATE($B$3,11,6),'Leave log'!$F$7:$F$306,"Pending")&gt;0,"P",""))))</f>
        <v/>
      </c>
      <c r="H367" s="23" t="str">
        <f>IF(A367="","",IF(IF(OR(DATE($B$3,11,7)&gt;EOMONTH(DATE($B$3,11,1),0),NETWORKDAYS.INTL(DATE($B$3,11,7),DATE($B$3,11,7),1,'Non-working days'!$A$6:$A$45)=0),"",IF(COUNTIFS('Leave log'!$A$7:$A$306,Employees!$A$26,'Leave log'!$B$7:$B$306,"&lt;="&amp;DATE($B$3,11,7),'Leave log'!$C$7:$C$306,"&gt;="&amp;DATE($B$3,11,7),'Leave log'!$F$7:$F$306,"Approved")&gt;0,"A",""))="A","A",IF(OR(DATE($B$3,11,7)&gt;EOMONTH(DATE($B$3,11,1),0),NETWORKDAYS.INTL(DATE($B$3,11,7),DATE($B$3,11,7),1,'Non-working days'!$A$6:$A$45)=0),"",IF(COUNTIFS('Leave log'!$A$7:$A$306,Employees!$A$26,'Leave log'!$B$7:$B$306,"&lt;="&amp;DATE($B$3,11,7),'Leave log'!$C$7:$C$306,"&gt;="&amp;DATE($B$3,11,7),'Leave log'!$F$7:$F$306,"Pending")&gt;0,"P",""))))</f>
        <v/>
      </c>
      <c r="I367" s="23" t="str">
        <f>IF(A367="","",IF(IF(OR(DATE($B$3,11,8)&gt;EOMONTH(DATE($B$3,11,1),0),NETWORKDAYS.INTL(DATE($B$3,11,8),DATE($B$3,11,8),1,'Non-working days'!$A$6:$A$45)=0),"",IF(COUNTIFS('Leave log'!$A$7:$A$306,Employees!$A$26,'Leave log'!$B$7:$B$306,"&lt;="&amp;DATE($B$3,11,8),'Leave log'!$C$7:$C$306,"&gt;="&amp;DATE($B$3,11,8),'Leave log'!$F$7:$F$306,"Approved")&gt;0,"A",""))="A","A",IF(OR(DATE($B$3,11,8)&gt;EOMONTH(DATE($B$3,11,1),0),NETWORKDAYS.INTL(DATE($B$3,11,8),DATE($B$3,11,8),1,'Non-working days'!$A$6:$A$45)=0),"",IF(COUNTIFS('Leave log'!$A$7:$A$306,Employees!$A$26,'Leave log'!$B$7:$B$306,"&lt;="&amp;DATE($B$3,11,8),'Leave log'!$C$7:$C$306,"&gt;="&amp;DATE($B$3,11,8),'Leave log'!$F$7:$F$306,"Pending")&gt;0,"P",""))))</f>
        <v/>
      </c>
      <c r="J367" s="23" t="str">
        <f>IF(A367="","",IF(IF(OR(DATE($B$3,11,9)&gt;EOMONTH(DATE($B$3,11,1),0),NETWORKDAYS.INTL(DATE($B$3,11,9),DATE($B$3,11,9),1,'Non-working days'!$A$6:$A$45)=0),"",IF(COUNTIFS('Leave log'!$A$7:$A$306,Employees!$A$26,'Leave log'!$B$7:$B$306,"&lt;="&amp;DATE($B$3,11,9),'Leave log'!$C$7:$C$306,"&gt;="&amp;DATE($B$3,11,9),'Leave log'!$F$7:$F$306,"Approved")&gt;0,"A",""))="A","A",IF(OR(DATE($B$3,11,9)&gt;EOMONTH(DATE($B$3,11,1),0),NETWORKDAYS.INTL(DATE($B$3,11,9),DATE($B$3,11,9),1,'Non-working days'!$A$6:$A$45)=0),"",IF(COUNTIFS('Leave log'!$A$7:$A$306,Employees!$A$26,'Leave log'!$B$7:$B$306,"&lt;="&amp;DATE($B$3,11,9),'Leave log'!$C$7:$C$306,"&gt;="&amp;DATE($B$3,11,9),'Leave log'!$F$7:$F$306,"Pending")&gt;0,"P",""))))</f>
        <v/>
      </c>
      <c r="K367" s="23" t="str">
        <f>IF(A367="","",IF(IF(OR(DATE($B$3,11,10)&gt;EOMONTH(DATE($B$3,11,1),0),NETWORKDAYS.INTL(DATE($B$3,11,10),DATE($B$3,11,10),1,'Non-working days'!$A$6:$A$45)=0),"",IF(COUNTIFS('Leave log'!$A$7:$A$306,Employees!$A$26,'Leave log'!$B$7:$B$306,"&lt;="&amp;DATE($B$3,11,10),'Leave log'!$C$7:$C$306,"&gt;="&amp;DATE($B$3,11,10),'Leave log'!$F$7:$F$306,"Approved")&gt;0,"A",""))="A","A",IF(OR(DATE($B$3,11,10)&gt;EOMONTH(DATE($B$3,11,1),0),NETWORKDAYS.INTL(DATE($B$3,11,10),DATE($B$3,11,10),1,'Non-working days'!$A$6:$A$45)=0),"",IF(COUNTIFS('Leave log'!$A$7:$A$306,Employees!$A$26,'Leave log'!$B$7:$B$306,"&lt;="&amp;DATE($B$3,11,10),'Leave log'!$C$7:$C$306,"&gt;="&amp;DATE($B$3,11,10),'Leave log'!$F$7:$F$306,"Pending")&gt;0,"P",""))))</f>
        <v/>
      </c>
      <c r="L367" s="23" t="str">
        <f>IF(A367="","",IF(IF(OR(DATE($B$3,11,11)&gt;EOMONTH(DATE($B$3,11,1),0),NETWORKDAYS.INTL(DATE($B$3,11,11),DATE($B$3,11,11),1,'Non-working days'!$A$6:$A$45)=0),"",IF(COUNTIFS('Leave log'!$A$7:$A$306,Employees!$A$26,'Leave log'!$B$7:$B$306,"&lt;="&amp;DATE($B$3,11,11),'Leave log'!$C$7:$C$306,"&gt;="&amp;DATE($B$3,11,11),'Leave log'!$F$7:$F$306,"Approved")&gt;0,"A",""))="A","A",IF(OR(DATE($B$3,11,11)&gt;EOMONTH(DATE($B$3,11,1),0),NETWORKDAYS.INTL(DATE($B$3,11,11),DATE($B$3,11,11),1,'Non-working days'!$A$6:$A$45)=0),"",IF(COUNTIFS('Leave log'!$A$7:$A$306,Employees!$A$26,'Leave log'!$B$7:$B$306,"&lt;="&amp;DATE($B$3,11,11),'Leave log'!$C$7:$C$306,"&gt;="&amp;DATE($B$3,11,11),'Leave log'!$F$7:$F$306,"Pending")&gt;0,"P",""))))</f>
        <v/>
      </c>
      <c r="M367" s="23" t="str">
        <f>IF(A367="","",IF(IF(OR(DATE($B$3,11,12)&gt;EOMONTH(DATE($B$3,11,1),0),NETWORKDAYS.INTL(DATE($B$3,11,12),DATE($B$3,11,12),1,'Non-working days'!$A$6:$A$45)=0),"",IF(COUNTIFS('Leave log'!$A$7:$A$306,Employees!$A$26,'Leave log'!$B$7:$B$306,"&lt;="&amp;DATE($B$3,11,12),'Leave log'!$C$7:$C$306,"&gt;="&amp;DATE($B$3,11,12),'Leave log'!$F$7:$F$306,"Approved")&gt;0,"A",""))="A","A",IF(OR(DATE($B$3,11,12)&gt;EOMONTH(DATE($B$3,11,1),0),NETWORKDAYS.INTL(DATE($B$3,11,12),DATE($B$3,11,12),1,'Non-working days'!$A$6:$A$45)=0),"",IF(COUNTIFS('Leave log'!$A$7:$A$306,Employees!$A$26,'Leave log'!$B$7:$B$306,"&lt;="&amp;DATE($B$3,11,12),'Leave log'!$C$7:$C$306,"&gt;="&amp;DATE($B$3,11,12),'Leave log'!$F$7:$F$306,"Pending")&gt;0,"P",""))))</f>
        <v/>
      </c>
      <c r="N367" s="23" t="str">
        <f>IF(A367="","",IF(IF(OR(DATE($B$3,11,13)&gt;EOMONTH(DATE($B$3,11,1),0),NETWORKDAYS.INTL(DATE($B$3,11,13),DATE($B$3,11,13),1,'Non-working days'!$A$6:$A$45)=0),"",IF(COUNTIFS('Leave log'!$A$7:$A$306,Employees!$A$26,'Leave log'!$B$7:$B$306,"&lt;="&amp;DATE($B$3,11,13),'Leave log'!$C$7:$C$306,"&gt;="&amp;DATE($B$3,11,13),'Leave log'!$F$7:$F$306,"Approved")&gt;0,"A",""))="A","A",IF(OR(DATE($B$3,11,13)&gt;EOMONTH(DATE($B$3,11,1),0),NETWORKDAYS.INTL(DATE($B$3,11,13),DATE($B$3,11,13),1,'Non-working days'!$A$6:$A$45)=0),"",IF(COUNTIFS('Leave log'!$A$7:$A$306,Employees!$A$26,'Leave log'!$B$7:$B$306,"&lt;="&amp;DATE($B$3,11,13),'Leave log'!$C$7:$C$306,"&gt;="&amp;DATE($B$3,11,13),'Leave log'!$F$7:$F$306,"Pending")&gt;0,"P",""))))</f>
        <v/>
      </c>
      <c r="O367" s="23" t="str">
        <f>IF(A367="","",IF(IF(OR(DATE($B$3,11,14)&gt;EOMONTH(DATE($B$3,11,1),0),NETWORKDAYS.INTL(DATE($B$3,11,14),DATE($B$3,11,14),1,'Non-working days'!$A$6:$A$45)=0),"",IF(COUNTIFS('Leave log'!$A$7:$A$306,Employees!$A$26,'Leave log'!$B$7:$B$306,"&lt;="&amp;DATE($B$3,11,14),'Leave log'!$C$7:$C$306,"&gt;="&amp;DATE($B$3,11,14),'Leave log'!$F$7:$F$306,"Approved")&gt;0,"A",""))="A","A",IF(OR(DATE($B$3,11,14)&gt;EOMONTH(DATE($B$3,11,1),0),NETWORKDAYS.INTL(DATE($B$3,11,14),DATE($B$3,11,14),1,'Non-working days'!$A$6:$A$45)=0),"",IF(COUNTIFS('Leave log'!$A$7:$A$306,Employees!$A$26,'Leave log'!$B$7:$B$306,"&lt;="&amp;DATE($B$3,11,14),'Leave log'!$C$7:$C$306,"&gt;="&amp;DATE($B$3,11,14),'Leave log'!$F$7:$F$306,"Pending")&gt;0,"P",""))))</f>
        <v/>
      </c>
      <c r="P367" s="23" t="str">
        <f>IF(A367="","",IF(IF(OR(DATE($B$3,11,15)&gt;EOMONTH(DATE($B$3,11,1),0),NETWORKDAYS.INTL(DATE($B$3,11,15),DATE($B$3,11,15),1,'Non-working days'!$A$6:$A$45)=0),"",IF(COUNTIFS('Leave log'!$A$7:$A$306,Employees!$A$26,'Leave log'!$B$7:$B$306,"&lt;="&amp;DATE($B$3,11,15),'Leave log'!$C$7:$C$306,"&gt;="&amp;DATE($B$3,11,15),'Leave log'!$F$7:$F$306,"Approved")&gt;0,"A",""))="A","A",IF(OR(DATE($B$3,11,15)&gt;EOMONTH(DATE($B$3,11,1),0),NETWORKDAYS.INTL(DATE($B$3,11,15),DATE($B$3,11,15),1,'Non-working days'!$A$6:$A$45)=0),"",IF(COUNTIFS('Leave log'!$A$7:$A$306,Employees!$A$26,'Leave log'!$B$7:$B$306,"&lt;="&amp;DATE($B$3,11,15),'Leave log'!$C$7:$C$306,"&gt;="&amp;DATE($B$3,11,15),'Leave log'!$F$7:$F$306,"Pending")&gt;0,"P",""))))</f>
        <v/>
      </c>
      <c r="Q367" s="23" t="str">
        <f>IF(A367="","",IF(IF(OR(DATE($B$3,11,16)&gt;EOMONTH(DATE($B$3,11,1),0),NETWORKDAYS.INTL(DATE($B$3,11,16),DATE($B$3,11,16),1,'Non-working days'!$A$6:$A$45)=0),"",IF(COUNTIFS('Leave log'!$A$7:$A$306,Employees!$A$26,'Leave log'!$B$7:$B$306,"&lt;="&amp;DATE($B$3,11,16),'Leave log'!$C$7:$C$306,"&gt;="&amp;DATE($B$3,11,16),'Leave log'!$F$7:$F$306,"Approved")&gt;0,"A",""))="A","A",IF(OR(DATE($B$3,11,16)&gt;EOMONTH(DATE($B$3,11,1),0),NETWORKDAYS.INTL(DATE($B$3,11,16),DATE($B$3,11,16),1,'Non-working days'!$A$6:$A$45)=0),"",IF(COUNTIFS('Leave log'!$A$7:$A$306,Employees!$A$26,'Leave log'!$B$7:$B$306,"&lt;="&amp;DATE($B$3,11,16),'Leave log'!$C$7:$C$306,"&gt;="&amp;DATE($B$3,11,16),'Leave log'!$F$7:$F$306,"Pending")&gt;0,"P",""))))</f>
        <v/>
      </c>
      <c r="R367" s="23" t="str">
        <f>IF(A367="","",IF(IF(OR(DATE($B$3,11,17)&gt;EOMONTH(DATE($B$3,11,1),0),NETWORKDAYS.INTL(DATE($B$3,11,17),DATE($B$3,11,17),1,'Non-working days'!$A$6:$A$45)=0),"",IF(COUNTIFS('Leave log'!$A$7:$A$306,Employees!$A$26,'Leave log'!$B$7:$B$306,"&lt;="&amp;DATE($B$3,11,17),'Leave log'!$C$7:$C$306,"&gt;="&amp;DATE($B$3,11,17),'Leave log'!$F$7:$F$306,"Approved")&gt;0,"A",""))="A","A",IF(OR(DATE($B$3,11,17)&gt;EOMONTH(DATE($B$3,11,1),0),NETWORKDAYS.INTL(DATE($B$3,11,17),DATE($B$3,11,17),1,'Non-working days'!$A$6:$A$45)=0),"",IF(COUNTIFS('Leave log'!$A$7:$A$306,Employees!$A$26,'Leave log'!$B$7:$B$306,"&lt;="&amp;DATE($B$3,11,17),'Leave log'!$C$7:$C$306,"&gt;="&amp;DATE($B$3,11,17),'Leave log'!$F$7:$F$306,"Pending")&gt;0,"P",""))))</f>
        <v/>
      </c>
      <c r="S367" s="23" t="str">
        <f>IF(A367="","",IF(IF(OR(DATE($B$3,11,18)&gt;EOMONTH(DATE($B$3,11,1),0),NETWORKDAYS.INTL(DATE($B$3,11,18),DATE($B$3,11,18),1,'Non-working days'!$A$6:$A$45)=0),"",IF(COUNTIFS('Leave log'!$A$7:$A$306,Employees!$A$26,'Leave log'!$B$7:$B$306,"&lt;="&amp;DATE($B$3,11,18),'Leave log'!$C$7:$C$306,"&gt;="&amp;DATE($B$3,11,18),'Leave log'!$F$7:$F$306,"Approved")&gt;0,"A",""))="A","A",IF(OR(DATE($B$3,11,18)&gt;EOMONTH(DATE($B$3,11,1),0),NETWORKDAYS.INTL(DATE($B$3,11,18),DATE($B$3,11,18),1,'Non-working days'!$A$6:$A$45)=0),"",IF(COUNTIFS('Leave log'!$A$7:$A$306,Employees!$A$26,'Leave log'!$B$7:$B$306,"&lt;="&amp;DATE($B$3,11,18),'Leave log'!$C$7:$C$306,"&gt;="&amp;DATE($B$3,11,18),'Leave log'!$F$7:$F$306,"Pending")&gt;0,"P",""))))</f>
        <v/>
      </c>
      <c r="T367" s="23" t="str">
        <f>IF(A367="","",IF(IF(OR(DATE($B$3,11,19)&gt;EOMONTH(DATE($B$3,11,1),0),NETWORKDAYS.INTL(DATE($B$3,11,19),DATE($B$3,11,19),1,'Non-working days'!$A$6:$A$45)=0),"",IF(COUNTIFS('Leave log'!$A$7:$A$306,Employees!$A$26,'Leave log'!$B$7:$B$306,"&lt;="&amp;DATE($B$3,11,19),'Leave log'!$C$7:$C$306,"&gt;="&amp;DATE($B$3,11,19),'Leave log'!$F$7:$F$306,"Approved")&gt;0,"A",""))="A","A",IF(OR(DATE($B$3,11,19)&gt;EOMONTH(DATE($B$3,11,1),0),NETWORKDAYS.INTL(DATE($B$3,11,19),DATE($B$3,11,19),1,'Non-working days'!$A$6:$A$45)=0),"",IF(COUNTIFS('Leave log'!$A$7:$A$306,Employees!$A$26,'Leave log'!$B$7:$B$306,"&lt;="&amp;DATE($B$3,11,19),'Leave log'!$C$7:$C$306,"&gt;="&amp;DATE($B$3,11,19),'Leave log'!$F$7:$F$306,"Pending")&gt;0,"P",""))))</f>
        <v/>
      </c>
      <c r="U367" s="23" t="str">
        <f>IF(A367="","",IF(IF(OR(DATE($B$3,11,20)&gt;EOMONTH(DATE($B$3,11,1),0),NETWORKDAYS.INTL(DATE($B$3,11,20),DATE($B$3,11,20),1,'Non-working days'!$A$6:$A$45)=0),"",IF(COUNTIFS('Leave log'!$A$7:$A$306,Employees!$A$26,'Leave log'!$B$7:$B$306,"&lt;="&amp;DATE($B$3,11,20),'Leave log'!$C$7:$C$306,"&gt;="&amp;DATE($B$3,11,20),'Leave log'!$F$7:$F$306,"Approved")&gt;0,"A",""))="A","A",IF(OR(DATE($B$3,11,20)&gt;EOMONTH(DATE($B$3,11,1),0),NETWORKDAYS.INTL(DATE($B$3,11,20),DATE($B$3,11,20),1,'Non-working days'!$A$6:$A$45)=0),"",IF(COUNTIFS('Leave log'!$A$7:$A$306,Employees!$A$26,'Leave log'!$B$7:$B$306,"&lt;="&amp;DATE($B$3,11,20),'Leave log'!$C$7:$C$306,"&gt;="&amp;DATE($B$3,11,20),'Leave log'!$F$7:$F$306,"Pending")&gt;0,"P",""))))</f>
        <v/>
      </c>
      <c r="V367" s="23" t="str">
        <f>IF(A367="","",IF(IF(OR(DATE($B$3,11,21)&gt;EOMONTH(DATE($B$3,11,1),0),NETWORKDAYS.INTL(DATE($B$3,11,21),DATE($B$3,11,21),1,'Non-working days'!$A$6:$A$45)=0),"",IF(COUNTIFS('Leave log'!$A$7:$A$306,Employees!$A$26,'Leave log'!$B$7:$B$306,"&lt;="&amp;DATE($B$3,11,21),'Leave log'!$C$7:$C$306,"&gt;="&amp;DATE($B$3,11,21),'Leave log'!$F$7:$F$306,"Approved")&gt;0,"A",""))="A","A",IF(OR(DATE($B$3,11,21)&gt;EOMONTH(DATE($B$3,11,1),0),NETWORKDAYS.INTL(DATE($B$3,11,21),DATE($B$3,11,21),1,'Non-working days'!$A$6:$A$45)=0),"",IF(COUNTIFS('Leave log'!$A$7:$A$306,Employees!$A$26,'Leave log'!$B$7:$B$306,"&lt;="&amp;DATE($B$3,11,21),'Leave log'!$C$7:$C$306,"&gt;="&amp;DATE($B$3,11,21),'Leave log'!$F$7:$F$306,"Pending")&gt;0,"P",""))))</f>
        <v/>
      </c>
      <c r="W367" s="23" t="str">
        <f>IF(A367="","",IF(IF(OR(DATE($B$3,11,22)&gt;EOMONTH(DATE($B$3,11,1),0),NETWORKDAYS.INTL(DATE($B$3,11,22),DATE($B$3,11,22),1,'Non-working days'!$A$6:$A$45)=0),"",IF(COUNTIFS('Leave log'!$A$7:$A$306,Employees!$A$26,'Leave log'!$B$7:$B$306,"&lt;="&amp;DATE($B$3,11,22),'Leave log'!$C$7:$C$306,"&gt;="&amp;DATE($B$3,11,22),'Leave log'!$F$7:$F$306,"Approved")&gt;0,"A",""))="A","A",IF(OR(DATE($B$3,11,22)&gt;EOMONTH(DATE($B$3,11,1),0),NETWORKDAYS.INTL(DATE($B$3,11,22),DATE($B$3,11,22),1,'Non-working days'!$A$6:$A$45)=0),"",IF(COUNTIFS('Leave log'!$A$7:$A$306,Employees!$A$26,'Leave log'!$B$7:$B$306,"&lt;="&amp;DATE($B$3,11,22),'Leave log'!$C$7:$C$306,"&gt;="&amp;DATE($B$3,11,22),'Leave log'!$F$7:$F$306,"Pending")&gt;0,"P",""))))</f>
        <v/>
      </c>
      <c r="X367" s="23" t="str">
        <f>IF(A367="","",IF(IF(OR(DATE($B$3,11,23)&gt;EOMONTH(DATE($B$3,11,1),0),NETWORKDAYS.INTL(DATE($B$3,11,23),DATE($B$3,11,23),1,'Non-working days'!$A$6:$A$45)=0),"",IF(COUNTIFS('Leave log'!$A$7:$A$306,Employees!$A$26,'Leave log'!$B$7:$B$306,"&lt;="&amp;DATE($B$3,11,23),'Leave log'!$C$7:$C$306,"&gt;="&amp;DATE($B$3,11,23),'Leave log'!$F$7:$F$306,"Approved")&gt;0,"A",""))="A","A",IF(OR(DATE($B$3,11,23)&gt;EOMONTH(DATE($B$3,11,1),0),NETWORKDAYS.INTL(DATE($B$3,11,23),DATE($B$3,11,23),1,'Non-working days'!$A$6:$A$45)=0),"",IF(COUNTIFS('Leave log'!$A$7:$A$306,Employees!$A$26,'Leave log'!$B$7:$B$306,"&lt;="&amp;DATE($B$3,11,23),'Leave log'!$C$7:$C$306,"&gt;="&amp;DATE($B$3,11,23),'Leave log'!$F$7:$F$306,"Pending")&gt;0,"P",""))))</f>
        <v/>
      </c>
      <c r="Y367" s="23" t="str">
        <f>IF(A367="","",IF(IF(OR(DATE($B$3,11,24)&gt;EOMONTH(DATE($B$3,11,1),0),NETWORKDAYS.INTL(DATE($B$3,11,24),DATE($B$3,11,24),1,'Non-working days'!$A$6:$A$45)=0),"",IF(COUNTIFS('Leave log'!$A$7:$A$306,Employees!$A$26,'Leave log'!$B$7:$B$306,"&lt;="&amp;DATE($B$3,11,24),'Leave log'!$C$7:$C$306,"&gt;="&amp;DATE($B$3,11,24),'Leave log'!$F$7:$F$306,"Approved")&gt;0,"A",""))="A","A",IF(OR(DATE($B$3,11,24)&gt;EOMONTH(DATE($B$3,11,1),0),NETWORKDAYS.INTL(DATE($B$3,11,24),DATE($B$3,11,24),1,'Non-working days'!$A$6:$A$45)=0),"",IF(COUNTIFS('Leave log'!$A$7:$A$306,Employees!$A$26,'Leave log'!$B$7:$B$306,"&lt;="&amp;DATE($B$3,11,24),'Leave log'!$C$7:$C$306,"&gt;="&amp;DATE($B$3,11,24),'Leave log'!$F$7:$F$306,"Pending")&gt;0,"P",""))))</f>
        <v/>
      </c>
      <c r="Z367" s="23" t="str">
        <f>IF(A367="","",IF(IF(OR(DATE($B$3,11,25)&gt;EOMONTH(DATE($B$3,11,1),0),NETWORKDAYS.INTL(DATE($B$3,11,25),DATE($B$3,11,25),1,'Non-working days'!$A$6:$A$45)=0),"",IF(COUNTIFS('Leave log'!$A$7:$A$306,Employees!$A$26,'Leave log'!$B$7:$B$306,"&lt;="&amp;DATE($B$3,11,25),'Leave log'!$C$7:$C$306,"&gt;="&amp;DATE($B$3,11,25),'Leave log'!$F$7:$F$306,"Approved")&gt;0,"A",""))="A","A",IF(OR(DATE($B$3,11,25)&gt;EOMONTH(DATE($B$3,11,1),0),NETWORKDAYS.INTL(DATE($B$3,11,25),DATE($B$3,11,25),1,'Non-working days'!$A$6:$A$45)=0),"",IF(COUNTIFS('Leave log'!$A$7:$A$306,Employees!$A$26,'Leave log'!$B$7:$B$306,"&lt;="&amp;DATE($B$3,11,25),'Leave log'!$C$7:$C$306,"&gt;="&amp;DATE($B$3,11,25),'Leave log'!$F$7:$F$306,"Pending")&gt;0,"P",""))))</f>
        <v/>
      </c>
      <c r="AA367" s="23" t="str">
        <f>IF(A367="","",IF(IF(OR(DATE($B$3,11,26)&gt;EOMONTH(DATE($B$3,11,1),0),NETWORKDAYS.INTL(DATE($B$3,11,26),DATE($B$3,11,26),1,'Non-working days'!$A$6:$A$45)=0),"",IF(COUNTIFS('Leave log'!$A$7:$A$306,Employees!$A$26,'Leave log'!$B$7:$B$306,"&lt;="&amp;DATE($B$3,11,26),'Leave log'!$C$7:$C$306,"&gt;="&amp;DATE($B$3,11,26),'Leave log'!$F$7:$F$306,"Approved")&gt;0,"A",""))="A","A",IF(OR(DATE($B$3,11,26)&gt;EOMONTH(DATE($B$3,11,1),0),NETWORKDAYS.INTL(DATE($B$3,11,26),DATE($B$3,11,26),1,'Non-working days'!$A$6:$A$45)=0),"",IF(COUNTIFS('Leave log'!$A$7:$A$306,Employees!$A$26,'Leave log'!$B$7:$B$306,"&lt;="&amp;DATE($B$3,11,26),'Leave log'!$C$7:$C$306,"&gt;="&amp;DATE($B$3,11,26),'Leave log'!$F$7:$F$306,"Pending")&gt;0,"P",""))))</f>
        <v/>
      </c>
      <c r="AB367" s="23" t="str">
        <f>IF(A367="","",IF(IF(OR(DATE($B$3,11,27)&gt;EOMONTH(DATE($B$3,11,1),0),NETWORKDAYS.INTL(DATE($B$3,11,27),DATE($B$3,11,27),1,'Non-working days'!$A$6:$A$45)=0),"",IF(COUNTIFS('Leave log'!$A$7:$A$306,Employees!$A$26,'Leave log'!$B$7:$B$306,"&lt;="&amp;DATE($B$3,11,27),'Leave log'!$C$7:$C$306,"&gt;="&amp;DATE($B$3,11,27),'Leave log'!$F$7:$F$306,"Approved")&gt;0,"A",""))="A","A",IF(OR(DATE($B$3,11,27)&gt;EOMONTH(DATE($B$3,11,1),0),NETWORKDAYS.INTL(DATE($B$3,11,27),DATE($B$3,11,27),1,'Non-working days'!$A$6:$A$45)=0),"",IF(COUNTIFS('Leave log'!$A$7:$A$306,Employees!$A$26,'Leave log'!$B$7:$B$306,"&lt;="&amp;DATE($B$3,11,27),'Leave log'!$C$7:$C$306,"&gt;="&amp;DATE($B$3,11,27),'Leave log'!$F$7:$F$306,"Pending")&gt;0,"P",""))))</f>
        <v/>
      </c>
      <c r="AC367" s="23" t="str">
        <f>IF(A367="","",IF(IF(OR(DATE($B$3,11,28)&gt;EOMONTH(DATE($B$3,11,1),0),NETWORKDAYS.INTL(DATE($B$3,11,28),DATE($B$3,11,28),1,'Non-working days'!$A$6:$A$45)=0),"",IF(COUNTIFS('Leave log'!$A$7:$A$306,Employees!$A$26,'Leave log'!$B$7:$B$306,"&lt;="&amp;DATE($B$3,11,28),'Leave log'!$C$7:$C$306,"&gt;="&amp;DATE($B$3,11,28),'Leave log'!$F$7:$F$306,"Approved")&gt;0,"A",""))="A","A",IF(OR(DATE($B$3,11,28)&gt;EOMONTH(DATE($B$3,11,1),0),NETWORKDAYS.INTL(DATE($B$3,11,28),DATE($B$3,11,28),1,'Non-working days'!$A$6:$A$45)=0),"",IF(COUNTIFS('Leave log'!$A$7:$A$306,Employees!$A$26,'Leave log'!$B$7:$B$306,"&lt;="&amp;DATE($B$3,11,28),'Leave log'!$C$7:$C$306,"&gt;="&amp;DATE($B$3,11,28),'Leave log'!$F$7:$F$306,"Pending")&gt;0,"P",""))))</f>
        <v/>
      </c>
      <c r="AD367" s="23" t="str">
        <f>IF(A367="","",IF(IF(OR(DATE($B$3,11,29)&gt;EOMONTH(DATE($B$3,11,1),0),NETWORKDAYS.INTL(DATE($B$3,11,29),DATE($B$3,11,29),1,'Non-working days'!$A$6:$A$45)=0),"",IF(COUNTIFS('Leave log'!$A$7:$A$306,Employees!$A$26,'Leave log'!$B$7:$B$306,"&lt;="&amp;DATE($B$3,11,29),'Leave log'!$C$7:$C$306,"&gt;="&amp;DATE($B$3,11,29),'Leave log'!$F$7:$F$306,"Approved")&gt;0,"A",""))="A","A",IF(OR(DATE($B$3,11,29)&gt;EOMONTH(DATE($B$3,11,1),0),NETWORKDAYS.INTL(DATE($B$3,11,29),DATE($B$3,11,29),1,'Non-working days'!$A$6:$A$45)=0),"",IF(COUNTIFS('Leave log'!$A$7:$A$306,Employees!$A$26,'Leave log'!$B$7:$B$306,"&lt;="&amp;DATE($B$3,11,29),'Leave log'!$C$7:$C$306,"&gt;="&amp;DATE($B$3,11,29),'Leave log'!$F$7:$F$306,"Pending")&gt;0,"P",""))))</f>
        <v/>
      </c>
      <c r="AE367" s="23" t="str">
        <f>IF(A367="","",IF(IF(OR(DATE($B$3,11,30)&gt;EOMONTH(DATE($B$3,11,1),0),NETWORKDAYS.INTL(DATE($B$3,11,30),DATE($B$3,11,30),1,'Non-working days'!$A$6:$A$45)=0),"",IF(COUNTIFS('Leave log'!$A$7:$A$306,Employees!$A$26,'Leave log'!$B$7:$B$306,"&lt;="&amp;DATE($B$3,11,30),'Leave log'!$C$7:$C$306,"&gt;="&amp;DATE($B$3,11,30),'Leave log'!$F$7:$F$306,"Approved")&gt;0,"A",""))="A","A",IF(OR(DATE($B$3,11,30)&gt;EOMONTH(DATE($B$3,11,1),0),NETWORKDAYS.INTL(DATE($B$3,11,30),DATE($B$3,11,30),1,'Non-working days'!$A$6:$A$45)=0),"",IF(COUNTIFS('Leave log'!$A$7:$A$306,Employees!$A$26,'Leave log'!$B$7:$B$306,"&lt;="&amp;DATE($B$3,11,30),'Leave log'!$C$7:$C$306,"&gt;="&amp;DATE($B$3,11,30),'Leave log'!$F$7:$F$306,"Pending")&gt;0,"P",""))))</f>
        <v/>
      </c>
      <c r="AF367" s="23" t="str">
        <f>IF(A367="","",IF(IF(OR(DATE($B$3,11,31)&gt;EOMONTH(DATE($B$3,11,1),0),NETWORKDAYS.INTL(DATE($B$3,11,31),DATE($B$3,11,31),1,'Non-working days'!$A$6:$A$45)=0),"",IF(COUNTIFS('Leave log'!$A$7:$A$306,Employees!$A$26,'Leave log'!$B$7:$B$306,"&lt;="&amp;DATE($B$3,11,31),'Leave log'!$C$7:$C$306,"&gt;="&amp;DATE($B$3,11,31),'Leave log'!$F$7:$F$306,"Approved")&gt;0,"A",""))="A","A",IF(OR(DATE($B$3,11,31)&gt;EOMONTH(DATE($B$3,11,1),0),NETWORKDAYS.INTL(DATE($B$3,11,31),DATE($B$3,11,31),1,'Non-working days'!$A$6:$A$45)=0),"",IF(COUNTIFS('Leave log'!$A$7:$A$306,Employees!$A$26,'Leave log'!$B$7:$B$306,"&lt;="&amp;DATE($B$3,11,31),'Leave log'!$C$7:$C$306,"&gt;="&amp;DATE($B$3,11,31),'Leave log'!$F$7:$F$306,"Pending")&gt;0,"P",""))))</f>
        <v/>
      </c>
    </row>
    <row r="368" spans="1:32" ht="18" customHeight="1" x14ac:dyDescent="0.3">
      <c r="A368" s="22" t="str">
        <f>IF(Employees!F27="Yes",Employees!B27,"")</f>
        <v/>
      </c>
      <c r="B368" s="23" t="str">
        <f>IF(A368="","",IF(IF(OR(DATE($B$3,11,1)&gt;EOMONTH(DATE($B$3,11,1),0),NETWORKDAYS.INTL(DATE($B$3,11,1),DATE($B$3,11,1),1,'Non-working days'!$A$6:$A$45)=0),"",IF(COUNTIFS('Leave log'!$A$7:$A$306,Employees!$A$27,'Leave log'!$B$7:$B$306,"&lt;="&amp;DATE($B$3,11,1),'Leave log'!$C$7:$C$306,"&gt;="&amp;DATE($B$3,11,1),'Leave log'!$F$7:$F$306,"Approved")&gt;0,"A",""))="A","A",IF(OR(DATE($B$3,11,1)&gt;EOMONTH(DATE($B$3,11,1),0),NETWORKDAYS.INTL(DATE($B$3,11,1),DATE($B$3,11,1),1,'Non-working days'!$A$6:$A$45)=0),"",IF(COUNTIFS('Leave log'!$A$7:$A$306,Employees!$A$27,'Leave log'!$B$7:$B$306,"&lt;="&amp;DATE($B$3,11,1),'Leave log'!$C$7:$C$306,"&gt;="&amp;DATE($B$3,11,1),'Leave log'!$F$7:$F$306,"Pending")&gt;0,"P",""))))</f>
        <v/>
      </c>
      <c r="C368" s="23" t="str">
        <f>IF(A368="","",IF(IF(OR(DATE($B$3,11,2)&gt;EOMONTH(DATE($B$3,11,1),0),NETWORKDAYS.INTL(DATE($B$3,11,2),DATE($B$3,11,2),1,'Non-working days'!$A$6:$A$45)=0),"",IF(COUNTIFS('Leave log'!$A$7:$A$306,Employees!$A$27,'Leave log'!$B$7:$B$306,"&lt;="&amp;DATE($B$3,11,2),'Leave log'!$C$7:$C$306,"&gt;="&amp;DATE($B$3,11,2),'Leave log'!$F$7:$F$306,"Approved")&gt;0,"A",""))="A","A",IF(OR(DATE($B$3,11,2)&gt;EOMONTH(DATE($B$3,11,1),0),NETWORKDAYS.INTL(DATE($B$3,11,2),DATE($B$3,11,2),1,'Non-working days'!$A$6:$A$45)=0),"",IF(COUNTIFS('Leave log'!$A$7:$A$306,Employees!$A$27,'Leave log'!$B$7:$B$306,"&lt;="&amp;DATE($B$3,11,2),'Leave log'!$C$7:$C$306,"&gt;="&amp;DATE($B$3,11,2),'Leave log'!$F$7:$F$306,"Pending")&gt;0,"P",""))))</f>
        <v/>
      </c>
      <c r="D368" s="23" t="str">
        <f>IF(A368="","",IF(IF(OR(DATE($B$3,11,3)&gt;EOMONTH(DATE($B$3,11,1),0),NETWORKDAYS.INTL(DATE($B$3,11,3),DATE($B$3,11,3),1,'Non-working days'!$A$6:$A$45)=0),"",IF(COUNTIFS('Leave log'!$A$7:$A$306,Employees!$A$27,'Leave log'!$B$7:$B$306,"&lt;="&amp;DATE($B$3,11,3),'Leave log'!$C$7:$C$306,"&gt;="&amp;DATE($B$3,11,3),'Leave log'!$F$7:$F$306,"Approved")&gt;0,"A",""))="A","A",IF(OR(DATE($B$3,11,3)&gt;EOMONTH(DATE($B$3,11,1),0),NETWORKDAYS.INTL(DATE($B$3,11,3),DATE($B$3,11,3),1,'Non-working days'!$A$6:$A$45)=0),"",IF(COUNTIFS('Leave log'!$A$7:$A$306,Employees!$A$27,'Leave log'!$B$7:$B$306,"&lt;="&amp;DATE($B$3,11,3),'Leave log'!$C$7:$C$306,"&gt;="&amp;DATE($B$3,11,3),'Leave log'!$F$7:$F$306,"Pending")&gt;0,"P",""))))</f>
        <v/>
      </c>
      <c r="E368" s="23" t="str">
        <f>IF(A368="","",IF(IF(OR(DATE($B$3,11,4)&gt;EOMONTH(DATE($B$3,11,1),0),NETWORKDAYS.INTL(DATE($B$3,11,4),DATE($B$3,11,4),1,'Non-working days'!$A$6:$A$45)=0),"",IF(COUNTIFS('Leave log'!$A$7:$A$306,Employees!$A$27,'Leave log'!$B$7:$B$306,"&lt;="&amp;DATE($B$3,11,4),'Leave log'!$C$7:$C$306,"&gt;="&amp;DATE($B$3,11,4),'Leave log'!$F$7:$F$306,"Approved")&gt;0,"A",""))="A","A",IF(OR(DATE($B$3,11,4)&gt;EOMONTH(DATE($B$3,11,1),0),NETWORKDAYS.INTL(DATE($B$3,11,4),DATE($B$3,11,4),1,'Non-working days'!$A$6:$A$45)=0),"",IF(COUNTIFS('Leave log'!$A$7:$A$306,Employees!$A$27,'Leave log'!$B$7:$B$306,"&lt;="&amp;DATE($B$3,11,4),'Leave log'!$C$7:$C$306,"&gt;="&amp;DATE($B$3,11,4),'Leave log'!$F$7:$F$306,"Pending")&gt;0,"P",""))))</f>
        <v/>
      </c>
      <c r="F368" s="23" t="str">
        <f>IF(A368="","",IF(IF(OR(DATE($B$3,11,5)&gt;EOMONTH(DATE($B$3,11,1),0),NETWORKDAYS.INTL(DATE($B$3,11,5),DATE($B$3,11,5),1,'Non-working days'!$A$6:$A$45)=0),"",IF(COUNTIFS('Leave log'!$A$7:$A$306,Employees!$A$27,'Leave log'!$B$7:$B$306,"&lt;="&amp;DATE($B$3,11,5),'Leave log'!$C$7:$C$306,"&gt;="&amp;DATE($B$3,11,5),'Leave log'!$F$7:$F$306,"Approved")&gt;0,"A",""))="A","A",IF(OR(DATE($B$3,11,5)&gt;EOMONTH(DATE($B$3,11,1),0),NETWORKDAYS.INTL(DATE($B$3,11,5),DATE($B$3,11,5),1,'Non-working days'!$A$6:$A$45)=0),"",IF(COUNTIFS('Leave log'!$A$7:$A$306,Employees!$A$27,'Leave log'!$B$7:$B$306,"&lt;="&amp;DATE($B$3,11,5),'Leave log'!$C$7:$C$306,"&gt;="&amp;DATE($B$3,11,5),'Leave log'!$F$7:$F$306,"Pending")&gt;0,"P",""))))</f>
        <v/>
      </c>
      <c r="G368" s="23" t="str">
        <f>IF(A368="","",IF(IF(OR(DATE($B$3,11,6)&gt;EOMONTH(DATE($B$3,11,1),0),NETWORKDAYS.INTL(DATE($B$3,11,6),DATE($B$3,11,6),1,'Non-working days'!$A$6:$A$45)=0),"",IF(COUNTIFS('Leave log'!$A$7:$A$306,Employees!$A$27,'Leave log'!$B$7:$B$306,"&lt;="&amp;DATE($B$3,11,6),'Leave log'!$C$7:$C$306,"&gt;="&amp;DATE($B$3,11,6),'Leave log'!$F$7:$F$306,"Approved")&gt;0,"A",""))="A","A",IF(OR(DATE($B$3,11,6)&gt;EOMONTH(DATE($B$3,11,1),0),NETWORKDAYS.INTL(DATE($B$3,11,6),DATE($B$3,11,6),1,'Non-working days'!$A$6:$A$45)=0),"",IF(COUNTIFS('Leave log'!$A$7:$A$306,Employees!$A$27,'Leave log'!$B$7:$B$306,"&lt;="&amp;DATE($B$3,11,6),'Leave log'!$C$7:$C$306,"&gt;="&amp;DATE($B$3,11,6),'Leave log'!$F$7:$F$306,"Pending")&gt;0,"P",""))))</f>
        <v/>
      </c>
      <c r="H368" s="23" t="str">
        <f>IF(A368="","",IF(IF(OR(DATE($B$3,11,7)&gt;EOMONTH(DATE($B$3,11,1),0),NETWORKDAYS.INTL(DATE($B$3,11,7),DATE($B$3,11,7),1,'Non-working days'!$A$6:$A$45)=0),"",IF(COUNTIFS('Leave log'!$A$7:$A$306,Employees!$A$27,'Leave log'!$B$7:$B$306,"&lt;="&amp;DATE($B$3,11,7),'Leave log'!$C$7:$C$306,"&gt;="&amp;DATE($B$3,11,7),'Leave log'!$F$7:$F$306,"Approved")&gt;0,"A",""))="A","A",IF(OR(DATE($B$3,11,7)&gt;EOMONTH(DATE($B$3,11,1),0),NETWORKDAYS.INTL(DATE($B$3,11,7),DATE($B$3,11,7),1,'Non-working days'!$A$6:$A$45)=0),"",IF(COUNTIFS('Leave log'!$A$7:$A$306,Employees!$A$27,'Leave log'!$B$7:$B$306,"&lt;="&amp;DATE($B$3,11,7),'Leave log'!$C$7:$C$306,"&gt;="&amp;DATE($B$3,11,7),'Leave log'!$F$7:$F$306,"Pending")&gt;0,"P",""))))</f>
        <v/>
      </c>
      <c r="I368" s="23" t="str">
        <f>IF(A368="","",IF(IF(OR(DATE($B$3,11,8)&gt;EOMONTH(DATE($B$3,11,1),0),NETWORKDAYS.INTL(DATE($B$3,11,8),DATE($B$3,11,8),1,'Non-working days'!$A$6:$A$45)=0),"",IF(COUNTIFS('Leave log'!$A$7:$A$306,Employees!$A$27,'Leave log'!$B$7:$B$306,"&lt;="&amp;DATE($B$3,11,8),'Leave log'!$C$7:$C$306,"&gt;="&amp;DATE($B$3,11,8),'Leave log'!$F$7:$F$306,"Approved")&gt;0,"A",""))="A","A",IF(OR(DATE($B$3,11,8)&gt;EOMONTH(DATE($B$3,11,1),0),NETWORKDAYS.INTL(DATE($B$3,11,8),DATE($B$3,11,8),1,'Non-working days'!$A$6:$A$45)=0),"",IF(COUNTIFS('Leave log'!$A$7:$A$306,Employees!$A$27,'Leave log'!$B$7:$B$306,"&lt;="&amp;DATE($B$3,11,8),'Leave log'!$C$7:$C$306,"&gt;="&amp;DATE($B$3,11,8),'Leave log'!$F$7:$F$306,"Pending")&gt;0,"P",""))))</f>
        <v/>
      </c>
      <c r="J368" s="23" t="str">
        <f>IF(A368="","",IF(IF(OR(DATE($B$3,11,9)&gt;EOMONTH(DATE($B$3,11,1),0),NETWORKDAYS.INTL(DATE($B$3,11,9),DATE($B$3,11,9),1,'Non-working days'!$A$6:$A$45)=0),"",IF(COUNTIFS('Leave log'!$A$7:$A$306,Employees!$A$27,'Leave log'!$B$7:$B$306,"&lt;="&amp;DATE($B$3,11,9),'Leave log'!$C$7:$C$306,"&gt;="&amp;DATE($B$3,11,9),'Leave log'!$F$7:$F$306,"Approved")&gt;0,"A",""))="A","A",IF(OR(DATE($B$3,11,9)&gt;EOMONTH(DATE($B$3,11,1),0),NETWORKDAYS.INTL(DATE($B$3,11,9),DATE($B$3,11,9),1,'Non-working days'!$A$6:$A$45)=0),"",IF(COUNTIFS('Leave log'!$A$7:$A$306,Employees!$A$27,'Leave log'!$B$7:$B$306,"&lt;="&amp;DATE($B$3,11,9),'Leave log'!$C$7:$C$306,"&gt;="&amp;DATE($B$3,11,9),'Leave log'!$F$7:$F$306,"Pending")&gt;0,"P",""))))</f>
        <v/>
      </c>
      <c r="K368" s="23" t="str">
        <f>IF(A368="","",IF(IF(OR(DATE($B$3,11,10)&gt;EOMONTH(DATE($B$3,11,1),0),NETWORKDAYS.INTL(DATE($B$3,11,10),DATE($B$3,11,10),1,'Non-working days'!$A$6:$A$45)=0),"",IF(COUNTIFS('Leave log'!$A$7:$A$306,Employees!$A$27,'Leave log'!$B$7:$B$306,"&lt;="&amp;DATE($B$3,11,10),'Leave log'!$C$7:$C$306,"&gt;="&amp;DATE($B$3,11,10),'Leave log'!$F$7:$F$306,"Approved")&gt;0,"A",""))="A","A",IF(OR(DATE($B$3,11,10)&gt;EOMONTH(DATE($B$3,11,1),0),NETWORKDAYS.INTL(DATE($B$3,11,10),DATE($B$3,11,10),1,'Non-working days'!$A$6:$A$45)=0),"",IF(COUNTIFS('Leave log'!$A$7:$A$306,Employees!$A$27,'Leave log'!$B$7:$B$306,"&lt;="&amp;DATE($B$3,11,10),'Leave log'!$C$7:$C$306,"&gt;="&amp;DATE($B$3,11,10),'Leave log'!$F$7:$F$306,"Pending")&gt;0,"P",""))))</f>
        <v/>
      </c>
      <c r="L368" s="23" t="str">
        <f>IF(A368="","",IF(IF(OR(DATE($B$3,11,11)&gt;EOMONTH(DATE($B$3,11,1),0),NETWORKDAYS.INTL(DATE($B$3,11,11),DATE($B$3,11,11),1,'Non-working days'!$A$6:$A$45)=0),"",IF(COUNTIFS('Leave log'!$A$7:$A$306,Employees!$A$27,'Leave log'!$B$7:$B$306,"&lt;="&amp;DATE($B$3,11,11),'Leave log'!$C$7:$C$306,"&gt;="&amp;DATE($B$3,11,11),'Leave log'!$F$7:$F$306,"Approved")&gt;0,"A",""))="A","A",IF(OR(DATE($B$3,11,11)&gt;EOMONTH(DATE($B$3,11,1),0),NETWORKDAYS.INTL(DATE($B$3,11,11),DATE($B$3,11,11),1,'Non-working days'!$A$6:$A$45)=0),"",IF(COUNTIFS('Leave log'!$A$7:$A$306,Employees!$A$27,'Leave log'!$B$7:$B$306,"&lt;="&amp;DATE($B$3,11,11),'Leave log'!$C$7:$C$306,"&gt;="&amp;DATE($B$3,11,11),'Leave log'!$F$7:$F$306,"Pending")&gt;0,"P",""))))</f>
        <v/>
      </c>
      <c r="M368" s="23" t="str">
        <f>IF(A368="","",IF(IF(OR(DATE($B$3,11,12)&gt;EOMONTH(DATE($B$3,11,1),0),NETWORKDAYS.INTL(DATE($B$3,11,12),DATE($B$3,11,12),1,'Non-working days'!$A$6:$A$45)=0),"",IF(COUNTIFS('Leave log'!$A$7:$A$306,Employees!$A$27,'Leave log'!$B$7:$B$306,"&lt;="&amp;DATE($B$3,11,12),'Leave log'!$C$7:$C$306,"&gt;="&amp;DATE($B$3,11,12),'Leave log'!$F$7:$F$306,"Approved")&gt;0,"A",""))="A","A",IF(OR(DATE($B$3,11,12)&gt;EOMONTH(DATE($B$3,11,1),0),NETWORKDAYS.INTL(DATE($B$3,11,12),DATE($B$3,11,12),1,'Non-working days'!$A$6:$A$45)=0),"",IF(COUNTIFS('Leave log'!$A$7:$A$306,Employees!$A$27,'Leave log'!$B$7:$B$306,"&lt;="&amp;DATE($B$3,11,12),'Leave log'!$C$7:$C$306,"&gt;="&amp;DATE($B$3,11,12),'Leave log'!$F$7:$F$306,"Pending")&gt;0,"P",""))))</f>
        <v/>
      </c>
      <c r="N368" s="23" t="str">
        <f>IF(A368="","",IF(IF(OR(DATE($B$3,11,13)&gt;EOMONTH(DATE($B$3,11,1),0),NETWORKDAYS.INTL(DATE($B$3,11,13),DATE($B$3,11,13),1,'Non-working days'!$A$6:$A$45)=0),"",IF(COUNTIFS('Leave log'!$A$7:$A$306,Employees!$A$27,'Leave log'!$B$7:$B$306,"&lt;="&amp;DATE($B$3,11,13),'Leave log'!$C$7:$C$306,"&gt;="&amp;DATE($B$3,11,13),'Leave log'!$F$7:$F$306,"Approved")&gt;0,"A",""))="A","A",IF(OR(DATE($B$3,11,13)&gt;EOMONTH(DATE($B$3,11,1),0),NETWORKDAYS.INTL(DATE($B$3,11,13),DATE($B$3,11,13),1,'Non-working days'!$A$6:$A$45)=0),"",IF(COUNTIFS('Leave log'!$A$7:$A$306,Employees!$A$27,'Leave log'!$B$7:$B$306,"&lt;="&amp;DATE($B$3,11,13),'Leave log'!$C$7:$C$306,"&gt;="&amp;DATE($B$3,11,13),'Leave log'!$F$7:$F$306,"Pending")&gt;0,"P",""))))</f>
        <v/>
      </c>
      <c r="O368" s="23" t="str">
        <f>IF(A368="","",IF(IF(OR(DATE($B$3,11,14)&gt;EOMONTH(DATE($B$3,11,1),0),NETWORKDAYS.INTL(DATE($B$3,11,14),DATE($B$3,11,14),1,'Non-working days'!$A$6:$A$45)=0),"",IF(COUNTIFS('Leave log'!$A$7:$A$306,Employees!$A$27,'Leave log'!$B$7:$B$306,"&lt;="&amp;DATE($B$3,11,14),'Leave log'!$C$7:$C$306,"&gt;="&amp;DATE($B$3,11,14),'Leave log'!$F$7:$F$306,"Approved")&gt;0,"A",""))="A","A",IF(OR(DATE($B$3,11,14)&gt;EOMONTH(DATE($B$3,11,1),0),NETWORKDAYS.INTL(DATE($B$3,11,14),DATE($B$3,11,14),1,'Non-working days'!$A$6:$A$45)=0),"",IF(COUNTIFS('Leave log'!$A$7:$A$306,Employees!$A$27,'Leave log'!$B$7:$B$306,"&lt;="&amp;DATE($B$3,11,14),'Leave log'!$C$7:$C$306,"&gt;="&amp;DATE($B$3,11,14),'Leave log'!$F$7:$F$306,"Pending")&gt;0,"P",""))))</f>
        <v/>
      </c>
      <c r="P368" s="23" t="str">
        <f>IF(A368="","",IF(IF(OR(DATE($B$3,11,15)&gt;EOMONTH(DATE($B$3,11,1),0),NETWORKDAYS.INTL(DATE($B$3,11,15),DATE($B$3,11,15),1,'Non-working days'!$A$6:$A$45)=0),"",IF(COUNTIFS('Leave log'!$A$7:$A$306,Employees!$A$27,'Leave log'!$B$7:$B$306,"&lt;="&amp;DATE($B$3,11,15),'Leave log'!$C$7:$C$306,"&gt;="&amp;DATE($B$3,11,15),'Leave log'!$F$7:$F$306,"Approved")&gt;0,"A",""))="A","A",IF(OR(DATE($B$3,11,15)&gt;EOMONTH(DATE($B$3,11,1),0),NETWORKDAYS.INTL(DATE($B$3,11,15),DATE($B$3,11,15),1,'Non-working days'!$A$6:$A$45)=0),"",IF(COUNTIFS('Leave log'!$A$7:$A$306,Employees!$A$27,'Leave log'!$B$7:$B$306,"&lt;="&amp;DATE($B$3,11,15),'Leave log'!$C$7:$C$306,"&gt;="&amp;DATE($B$3,11,15),'Leave log'!$F$7:$F$306,"Pending")&gt;0,"P",""))))</f>
        <v/>
      </c>
      <c r="Q368" s="23" t="str">
        <f>IF(A368="","",IF(IF(OR(DATE($B$3,11,16)&gt;EOMONTH(DATE($B$3,11,1),0),NETWORKDAYS.INTL(DATE($B$3,11,16),DATE($B$3,11,16),1,'Non-working days'!$A$6:$A$45)=0),"",IF(COUNTIFS('Leave log'!$A$7:$A$306,Employees!$A$27,'Leave log'!$B$7:$B$306,"&lt;="&amp;DATE($B$3,11,16),'Leave log'!$C$7:$C$306,"&gt;="&amp;DATE($B$3,11,16),'Leave log'!$F$7:$F$306,"Approved")&gt;0,"A",""))="A","A",IF(OR(DATE($B$3,11,16)&gt;EOMONTH(DATE($B$3,11,1),0),NETWORKDAYS.INTL(DATE($B$3,11,16),DATE($B$3,11,16),1,'Non-working days'!$A$6:$A$45)=0),"",IF(COUNTIFS('Leave log'!$A$7:$A$306,Employees!$A$27,'Leave log'!$B$7:$B$306,"&lt;="&amp;DATE($B$3,11,16),'Leave log'!$C$7:$C$306,"&gt;="&amp;DATE($B$3,11,16),'Leave log'!$F$7:$F$306,"Pending")&gt;0,"P",""))))</f>
        <v/>
      </c>
      <c r="R368" s="23" t="str">
        <f>IF(A368="","",IF(IF(OR(DATE($B$3,11,17)&gt;EOMONTH(DATE($B$3,11,1),0),NETWORKDAYS.INTL(DATE($B$3,11,17),DATE($B$3,11,17),1,'Non-working days'!$A$6:$A$45)=0),"",IF(COUNTIFS('Leave log'!$A$7:$A$306,Employees!$A$27,'Leave log'!$B$7:$B$306,"&lt;="&amp;DATE($B$3,11,17),'Leave log'!$C$7:$C$306,"&gt;="&amp;DATE($B$3,11,17),'Leave log'!$F$7:$F$306,"Approved")&gt;0,"A",""))="A","A",IF(OR(DATE($B$3,11,17)&gt;EOMONTH(DATE($B$3,11,1),0),NETWORKDAYS.INTL(DATE($B$3,11,17),DATE($B$3,11,17),1,'Non-working days'!$A$6:$A$45)=0),"",IF(COUNTIFS('Leave log'!$A$7:$A$306,Employees!$A$27,'Leave log'!$B$7:$B$306,"&lt;="&amp;DATE($B$3,11,17),'Leave log'!$C$7:$C$306,"&gt;="&amp;DATE($B$3,11,17),'Leave log'!$F$7:$F$306,"Pending")&gt;0,"P",""))))</f>
        <v/>
      </c>
      <c r="S368" s="23" t="str">
        <f>IF(A368="","",IF(IF(OR(DATE($B$3,11,18)&gt;EOMONTH(DATE($B$3,11,1),0),NETWORKDAYS.INTL(DATE($B$3,11,18),DATE($B$3,11,18),1,'Non-working days'!$A$6:$A$45)=0),"",IF(COUNTIFS('Leave log'!$A$7:$A$306,Employees!$A$27,'Leave log'!$B$7:$B$306,"&lt;="&amp;DATE($B$3,11,18),'Leave log'!$C$7:$C$306,"&gt;="&amp;DATE($B$3,11,18),'Leave log'!$F$7:$F$306,"Approved")&gt;0,"A",""))="A","A",IF(OR(DATE($B$3,11,18)&gt;EOMONTH(DATE($B$3,11,1),0),NETWORKDAYS.INTL(DATE($B$3,11,18),DATE($B$3,11,18),1,'Non-working days'!$A$6:$A$45)=0),"",IF(COUNTIFS('Leave log'!$A$7:$A$306,Employees!$A$27,'Leave log'!$B$7:$B$306,"&lt;="&amp;DATE($B$3,11,18),'Leave log'!$C$7:$C$306,"&gt;="&amp;DATE($B$3,11,18),'Leave log'!$F$7:$F$306,"Pending")&gt;0,"P",""))))</f>
        <v/>
      </c>
      <c r="T368" s="23" t="str">
        <f>IF(A368="","",IF(IF(OR(DATE($B$3,11,19)&gt;EOMONTH(DATE($B$3,11,1),0),NETWORKDAYS.INTL(DATE($B$3,11,19),DATE($B$3,11,19),1,'Non-working days'!$A$6:$A$45)=0),"",IF(COUNTIFS('Leave log'!$A$7:$A$306,Employees!$A$27,'Leave log'!$B$7:$B$306,"&lt;="&amp;DATE($B$3,11,19),'Leave log'!$C$7:$C$306,"&gt;="&amp;DATE($B$3,11,19),'Leave log'!$F$7:$F$306,"Approved")&gt;0,"A",""))="A","A",IF(OR(DATE($B$3,11,19)&gt;EOMONTH(DATE($B$3,11,1),0),NETWORKDAYS.INTL(DATE($B$3,11,19),DATE($B$3,11,19),1,'Non-working days'!$A$6:$A$45)=0),"",IF(COUNTIFS('Leave log'!$A$7:$A$306,Employees!$A$27,'Leave log'!$B$7:$B$306,"&lt;="&amp;DATE($B$3,11,19),'Leave log'!$C$7:$C$306,"&gt;="&amp;DATE($B$3,11,19),'Leave log'!$F$7:$F$306,"Pending")&gt;0,"P",""))))</f>
        <v/>
      </c>
      <c r="U368" s="23" t="str">
        <f>IF(A368="","",IF(IF(OR(DATE($B$3,11,20)&gt;EOMONTH(DATE($B$3,11,1),0),NETWORKDAYS.INTL(DATE($B$3,11,20),DATE($B$3,11,20),1,'Non-working days'!$A$6:$A$45)=0),"",IF(COUNTIFS('Leave log'!$A$7:$A$306,Employees!$A$27,'Leave log'!$B$7:$B$306,"&lt;="&amp;DATE($B$3,11,20),'Leave log'!$C$7:$C$306,"&gt;="&amp;DATE($B$3,11,20),'Leave log'!$F$7:$F$306,"Approved")&gt;0,"A",""))="A","A",IF(OR(DATE($B$3,11,20)&gt;EOMONTH(DATE($B$3,11,1),0),NETWORKDAYS.INTL(DATE($B$3,11,20),DATE($B$3,11,20),1,'Non-working days'!$A$6:$A$45)=0),"",IF(COUNTIFS('Leave log'!$A$7:$A$306,Employees!$A$27,'Leave log'!$B$7:$B$306,"&lt;="&amp;DATE($B$3,11,20),'Leave log'!$C$7:$C$306,"&gt;="&amp;DATE($B$3,11,20),'Leave log'!$F$7:$F$306,"Pending")&gt;0,"P",""))))</f>
        <v/>
      </c>
      <c r="V368" s="23" t="str">
        <f>IF(A368="","",IF(IF(OR(DATE($B$3,11,21)&gt;EOMONTH(DATE($B$3,11,1),0),NETWORKDAYS.INTL(DATE($B$3,11,21),DATE($B$3,11,21),1,'Non-working days'!$A$6:$A$45)=0),"",IF(COUNTIFS('Leave log'!$A$7:$A$306,Employees!$A$27,'Leave log'!$B$7:$B$306,"&lt;="&amp;DATE($B$3,11,21),'Leave log'!$C$7:$C$306,"&gt;="&amp;DATE($B$3,11,21),'Leave log'!$F$7:$F$306,"Approved")&gt;0,"A",""))="A","A",IF(OR(DATE($B$3,11,21)&gt;EOMONTH(DATE($B$3,11,1),0),NETWORKDAYS.INTL(DATE($B$3,11,21),DATE($B$3,11,21),1,'Non-working days'!$A$6:$A$45)=0),"",IF(COUNTIFS('Leave log'!$A$7:$A$306,Employees!$A$27,'Leave log'!$B$7:$B$306,"&lt;="&amp;DATE($B$3,11,21),'Leave log'!$C$7:$C$306,"&gt;="&amp;DATE($B$3,11,21),'Leave log'!$F$7:$F$306,"Pending")&gt;0,"P",""))))</f>
        <v/>
      </c>
      <c r="W368" s="23" t="str">
        <f>IF(A368="","",IF(IF(OR(DATE($B$3,11,22)&gt;EOMONTH(DATE($B$3,11,1),0),NETWORKDAYS.INTL(DATE($B$3,11,22),DATE($B$3,11,22),1,'Non-working days'!$A$6:$A$45)=0),"",IF(COUNTIFS('Leave log'!$A$7:$A$306,Employees!$A$27,'Leave log'!$B$7:$B$306,"&lt;="&amp;DATE($B$3,11,22),'Leave log'!$C$7:$C$306,"&gt;="&amp;DATE($B$3,11,22),'Leave log'!$F$7:$F$306,"Approved")&gt;0,"A",""))="A","A",IF(OR(DATE($B$3,11,22)&gt;EOMONTH(DATE($B$3,11,1),0),NETWORKDAYS.INTL(DATE($B$3,11,22),DATE($B$3,11,22),1,'Non-working days'!$A$6:$A$45)=0),"",IF(COUNTIFS('Leave log'!$A$7:$A$306,Employees!$A$27,'Leave log'!$B$7:$B$306,"&lt;="&amp;DATE($B$3,11,22),'Leave log'!$C$7:$C$306,"&gt;="&amp;DATE($B$3,11,22),'Leave log'!$F$7:$F$306,"Pending")&gt;0,"P",""))))</f>
        <v/>
      </c>
      <c r="X368" s="23" t="str">
        <f>IF(A368="","",IF(IF(OR(DATE($B$3,11,23)&gt;EOMONTH(DATE($B$3,11,1),0),NETWORKDAYS.INTL(DATE($B$3,11,23),DATE($B$3,11,23),1,'Non-working days'!$A$6:$A$45)=0),"",IF(COUNTIFS('Leave log'!$A$7:$A$306,Employees!$A$27,'Leave log'!$B$7:$B$306,"&lt;="&amp;DATE($B$3,11,23),'Leave log'!$C$7:$C$306,"&gt;="&amp;DATE($B$3,11,23),'Leave log'!$F$7:$F$306,"Approved")&gt;0,"A",""))="A","A",IF(OR(DATE($B$3,11,23)&gt;EOMONTH(DATE($B$3,11,1),0),NETWORKDAYS.INTL(DATE($B$3,11,23),DATE($B$3,11,23),1,'Non-working days'!$A$6:$A$45)=0),"",IF(COUNTIFS('Leave log'!$A$7:$A$306,Employees!$A$27,'Leave log'!$B$7:$B$306,"&lt;="&amp;DATE($B$3,11,23),'Leave log'!$C$7:$C$306,"&gt;="&amp;DATE($B$3,11,23),'Leave log'!$F$7:$F$306,"Pending")&gt;0,"P",""))))</f>
        <v/>
      </c>
      <c r="Y368" s="23" t="str">
        <f>IF(A368="","",IF(IF(OR(DATE($B$3,11,24)&gt;EOMONTH(DATE($B$3,11,1),0),NETWORKDAYS.INTL(DATE($B$3,11,24),DATE($B$3,11,24),1,'Non-working days'!$A$6:$A$45)=0),"",IF(COUNTIFS('Leave log'!$A$7:$A$306,Employees!$A$27,'Leave log'!$B$7:$B$306,"&lt;="&amp;DATE($B$3,11,24),'Leave log'!$C$7:$C$306,"&gt;="&amp;DATE($B$3,11,24),'Leave log'!$F$7:$F$306,"Approved")&gt;0,"A",""))="A","A",IF(OR(DATE($B$3,11,24)&gt;EOMONTH(DATE($B$3,11,1),0),NETWORKDAYS.INTL(DATE($B$3,11,24),DATE($B$3,11,24),1,'Non-working days'!$A$6:$A$45)=0),"",IF(COUNTIFS('Leave log'!$A$7:$A$306,Employees!$A$27,'Leave log'!$B$7:$B$306,"&lt;="&amp;DATE($B$3,11,24),'Leave log'!$C$7:$C$306,"&gt;="&amp;DATE($B$3,11,24),'Leave log'!$F$7:$F$306,"Pending")&gt;0,"P",""))))</f>
        <v/>
      </c>
      <c r="Z368" s="23" t="str">
        <f>IF(A368="","",IF(IF(OR(DATE($B$3,11,25)&gt;EOMONTH(DATE($B$3,11,1),0),NETWORKDAYS.INTL(DATE($B$3,11,25),DATE($B$3,11,25),1,'Non-working days'!$A$6:$A$45)=0),"",IF(COUNTIFS('Leave log'!$A$7:$A$306,Employees!$A$27,'Leave log'!$B$7:$B$306,"&lt;="&amp;DATE($B$3,11,25),'Leave log'!$C$7:$C$306,"&gt;="&amp;DATE($B$3,11,25),'Leave log'!$F$7:$F$306,"Approved")&gt;0,"A",""))="A","A",IF(OR(DATE($B$3,11,25)&gt;EOMONTH(DATE($B$3,11,1),0),NETWORKDAYS.INTL(DATE($B$3,11,25),DATE($B$3,11,25),1,'Non-working days'!$A$6:$A$45)=0),"",IF(COUNTIFS('Leave log'!$A$7:$A$306,Employees!$A$27,'Leave log'!$B$7:$B$306,"&lt;="&amp;DATE($B$3,11,25),'Leave log'!$C$7:$C$306,"&gt;="&amp;DATE($B$3,11,25),'Leave log'!$F$7:$F$306,"Pending")&gt;0,"P",""))))</f>
        <v/>
      </c>
      <c r="AA368" s="23" t="str">
        <f>IF(A368="","",IF(IF(OR(DATE($B$3,11,26)&gt;EOMONTH(DATE($B$3,11,1),0),NETWORKDAYS.INTL(DATE($B$3,11,26),DATE($B$3,11,26),1,'Non-working days'!$A$6:$A$45)=0),"",IF(COUNTIFS('Leave log'!$A$7:$A$306,Employees!$A$27,'Leave log'!$B$7:$B$306,"&lt;="&amp;DATE($B$3,11,26),'Leave log'!$C$7:$C$306,"&gt;="&amp;DATE($B$3,11,26),'Leave log'!$F$7:$F$306,"Approved")&gt;0,"A",""))="A","A",IF(OR(DATE($B$3,11,26)&gt;EOMONTH(DATE($B$3,11,1),0),NETWORKDAYS.INTL(DATE($B$3,11,26),DATE($B$3,11,26),1,'Non-working days'!$A$6:$A$45)=0),"",IF(COUNTIFS('Leave log'!$A$7:$A$306,Employees!$A$27,'Leave log'!$B$7:$B$306,"&lt;="&amp;DATE($B$3,11,26),'Leave log'!$C$7:$C$306,"&gt;="&amp;DATE($B$3,11,26),'Leave log'!$F$7:$F$306,"Pending")&gt;0,"P",""))))</f>
        <v/>
      </c>
      <c r="AB368" s="23" t="str">
        <f>IF(A368="","",IF(IF(OR(DATE($B$3,11,27)&gt;EOMONTH(DATE($B$3,11,1),0),NETWORKDAYS.INTL(DATE($B$3,11,27),DATE($B$3,11,27),1,'Non-working days'!$A$6:$A$45)=0),"",IF(COUNTIFS('Leave log'!$A$7:$A$306,Employees!$A$27,'Leave log'!$B$7:$B$306,"&lt;="&amp;DATE($B$3,11,27),'Leave log'!$C$7:$C$306,"&gt;="&amp;DATE($B$3,11,27),'Leave log'!$F$7:$F$306,"Approved")&gt;0,"A",""))="A","A",IF(OR(DATE($B$3,11,27)&gt;EOMONTH(DATE($B$3,11,1),0),NETWORKDAYS.INTL(DATE($B$3,11,27),DATE($B$3,11,27),1,'Non-working days'!$A$6:$A$45)=0),"",IF(COUNTIFS('Leave log'!$A$7:$A$306,Employees!$A$27,'Leave log'!$B$7:$B$306,"&lt;="&amp;DATE($B$3,11,27),'Leave log'!$C$7:$C$306,"&gt;="&amp;DATE($B$3,11,27),'Leave log'!$F$7:$F$306,"Pending")&gt;0,"P",""))))</f>
        <v/>
      </c>
      <c r="AC368" s="23" t="str">
        <f>IF(A368="","",IF(IF(OR(DATE($B$3,11,28)&gt;EOMONTH(DATE($B$3,11,1),0),NETWORKDAYS.INTL(DATE($B$3,11,28),DATE($B$3,11,28),1,'Non-working days'!$A$6:$A$45)=0),"",IF(COUNTIFS('Leave log'!$A$7:$A$306,Employees!$A$27,'Leave log'!$B$7:$B$306,"&lt;="&amp;DATE($B$3,11,28),'Leave log'!$C$7:$C$306,"&gt;="&amp;DATE($B$3,11,28),'Leave log'!$F$7:$F$306,"Approved")&gt;0,"A",""))="A","A",IF(OR(DATE($B$3,11,28)&gt;EOMONTH(DATE($B$3,11,1),0),NETWORKDAYS.INTL(DATE($B$3,11,28),DATE($B$3,11,28),1,'Non-working days'!$A$6:$A$45)=0),"",IF(COUNTIFS('Leave log'!$A$7:$A$306,Employees!$A$27,'Leave log'!$B$7:$B$306,"&lt;="&amp;DATE($B$3,11,28),'Leave log'!$C$7:$C$306,"&gt;="&amp;DATE($B$3,11,28),'Leave log'!$F$7:$F$306,"Pending")&gt;0,"P",""))))</f>
        <v/>
      </c>
      <c r="AD368" s="23" t="str">
        <f>IF(A368="","",IF(IF(OR(DATE($B$3,11,29)&gt;EOMONTH(DATE($B$3,11,1),0),NETWORKDAYS.INTL(DATE($B$3,11,29),DATE($B$3,11,29),1,'Non-working days'!$A$6:$A$45)=0),"",IF(COUNTIFS('Leave log'!$A$7:$A$306,Employees!$A$27,'Leave log'!$B$7:$B$306,"&lt;="&amp;DATE($B$3,11,29),'Leave log'!$C$7:$C$306,"&gt;="&amp;DATE($B$3,11,29),'Leave log'!$F$7:$F$306,"Approved")&gt;0,"A",""))="A","A",IF(OR(DATE($B$3,11,29)&gt;EOMONTH(DATE($B$3,11,1),0),NETWORKDAYS.INTL(DATE($B$3,11,29),DATE($B$3,11,29),1,'Non-working days'!$A$6:$A$45)=0),"",IF(COUNTIFS('Leave log'!$A$7:$A$306,Employees!$A$27,'Leave log'!$B$7:$B$306,"&lt;="&amp;DATE($B$3,11,29),'Leave log'!$C$7:$C$306,"&gt;="&amp;DATE($B$3,11,29),'Leave log'!$F$7:$F$306,"Pending")&gt;0,"P",""))))</f>
        <v/>
      </c>
      <c r="AE368" s="23" t="str">
        <f>IF(A368="","",IF(IF(OR(DATE($B$3,11,30)&gt;EOMONTH(DATE($B$3,11,1),0),NETWORKDAYS.INTL(DATE($B$3,11,30),DATE($B$3,11,30),1,'Non-working days'!$A$6:$A$45)=0),"",IF(COUNTIFS('Leave log'!$A$7:$A$306,Employees!$A$27,'Leave log'!$B$7:$B$306,"&lt;="&amp;DATE($B$3,11,30),'Leave log'!$C$7:$C$306,"&gt;="&amp;DATE($B$3,11,30),'Leave log'!$F$7:$F$306,"Approved")&gt;0,"A",""))="A","A",IF(OR(DATE($B$3,11,30)&gt;EOMONTH(DATE($B$3,11,1),0),NETWORKDAYS.INTL(DATE($B$3,11,30),DATE($B$3,11,30),1,'Non-working days'!$A$6:$A$45)=0),"",IF(COUNTIFS('Leave log'!$A$7:$A$306,Employees!$A$27,'Leave log'!$B$7:$B$306,"&lt;="&amp;DATE($B$3,11,30),'Leave log'!$C$7:$C$306,"&gt;="&amp;DATE($B$3,11,30),'Leave log'!$F$7:$F$306,"Pending")&gt;0,"P",""))))</f>
        <v/>
      </c>
      <c r="AF368" s="23" t="str">
        <f>IF(A368="","",IF(IF(OR(DATE($B$3,11,31)&gt;EOMONTH(DATE($B$3,11,1),0),NETWORKDAYS.INTL(DATE($B$3,11,31),DATE($B$3,11,31),1,'Non-working days'!$A$6:$A$45)=0),"",IF(COUNTIFS('Leave log'!$A$7:$A$306,Employees!$A$27,'Leave log'!$B$7:$B$306,"&lt;="&amp;DATE($B$3,11,31),'Leave log'!$C$7:$C$306,"&gt;="&amp;DATE($B$3,11,31),'Leave log'!$F$7:$F$306,"Approved")&gt;0,"A",""))="A","A",IF(OR(DATE($B$3,11,31)&gt;EOMONTH(DATE($B$3,11,1),0),NETWORKDAYS.INTL(DATE($B$3,11,31),DATE($B$3,11,31),1,'Non-working days'!$A$6:$A$45)=0),"",IF(COUNTIFS('Leave log'!$A$7:$A$306,Employees!$A$27,'Leave log'!$B$7:$B$306,"&lt;="&amp;DATE($B$3,11,31),'Leave log'!$C$7:$C$306,"&gt;="&amp;DATE($B$3,11,31),'Leave log'!$F$7:$F$306,"Pending")&gt;0,"P",""))))</f>
        <v/>
      </c>
    </row>
    <row r="369" spans="1:32" ht="18" customHeight="1" x14ac:dyDescent="0.3">
      <c r="A369" s="22" t="str">
        <f>IF(Employees!F28="Yes",Employees!B28,"")</f>
        <v/>
      </c>
      <c r="B369" s="23" t="str">
        <f>IF(A369="","",IF(IF(OR(DATE($B$3,11,1)&gt;EOMONTH(DATE($B$3,11,1),0),NETWORKDAYS.INTL(DATE($B$3,11,1),DATE($B$3,11,1),1,'Non-working days'!$A$6:$A$45)=0),"",IF(COUNTIFS('Leave log'!$A$7:$A$306,Employees!$A$28,'Leave log'!$B$7:$B$306,"&lt;="&amp;DATE($B$3,11,1),'Leave log'!$C$7:$C$306,"&gt;="&amp;DATE($B$3,11,1),'Leave log'!$F$7:$F$306,"Approved")&gt;0,"A",""))="A","A",IF(OR(DATE($B$3,11,1)&gt;EOMONTH(DATE($B$3,11,1),0),NETWORKDAYS.INTL(DATE($B$3,11,1),DATE($B$3,11,1),1,'Non-working days'!$A$6:$A$45)=0),"",IF(COUNTIFS('Leave log'!$A$7:$A$306,Employees!$A$28,'Leave log'!$B$7:$B$306,"&lt;="&amp;DATE($B$3,11,1),'Leave log'!$C$7:$C$306,"&gt;="&amp;DATE($B$3,11,1),'Leave log'!$F$7:$F$306,"Pending")&gt;0,"P",""))))</f>
        <v/>
      </c>
      <c r="C369" s="23" t="str">
        <f>IF(A369="","",IF(IF(OR(DATE($B$3,11,2)&gt;EOMONTH(DATE($B$3,11,1),0),NETWORKDAYS.INTL(DATE($B$3,11,2),DATE($B$3,11,2),1,'Non-working days'!$A$6:$A$45)=0),"",IF(COUNTIFS('Leave log'!$A$7:$A$306,Employees!$A$28,'Leave log'!$B$7:$B$306,"&lt;="&amp;DATE($B$3,11,2),'Leave log'!$C$7:$C$306,"&gt;="&amp;DATE($B$3,11,2),'Leave log'!$F$7:$F$306,"Approved")&gt;0,"A",""))="A","A",IF(OR(DATE($B$3,11,2)&gt;EOMONTH(DATE($B$3,11,1),0),NETWORKDAYS.INTL(DATE($B$3,11,2),DATE($B$3,11,2),1,'Non-working days'!$A$6:$A$45)=0),"",IF(COUNTIFS('Leave log'!$A$7:$A$306,Employees!$A$28,'Leave log'!$B$7:$B$306,"&lt;="&amp;DATE($B$3,11,2),'Leave log'!$C$7:$C$306,"&gt;="&amp;DATE($B$3,11,2),'Leave log'!$F$7:$F$306,"Pending")&gt;0,"P",""))))</f>
        <v/>
      </c>
      <c r="D369" s="23" t="str">
        <f>IF(A369="","",IF(IF(OR(DATE($B$3,11,3)&gt;EOMONTH(DATE($B$3,11,1),0),NETWORKDAYS.INTL(DATE($B$3,11,3),DATE($B$3,11,3),1,'Non-working days'!$A$6:$A$45)=0),"",IF(COUNTIFS('Leave log'!$A$7:$A$306,Employees!$A$28,'Leave log'!$B$7:$B$306,"&lt;="&amp;DATE($B$3,11,3),'Leave log'!$C$7:$C$306,"&gt;="&amp;DATE($B$3,11,3),'Leave log'!$F$7:$F$306,"Approved")&gt;0,"A",""))="A","A",IF(OR(DATE($B$3,11,3)&gt;EOMONTH(DATE($B$3,11,1),0),NETWORKDAYS.INTL(DATE($B$3,11,3),DATE($B$3,11,3),1,'Non-working days'!$A$6:$A$45)=0),"",IF(COUNTIFS('Leave log'!$A$7:$A$306,Employees!$A$28,'Leave log'!$B$7:$B$306,"&lt;="&amp;DATE($B$3,11,3),'Leave log'!$C$7:$C$306,"&gt;="&amp;DATE($B$3,11,3),'Leave log'!$F$7:$F$306,"Pending")&gt;0,"P",""))))</f>
        <v/>
      </c>
      <c r="E369" s="23" t="str">
        <f>IF(A369="","",IF(IF(OR(DATE($B$3,11,4)&gt;EOMONTH(DATE($B$3,11,1),0),NETWORKDAYS.INTL(DATE($B$3,11,4),DATE($B$3,11,4),1,'Non-working days'!$A$6:$A$45)=0),"",IF(COUNTIFS('Leave log'!$A$7:$A$306,Employees!$A$28,'Leave log'!$B$7:$B$306,"&lt;="&amp;DATE($B$3,11,4),'Leave log'!$C$7:$C$306,"&gt;="&amp;DATE($B$3,11,4),'Leave log'!$F$7:$F$306,"Approved")&gt;0,"A",""))="A","A",IF(OR(DATE($B$3,11,4)&gt;EOMONTH(DATE($B$3,11,1),0),NETWORKDAYS.INTL(DATE($B$3,11,4),DATE($B$3,11,4),1,'Non-working days'!$A$6:$A$45)=0),"",IF(COUNTIFS('Leave log'!$A$7:$A$306,Employees!$A$28,'Leave log'!$B$7:$B$306,"&lt;="&amp;DATE($B$3,11,4),'Leave log'!$C$7:$C$306,"&gt;="&amp;DATE($B$3,11,4),'Leave log'!$F$7:$F$306,"Pending")&gt;0,"P",""))))</f>
        <v/>
      </c>
      <c r="F369" s="23" t="str">
        <f>IF(A369="","",IF(IF(OR(DATE($B$3,11,5)&gt;EOMONTH(DATE($B$3,11,1),0),NETWORKDAYS.INTL(DATE($B$3,11,5),DATE($B$3,11,5),1,'Non-working days'!$A$6:$A$45)=0),"",IF(COUNTIFS('Leave log'!$A$7:$A$306,Employees!$A$28,'Leave log'!$B$7:$B$306,"&lt;="&amp;DATE($B$3,11,5),'Leave log'!$C$7:$C$306,"&gt;="&amp;DATE($B$3,11,5),'Leave log'!$F$7:$F$306,"Approved")&gt;0,"A",""))="A","A",IF(OR(DATE($B$3,11,5)&gt;EOMONTH(DATE($B$3,11,1),0),NETWORKDAYS.INTL(DATE($B$3,11,5),DATE($B$3,11,5),1,'Non-working days'!$A$6:$A$45)=0),"",IF(COUNTIFS('Leave log'!$A$7:$A$306,Employees!$A$28,'Leave log'!$B$7:$B$306,"&lt;="&amp;DATE($B$3,11,5),'Leave log'!$C$7:$C$306,"&gt;="&amp;DATE($B$3,11,5),'Leave log'!$F$7:$F$306,"Pending")&gt;0,"P",""))))</f>
        <v/>
      </c>
      <c r="G369" s="23" t="str">
        <f>IF(A369="","",IF(IF(OR(DATE($B$3,11,6)&gt;EOMONTH(DATE($B$3,11,1),0),NETWORKDAYS.INTL(DATE($B$3,11,6),DATE($B$3,11,6),1,'Non-working days'!$A$6:$A$45)=0),"",IF(COUNTIFS('Leave log'!$A$7:$A$306,Employees!$A$28,'Leave log'!$B$7:$B$306,"&lt;="&amp;DATE($B$3,11,6),'Leave log'!$C$7:$C$306,"&gt;="&amp;DATE($B$3,11,6),'Leave log'!$F$7:$F$306,"Approved")&gt;0,"A",""))="A","A",IF(OR(DATE($B$3,11,6)&gt;EOMONTH(DATE($B$3,11,1),0),NETWORKDAYS.INTL(DATE($B$3,11,6),DATE($B$3,11,6),1,'Non-working days'!$A$6:$A$45)=0),"",IF(COUNTIFS('Leave log'!$A$7:$A$306,Employees!$A$28,'Leave log'!$B$7:$B$306,"&lt;="&amp;DATE($B$3,11,6),'Leave log'!$C$7:$C$306,"&gt;="&amp;DATE($B$3,11,6),'Leave log'!$F$7:$F$306,"Pending")&gt;0,"P",""))))</f>
        <v/>
      </c>
      <c r="H369" s="23" t="str">
        <f>IF(A369="","",IF(IF(OR(DATE($B$3,11,7)&gt;EOMONTH(DATE($B$3,11,1),0),NETWORKDAYS.INTL(DATE($B$3,11,7),DATE($B$3,11,7),1,'Non-working days'!$A$6:$A$45)=0),"",IF(COUNTIFS('Leave log'!$A$7:$A$306,Employees!$A$28,'Leave log'!$B$7:$B$306,"&lt;="&amp;DATE($B$3,11,7),'Leave log'!$C$7:$C$306,"&gt;="&amp;DATE($B$3,11,7),'Leave log'!$F$7:$F$306,"Approved")&gt;0,"A",""))="A","A",IF(OR(DATE($B$3,11,7)&gt;EOMONTH(DATE($B$3,11,1),0),NETWORKDAYS.INTL(DATE($B$3,11,7),DATE($B$3,11,7),1,'Non-working days'!$A$6:$A$45)=0),"",IF(COUNTIFS('Leave log'!$A$7:$A$306,Employees!$A$28,'Leave log'!$B$7:$B$306,"&lt;="&amp;DATE($B$3,11,7),'Leave log'!$C$7:$C$306,"&gt;="&amp;DATE($B$3,11,7),'Leave log'!$F$7:$F$306,"Pending")&gt;0,"P",""))))</f>
        <v/>
      </c>
      <c r="I369" s="23" t="str">
        <f>IF(A369="","",IF(IF(OR(DATE($B$3,11,8)&gt;EOMONTH(DATE($B$3,11,1),0),NETWORKDAYS.INTL(DATE($B$3,11,8),DATE($B$3,11,8),1,'Non-working days'!$A$6:$A$45)=0),"",IF(COUNTIFS('Leave log'!$A$7:$A$306,Employees!$A$28,'Leave log'!$B$7:$B$306,"&lt;="&amp;DATE($B$3,11,8),'Leave log'!$C$7:$C$306,"&gt;="&amp;DATE($B$3,11,8),'Leave log'!$F$7:$F$306,"Approved")&gt;0,"A",""))="A","A",IF(OR(DATE($B$3,11,8)&gt;EOMONTH(DATE($B$3,11,1),0),NETWORKDAYS.INTL(DATE($B$3,11,8),DATE($B$3,11,8),1,'Non-working days'!$A$6:$A$45)=0),"",IF(COUNTIFS('Leave log'!$A$7:$A$306,Employees!$A$28,'Leave log'!$B$7:$B$306,"&lt;="&amp;DATE($B$3,11,8),'Leave log'!$C$7:$C$306,"&gt;="&amp;DATE($B$3,11,8),'Leave log'!$F$7:$F$306,"Pending")&gt;0,"P",""))))</f>
        <v/>
      </c>
      <c r="J369" s="23" t="str">
        <f>IF(A369="","",IF(IF(OR(DATE($B$3,11,9)&gt;EOMONTH(DATE($B$3,11,1),0),NETWORKDAYS.INTL(DATE($B$3,11,9),DATE($B$3,11,9),1,'Non-working days'!$A$6:$A$45)=0),"",IF(COUNTIFS('Leave log'!$A$7:$A$306,Employees!$A$28,'Leave log'!$B$7:$B$306,"&lt;="&amp;DATE($B$3,11,9),'Leave log'!$C$7:$C$306,"&gt;="&amp;DATE($B$3,11,9),'Leave log'!$F$7:$F$306,"Approved")&gt;0,"A",""))="A","A",IF(OR(DATE($B$3,11,9)&gt;EOMONTH(DATE($B$3,11,1),0),NETWORKDAYS.INTL(DATE($B$3,11,9),DATE($B$3,11,9),1,'Non-working days'!$A$6:$A$45)=0),"",IF(COUNTIFS('Leave log'!$A$7:$A$306,Employees!$A$28,'Leave log'!$B$7:$B$306,"&lt;="&amp;DATE($B$3,11,9),'Leave log'!$C$7:$C$306,"&gt;="&amp;DATE($B$3,11,9),'Leave log'!$F$7:$F$306,"Pending")&gt;0,"P",""))))</f>
        <v/>
      </c>
      <c r="K369" s="23" t="str">
        <f>IF(A369="","",IF(IF(OR(DATE($B$3,11,10)&gt;EOMONTH(DATE($B$3,11,1),0),NETWORKDAYS.INTL(DATE($B$3,11,10),DATE($B$3,11,10),1,'Non-working days'!$A$6:$A$45)=0),"",IF(COUNTIFS('Leave log'!$A$7:$A$306,Employees!$A$28,'Leave log'!$B$7:$B$306,"&lt;="&amp;DATE($B$3,11,10),'Leave log'!$C$7:$C$306,"&gt;="&amp;DATE($B$3,11,10),'Leave log'!$F$7:$F$306,"Approved")&gt;0,"A",""))="A","A",IF(OR(DATE($B$3,11,10)&gt;EOMONTH(DATE($B$3,11,1),0),NETWORKDAYS.INTL(DATE($B$3,11,10),DATE($B$3,11,10),1,'Non-working days'!$A$6:$A$45)=0),"",IF(COUNTIFS('Leave log'!$A$7:$A$306,Employees!$A$28,'Leave log'!$B$7:$B$306,"&lt;="&amp;DATE($B$3,11,10),'Leave log'!$C$7:$C$306,"&gt;="&amp;DATE($B$3,11,10),'Leave log'!$F$7:$F$306,"Pending")&gt;0,"P",""))))</f>
        <v/>
      </c>
      <c r="L369" s="23" t="str">
        <f>IF(A369="","",IF(IF(OR(DATE($B$3,11,11)&gt;EOMONTH(DATE($B$3,11,1),0),NETWORKDAYS.INTL(DATE($B$3,11,11),DATE($B$3,11,11),1,'Non-working days'!$A$6:$A$45)=0),"",IF(COUNTIFS('Leave log'!$A$7:$A$306,Employees!$A$28,'Leave log'!$B$7:$B$306,"&lt;="&amp;DATE($B$3,11,11),'Leave log'!$C$7:$C$306,"&gt;="&amp;DATE($B$3,11,11),'Leave log'!$F$7:$F$306,"Approved")&gt;0,"A",""))="A","A",IF(OR(DATE($B$3,11,11)&gt;EOMONTH(DATE($B$3,11,1),0),NETWORKDAYS.INTL(DATE($B$3,11,11),DATE($B$3,11,11),1,'Non-working days'!$A$6:$A$45)=0),"",IF(COUNTIFS('Leave log'!$A$7:$A$306,Employees!$A$28,'Leave log'!$B$7:$B$306,"&lt;="&amp;DATE($B$3,11,11),'Leave log'!$C$7:$C$306,"&gt;="&amp;DATE($B$3,11,11),'Leave log'!$F$7:$F$306,"Pending")&gt;0,"P",""))))</f>
        <v/>
      </c>
      <c r="M369" s="23" t="str">
        <f>IF(A369="","",IF(IF(OR(DATE($B$3,11,12)&gt;EOMONTH(DATE($B$3,11,1),0),NETWORKDAYS.INTL(DATE($B$3,11,12),DATE($B$3,11,12),1,'Non-working days'!$A$6:$A$45)=0),"",IF(COUNTIFS('Leave log'!$A$7:$A$306,Employees!$A$28,'Leave log'!$B$7:$B$306,"&lt;="&amp;DATE($B$3,11,12),'Leave log'!$C$7:$C$306,"&gt;="&amp;DATE($B$3,11,12),'Leave log'!$F$7:$F$306,"Approved")&gt;0,"A",""))="A","A",IF(OR(DATE($B$3,11,12)&gt;EOMONTH(DATE($B$3,11,1),0),NETWORKDAYS.INTL(DATE($B$3,11,12),DATE($B$3,11,12),1,'Non-working days'!$A$6:$A$45)=0),"",IF(COUNTIFS('Leave log'!$A$7:$A$306,Employees!$A$28,'Leave log'!$B$7:$B$306,"&lt;="&amp;DATE($B$3,11,12),'Leave log'!$C$7:$C$306,"&gt;="&amp;DATE($B$3,11,12),'Leave log'!$F$7:$F$306,"Pending")&gt;0,"P",""))))</f>
        <v/>
      </c>
      <c r="N369" s="23" t="str">
        <f>IF(A369="","",IF(IF(OR(DATE($B$3,11,13)&gt;EOMONTH(DATE($B$3,11,1),0),NETWORKDAYS.INTL(DATE($B$3,11,13),DATE($B$3,11,13),1,'Non-working days'!$A$6:$A$45)=0),"",IF(COUNTIFS('Leave log'!$A$7:$A$306,Employees!$A$28,'Leave log'!$B$7:$B$306,"&lt;="&amp;DATE($B$3,11,13),'Leave log'!$C$7:$C$306,"&gt;="&amp;DATE($B$3,11,13),'Leave log'!$F$7:$F$306,"Approved")&gt;0,"A",""))="A","A",IF(OR(DATE($B$3,11,13)&gt;EOMONTH(DATE($B$3,11,1),0),NETWORKDAYS.INTL(DATE($B$3,11,13),DATE($B$3,11,13),1,'Non-working days'!$A$6:$A$45)=0),"",IF(COUNTIFS('Leave log'!$A$7:$A$306,Employees!$A$28,'Leave log'!$B$7:$B$306,"&lt;="&amp;DATE($B$3,11,13),'Leave log'!$C$7:$C$306,"&gt;="&amp;DATE($B$3,11,13),'Leave log'!$F$7:$F$306,"Pending")&gt;0,"P",""))))</f>
        <v/>
      </c>
      <c r="O369" s="23" t="str">
        <f>IF(A369="","",IF(IF(OR(DATE($B$3,11,14)&gt;EOMONTH(DATE($B$3,11,1),0),NETWORKDAYS.INTL(DATE($B$3,11,14),DATE($B$3,11,14),1,'Non-working days'!$A$6:$A$45)=0),"",IF(COUNTIFS('Leave log'!$A$7:$A$306,Employees!$A$28,'Leave log'!$B$7:$B$306,"&lt;="&amp;DATE($B$3,11,14),'Leave log'!$C$7:$C$306,"&gt;="&amp;DATE($B$3,11,14),'Leave log'!$F$7:$F$306,"Approved")&gt;0,"A",""))="A","A",IF(OR(DATE($B$3,11,14)&gt;EOMONTH(DATE($B$3,11,1),0),NETWORKDAYS.INTL(DATE($B$3,11,14),DATE($B$3,11,14),1,'Non-working days'!$A$6:$A$45)=0),"",IF(COUNTIFS('Leave log'!$A$7:$A$306,Employees!$A$28,'Leave log'!$B$7:$B$306,"&lt;="&amp;DATE($B$3,11,14),'Leave log'!$C$7:$C$306,"&gt;="&amp;DATE($B$3,11,14),'Leave log'!$F$7:$F$306,"Pending")&gt;0,"P",""))))</f>
        <v/>
      </c>
      <c r="P369" s="23" t="str">
        <f>IF(A369="","",IF(IF(OR(DATE($B$3,11,15)&gt;EOMONTH(DATE($B$3,11,1),0),NETWORKDAYS.INTL(DATE($B$3,11,15),DATE($B$3,11,15),1,'Non-working days'!$A$6:$A$45)=0),"",IF(COUNTIFS('Leave log'!$A$7:$A$306,Employees!$A$28,'Leave log'!$B$7:$B$306,"&lt;="&amp;DATE($B$3,11,15),'Leave log'!$C$7:$C$306,"&gt;="&amp;DATE($B$3,11,15),'Leave log'!$F$7:$F$306,"Approved")&gt;0,"A",""))="A","A",IF(OR(DATE($B$3,11,15)&gt;EOMONTH(DATE($B$3,11,1),0),NETWORKDAYS.INTL(DATE($B$3,11,15),DATE($B$3,11,15),1,'Non-working days'!$A$6:$A$45)=0),"",IF(COUNTIFS('Leave log'!$A$7:$A$306,Employees!$A$28,'Leave log'!$B$7:$B$306,"&lt;="&amp;DATE($B$3,11,15),'Leave log'!$C$7:$C$306,"&gt;="&amp;DATE($B$3,11,15),'Leave log'!$F$7:$F$306,"Pending")&gt;0,"P",""))))</f>
        <v/>
      </c>
      <c r="Q369" s="23" t="str">
        <f>IF(A369="","",IF(IF(OR(DATE($B$3,11,16)&gt;EOMONTH(DATE($B$3,11,1),0),NETWORKDAYS.INTL(DATE($B$3,11,16),DATE($B$3,11,16),1,'Non-working days'!$A$6:$A$45)=0),"",IF(COUNTIFS('Leave log'!$A$7:$A$306,Employees!$A$28,'Leave log'!$B$7:$B$306,"&lt;="&amp;DATE($B$3,11,16),'Leave log'!$C$7:$C$306,"&gt;="&amp;DATE($B$3,11,16),'Leave log'!$F$7:$F$306,"Approved")&gt;0,"A",""))="A","A",IF(OR(DATE($B$3,11,16)&gt;EOMONTH(DATE($B$3,11,1),0),NETWORKDAYS.INTL(DATE($B$3,11,16),DATE($B$3,11,16),1,'Non-working days'!$A$6:$A$45)=0),"",IF(COUNTIFS('Leave log'!$A$7:$A$306,Employees!$A$28,'Leave log'!$B$7:$B$306,"&lt;="&amp;DATE($B$3,11,16),'Leave log'!$C$7:$C$306,"&gt;="&amp;DATE($B$3,11,16),'Leave log'!$F$7:$F$306,"Pending")&gt;0,"P",""))))</f>
        <v/>
      </c>
      <c r="R369" s="23" t="str">
        <f>IF(A369="","",IF(IF(OR(DATE($B$3,11,17)&gt;EOMONTH(DATE($B$3,11,1),0),NETWORKDAYS.INTL(DATE($B$3,11,17),DATE($B$3,11,17),1,'Non-working days'!$A$6:$A$45)=0),"",IF(COUNTIFS('Leave log'!$A$7:$A$306,Employees!$A$28,'Leave log'!$B$7:$B$306,"&lt;="&amp;DATE($B$3,11,17),'Leave log'!$C$7:$C$306,"&gt;="&amp;DATE($B$3,11,17),'Leave log'!$F$7:$F$306,"Approved")&gt;0,"A",""))="A","A",IF(OR(DATE($B$3,11,17)&gt;EOMONTH(DATE($B$3,11,1),0),NETWORKDAYS.INTL(DATE($B$3,11,17),DATE($B$3,11,17),1,'Non-working days'!$A$6:$A$45)=0),"",IF(COUNTIFS('Leave log'!$A$7:$A$306,Employees!$A$28,'Leave log'!$B$7:$B$306,"&lt;="&amp;DATE($B$3,11,17),'Leave log'!$C$7:$C$306,"&gt;="&amp;DATE($B$3,11,17),'Leave log'!$F$7:$F$306,"Pending")&gt;0,"P",""))))</f>
        <v/>
      </c>
      <c r="S369" s="23" t="str">
        <f>IF(A369="","",IF(IF(OR(DATE($B$3,11,18)&gt;EOMONTH(DATE($B$3,11,1),0),NETWORKDAYS.INTL(DATE($B$3,11,18),DATE($B$3,11,18),1,'Non-working days'!$A$6:$A$45)=0),"",IF(COUNTIFS('Leave log'!$A$7:$A$306,Employees!$A$28,'Leave log'!$B$7:$B$306,"&lt;="&amp;DATE($B$3,11,18),'Leave log'!$C$7:$C$306,"&gt;="&amp;DATE($B$3,11,18),'Leave log'!$F$7:$F$306,"Approved")&gt;0,"A",""))="A","A",IF(OR(DATE($B$3,11,18)&gt;EOMONTH(DATE($B$3,11,1),0),NETWORKDAYS.INTL(DATE($B$3,11,18),DATE($B$3,11,18),1,'Non-working days'!$A$6:$A$45)=0),"",IF(COUNTIFS('Leave log'!$A$7:$A$306,Employees!$A$28,'Leave log'!$B$7:$B$306,"&lt;="&amp;DATE($B$3,11,18),'Leave log'!$C$7:$C$306,"&gt;="&amp;DATE($B$3,11,18),'Leave log'!$F$7:$F$306,"Pending")&gt;0,"P",""))))</f>
        <v/>
      </c>
      <c r="T369" s="23" t="str">
        <f>IF(A369="","",IF(IF(OR(DATE($B$3,11,19)&gt;EOMONTH(DATE($B$3,11,1),0),NETWORKDAYS.INTL(DATE($B$3,11,19),DATE($B$3,11,19),1,'Non-working days'!$A$6:$A$45)=0),"",IF(COUNTIFS('Leave log'!$A$7:$A$306,Employees!$A$28,'Leave log'!$B$7:$B$306,"&lt;="&amp;DATE($B$3,11,19),'Leave log'!$C$7:$C$306,"&gt;="&amp;DATE($B$3,11,19),'Leave log'!$F$7:$F$306,"Approved")&gt;0,"A",""))="A","A",IF(OR(DATE($B$3,11,19)&gt;EOMONTH(DATE($B$3,11,1),0),NETWORKDAYS.INTL(DATE($B$3,11,19),DATE($B$3,11,19),1,'Non-working days'!$A$6:$A$45)=0),"",IF(COUNTIFS('Leave log'!$A$7:$A$306,Employees!$A$28,'Leave log'!$B$7:$B$306,"&lt;="&amp;DATE($B$3,11,19),'Leave log'!$C$7:$C$306,"&gt;="&amp;DATE($B$3,11,19),'Leave log'!$F$7:$F$306,"Pending")&gt;0,"P",""))))</f>
        <v/>
      </c>
      <c r="U369" s="23" t="str">
        <f>IF(A369="","",IF(IF(OR(DATE($B$3,11,20)&gt;EOMONTH(DATE($B$3,11,1),0),NETWORKDAYS.INTL(DATE($B$3,11,20),DATE($B$3,11,20),1,'Non-working days'!$A$6:$A$45)=0),"",IF(COUNTIFS('Leave log'!$A$7:$A$306,Employees!$A$28,'Leave log'!$B$7:$B$306,"&lt;="&amp;DATE($B$3,11,20),'Leave log'!$C$7:$C$306,"&gt;="&amp;DATE($B$3,11,20),'Leave log'!$F$7:$F$306,"Approved")&gt;0,"A",""))="A","A",IF(OR(DATE($B$3,11,20)&gt;EOMONTH(DATE($B$3,11,1),0),NETWORKDAYS.INTL(DATE($B$3,11,20),DATE($B$3,11,20),1,'Non-working days'!$A$6:$A$45)=0),"",IF(COUNTIFS('Leave log'!$A$7:$A$306,Employees!$A$28,'Leave log'!$B$7:$B$306,"&lt;="&amp;DATE($B$3,11,20),'Leave log'!$C$7:$C$306,"&gt;="&amp;DATE($B$3,11,20),'Leave log'!$F$7:$F$306,"Pending")&gt;0,"P",""))))</f>
        <v/>
      </c>
      <c r="V369" s="23" t="str">
        <f>IF(A369="","",IF(IF(OR(DATE($B$3,11,21)&gt;EOMONTH(DATE($B$3,11,1),0),NETWORKDAYS.INTL(DATE($B$3,11,21),DATE($B$3,11,21),1,'Non-working days'!$A$6:$A$45)=0),"",IF(COUNTIFS('Leave log'!$A$7:$A$306,Employees!$A$28,'Leave log'!$B$7:$B$306,"&lt;="&amp;DATE($B$3,11,21),'Leave log'!$C$7:$C$306,"&gt;="&amp;DATE($B$3,11,21),'Leave log'!$F$7:$F$306,"Approved")&gt;0,"A",""))="A","A",IF(OR(DATE($B$3,11,21)&gt;EOMONTH(DATE($B$3,11,1),0),NETWORKDAYS.INTL(DATE($B$3,11,21),DATE($B$3,11,21),1,'Non-working days'!$A$6:$A$45)=0),"",IF(COUNTIFS('Leave log'!$A$7:$A$306,Employees!$A$28,'Leave log'!$B$7:$B$306,"&lt;="&amp;DATE($B$3,11,21),'Leave log'!$C$7:$C$306,"&gt;="&amp;DATE($B$3,11,21),'Leave log'!$F$7:$F$306,"Pending")&gt;0,"P",""))))</f>
        <v/>
      </c>
      <c r="W369" s="23" t="str">
        <f>IF(A369="","",IF(IF(OR(DATE($B$3,11,22)&gt;EOMONTH(DATE($B$3,11,1),0),NETWORKDAYS.INTL(DATE($B$3,11,22),DATE($B$3,11,22),1,'Non-working days'!$A$6:$A$45)=0),"",IF(COUNTIFS('Leave log'!$A$7:$A$306,Employees!$A$28,'Leave log'!$B$7:$B$306,"&lt;="&amp;DATE($B$3,11,22),'Leave log'!$C$7:$C$306,"&gt;="&amp;DATE($B$3,11,22),'Leave log'!$F$7:$F$306,"Approved")&gt;0,"A",""))="A","A",IF(OR(DATE($B$3,11,22)&gt;EOMONTH(DATE($B$3,11,1),0),NETWORKDAYS.INTL(DATE($B$3,11,22),DATE($B$3,11,22),1,'Non-working days'!$A$6:$A$45)=0),"",IF(COUNTIFS('Leave log'!$A$7:$A$306,Employees!$A$28,'Leave log'!$B$7:$B$306,"&lt;="&amp;DATE($B$3,11,22),'Leave log'!$C$7:$C$306,"&gt;="&amp;DATE($B$3,11,22),'Leave log'!$F$7:$F$306,"Pending")&gt;0,"P",""))))</f>
        <v/>
      </c>
      <c r="X369" s="23" t="str">
        <f>IF(A369="","",IF(IF(OR(DATE($B$3,11,23)&gt;EOMONTH(DATE($B$3,11,1),0),NETWORKDAYS.INTL(DATE($B$3,11,23),DATE($B$3,11,23),1,'Non-working days'!$A$6:$A$45)=0),"",IF(COUNTIFS('Leave log'!$A$7:$A$306,Employees!$A$28,'Leave log'!$B$7:$B$306,"&lt;="&amp;DATE($B$3,11,23),'Leave log'!$C$7:$C$306,"&gt;="&amp;DATE($B$3,11,23),'Leave log'!$F$7:$F$306,"Approved")&gt;0,"A",""))="A","A",IF(OR(DATE($B$3,11,23)&gt;EOMONTH(DATE($B$3,11,1),0),NETWORKDAYS.INTL(DATE($B$3,11,23),DATE($B$3,11,23),1,'Non-working days'!$A$6:$A$45)=0),"",IF(COUNTIFS('Leave log'!$A$7:$A$306,Employees!$A$28,'Leave log'!$B$7:$B$306,"&lt;="&amp;DATE($B$3,11,23),'Leave log'!$C$7:$C$306,"&gt;="&amp;DATE($B$3,11,23),'Leave log'!$F$7:$F$306,"Pending")&gt;0,"P",""))))</f>
        <v/>
      </c>
      <c r="Y369" s="23" t="str">
        <f>IF(A369="","",IF(IF(OR(DATE($B$3,11,24)&gt;EOMONTH(DATE($B$3,11,1),0),NETWORKDAYS.INTL(DATE($B$3,11,24),DATE($B$3,11,24),1,'Non-working days'!$A$6:$A$45)=0),"",IF(COUNTIFS('Leave log'!$A$7:$A$306,Employees!$A$28,'Leave log'!$B$7:$B$306,"&lt;="&amp;DATE($B$3,11,24),'Leave log'!$C$7:$C$306,"&gt;="&amp;DATE($B$3,11,24),'Leave log'!$F$7:$F$306,"Approved")&gt;0,"A",""))="A","A",IF(OR(DATE($B$3,11,24)&gt;EOMONTH(DATE($B$3,11,1),0),NETWORKDAYS.INTL(DATE($B$3,11,24),DATE($B$3,11,24),1,'Non-working days'!$A$6:$A$45)=0),"",IF(COUNTIFS('Leave log'!$A$7:$A$306,Employees!$A$28,'Leave log'!$B$7:$B$306,"&lt;="&amp;DATE($B$3,11,24),'Leave log'!$C$7:$C$306,"&gt;="&amp;DATE($B$3,11,24),'Leave log'!$F$7:$F$306,"Pending")&gt;0,"P",""))))</f>
        <v/>
      </c>
      <c r="Z369" s="23" t="str">
        <f>IF(A369="","",IF(IF(OR(DATE($B$3,11,25)&gt;EOMONTH(DATE($B$3,11,1),0),NETWORKDAYS.INTL(DATE($B$3,11,25),DATE($B$3,11,25),1,'Non-working days'!$A$6:$A$45)=0),"",IF(COUNTIFS('Leave log'!$A$7:$A$306,Employees!$A$28,'Leave log'!$B$7:$B$306,"&lt;="&amp;DATE($B$3,11,25),'Leave log'!$C$7:$C$306,"&gt;="&amp;DATE($B$3,11,25),'Leave log'!$F$7:$F$306,"Approved")&gt;0,"A",""))="A","A",IF(OR(DATE($B$3,11,25)&gt;EOMONTH(DATE($B$3,11,1),0),NETWORKDAYS.INTL(DATE($B$3,11,25),DATE($B$3,11,25),1,'Non-working days'!$A$6:$A$45)=0),"",IF(COUNTIFS('Leave log'!$A$7:$A$306,Employees!$A$28,'Leave log'!$B$7:$B$306,"&lt;="&amp;DATE($B$3,11,25),'Leave log'!$C$7:$C$306,"&gt;="&amp;DATE($B$3,11,25),'Leave log'!$F$7:$F$306,"Pending")&gt;0,"P",""))))</f>
        <v/>
      </c>
      <c r="AA369" s="23" t="str">
        <f>IF(A369="","",IF(IF(OR(DATE($B$3,11,26)&gt;EOMONTH(DATE($B$3,11,1),0),NETWORKDAYS.INTL(DATE($B$3,11,26),DATE($B$3,11,26),1,'Non-working days'!$A$6:$A$45)=0),"",IF(COUNTIFS('Leave log'!$A$7:$A$306,Employees!$A$28,'Leave log'!$B$7:$B$306,"&lt;="&amp;DATE($B$3,11,26),'Leave log'!$C$7:$C$306,"&gt;="&amp;DATE($B$3,11,26),'Leave log'!$F$7:$F$306,"Approved")&gt;0,"A",""))="A","A",IF(OR(DATE($B$3,11,26)&gt;EOMONTH(DATE($B$3,11,1),0),NETWORKDAYS.INTL(DATE($B$3,11,26),DATE($B$3,11,26),1,'Non-working days'!$A$6:$A$45)=0),"",IF(COUNTIFS('Leave log'!$A$7:$A$306,Employees!$A$28,'Leave log'!$B$7:$B$306,"&lt;="&amp;DATE($B$3,11,26),'Leave log'!$C$7:$C$306,"&gt;="&amp;DATE($B$3,11,26),'Leave log'!$F$7:$F$306,"Pending")&gt;0,"P",""))))</f>
        <v/>
      </c>
      <c r="AB369" s="23" t="str">
        <f>IF(A369="","",IF(IF(OR(DATE($B$3,11,27)&gt;EOMONTH(DATE($B$3,11,1),0),NETWORKDAYS.INTL(DATE($B$3,11,27),DATE($B$3,11,27),1,'Non-working days'!$A$6:$A$45)=0),"",IF(COUNTIFS('Leave log'!$A$7:$A$306,Employees!$A$28,'Leave log'!$B$7:$B$306,"&lt;="&amp;DATE($B$3,11,27),'Leave log'!$C$7:$C$306,"&gt;="&amp;DATE($B$3,11,27),'Leave log'!$F$7:$F$306,"Approved")&gt;0,"A",""))="A","A",IF(OR(DATE($B$3,11,27)&gt;EOMONTH(DATE($B$3,11,1),0),NETWORKDAYS.INTL(DATE($B$3,11,27),DATE($B$3,11,27),1,'Non-working days'!$A$6:$A$45)=0),"",IF(COUNTIFS('Leave log'!$A$7:$A$306,Employees!$A$28,'Leave log'!$B$7:$B$306,"&lt;="&amp;DATE($B$3,11,27),'Leave log'!$C$7:$C$306,"&gt;="&amp;DATE($B$3,11,27),'Leave log'!$F$7:$F$306,"Pending")&gt;0,"P",""))))</f>
        <v/>
      </c>
      <c r="AC369" s="23" t="str">
        <f>IF(A369="","",IF(IF(OR(DATE($B$3,11,28)&gt;EOMONTH(DATE($B$3,11,1),0),NETWORKDAYS.INTL(DATE($B$3,11,28),DATE($B$3,11,28),1,'Non-working days'!$A$6:$A$45)=0),"",IF(COUNTIFS('Leave log'!$A$7:$A$306,Employees!$A$28,'Leave log'!$B$7:$B$306,"&lt;="&amp;DATE($B$3,11,28),'Leave log'!$C$7:$C$306,"&gt;="&amp;DATE($B$3,11,28),'Leave log'!$F$7:$F$306,"Approved")&gt;0,"A",""))="A","A",IF(OR(DATE($B$3,11,28)&gt;EOMONTH(DATE($B$3,11,1),0),NETWORKDAYS.INTL(DATE($B$3,11,28),DATE($B$3,11,28),1,'Non-working days'!$A$6:$A$45)=0),"",IF(COUNTIFS('Leave log'!$A$7:$A$306,Employees!$A$28,'Leave log'!$B$7:$B$306,"&lt;="&amp;DATE($B$3,11,28),'Leave log'!$C$7:$C$306,"&gt;="&amp;DATE($B$3,11,28),'Leave log'!$F$7:$F$306,"Pending")&gt;0,"P",""))))</f>
        <v/>
      </c>
      <c r="AD369" s="23" t="str">
        <f>IF(A369="","",IF(IF(OR(DATE($B$3,11,29)&gt;EOMONTH(DATE($B$3,11,1),0),NETWORKDAYS.INTL(DATE($B$3,11,29),DATE($B$3,11,29),1,'Non-working days'!$A$6:$A$45)=0),"",IF(COUNTIFS('Leave log'!$A$7:$A$306,Employees!$A$28,'Leave log'!$B$7:$B$306,"&lt;="&amp;DATE($B$3,11,29),'Leave log'!$C$7:$C$306,"&gt;="&amp;DATE($B$3,11,29),'Leave log'!$F$7:$F$306,"Approved")&gt;0,"A",""))="A","A",IF(OR(DATE($B$3,11,29)&gt;EOMONTH(DATE($B$3,11,1),0),NETWORKDAYS.INTL(DATE($B$3,11,29),DATE($B$3,11,29),1,'Non-working days'!$A$6:$A$45)=0),"",IF(COUNTIFS('Leave log'!$A$7:$A$306,Employees!$A$28,'Leave log'!$B$7:$B$306,"&lt;="&amp;DATE($B$3,11,29),'Leave log'!$C$7:$C$306,"&gt;="&amp;DATE($B$3,11,29),'Leave log'!$F$7:$F$306,"Pending")&gt;0,"P",""))))</f>
        <v/>
      </c>
      <c r="AE369" s="23" t="str">
        <f>IF(A369="","",IF(IF(OR(DATE($B$3,11,30)&gt;EOMONTH(DATE($B$3,11,1),0),NETWORKDAYS.INTL(DATE($B$3,11,30),DATE($B$3,11,30),1,'Non-working days'!$A$6:$A$45)=0),"",IF(COUNTIFS('Leave log'!$A$7:$A$306,Employees!$A$28,'Leave log'!$B$7:$B$306,"&lt;="&amp;DATE($B$3,11,30),'Leave log'!$C$7:$C$306,"&gt;="&amp;DATE($B$3,11,30),'Leave log'!$F$7:$F$306,"Approved")&gt;0,"A",""))="A","A",IF(OR(DATE($B$3,11,30)&gt;EOMONTH(DATE($B$3,11,1),0),NETWORKDAYS.INTL(DATE($B$3,11,30),DATE($B$3,11,30),1,'Non-working days'!$A$6:$A$45)=0),"",IF(COUNTIFS('Leave log'!$A$7:$A$306,Employees!$A$28,'Leave log'!$B$7:$B$306,"&lt;="&amp;DATE($B$3,11,30),'Leave log'!$C$7:$C$306,"&gt;="&amp;DATE($B$3,11,30),'Leave log'!$F$7:$F$306,"Pending")&gt;0,"P",""))))</f>
        <v/>
      </c>
      <c r="AF369" s="23" t="str">
        <f>IF(A369="","",IF(IF(OR(DATE($B$3,11,31)&gt;EOMONTH(DATE($B$3,11,1),0),NETWORKDAYS.INTL(DATE($B$3,11,31),DATE($B$3,11,31),1,'Non-working days'!$A$6:$A$45)=0),"",IF(COUNTIFS('Leave log'!$A$7:$A$306,Employees!$A$28,'Leave log'!$B$7:$B$306,"&lt;="&amp;DATE($B$3,11,31),'Leave log'!$C$7:$C$306,"&gt;="&amp;DATE($B$3,11,31),'Leave log'!$F$7:$F$306,"Approved")&gt;0,"A",""))="A","A",IF(OR(DATE($B$3,11,31)&gt;EOMONTH(DATE($B$3,11,1),0),NETWORKDAYS.INTL(DATE($B$3,11,31),DATE($B$3,11,31),1,'Non-working days'!$A$6:$A$45)=0),"",IF(COUNTIFS('Leave log'!$A$7:$A$306,Employees!$A$28,'Leave log'!$B$7:$B$306,"&lt;="&amp;DATE($B$3,11,31),'Leave log'!$C$7:$C$306,"&gt;="&amp;DATE($B$3,11,31),'Leave log'!$F$7:$F$306,"Pending")&gt;0,"P",""))))</f>
        <v/>
      </c>
    </row>
    <row r="370" spans="1:32" ht="18" customHeight="1" x14ac:dyDescent="0.3">
      <c r="A370" s="22" t="str">
        <f>IF(Employees!F29="Yes",Employees!B29,"")</f>
        <v/>
      </c>
      <c r="B370" s="23" t="str">
        <f>IF(A370="","",IF(IF(OR(DATE($B$3,11,1)&gt;EOMONTH(DATE($B$3,11,1),0),NETWORKDAYS.INTL(DATE($B$3,11,1),DATE($B$3,11,1),1,'Non-working days'!$A$6:$A$45)=0),"",IF(COUNTIFS('Leave log'!$A$7:$A$306,Employees!$A$29,'Leave log'!$B$7:$B$306,"&lt;="&amp;DATE($B$3,11,1),'Leave log'!$C$7:$C$306,"&gt;="&amp;DATE($B$3,11,1),'Leave log'!$F$7:$F$306,"Approved")&gt;0,"A",""))="A","A",IF(OR(DATE($B$3,11,1)&gt;EOMONTH(DATE($B$3,11,1),0),NETWORKDAYS.INTL(DATE($B$3,11,1),DATE($B$3,11,1),1,'Non-working days'!$A$6:$A$45)=0),"",IF(COUNTIFS('Leave log'!$A$7:$A$306,Employees!$A$29,'Leave log'!$B$7:$B$306,"&lt;="&amp;DATE($B$3,11,1),'Leave log'!$C$7:$C$306,"&gt;="&amp;DATE($B$3,11,1),'Leave log'!$F$7:$F$306,"Pending")&gt;0,"P",""))))</f>
        <v/>
      </c>
      <c r="C370" s="23" t="str">
        <f>IF(A370="","",IF(IF(OR(DATE($B$3,11,2)&gt;EOMONTH(DATE($B$3,11,1),0),NETWORKDAYS.INTL(DATE($B$3,11,2),DATE($B$3,11,2),1,'Non-working days'!$A$6:$A$45)=0),"",IF(COUNTIFS('Leave log'!$A$7:$A$306,Employees!$A$29,'Leave log'!$B$7:$B$306,"&lt;="&amp;DATE($B$3,11,2),'Leave log'!$C$7:$C$306,"&gt;="&amp;DATE($B$3,11,2),'Leave log'!$F$7:$F$306,"Approved")&gt;0,"A",""))="A","A",IF(OR(DATE($B$3,11,2)&gt;EOMONTH(DATE($B$3,11,1),0),NETWORKDAYS.INTL(DATE($B$3,11,2),DATE($B$3,11,2),1,'Non-working days'!$A$6:$A$45)=0),"",IF(COUNTIFS('Leave log'!$A$7:$A$306,Employees!$A$29,'Leave log'!$B$7:$B$306,"&lt;="&amp;DATE($B$3,11,2),'Leave log'!$C$7:$C$306,"&gt;="&amp;DATE($B$3,11,2),'Leave log'!$F$7:$F$306,"Pending")&gt;0,"P",""))))</f>
        <v/>
      </c>
      <c r="D370" s="23" t="str">
        <f>IF(A370="","",IF(IF(OR(DATE($B$3,11,3)&gt;EOMONTH(DATE($B$3,11,1),0),NETWORKDAYS.INTL(DATE($B$3,11,3),DATE($B$3,11,3),1,'Non-working days'!$A$6:$A$45)=0),"",IF(COUNTIFS('Leave log'!$A$7:$A$306,Employees!$A$29,'Leave log'!$B$7:$B$306,"&lt;="&amp;DATE($B$3,11,3),'Leave log'!$C$7:$C$306,"&gt;="&amp;DATE($B$3,11,3),'Leave log'!$F$7:$F$306,"Approved")&gt;0,"A",""))="A","A",IF(OR(DATE($B$3,11,3)&gt;EOMONTH(DATE($B$3,11,1),0),NETWORKDAYS.INTL(DATE($B$3,11,3),DATE($B$3,11,3),1,'Non-working days'!$A$6:$A$45)=0),"",IF(COUNTIFS('Leave log'!$A$7:$A$306,Employees!$A$29,'Leave log'!$B$7:$B$306,"&lt;="&amp;DATE($B$3,11,3),'Leave log'!$C$7:$C$306,"&gt;="&amp;DATE($B$3,11,3),'Leave log'!$F$7:$F$306,"Pending")&gt;0,"P",""))))</f>
        <v/>
      </c>
      <c r="E370" s="23" t="str">
        <f>IF(A370="","",IF(IF(OR(DATE($B$3,11,4)&gt;EOMONTH(DATE($B$3,11,1),0),NETWORKDAYS.INTL(DATE($B$3,11,4),DATE($B$3,11,4),1,'Non-working days'!$A$6:$A$45)=0),"",IF(COUNTIFS('Leave log'!$A$7:$A$306,Employees!$A$29,'Leave log'!$B$7:$B$306,"&lt;="&amp;DATE($B$3,11,4),'Leave log'!$C$7:$C$306,"&gt;="&amp;DATE($B$3,11,4),'Leave log'!$F$7:$F$306,"Approved")&gt;0,"A",""))="A","A",IF(OR(DATE($B$3,11,4)&gt;EOMONTH(DATE($B$3,11,1),0),NETWORKDAYS.INTL(DATE($B$3,11,4),DATE($B$3,11,4),1,'Non-working days'!$A$6:$A$45)=0),"",IF(COUNTIFS('Leave log'!$A$7:$A$306,Employees!$A$29,'Leave log'!$B$7:$B$306,"&lt;="&amp;DATE($B$3,11,4),'Leave log'!$C$7:$C$306,"&gt;="&amp;DATE($B$3,11,4),'Leave log'!$F$7:$F$306,"Pending")&gt;0,"P",""))))</f>
        <v/>
      </c>
      <c r="F370" s="23" t="str">
        <f>IF(A370="","",IF(IF(OR(DATE($B$3,11,5)&gt;EOMONTH(DATE($B$3,11,1),0),NETWORKDAYS.INTL(DATE($B$3,11,5),DATE($B$3,11,5),1,'Non-working days'!$A$6:$A$45)=0),"",IF(COUNTIFS('Leave log'!$A$7:$A$306,Employees!$A$29,'Leave log'!$B$7:$B$306,"&lt;="&amp;DATE($B$3,11,5),'Leave log'!$C$7:$C$306,"&gt;="&amp;DATE($B$3,11,5),'Leave log'!$F$7:$F$306,"Approved")&gt;0,"A",""))="A","A",IF(OR(DATE($B$3,11,5)&gt;EOMONTH(DATE($B$3,11,1),0),NETWORKDAYS.INTL(DATE($B$3,11,5),DATE($B$3,11,5),1,'Non-working days'!$A$6:$A$45)=0),"",IF(COUNTIFS('Leave log'!$A$7:$A$306,Employees!$A$29,'Leave log'!$B$7:$B$306,"&lt;="&amp;DATE($B$3,11,5),'Leave log'!$C$7:$C$306,"&gt;="&amp;DATE($B$3,11,5),'Leave log'!$F$7:$F$306,"Pending")&gt;0,"P",""))))</f>
        <v/>
      </c>
      <c r="G370" s="23" t="str">
        <f>IF(A370="","",IF(IF(OR(DATE($B$3,11,6)&gt;EOMONTH(DATE($B$3,11,1),0),NETWORKDAYS.INTL(DATE($B$3,11,6),DATE($B$3,11,6),1,'Non-working days'!$A$6:$A$45)=0),"",IF(COUNTIFS('Leave log'!$A$7:$A$306,Employees!$A$29,'Leave log'!$B$7:$B$306,"&lt;="&amp;DATE($B$3,11,6),'Leave log'!$C$7:$C$306,"&gt;="&amp;DATE($B$3,11,6),'Leave log'!$F$7:$F$306,"Approved")&gt;0,"A",""))="A","A",IF(OR(DATE($B$3,11,6)&gt;EOMONTH(DATE($B$3,11,1),0),NETWORKDAYS.INTL(DATE($B$3,11,6),DATE($B$3,11,6),1,'Non-working days'!$A$6:$A$45)=0),"",IF(COUNTIFS('Leave log'!$A$7:$A$306,Employees!$A$29,'Leave log'!$B$7:$B$306,"&lt;="&amp;DATE($B$3,11,6),'Leave log'!$C$7:$C$306,"&gt;="&amp;DATE($B$3,11,6),'Leave log'!$F$7:$F$306,"Pending")&gt;0,"P",""))))</f>
        <v/>
      </c>
      <c r="H370" s="23" t="str">
        <f>IF(A370="","",IF(IF(OR(DATE($B$3,11,7)&gt;EOMONTH(DATE($B$3,11,1),0),NETWORKDAYS.INTL(DATE($B$3,11,7),DATE($B$3,11,7),1,'Non-working days'!$A$6:$A$45)=0),"",IF(COUNTIFS('Leave log'!$A$7:$A$306,Employees!$A$29,'Leave log'!$B$7:$B$306,"&lt;="&amp;DATE($B$3,11,7),'Leave log'!$C$7:$C$306,"&gt;="&amp;DATE($B$3,11,7),'Leave log'!$F$7:$F$306,"Approved")&gt;0,"A",""))="A","A",IF(OR(DATE($B$3,11,7)&gt;EOMONTH(DATE($B$3,11,1),0),NETWORKDAYS.INTL(DATE($B$3,11,7),DATE($B$3,11,7),1,'Non-working days'!$A$6:$A$45)=0),"",IF(COUNTIFS('Leave log'!$A$7:$A$306,Employees!$A$29,'Leave log'!$B$7:$B$306,"&lt;="&amp;DATE($B$3,11,7),'Leave log'!$C$7:$C$306,"&gt;="&amp;DATE($B$3,11,7),'Leave log'!$F$7:$F$306,"Pending")&gt;0,"P",""))))</f>
        <v/>
      </c>
      <c r="I370" s="23" t="str">
        <f>IF(A370="","",IF(IF(OR(DATE($B$3,11,8)&gt;EOMONTH(DATE($B$3,11,1),0),NETWORKDAYS.INTL(DATE($B$3,11,8),DATE($B$3,11,8),1,'Non-working days'!$A$6:$A$45)=0),"",IF(COUNTIFS('Leave log'!$A$7:$A$306,Employees!$A$29,'Leave log'!$B$7:$B$306,"&lt;="&amp;DATE($B$3,11,8),'Leave log'!$C$7:$C$306,"&gt;="&amp;DATE($B$3,11,8),'Leave log'!$F$7:$F$306,"Approved")&gt;0,"A",""))="A","A",IF(OR(DATE($B$3,11,8)&gt;EOMONTH(DATE($B$3,11,1),0),NETWORKDAYS.INTL(DATE($B$3,11,8),DATE($B$3,11,8),1,'Non-working days'!$A$6:$A$45)=0),"",IF(COUNTIFS('Leave log'!$A$7:$A$306,Employees!$A$29,'Leave log'!$B$7:$B$306,"&lt;="&amp;DATE($B$3,11,8),'Leave log'!$C$7:$C$306,"&gt;="&amp;DATE($B$3,11,8),'Leave log'!$F$7:$F$306,"Pending")&gt;0,"P",""))))</f>
        <v/>
      </c>
      <c r="J370" s="23" t="str">
        <f>IF(A370="","",IF(IF(OR(DATE($B$3,11,9)&gt;EOMONTH(DATE($B$3,11,1),0),NETWORKDAYS.INTL(DATE($B$3,11,9),DATE($B$3,11,9),1,'Non-working days'!$A$6:$A$45)=0),"",IF(COUNTIFS('Leave log'!$A$7:$A$306,Employees!$A$29,'Leave log'!$B$7:$B$306,"&lt;="&amp;DATE($B$3,11,9),'Leave log'!$C$7:$C$306,"&gt;="&amp;DATE($B$3,11,9),'Leave log'!$F$7:$F$306,"Approved")&gt;0,"A",""))="A","A",IF(OR(DATE($B$3,11,9)&gt;EOMONTH(DATE($B$3,11,1),0),NETWORKDAYS.INTL(DATE($B$3,11,9),DATE($B$3,11,9),1,'Non-working days'!$A$6:$A$45)=0),"",IF(COUNTIFS('Leave log'!$A$7:$A$306,Employees!$A$29,'Leave log'!$B$7:$B$306,"&lt;="&amp;DATE($B$3,11,9),'Leave log'!$C$7:$C$306,"&gt;="&amp;DATE($B$3,11,9),'Leave log'!$F$7:$F$306,"Pending")&gt;0,"P",""))))</f>
        <v/>
      </c>
      <c r="K370" s="23" t="str">
        <f>IF(A370="","",IF(IF(OR(DATE($B$3,11,10)&gt;EOMONTH(DATE($B$3,11,1),0),NETWORKDAYS.INTL(DATE($B$3,11,10),DATE($B$3,11,10),1,'Non-working days'!$A$6:$A$45)=0),"",IF(COUNTIFS('Leave log'!$A$7:$A$306,Employees!$A$29,'Leave log'!$B$7:$B$306,"&lt;="&amp;DATE($B$3,11,10),'Leave log'!$C$7:$C$306,"&gt;="&amp;DATE($B$3,11,10),'Leave log'!$F$7:$F$306,"Approved")&gt;0,"A",""))="A","A",IF(OR(DATE($B$3,11,10)&gt;EOMONTH(DATE($B$3,11,1),0),NETWORKDAYS.INTL(DATE($B$3,11,10),DATE($B$3,11,10),1,'Non-working days'!$A$6:$A$45)=0),"",IF(COUNTIFS('Leave log'!$A$7:$A$306,Employees!$A$29,'Leave log'!$B$7:$B$306,"&lt;="&amp;DATE($B$3,11,10),'Leave log'!$C$7:$C$306,"&gt;="&amp;DATE($B$3,11,10),'Leave log'!$F$7:$F$306,"Pending")&gt;0,"P",""))))</f>
        <v/>
      </c>
      <c r="L370" s="23" t="str">
        <f>IF(A370="","",IF(IF(OR(DATE($B$3,11,11)&gt;EOMONTH(DATE($B$3,11,1),0),NETWORKDAYS.INTL(DATE($B$3,11,11),DATE($B$3,11,11),1,'Non-working days'!$A$6:$A$45)=0),"",IF(COUNTIFS('Leave log'!$A$7:$A$306,Employees!$A$29,'Leave log'!$B$7:$B$306,"&lt;="&amp;DATE($B$3,11,11),'Leave log'!$C$7:$C$306,"&gt;="&amp;DATE($B$3,11,11),'Leave log'!$F$7:$F$306,"Approved")&gt;0,"A",""))="A","A",IF(OR(DATE($B$3,11,11)&gt;EOMONTH(DATE($B$3,11,1),0),NETWORKDAYS.INTL(DATE($B$3,11,11),DATE($B$3,11,11),1,'Non-working days'!$A$6:$A$45)=0),"",IF(COUNTIFS('Leave log'!$A$7:$A$306,Employees!$A$29,'Leave log'!$B$7:$B$306,"&lt;="&amp;DATE($B$3,11,11),'Leave log'!$C$7:$C$306,"&gt;="&amp;DATE($B$3,11,11),'Leave log'!$F$7:$F$306,"Pending")&gt;0,"P",""))))</f>
        <v/>
      </c>
      <c r="M370" s="23" t="str">
        <f>IF(A370="","",IF(IF(OR(DATE($B$3,11,12)&gt;EOMONTH(DATE($B$3,11,1),0),NETWORKDAYS.INTL(DATE($B$3,11,12),DATE($B$3,11,12),1,'Non-working days'!$A$6:$A$45)=0),"",IF(COUNTIFS('Leave log'!$A$7:$A$306,Employees!$A$29,'Leave log'!$B$7:$B$306,"&lt;="&amp;DATE($B$3,11,12),'Leave log'!$C$7:$C$306,"&gt;="&amp;DATE($B$3,11,12),'Leave log'!$F$7:$F$306,"Approved")&gt;0,"A",""))="A","A",IF(OR(DATE($B$3,11,12)&gt;EOMONTH(DATE($B$3,11,1),0),NETWORKDAYS.INTL(DATE($B$3,11,12),DATE($B$3,11,12),1,'Non-working days'!$A$6:$A$45)=0),"",IF(COUNTIFS('Leave log'!$A$7:$A$306,Employees!$A$29,'Leave log'!$B$7:$B$306,"&lt;="&amp;DATE($B$3,11,12),'Leave log'!$C$7:$C$306,"&gt;="&amp;DATE($B$3,11,12),'Leave log'!$F$7:$F$306,"Pending")&gt;0,"P",""))))</f>
        <v/>
      </c>
      <c r="N370" s="23" t="str">
        <f>IF(A370="","",IF(IF(OR(DATE($B$3,11,13)&gt;EOMONTH(DATE($B$3,11,1),0),NETWORKDAYS.INTL(DATE($B$3,11,13),DATE($B$3,11,13),1,'Non-working days'!$A$6:$A$45)=0),"",IF(COUNTIFS('Leave log'!$A$7:$A$306,Employees!$A$29,'Leave log'!$B$7:$B$306,"&lt;="&amp;DATE($B$3,11,13),'Leave log'!$C$7:$C$306,"&gt;="&amp;DATE($B$3,11,13),'Leave log'!$F$7:$F$306,"Approved")&gt;0,"A",""))="A","A",IF(OR(DATE($B$3,11,13)&gt;EOMONTH(DATE($B$3,11,1),0),NETWORKDAYS.INTL(DATE($B$3,11,13),DATE($B$3,11,13),1,'Non-working days'!$A$6:$A$45)=0),"",IF(COUNTIFS('Leave log'!$A$7:$A$306,Employees!$A$29,'Leave log'!$B$7:$B$306,"&lt;="&amp;DATE($B$3,11,13),'Leave log'!$C$7:$C$306,"&gt;="&amp;DATE($B$3,11,13),'Leave log'!$F$7:$F$306,"Pending")&gt;0,"P",""))))</f>
        <v/>
      </c>
      <c r="O370" s="23" t="str">
        <f>IF(A370="","",IF(IF(OR(DATE($B$3,11,14)&gt;EOMONTH(DATE($B$3,11,1),0),NETWORKDAYS.INTL(DATE($B$3,11,14),DATE($B$3,11,14),1,'Non-working days'!$A$6:$A$45)=0),"",IF(COUNTIFS('Leave log'!$A$7:$A$306,Employees!$A$29,'Leave log'!$B$7:$B$306,"&lt;="&amp;DATE($B$3,11,14),'Leave log'!$C$7:$C$306,"&gt;="&amp;DATE($B$3,11,14),'Leave log'!$F$7:$F$306,"Approved")&gt;0,"A",""))="A","A",IF(OR(DATE($B$3,11,14)&gt;EOMONTH(DATE($B$3,11,1),0),NETWORKDAYS.INTL(DATE($B$3,11,14),DATE($B$3,11,14),1,'Non-working days'!$A$6:$A$45)=0),"",IF(COUNTIFS('Leave log'!$A$7:$A$306,Employees!$A$29,'Leave log'!$B$7:$B$306,"&lt;="&amp;DATE($B$3,11,14),'Leave log'!$C$7:$C$306,"&gt;="&amp;DATE($B$3,11,14),'Leave log'!$F$7:$F$306,"Pending")&gt;0,"P",""))))</f>
        <v/>
      </c>
      <c r="P370" s="23" t="str">
        <f>IF(A370="","",IF(IF(OR(DATE($B$3,11,15)&gt;EOMONTH(DATE($B$3,11,1),0),NETWORKDAYS.INTL(DATE($B$3,11,15),DATE($B$3,11,15),1,'Non-working days'!$A$6:$A$45)=0),"",IF(COUNTIFS('Leave log'!$A$7:$A$306,Employees!$A$29,'Leave log'!$B$7:$B$306,"&lt;="&amp;DATE($B$3,11,15),'Leave log'!$C$7:$C$306,"&gt;="&amp;DATE($B$3,11,15),'Leave log'!$F$7:$F$306,"Approved")&gt;0,"A",""))="A","A",IF(OR(DATE($B$3,11,15)&gt;EOMONTH(DATE($B$3,11,1),0),NETWORKDAYS.INTL(DATE($B$3,11,15),DATE($B$3,11,15),1,'Non-working days'!$A$6:$A$45)=0),"",IF(COUNTIFS('Leave log'!$A$7:$A$306,Employees!$A$29,'Leave log'!$B$7:$B$306,"&lt;="&amp;DATE($B$3,11,15),'Leave log'!$C$7:$C$306,"&gt;="&amp;DATE($B$3,11,15),'Leave log'!$F$7:$F$306,"Pending")&gt;0,"P",""))))</f>
        <v/>
      </c>
      <c r="Q370" s="23" t="str">
        <f>IF(A370="","",IF(IF(OR(DATE($B$3,11,16)&gt;EOMONTH(DATE($B$3,11,1),0),NETWORKDAYS.INTL(DATE($B$3,11,16),DATE($B$3,11,16),1,'Non-working days'!$A$6:$A$45)=0),"",IF(COUNTIFS('Leave log'!$A$7:$A$306,Employees!$A$29,'Leave log'!$B$7:$B$306,"&lt;="&amp;DATE($B$3,11,16),'Leave log'!$C$7:$C$306,"&gt;="&amp;DATE($B$3,11,16),'Leave log'!$F$7:$F$306,"Approved")&gt;0,"A",""))="A","A",IF(OR(DATE($B$3,11,16)&gt;EOMONTH(DATE($B$3,11,1),0),NETWORKDAYS.INTL(DATE($B$3,11,16),DATE($B$3,11,16),1,'Non-working days'!$A$6:$A$45)=0),"",IF(COUNTIFS('Leave log'!$A$7:$A$306,Employees!$A$29,'Leave log'!$B$7:$B$306,"&lt;="&amp;DATE($B$3,11,16),'Leave log'!$C$7:$C$306,"&gt;="&amp;DATE($B$3,11,16),'Leave log'!$F$7:$F$306,"Pending")&gt;0,"P",""))))</f>
        <v/>
      </c>
      <c r="R370" s="23" t="str">
        <f>IF(A370="","",IF(IF(OR(DATE($B$3,11,17)&gt;EOMONTH(DATE($B$3,11,1),0),NETWORKDAYS.INTL(DATE($B$3,11,17),DATE($B$3,11,17),1,'Non-working days'!$A$6:$A$45)=0),"",IF(COUNTIFS('Leave log'!$A$7:$A$306,Employees!$A$29,'Leave log'!$B$7:$B$306,"&lt;="&amp;DATE($B$3,11,17),'Leave log'!$C$7:$C$306,"&gt;="&amp;DATE($B$3,11,17),'Leave log'!$F$7:$F$306,"Approved")&gt;0,"A",""))="A","A",IF(OR(DATE($B$3,11,17)&gt;EOMONTH(DATE($B$3,11,1),0),NETWORKDAYS.INTL(DATE($B$3,11,17),DATE($B$3,11,17),1,'Non-working days'!$A$6:$A$45)=0),"",IF(COUNTIFS('Leave log'!$A$7:$A$306,Employees!$A$29,'Leave log'!$B$7:$B$306,"&lt;="&amp;DATE($B$3,11,17),'Leave log'!$C$7:$C$306,"&gt;="&amp;DATE($B$3,11,17),'Leave log'!$F$7:$F$306,"Pending")&gt;0,"P",""))))</f>
        <v/>
      </c>
      <c r="S370" s="23" t="str">
        <f>IF(A370="","",IF(IF(OR(DATE($B$3,11,18)&gt;EOMONTH(DATE($B$3,11,1),0),NETWORKDAYS.INTL(DATE($B$3,11,18),DATE($B$3,11,18),1,'Non-working days'!$A$6:$A$45)=0),"",IF(COUNTIFS('Leave log'!$A$7:$A$306,Employees!$A$29,'Leave log'!$B$7:$B$306,"&lt;="&amp;DATE($B$3,11,18),'Leave log'!$C$7:$C$306,"&gt;="&amp;DATE($B$3,11,18),'Leave log'!$F$7:$F$306,"Approved")&gt;0,"A",""))="A","A",IF(OR(DATE($B$3,11,18)&gt;EOMONTH(DATE($B$3,11,1),0),NETWORKDAYS.INTL(DATE($B$3,11,18),DATE($B$3,11,18),1,'Non-working days'!$A$6:$A$45)=0),"",IF(COUNTIFS('Leave log'!$A$7:$A$306,Employees!$A$29,'Leave log'!$B$7:$B$306,"&lt;="&amp;DATE($B$3,11,18),'Leave log'!$C$7:$C$306,"&gt;="&amp;DATE($B$3,11,18),'Leave log'!$F$7:$F$306,"Pending")&gt;0,"P",""))))</f>
        <v/>
      </c>
      <c r="T370" s="23" t="str">
        <f>IF(A370="","",IF(IF(OR(DATE($B$3,11,19)&gt;EOMONTH(DATE($B$3,11,1),0),NETWORKDAYS.INTL(DATE($B$3,11,19),DATE($B$3,11,19),1,'Non-working days'!$A$6:$A$45)=0),"",IF(COUNTIFS('Leave log'!$A$7:$A$306,Employees!$A$29,'Leave log'!$B$7:$B$306,"&lt;="&amp;DATE($B$3,11,19),'Leave log'!$C$7:$C$306,"&gt;="&amp;DATE($B$3,11,19),'Leave log'!$F$7:$F$306,"Approved")&gt;0,"A",""))="A","A",IF(OR(DATE($B$3,11,19)&gt;EOMONTH(DATE($B$3,11,1),0),NETWORKDAYS.INTL(DATE($B$3,11,19),DATE($B$3,11,19),1,'Non-working days'!$A$6:$A$45)=0),"",IF(COUNTIFS('Leave log'!$A$7:$A$306,Employees!$A$29,'Leave log'!$B$7:$B$306,"&lt;="&amp;DATE($B$3,11,19),'Leave log'!$C$7:$C$306,"&gt;="&amp;DATE($B$3,11,19),'Leave log'!$F$7:$F$306,"Pending")&gt;0,"P",""))))</f>
        <v/>
      </c>
      <c r="U370" s="23" t="str">
        <f>IF(A370="","",IF(IF(OR(DATE($B$3,11,20)&gt;EOMONTH(DATE($B$3,11,1),0),NETWORKDAYS.INTL(DATE($B$3,11,20),DATE($B$3,11,20),1,'Non-working days'!$A$6:$A$45)=0),"",IF(COUNTIFS('Leave log'!$A$7:$A$306,Employees!$A$29,'Leave log'!$B$7:$B$306,"&lt;="&amp;DATE($B$3,11,20),'Leave log'!$C$7:$C$306,"&gt;="&amp;DATE($B$3,11,20),'Leave log'!$F$7:$F$306,"Approved")&gt;0,"A",""))="A","A",IF(OR(DATE($B$3,11,20)&gt;EOMONTH(DATE($B$3,11,1),0),NETWORKDAYS.INTL(DATE($B$3,11,20),DATE($B$3,11,20),1,'Non-working days'!$A$6:$A$45)=0),"",IF(COUNTIFS('Leave log'!$A$7:$A$306,Employees!$A$29,'Leave log'!$B$7:$B$306,"&lt;="&amp;DATE($B$3,11,20),'Leave log'!$C$7:$C$306,"&gt;="&amp;DATE($B$3,11,20),'Leave log'!$F$7:$F$306,"Pending")&gt;0,"P",""))))</f>
        <v/>
      </c>
      <c r="V370" s="23" t="str">
        <f>IF(A370="","",IF(IF(OR(DATE($B$3,11,21)&gt;EOMONTH(DATE($B$3,11,1),0),NETWORKDAYS.INTL(DATE($B$3,11,21),DATE($B$3,11,21),1,'Non-working days'!$A$6:$A$45)=0),"",IF(COUNTIFS('Leave log'!$A$7:$A$306,Employees!$A$29,'Leave log'!$B$7:$B$306,"&lt;="&amp;DATE($B$3,11,21),'Leave log'!$C$7:$C$306,"&gt;="&amp;DATE($B$3,11,21),'Leave log'!$F$7:$F$306,"Approved")&gt;0,"A",""))="A","A",IF(OR(DATE($B$3,11,21)&gt;EOMONTH(DATE($B$3,11,1),0),NETWORKDAYS.INTL(DATE($B$3,11,21),DATE($B$3,11,21),1,'Non-working days'!$A$6:$A$45)=0),"",IF(COUNTIFS('Leave log'!$A$7:$A$306,Employees!$A$29,'Leave log'!$B$7:$B$306,"&lt;="&amp;DATE($B$3,11,21),'Leave log'!$C$7:$C$306,"&gt;="&amp;DATE($B$3,11,21),'Leave log'!$F$7:$F$306,"Pending")&gt;0,"P",""))))</f>
        <v/>
      </c>
      <c r="W370" s="23" t="str">
        <f>IF(A370="","",IF(IF(OR(DATE($B$3,11,22)&gt;EOMONTH(DATE($B$3,11,1),0),NETWORKDAYS.INTL(DATE($B$3,11,22),DATE($B$3,11,22),1,'Non-working days'!$A$6:$A$45)=0),"",IF(COUNTIFS('Leave log'!$A$7:$A$306,Employees!$A$29,'Leave log'!$B$7:$B$306,"&lt;="&amp;DATE($B$3,11,22),'Leave log'!$C$7:$C$306,"&gt;="&amp;DATE($B$3,11,22),'Leave log'!$F$7:$F$306,"Approved")&gt;0,"A",""))="A","A",IF(OR(DATE($B$3,11,22)&gt;EOMONTH(DATE($B$3,11,1),0),NETWORKDAYS.INTL(DATE($B$3,11,22),DATE($B$3,11,22),1,'Non-working days'!$A$6:$A$45)=0),"",IF(COUNTIFS('Leave log'!$A$7:$A$306,Employees!$A$29,'Leave log'!$B$7:$B$306,"&lt;="&amp;DATE($B$3,11,22),'Leave log'!$C$7:$C$306,"&gt;="&amp;DATE($B$3,11,22),'Leave log'!$F$7:$F$306,"Pending")&gt;0,"P",""))))</f>
        <v/>
      </c>
      <c r="X370" s="23" t="str">
        <f>IF(A370="","",IF(IF(OR(DATE($B$3,11,23)&gt;EOMONTH(DATE($B$3,11,1),0),NETWORKDAYS.INTL(DATE($B$3,11,23),DATE($B$3,11,23),1,'Non-working days'!$A$6:$A$45)=0),"",IF(COUNTIFS('Leave log'!$A$7:$A$306,Employees!$A$29,'Leave log'!$B$7:$B$306,"&lt;="&amp;DATE($B$3,11,23),'Leave log'!$C$7:$C$306,"&gt;="&amp;DATE($B$3,11,23),'Leave log'!$F$7:$F$306,"Approved")&gt;0,"A",""))="A","A",IF(OR(DATE($B$3,11,23)&gt;EOMONTH(DATE($B$3,11,1),0),NETWORKDAYS.INTL(DATE($B$3,11,23),DATE($B$3,11,23),1,'Non-working days'!$A$6:$A$45)=0),"",IF(COUNTIFS('Leave log'!$A$7:$A$306,Employees!$A$29,'Leave log'!$B$7:$B$306,"&lt;="&amp;DATE($B$3,11,23),'Leave log'!$C$7:$C$306,"&gt;="&amp;DATE($B$3,11,23),'Leave log'!$F$7:$F$306,"Pending")&gt;0,"P",""))))</f>
        <v/>
      </c>
      <c r="Y370" s="23" t="str">
        <f>IF(A370="","",IF(IF(OR(DATE($B$3,11,24)&gt;EOMONTH(DATE($B$3,11,1),0),NETWORKDAYS.INTL(DATE($B$3,11,24),DATE($B$3,11,24),1,'Non-working days'!$A$6:$A$45)=0),"",IF(COUNTIFS('Leave log'!$A$7:$A$306,Employees!$A$29,'Leave log'!$B$7:$B$306,"&lt;="&amp;DATE($B$3,11,24),'Leave log'!$C$7:$C$306,"&gt;="&amp;DATE($B$3,11,24),'Leave log'!$F$7:$F$306,"Approved")&gt;0,"A",""))="A","A",IF(OR(DATE($B$3,11,24)&gt;EOMONTH(DATE($B$3,11,1),0),NETWORKDAYS.INTL(DATE($B$3,11,24),DATE($B$3,11,24),1,'Non-working days'!$A$6:$A$45)=0),"",IF(COUNTIFS('Leave log'!$A$7:$A$306,Employees!$A$29,'Leave log'!$B$7:$B$306,"&lt;="&amp;DATE($B$3,11,24),'Leave log'!$C$7:$C$306,"&gt;="&amp;DATE($B$3,11,24),'Leave log'!$F$7:$F$306,"Pending")&gt;0,"P",""))))</f>
        <v/>
      </c>
      <c r="Z370" s="23" t="str">
        <f>IF(A370="","",IF(IF(OR(DATE($B$3,11,25)&gt;EOMONTH(DATE($B$3,11,1),0),NETWORKDAYS.INTL(DATE($B$3,11,25),DATE($B$3,11,25),1,'Non-working days'!$A$6:$A$45)=0),"",IF(COUNTIFS('Leave log'!$A$7:$A$306,Employees!$A$29,'Leave log'!$B$7:$B$306,"&lt;="&amp;DATE($B$3,11,25),'Leave log'!$C$7:$C$306,"&gt;="&amp;DATE($B$3,11,25),'Leave log'!$F$7:$F$306,"Approved")&gt;0,"A",""))="A","A",IF(OR(DATE($B$3,11,25)&gt;EOMONTH(DATE($B$3,11,1),0),NETWORKDAYS.INTL(DATE($B$3,11,25),DATE($B$3,11,25),1,'Non-working days'!$A$6:$A$45)=0),"",IF(COUNTIFS('Leave log'!$A$7:$A$306,Employees!$A$29,'Leave log'!$B$7:$B$306,"&lt;="&amp;DATE($B$3,11,25),'Leave log'!$C$7:$C$306,"&gt;="&amp;DATE($B$3,11,25),'Leave log'!$F$7:$F$306,"Pending")&gt;0,"P",""))))</f>
        <v/>
      </c>
      <c r="AA370" s="23" t="str">
        <f>IF(A370="","",IF(IF(OR(DATE($B$3,11,26)&gt;EOMONTH(DATE($B$3,11,1),0),NETWORKDAYS.INTL(DATE($B$3,11,26),DATE($B$3,11,26),1,'Non-working days'!$A$6:$A$45)=0),"",IF(COUNTIFS('Leave log'!$A$7:$A$306,Employees!$A$29,'Leave log'!$B$7:$B$306,"&lt;="&amp;DATE($B$3,11,26),'Leave log'!$C$7:$C$306,"&gt;="&amp;DATE($B$3,11,26),'Leave log'!$F$7:$F$306,"Approved")&gt;0,"A",""))="A","A",IF(OR(DATE($B$3,11,26)&gt;EOMONTH(DATE($B$3,11,1),0),NETWORKDAYS.INTL(DATE($B$3,11,26),DATE($B$3,11,26),1,'Non-working days'!$A$6:$A$45)=0),"",IF(COUNTIFS('Leave log'!$A$7:$A$306,Employees!$A$29,'Leave log'!$B$7:$B$306,"&lt;="&amp;DATE($B$3,11,26),'Leave log'!$C$7:$C$306,"&gt;="&amp;DATE($B$3,11,26),'Leave log'!$F$7:$F$306,"Pending")&gt;0,"P",""))))</f>
        <v/>
      </c>
      <c r="AB370" s="23" t="str">
        <f>IF(A370="","",IF(IF(OR(DATE($B$3,11,27)&gt;EOMONTH(DATE($B$3,11,1),0),NETWORKDAYS.INTL(DATE($B$3,11,27),DATE($B$3,11,27),1,'Non-working days'!$A$6:$A$45)=0),"",IF(COUNTIFS('Leave log'!$A$7:$A$306,Employees!$A$29,'Leave log'!$B$7:$B$306,"&lt;="&amp;DATE($B$3,11,27),'Leave log'!$C$7:$C$306,"&gt;="&amp;DATE($B$3,11,27),'Leave log'!$F$7:$F$306,"Approved")&gt;0,"A",""))="A","A",IF(OR(DATE($B$3,11,27)&gt;EOMONTH(DATE($B$3,11,1),0),NETWORKDAYS.INTL(DATE($B$3,11,27),DATE($B$3,11,27),1,'Non-working days'!$A$6:$A$45)=0),"",IF(COUNTIFS('Leave log'!$A$7:$A$306,Employees!$A$29,'Leave log'!$B$7:$B$306,"&lt;="&amp;DATE($B$3,11,27),'Leave log'!$C$7:$C$306,"&gt;="&amp;DATE($B$3,11,27),'Leave log'!$F$7:$F$306,"Pending")&gt;0,"P",""))))</f>
        <v/>
      </c>
      <c r="AC370" s="23" t="str">
        <f>IF(A370="","",IF(IF(OR(DATE($B$3,11,28)&gt;EOMONTH(DATE($B$3,11,1),0),NETWORKDAYS.INTL(DATE($B$3,11,28),DATE($B$3,11,28),1,'Non-working days'!$A$6:$A$45)=0),"",IF(COUNTIFS('Leave log'!$A$7:$A$306,Employees!$A$29,'Leave log'!$B$7:$B$306,"&lt;="&amp;DATE($B$3,11,28),'Leave log'!$C$7:$C$306,"&gt;="&amp;DATE($B$3,11,28),'Leave log'!$F$7:$F$306,"Approved")&gt;0,"A",""))="A","A",IF(OR(DATE($B$3,11,28)&gt;EOMONTH(DATE($B$3,11,1),0),NETWORKDAYS.INTL(DATE($B$3,11,28),DATE($B$3,11,28),1,'Non-working days'!$A$6:$A$45)=0),"",IF(COUNTIFS('Leave log'!$A$7:$A$306,Employees!$A$29,'Leave log'!$B$7:$B$306,"&lt;="&amp;DATE($B$3,11,28),'Leave log'!$C$7:$C$306,"&gt;="&amp;DATE($B$3,11,28),'Leave log'!$F$7:$F$306,"Pending")&gt;0,"P",""))))</f>
        <v/>
      </c>
      <c r="AD370" s="23" t="str">
        <f>IF(A370="","",IF(IF(OR(DATE($B$3,11,29)&gt;EOMONTH(DATE($B$3,11,1),0),NETWORKDAYS.INTL(DATE($B$3,11,29),DATE($B$3,11,29),1,'Non-working days'!$A$6:$A$45)=0),"",IF(COUNTIFS('Leave log'!$A$7:$A$306,Employees!$A$29,'Leave log'!$B$7:$B$306,"&lt;="&amp;DATE($B$3,11,29),'Leave log'!$C$7:$C$306,"&gt;="&amp;DATE($B$3,11,29),'Leave log'!$F$7:$F$306,"Approved")&gt;0,"A",""))="A","A",IF(OR(DATE($B$3,11,29)&gt;EOMONTH(DATE($B$3,11,1),0),NETWORKDAYS.INTL(DATE($B$3,11,29),DATE($B$3,11,29),1,'Non-working days'!$A$6:$A$45)=0),"",IF(COUNTIFS('Leave log'!$A$7:$A$306,Employees!$A$29,'Leave log'!$B$7:$B$306,"&lt;="&amp;DATE($B$3,11,29),'Leave log'!$C$7:$C$306,"&gt;="&amp;DATE($B$3,11,29),'Leave log'!$F$7:$F$306,"Pending")&gt;0,"P",""))))</f>
        <v/>
      </c>
      <c r="AE370" s="23" t="str">
        <f>IF(A370="","",IF(IF(OR(DATE($B$3,11,30)&gt;EOMONTH(DATE($B$3,11,1),0),NETWORKDAYS.INTL(DATE($B$3,11,30),DATE($B$3,11,30),1,'Non-working days'!$A$6:$A$45)=0),"",IF(COUNTIFS('Leave log'!$A$7:$A$306,Employees!$A$29,'Leave log'!$B$7:$B$306,"&lt;="&amp;DATE($B$3,11,30),'Leave log'!$C$7:$C$306,"&gt;="&amp;DATE($B$3,11,30),'Leave log'!$F$7:$F$306,"Approved")&gt;0,"A",""))="A","A",IF(OR(DATE($B$3,11,30)&gt;EOMONTH(DATE($B$3,11,1),0),NETWORKDAYS.INTL(DATE($B$3,11,30),DATE($B$3,11,30),1,'Non-working days'!$A$6:$A$45)=0),"",IF(COUNTIFS('Leave log'!$A$7:$A$306,Employees!$A$29,'Leave log'!$B$7:$B$306,"&lt;="&amp;DATE($B$3,11,30),'Leave log'!$C$7:$C$306,"&gt;="&amp;DATE($B$3,11,30),'Leave log'!$F$7:$F$306,"Pending")&gt;0,"P",""))))</f>
        <v/>
      </c>
      <c r="AF370" s="23" t="str">
        <f>IF(A370="","",IF(IF(OR(DATE($B$3,11,31)&gt;EOMONTH(DATE($B$3,11,1),0),NETWORKDAYS.INTL(DATE($B$3,11,31),DATE($B$3,11,31),1,'Non-working days'!$A$6:$A$45)=0),"",IF(COUNTIFS('Leave log'!$A$7:$A$306,Employees!$A$29,'Leave log'!$B$7:$B$306,"&lt;="&amp;DATE($B$3,11,31),'Leave log'!$C$7:$C$306,"&gt;="&amp;DATE($B$3,11,31),'Leave log'!$F$7:$F$306,"Approved")&gt;0,"A",""))="A","A",IF(OR(DATE($B$3,11,31)&gt;EOMONTH(DATE($B$3,11,1),0),NETWORKDAYS.INTL(DATE($B$3,11,31),DATE($B$3,11,31),1,'Non-working days'!$A$6:$A$45)=0),"",IF(COUNTIFS('Leave log'!$A$7:$A$306,Employees!$A$29,'Leave log'!$B$7:$B$306,"&lt;="&amp;DATE($B$3,11,31),'Leave log'!$C$7:$C$306,"&gt;="&amp;DATE($B$3,11,31),'Leave log'!$F$7:$F$306,"Pending")&gt;0,"P",""))))</f>
        <v/>
      </c>
    </row>
    <row r="371" spans="1:32" ht="18" customHeight="1" x14ac:dyDescent="0.3">
      <c r="A371" s="22" t="str">
        <f>IF(Employees!F30="Yes",Employees!B30,"")</f>
        <v/>
      </c>
      <c r="B371" s="23" t="str">
        <f>IF(A371="","",IF(IF(OR(DATE($B$3,11,1)&gt;EOMONTH(DATE($B$3,11,1),0),NETWORKDAYS.INTL(DATE($B$3,11,1),DATE($B$3,11,1),1,'Non-working days'!$A$6:$A$45)=0),"",IF(COUNTIFS('Leave log'!$A$7:$A$306,Employees!$A$30,'Leave log'!$B$7:$B$306,"&lt;="&amp;DATE($B$3,11,1),'Leave log'!$C$7:$C$306,"&gt;="&amp;DATE($B$3,11,1),'Leave log'!$F$7:$F$306,"Approved")&gt;0,"A",""))="A","A",IF(OR(DATE($B$3,11,1)&gt;EOMONTH(DATE($B$3,11,1),0),NETWORKDAYS.INTL(DATE($B$3,11,1),DATE($B$3,11,1),1,'Non-working days'!$A$6:$A$45)=0),"",IF(COUNTIFS('Leave log'!$A$7:$A$306,Employees!$A$30,'Leave log'!$B$7:$B$306,"&lt;="&amp;DATE($B$3,11,1),'Leave log'!$C$7:$C$306,"&gt;="&amp;DATE($B$3,11,1),'Leave log'!$F$7:$F$306,"Pending")&gt;0,"P",""))))</f>
        <v/>
      </c>
      <c r="C371" s="23" t="str">
        <f>IF(A371="","",IF(IF(OR(DATE($B$3,11,2)&gt;EOMONTH(DATE($B$3,11,1),0),NETWORKDAYS.INTL(DATE($B$3,11,2),DATE($B$3,11,2),1,'Non-working days'!$A$6:$A$45)=0),"",IF(COUNTIFS('Leave log'!$A$7:$A$306,Employees!$A$30,'Leave log'!$B$7:$B$306,"&lt;="&amp;DATE($B$3,11,2),'Leave log'!$C$7:$C$306,"&gt;="&amp;DATE($B$3,11,2),'Leave log'!$F$7:$F$306,"Approved")&gt;0,"A",""))="A","A",IF(OR(DATE($B$3,11,2)&gt;EOMONTH(DATE($B$3,11,1),0),NETWORKDAYS.INTL(DATE($B$3,11,2),DATE($B$3,11,2),1,'Non-working days'!$A$6:$A$45)=0),"",IF(COUNTIFS('Leave log'!$A$7:$A$306,Employees!$A$30,'Leave log'!$B$7:$B$306,"&lt;="&amp;DATE($B$3,11,2),'Leave log'!$C$7:$C$306,"&gt;="&amp;DATE($B$3,11,2),'Leave log'!$F$7:$F$306,"Pending")&gt;0,"P",""))))</f>
        <v/>
      </c>
      <c r="D371" s="23" t="str">
        <f>IF(A371="","",IF(IF(OR(DATE($B$3,11,3)&gt;EOMONTH(DATE($B$3,11,1),0),NETWORKDAYS.INTL(DATE($B$3,11,3),DATE($B$3,11,3),1,'Non-working days'!$A$6:$A$45)=0),"",IF(COUNTIFS('Leave log'!$A$7:$A$306,Employees!$A$30,'Leave log'!$B$7:$B$306,"&lt;="&amp;DATE($B$3,11,3),'Leave log'!$C$7:$C$306,"&gt;="&amp;DATE($B$3,11,3),'Leave log'!$F$7:$F$306,"Approved")&gt;0,"A",""))="A","A",IF(OR(DATE($B$3,11,3)&gt;EOMONTH(DATE($B$3,11,1),0),NETWORKDAYS.INTL(DATE($B$3,11,3),DATE($B$3,11,3),1,'Non-working days'!$A$6:$A$45)=0),"",IF(COUNTIFS('Leave log'!$A$7:$A$306,Employees!$A$30,'Leave log'!$B$7:$B$306,"&lt;="&amp;DATE($B$3,11,3),'Leave log'!$C$7:$C$306,"&gt;="&amp;DATE($B$3,11,3),'Leave log'!$F$7:$F$306,"Pending")&gt;0,"P",""))))</f>
        <v/>
      </c>
      <c r="E371" s="23" t="str">
        <f>IF(A371="","",IF(IF(OR(DATE($B$3,11,4)&gt;EOMONTH(DATE($B$3,11,1),0),NETWORKDAYS.INTL(DATE($B$3,11,4),DATE($B$3,11,4),1,'Non-working days'!$A$6:$A$45)=0),"",IF(COUNTIFS('Leave log'!$A$7:$A$306,Employees!$A$30,'Leave log'!$B$7:$B$306,"&lt;="&amp;DATE($B$3,11,4),'Leave log'!$C$7:$C$306,"&gt;="&amp;DATE($B$3,11,4),'Leave log'!$F$7:$F$306,"Approved")&gt;0,"A",""))="A","A",IF(OR(DATE($B$3,11,4)&gt;EOMONTH(DATE($B$3,11,1),0),NETWORKDAYS.INTL(DATE($B$3,11,4),DATE($B$3,11,4),1,'Non-working days'!$A$6:$A$45)=0),"",IF(COUNTIFS('Leave log'!$A$7:$A$306,Employees!$A$30,'Leave log'!$B$7:$B$306,"&lt;="&amp;DATE($B$3,11,4),'Leave log'!$C$7:$C$306,"&gt;="&amp;DATE($B$3,11,4),'Leave log'!$F$7:$F$306,"Pending")&gt;0,"P",""))))</f>
        <v/>
      </c>
      <c r="F371" s="23" t="str">
        <f>IF(A371="","",IF(IF(OR(DATE($B$3,11,5)&gt;EOMONTH(DATE($B$3,11,1),0),NETWORKDAYS.INTL(DATE($B$3,11,5),DATE($B$3,11,5),1,'Non-working days'!$A$6:$A$45)=0),"",IF(COUNTIFS('Leave log'!$A$7:$A$306,Employees!$A$30,'Leave log'!$B$7:$B$306,"&lt;="&amp;DATE($B$3,11,5),'Leave log'!$C$7:$C$306,"&gt;="&amp;DATE($B$3,11,5),'Leave log'!$F$7:$F$306,"Approved")&gt;0,"A",""))="A","A",IF(OR(DATE($B$3,11,5)&gt;EOMONTH(DATE($B$3,11,1),0),NETWORKDAYS.INTL(DATE($B$3,11,5),DATE($B$3,11,5),1,'Non-working days'!$A$6:$A$45)=0),"",IF(COUNTIFS('Leave log'!$A$7:$A$306,Employees!$A$30,'Leave log'!$B$7:$B$306,"&lt;="&amp;DATE($B$3,11,5),'Leave log'!$C$7:$C$306,"&gt;="&amp;DATE($B$3,11,5),'Leave log'!$F$7:$F$306,"Pending")&gt;0,"P",""))))</f>
        <v/>
      </c>
      <c r="G371" s="23" t="str">
        <f>IF(A371="","",IF(IF(OR(DATE($B$3,11,6)&gt;EOMONTH(DATE($B$3,11,1),0),NETWORKDAYS.INTL(DATE($B$3,11,6),DATE($B$3,11,6),1,'Non-working days'!$A$6:$A$45)=0),"",IF(COUNTIFS('Leave log'!$A$7:$A$306,Employees!$A$30,'Leave log'!$B$7:$B$306,"&lt;="&amp;DATE($B$3,11,6),'Leave log'!$C$7:$C$306,"&gt;="&amp;DATE($B$3,11,6),'Leave log'!$F$7:$F$306,"Approved")&gt;0,"A",""))="A","A",IF(OR(DATE($B$3,11,6)&gt;EOMONTH(DATE($B$3,11,1),0),NETWORKDAYS.INTL(DATE($B$3,11,6),DATE($B$3,11,6),1,'Non-working days'!$A$6:$A$45)=0),"",IF(COUNTIFS('Leave log'!$A$7:$A$306,Employees!$A$30,'Leave log'!$B$7:$B$306,"&lt;="&amp;DATE($B$3,11,6),'Leave log'!$C$7:$C$306,"&gt;="&amp;DATE($B$3,11,6),'Leave log'!$F$7:$F$306,"Pending")&gt;0,"P",""))))</f>
        <v/>
      </c>
      <c r="H371" s="23" t="str">
        <f>IF(A371="","",IF(IF(OR(DATE($B$3,11,7)&gt;EOMONTH(DATE($B$3,11,1),0),NETWORKDAYS.INTL(DATE($B$3,11,7),DATE($B$3,11,7),1,'Non-working days'!$A$6:$A$45)=0),"",IF(COUNTIFS('Leave log'!$A$7:$A$306,Employees!$A$30,'Leave log'!$B$7:$B$306,"&lt;="&amp;DATE($B$3,11,7),'Leave log'!$C$7:$C$306,"&gt;="&amp;DATE($B$3,11,7),'Leave log'!$F$7:$F$306,"Approved")&gt;0,"A",""))="A","A",IF(OR(DATE($B$3,11,7)&gt;EOMONTH(DATE($B$3,11,1),0),NETWORKDAYS.INTL(DATE($B$3,11,7),DATE($B$3,11,7),1,'Non-working days'!$A$6:$A$45)=0),"",IF(COUNTIFS('Leave log'!$A$7:$A$306,Employees!$A$30,'Leave log'!$B$7:$B$306,"&lt;="&amp;DATE($B$3,11,7),'Leave log'!$C$7:$C$306,"&gt;="&amp;DATE($B$3,11,7),'Leave log'!$F$7:$F$306,"Pending")&gt;0,"P",""))))</f>
        <v/>
      </c>
      <c r="I371" s="23" t="str">
        <f>IF(A371="","",IF(IF(OR(DATE($B$3,11,8)&gt;EOMONTH(DATE($B$3,11,1),0),NETWORKDAYS.INTL(DATE($B$3,11,8),DATE($B$3,11,8),1,'Non-working days'!$A$6:$A$45)=0),"",IF(COUNTIFS('Leave log'!$A$7:$A$306,Employees!$A$30,'Leave log'!$B$7:$B$306,"&lt;="&amp;DATE($B$3,11,8),'Leave log'!$C$7:$C$306,"&gt;="&amp;DATE($B$3,11,8),'Leave log'!$F$7:$F$306,"Approved")&gt;0,"A",""))="A","A",IF(OR(DATE($B$3,11,8)&gt;EOMONTH(DATE($B$3,11,1),0),NETWORKDAYS.INTL(DATE($B$3,11,8),DATE($B$3,11,8),1,'Non-working days'!$A$6:$A$45)=0),"",IF(COUNTIFS('Leave log'!$A$7:$A$306,Employees!$A$30,'Leave log'!$B$7:$B$306,"&lt;="&amp;DATE($B$3,11,8),'Leave log'!$C$7:$C$306,"&gt;="&amp;DATE($B$3,11,8),'Leave log'!$F$7:$F$306,"Pending")&gt;0,"P",""))))</f>
        <v/>
      </c>
      <c r="J371" s="23" t="str">
        <f>IF(A371="","",IF(IF(OR(DATE($B$3,11,9)&gt;EOMONTH(DATE($B$3,11,1),0),NETWORKDAYS.INTL(DATE($B$3,11,9),DATE($B$3,11,9),1,'Non-working days'!$A$6:$A$45)=0),"",IF(COUNTIFS('Leave log'!$A$7:$A$306,Employees!$A$30,'Leave log'!$B$7:$B$306,"&lt;="&amp;DATE($B$3,11,9),'Leave log'!$C$7:$C$306,"&gt;="&amp;DATE($B$3,11,9),'Leave log'!$F$7:$F$306,"Approved")&gt;0,"A",""))="A","A",IF(OR(DATE($B$3,11,9)&gt;EOMONTH(DATE($B$3,11,1),0),NETWORKDAYS.INTL(DATE($B$3,11,9),DATE($B$3,11,9),1,'Non-working days'!$A$6:$A$45)=0),"",IF(COUNTIFS('Leave log'!$A$7:$A$306,Employees!$A$30,'Leave log'!$B$7:$B$306,"&lt;="&amp;DATE($B$3,11,9),'Leave log'!$C$7:$C$306,"&gt;="&amp;DATE($B$3,11,9),'Leave log'!$F$7:$F$306,"Pending")&gt;0,"P",""))))</f>
        <v/>
      </c>
      <c r="K371" s="23" t="str">
        <f>IF(A371="","",IF(IF(OR(DATE($B$3,11,10)&gt;EOMONTH(DATE($B$3,11,1),0),NETWORKDAYS.INTL(DATE($B$3,11,10),DATE($B$3,11,10),1,'Non-working days'!$A$6:$A$45)=0),"",IF(COUNTIFS('Leave log'!$A$7:$A$306,Employees!$A$30,'Leave log'!$B$7:$B$306,"&lt;="&amp;DATE($B$3,11,10),'Leave log'!$C$7:$C$306,"&gt;="&amp;DATE($B$3,11,10),'Leave log'!$F$7:$F$306,"Approved")&gt;0,"A",""))="A","A",IF(OR(DATE($B$3,11,10)&gt;EOMONTH(DATE($B$3,11,1),0),NETWORKDAYS.INTL(DATE($B$3,11,10),DATE($B$3,11,10),1,'Non-working days'!$A$6:$A$45)=0),"",IF(COUNTIFS('Leave log'!$A$7:$A$306,Employees!$A$30,'Leave log'!$B$7:$B$306,"&lt;="&amp;DATE($B$3,11,10),'Leave log'!$C$7:$C$306,"&gt;="&amp;DATE($B$3,11,10),'Leave log'!$F$7:$F$306,"Pending")&gt;0,"P",""))))</f>
        <v/>
      </c>
      <c r="L371" s="23" t="str">
        <f>IF(A371="","",IF(IF(OR(DATE($B$3,11,11)&gt;EOMONTH(DATE($B$3,11,1),0),NETWORKDAYS.INTL(DATE($B$3,11,11),DATE($B$3,11,11),1,'Non-working days'!$A$6:$A$45)=0),"",IF(COUNTIFS('Leave log'!$A$7:$A$306,Employees!$A$30,'Leave log'!$B$7:$B$306,"&lt;="&amp;DATE($B$3,11,11),'Leave log'!$C$7:$C$306,"&gt;="&amp;DATE($B$3,11,11),'Leave log'!$F$7:$F$306,"Approved")&gt;0,"A",""))="A","A",IF(OR(DATE($B$3,11,11)&gt;EOMONTH(DATE($B$3,11,1),0),NETWORKDAYS.INTL(DATE($B$3,11,11),DATE($B$3,11,11),1,'Non-working days'!$A$6:$A$45)=0),"",IF(COUNTIFS('Leave log'!$A$7:$A$306,Employees!$A$30,'Leave log'!$B$7:$B$306,"&lt;="&amp;DATE($B$3,11,11),'Leave log'!$C$7:$C$306,"&gt;="&amp;DATE($B$3,11,11),'Leave log'!$F$7:$F$306,"Pending")&gt;0,"P",""))))</f>
        <v/>
      </c>
      <c r="M371" s="23" t="str">
        <f>IF(A371="","",IF(IF(OR(DATE($B$3,11,12)&gt;EOMONTH(DATE($B$3,11,1),0),NETWORKDAYS.INTL(DATE($B$3,11,12),DATE($B$3,11,12),1,'Non-working days'!$A$6:$A$45)=0),"",IF(COUNTIFS('Leave log'!$A$7:$A$306,Employees!$A$30,'Leave log'!$B$7:$B$306,"&lt;="&amp;DATE($B$3,11,12),'Leave log'!$C$7:$C$306,"&gt;="&amp;DATE($B$3,11,12),'Leave log'!$F$7:$F$306,"Approved")&gt;0,"A",""))="A","A",IF(OR(DATE($B$3,11,12)&gt;EOMONTH(DATE($B$3,11,1),0),NETWORKDAYS.INTL(DATE($B$3,11,12),DATE($B$3,11,12),1,'Non-working days'!$A$6:$A$45)=0),"",IF(COUNTIFS('Leave log'!$A$7:$A$306,Employees!$A$30,'Leave log'!$B$7:$B$306,"&lt;="&amp;DATE($B$3,11,12),'Leave log'!$C$7:$C$306,"&gt;="&amp;DATE($B$3,11,12),'Leave log'!$F$7:$F$306,"Pending")&gt;0,"P",""))))</f>
        <v/>
      </c>
      <c r="N371" s="23" t="str">
        <f>IF(A371="","",IF(IF(OR(DATE($B$3,11,13)&gt;EOMONTH(DATE($B$3,11,1),0),NETWORKDAYS.INTL(DATE($B$3,11,13),DATE($B$3,11,13),1,'Non-working days'!$A$6:$A$45)=0),"",IF(COUNTIFS('Leave log'!$A$7:$A$306,Employees!$A$30,'Leave log'!$B$7:$B$306,"&lt;="&amp;DATE($B$3,11,13),'Leave log'!$C$7:$C$306,"&gt;="&amp;DATE($B$3,11,13),'Leave log'!$F$7:$F$306,"Approved")&gt;0,"A",""))="A","A",IF(OR(DATE($B$3,11,13)&gt;EOMONTH(DATE($B$3,11,1),0),NETWORKDAYS.INTL(DATE($B$3,11,13),DATE($B$3,11,13),1,'Non-working days'!$A$6:$A$45)=0),"",IF(COUNTIFS('Leave log'!$A$7:$A$306,Employees!$A$30,'Leave log'!$B$7:$B$306,"&lt;="&amp;DATE($B$3,11,13),'Leave log'!$C$7:$C$306,"&gt;="&amp;DATE($B$3,11,13),'Leave log'!$F$7:$F$306,"Pending")&gt;0,"P",""))))</f>
        <v/>
      </c>
      <c r="O371" s="23" t="str">
        <f>IF(A371="","",IF(IF(OR(DATE($B$3,11,14)&gt;EOMONTH(DATE($B$3,11,1),0),NETWORKDAYS.INTL(DATE($B$3,11,14),DATE($B$3,11,14),1,'Non-working days'!$A$6:$A$45)=0),"",IF(COUNTIFS('Leave log'!$A$7:$A$306,Employees!$A$30,'Leave log'!$B$7:$B$306,"&lt;="&amp;DATE($B$3,11,14),'Leave log'!$C$7:$C$306,"&gt;="&amp;DATE($B$3,11,14),'Leave log'!$F$7:$F$306,"Approved")&gt;0,"A",""))="A","A",IF(OR(DATE($B$3,11,14)&gt;EOMONTH(DATE($B$3,11,1),0),NETWORKDAYS.INTL(DATE($B$3,11,14),DATE($B$3,11,14),1,'Non-working days'!$A$6:$A$45)=0),"",IF(COUNTIFS('Leave log'!$A$7:$A$306,Employees!$A$30,'Leave log'!$B$7:$B$306,"&lt;="&amp;DATE($B$3,11,14),'Leave log'!$C$7:$C$306,"&gt;="&amp;DATE($B$3,11,14),'Leave log'!$F$7:$F$306,"Pending")&gt;0,"P",""))))</f>
        <v/>
      </c>
      <c r="P371" s="23" t="str">
        <f>IF(A371="","",IF(IF(OR(DATE($B$3,11,15)&gt;EOMONTH(DATE($B$3,11,1),0),NETWORKDAYS.INTL(DATE($B$3,11,15),DATE($B$3,11,15),1,'Non-working days'!$A$6:$A$45)=0),"",IF(COUNTIFS('Leave log'!$A$7:$A$306,Employees!$A$30,'Leave log'!$B$7:$B$306,"&lt;="&amp;DATE($B$3,11,15),'Leave log'!$C$7:$C$306,"&gt;="&amp;DATE($B$3,11,15),'Leave log'!$F$7:$F$306,"Approved")&gt;0,"A",""))="A","A",IF(OR(DATE($B$3,11,15)&gt;EOMONTH(DATE($B$3,11,1),0),NETWORKDAYS.INTL(DATE($B$3,11,15),DATE($B$3,11,15),1,'Non-working days'!$A$6:$A$45)=0),"",IF(COUNTIFS('Leave log'!$A$7:$A$306,Employees!$A$30,'Leave log'!$B$7:$B$306,"&lt;="&amp;DATE($B$3,11,15),'Leave log'!$C$7:$C$306,"&gt;="&amp;DATE($B$3,11,15),'Leave log'!$F$7:$F$306,"Pending")&gt;0,"P",""))))</f>
        <v/>
      </c>
      <c r="Q371" s="23" t="str">
        <f>IF(A371="","",IF(IF(OR(DATE($B$3,11,16)&gt;EOMONTH(DATE($B$3,11,1),0),NETWORKDAYS.INTL(DATE($B$3,11,16),DATE($B$3,11,16),1,'Non-working days'!$A$6:$A$45)=0),"",IF(COUNTIFS('Leave log'!$A$7:$A$306,Employees!$A$30,'Leave log'!$B$7:$B$306,"&lt;="&amp;DATE($B$3,11,16),'Leave log'!$C$7:$C$306,"&gt;="&amp;DATE($B$3,11,16),'Leave log'!$F$7:$F$306,"Approved")&gt;0,"A",""))="A","A",IF(OR(DATE($B$3,11,16)&gt;EOMONTH(DATE($B$3,11,1),0),NETWORKDAYS.INTL(DATE($B$3,11,16),DATE($B$3,11,16),1,'Non-working days'!$A$6:$A$45)=0),"",IF(COUNTIFS('Leave log'!$A$7:$A$306,Employees!$A$30,'Leave log'!$B$7:$B$306,"&lt;="&amp;DATE($B$3,11,16),'Leave log'!$C$7:$C$306,"&gt;="&amp;DATE($B$3,11,16),'Leave log'!$F$7:$F$306,"Pending")&gt;0,"P",""))))</f>
        <v/>
      </c>
      <c r="R371" s="23" t="str">
        <f>IF(A371="","",IF(IF(OR(DATE($B$3,11,17)&gt;EOMONTH(DATE($B$3,11,1),0),NETWORKDAYS.INTL(DATE($B$3,11,17),DATE($B$3,11,17),1,'Non-working days'!$A$6:$A$45)=0),"",IF(COUNTIFS('Leave log'!$A$7:$A$306,Employees!$A$30,'Leave log'!$B$7:$B$306,"&lt;="&amp;DATE($B$3,11,17),'Leave log'!$C$7:$C$306,"&gt;="&amp;DATE($B$3,11,17),'Leave log'!$F$7:$F$306,"Approved")&gt;0,"A",""))="A","A",IF(OR(DATE($B$3,11,17)&gt;EOMONTH(DATE($B$3,11,1),0),NETWORKDAYS.INTL(DATE($B$3,11,17),DATE($B$3,11,17),1,'Non-working days'!$A$6:$A$45)=0),"",IF(COUNTIFS('Leave log'!$A$7:$A$306,Employees!$A$30,'Leave log'!$B$7:$B$306,"&lt;="&amp;DATE($B$3,11,17),'Leave log'!$C$7:$C$306,"&gt;="&amp;DATE($B$3,11,17),'Leave log'!$F$7:$F$306,"Pending")&gt;0,"P",""))))</f>
        <v/>
      </c>
      <c r="S371" s="23" t="str">
        <f>IF(A371="","",IF(IF(OR(DATE($B$3,11,18)&gt;EOMONTH(DATE($B$3,11,1),0),NETWORKDAYS.INTL(DATE($B$3,11,18),DATE($B$3,11,18),1,'Non-working days'!$A$6:$A$45)=0),"",IF(COUNTIFS('Leave log'!$A$7:$A$306,Employees!$A$30,'Leave log'!$B$7:$B$306,"&lt;="&amp;DATE($B$3,11,18),'Leave log'!$C$7:$C$306,"&gt;="&amp;DATE($B$3,11,18),'Leave log'!$F$7:$F$306,"Approved")&gt;0,"A",""))="A","A",IF(OR(DATE($B$3,11,18)&gt;EOMONTH(DATE($B$3,11,1),0),NETWORKDAYS.INTL(DATE($B$3,11,18),DATE($B$3,11,18),1,'Non-working days'!$A$6:$A$45)=0),"",IF(COUNTIFS('Leave log'!$A$7:$A$306,Employees!$A$30,'Leave log'!$B$7:$B$306,"&lt;="&amp;DATE($B$3,11,18),'Leave log'!$C$7:$C$306,"&gt;="&amp;DATE($B$3,11,18),'Leave log'!$F$7:$F$306,"Pending")&gt;0,"P",""))))</f>
        <v/>
      </c>
      <c r="T371" s="23" t="str">
        <f>IF(A371="","",IF(IF(OR(DATE($B$3,11,19)&gt;EOMONTH(DATE($B$3,11,1),0),NETWORKDAYS.INTL(DATE($B$3,11,19),DATE($B$3,11,19),1,'Non-working days'!$A$6:$A$45)=0),"",IF(COUNTIFS('Leave log'!$A$7:$A$306,Employees!$A$30,'Leave log'!$B$7:$B$306,"&lt;="&amp;DATE($B$3,11,19),'Leave log'!$C$7:$C$306,"&gt;="&amp;DATE($B$3,11,19),'Leave log'!$F$7:$F$306,"Approved")&gt;0,"A",""))="A","A",IF(OR(DATE($B$3,11,19)&gt;EOMONTH(DATE($B$3,11,1),0),NETWORKDAYS.INTL(DATE($B$3,11,19),DATE($B$3,11,19),1,'Non-working days'!$A$6:$A$45)=0),"",IF(COUNTIFS('Leave log'!$A$7:$A$306,Employees!$A$30,'Leave log'!$B$7:$B$306,"&lt;="&amp;DATE($B$3,11,19),'Leave log'!$C$7:$C$306,"&gt;="&amp;DATE($B$3,11,19),'Leave log'!$F$7:$F$306,"Pending")&gt;0,"P",""))))</f>
        <v/>
      </c>
      <c r="U371" s="23" t="str">
        <f>IF(A371="","",IF(IF(OR(DATE($B$3,11,20)&gt;EOMONTH(DATE($B$3,11,1),0),NETWORKDAYS.INTL(DATE($B$3,11,20),DATE($B$3,11,20),1,'Non-working days'!$A$6:$A$45)=0),"",IF(COUNTIFS('Leave log'!$A$7:$A$306,Employees!$A$30,'Leave log'!$B$7:$B$306,"&lt;="&amp;DATE($B$3,11,20),'Leave log'!$C$7:$C$306,"&gt;="&amp;DATE($B$3,11,20),'Leave log'!$F$7:$F$306,"Approved")&gt;0,"A",""))="A","A",IF(OR(DATE($B$3,11,20)&gt;EOMONTH(DATE($B$3,11,1),0),NETWORKDAYS.INTL(DATE($B$3,11,20),DATE($B$3,11,20),1,'Non-working days'!$A$6:$A$45)=0),"",IF(COUNTIFS('Leave log'!$A$7:$A$306,Employees!$A$30,'Leave log'!$B$7:$B$306,"&lt;="&amp;DATE($B$3,11,20),'Leave log'!$C$7:$C$306,"&gt;="&amp;DATE($B$3,11,20),'Leave log'!$F$7:$F$306,"Pending")&gt;0,"P",""))))</f>
        <v/>
      </c>
      <c r="V371" s="23" t="str">
        <f>IF(A371="","",IF(IF(OR(DATE($B$3,11,21)&gt;EOMONTH(DATE($B$3,11,1),0),NETWORKDAYS.INTL(DATE($B$3,11,21),DATE($B$3,11,21),1,'Non-working days'!$A$6:$A$45)=0),"",IF(COUNTIFS('Leave log'!$A$7:$A$306,Employees!$A$30,'Leave log'!$B$7:$B$306,"&lt;="&amp;DATE($B$3,11,21),'Leave log'!$C$7:$C$306,"&gt;="&amp;DATE($B$3,11,21),'Leave log'!$F$7:$F$306,"Approved")&gt;0,"A",""))="A","A",IF(OR(DATE($B$3,11,21)&gt;EOMONTH(DATE($B$3,11,1),0),NETWORKDAYS.INTL(DATE($B$3,11,21),DATE($B$3,11,21),1,'Non-working days'!$A$6:$A$45)=0),"",IF(COUNTIFS('Leave log'!$A$7:$A$306,Employees!$A$30,'Leave log'!$B$7:$B$306,"&lt;="&amp;DATE($B$3,11,21),'Leave log'!$C$7:$C$306,"&gt;="&amp;DATE($B$3,11,21),'Leave log'!$F$7:$F$306,"Pending")&gt;0,"P",""))))</f>
        <v/>
      </c>
      <c r="W371" s="23" t="str">
        <f>IF(A371="","",IF(IF(OR(DATE($B$3,11,22)&gt;EOMONTH(DATE($B$3,11,1),0),NETWORKDAYS.INTL(DATE($B$3,11,22),DATE($B$3,11,22),1,'Non-working days'!$A$6:$A$45)=0),"",IF(COUNTIFS('Leave log'!$A$7:$A$306,Employees!$A$30,'Leave log'!$B$7:$B$306,"&lt;="&amp;DATE($B$3,11,22),'Leave log'!$C$7:$C$306,"&gt;="&amp;DATE($B$3,11,22),'Leave log'!$F$7:$F$306,"Approved")&gt;0,"A",""))="A","A",IF(OR(DATE($B$3,11,22)&gt;EOMONTH(DATE($B$3,11,1),0),NETWORKDAYS.INTL(DATE($B$3,11,22),DATE($B$3,11,22),1,'Non-working days'!$A$6:$A$45)=0),"",IF(COUNTIFS('Leave log'!$A$7:$A$306,Employees!$A$30,'Leave log'!$B$7:$B$306,"&lt;="&amp;DATE($B$3,11,22),'Leave log'!$C$7:$C$306,"&gt;="&amp;DATE($B$3,11,22),'Leave log'!$F$7:$F$306,"Pending")&gt;0,"P",""))))</f>
        <v/>
      </c>
      <c r="X371" s="23" t="str">
        <f>IF(A371="","",IF(IF(OR(DATE($B$3,11,23)&gt;EOMONTH(DATE($B$3,11,1),0),NETWORKDAYS.INTL(DATE($B$3,11,23),DATE($B$3,11,23),1,'Non-working days'!$A$6:$A$45)=0),"",IF(COUNTIFS('Leave log'!$A$7:$A$306,Employees!$A$30,'Leave log'!$B$7:$B$306,"&lt;="&amp;DATE($B$3,11,23),'Leave log'!$C$7:$C$306,"&gt;="&amp;DATE($B$3,11,23),'Leave log'!$F$7:$F$306,"Approved")&gt;0,"A",""))="A","A",IF(OR(DATE($B$3,11,23)&gt;EOMONTH(DATE($B$3,11,1),0),NETWORKDAYS.INTL(DATE($B$3,11,23),DATE($B$3,11,23),1,'Non-working days'!$A$6:$A$45)=0),"",IF(COUNTIFS('Leave log'!$A$7:$A$306,Employees!$A$30,'Leave log'!$B$7:$B$306,"&lt;="&amp;DATE($B$3,11,23),'Leave log'!$C$7:$C$306,"&gt;="&amp;DATE($B$3,11,23),'Leave log'!$F$7:$F$306,"Pending")&gt;0,"P",""))))</f>
        <v/>
      </c>
      <c r="Y371" s="23" t="str">
        <f>IF(A371="","",IF(IF(OR(DATE($B$3,11,24)&gt;EOMONTH(DATE($B$3,11,1),0),NETWORKDAYS.INTL(DATE($B$3,11,24),DATE($B$3,11,24),1,'Non-working days'!$A$6:$A$45)=0),"",IF(COUNTIFS('Leave log'!$A$7:$A$306,Employees!$A$30,'Leave log'!$B$7:$B$306,"&lt;="&amp;DATE($B$3,11,24),'Leave log'!$C$7:$C$306,"&gt;="&amp;DATE($B$3,11,24),'Leave log'!$F$7:$F$306,"Approved")&gt;0,"A",""))="A","A",IF(OR(DATE($B$3,11,24)&gt;EOMONTH(DATE($B$3,11,1),0),NETWORKDAYS.INTL(DATE($B$3,11,24),DATE($B$3,11,24),1,'Non-working days'!$A$6:$A$45)=0),"",IF(COUNTIFS('Leave log'!$A$7:$A$306,Employees!$A$30,'Leave log'!$B$7:$B$306,"&lt;="&amp;DATE($B$3,11,24),'Leave log'!$C$7:$C$306,"&gt;="&amp;DATE($B$3,11,24),'Leave log'!$F$7:$F$306,"Pending")&gt;0,"P",""))))</f>
        <v/>
      </c>
      <c r="Z371" s="23" t="str">
        <f>IF(A371="","",IF(IF(OR(DATE($B$3,11,25)&gt;EOMONTH(DATE($B$3,11,1),0),NETWORKDAYS.INTL(DATE($B$3,11,25),DATE($B$3,11,25),1,'Non-working days'!$A$6:$A$45)=0),"",IF(COUNTIFS('Leave log'!$A$7:$A$306,Employees!$A$30,'Leave log'!$B$7:$B$306,"&lt;="&amp;DATE($B$3,11,25),'Leave log'!$C$7:$C$306,"&gt;="&amp;DATE($B$3,11,25),'Leave log'!$F$7:$F$306,"Approved")&gt;0,"A",""))="A","A",IF(OR(DATE($B$3,11,25)&gt;EOMONTH(DATE($B$3,11,1),0),NETWORKDAYS.INTL(DATE($B$3,11,25),DATE($B$3,11,25),1,'Non-working days'!$A$6:$A$45)=0),"",IF(COUNTIFS('Leave log'!$A$7:$A$306,Employees!$A$30,'Leave log'!$B$7:$B$306,"&lt;="&amp;DATE($B$3,11,25),'Leave log'!$C$7:$C$306,"&gt;="&amp;DATE($B$3,11,25),'Leave log'!$F$7:$F$306,"Pending")&gt;0,"P",""))))</f>
        <v/>
      </c>
      <c r="AA371" s="23" t="str">
        <f>IF(A371="","",IF(IF(OR(DATE($B$3,11,26)&gt;EOMONTH(DATE($B$3,11,1),0),NETWORKDAYS.INTL(DATE($B$3,11,26),DATE($B$3,11,26),1,'Non-working days'!$A$6:$A$45)=0),"",IF(COUNTIFS('Leave log'!$A$7:$A$306,Employees!$A$30,'Leave log'!$B$7:$B$306,"&lt;="&amp;DATE($B$3,11,26),'Leave log'!$C$7:$C$306,"&gt;="&amp;DATE($B$3,11,26),'Leave log'!$F$7:$F$306,"Approved")&gt;0,"A",""))="A","A",IF(OR(DATE($B$3,11,26)&gt;EOMONTH(DATE($B$3,11,1),0),NETWORKDAYS.INTL(DATE($B$3,11,26),DATE($B$3,11,26),1,'Non-working days'!$A$6:$A$45)=0),"",IF(COUNTIFS('Leave log'!$A$7:$A$306,Employees!$A$30,'Leave log'!$B$7:$B$306,"&lt;="&amp;DATE($B$3,11,26),'Leave log'!$C$7:$C$306,"&gt;="&amp;DATE($B$3,11,26),'Leave log'!$F$7:$F$306,"Pending")&gt;0,"P",""))))</f>
        <v/>
      </c>
      <c r="AB371" s="23" t="str">
        <f>IF(A371="","",IF(IF(OR(DATE($B$3,11,27)&gt;EOMONTH(DATE($B$3,11,1),0),NETWORKDAYS.INTL(DATE($B$3,11,27),DATE($B$3,11,27),1,'Non-working days'!$A$6:$A$45)=0),"",IF(COUNTIFS('Leave log'!$A$7:$A$306,Employees!$A$30,'Leave log'!$B$7:$B$306,"&lt;="&amp;DATE($B$3,11,27),'Leave log'!$C$7:$C$306,"&gt;="&amp;DATE($B$3,11,27),'Leave log'!$F$7:$F$306,"Approved")&gt;0,"A",""))="A","A",IF(OR(DATE($B$3,11,27)&gt;EOMONTH(DATE($B$3,11,1),0),NETWORKDAYS.INTL(DATE($B$3,11,27),DATE($B$3,11,27),1,'Non-working days'!$A$6:$A$45)=0),"",IF(COUNTIFS('Leave log'!$A$7:$A$306,Employees!$A$30,'Leave log'!$B$7:$B$306,"&lt;="&amp;DATE($B$3,11,27),'Leave log'!$C$7:$C$306,"&gt;="&amp;DATE($B$3,11,27),'Leave log'!$F$7:$F$306,"Pending")&gt;0,"P",""))))</f>
        <v/>
      </c>
      <c r="AC371" s="23" t="str">
        <f>IF(A371="","",IF(IF(OR(DATE($B$3,11,28)&gt;EOMONTH(DATE($B$3,11,1),0),NETWORKDAYS.INTL(DATE($B$3,11,28),DATE($B$3,11,28),1,'Non-working days'!$A$6:$A$45)=0),"",IF(COUNTIFS('Leave log'!$A$7:$A$306,Employees!$A$30,'Leave log'!$B$7:$B$306,"&lt;="&amp;DATE($B$3,11,28),'Leave log'!$C$7:$C$306,"&gt;="&amp;DATE($B$3,11,28),'Leave log'!$F$7:$F$306,"Approved")&gt;0,"A",""))="A","A",IF(OR(DATE($B$3,11,28)&gt;EOMONTH(DATE($B$3,11,1),0),NETWORKDAYS.INTL(DATE($B$3,11,28),DATE($B$3,11,28),1,'Non-working days'!$A$6:$A$45)=0),"",IF(COUNTIFS('Leave log'!$A$7:$A$306,Employees!$A$30,'Leave log'!$B$7:$B$306,"&lt;="&amp;DATE($B$3,11,28),'Leave log'!$C$7:$C$306,"&gt;="&amp;DATE($B$3,11,28),'Leave log'!$F$7:$F$306,"Pending")&gt;0,"P",""))))</f>
        <v/>
      </c>
      <c r="AD371" s="23" t="str">
        <f>IF(A371="","",IF(IF(OR(DATE($B$3,11,29)&gt;EOMONTH(DATE($B$3,11,1),0),NETWORKDAYS.INTL(DATE($B$3,11,29),DATE($B$3,11,29),1,'Non-working days'!$A$6:$A$45)=0),"",IF(COUNTIFS('Leave log'!$A$7:$A$306,Employees!$A$30,'Leave log'!$B$7:$B$306,"&lt;="&amp;DATE($B$3,11,29),'Leave log'!$C$7:$C$306,"&gt;="&amp;DATE($B$3,11,29),'Leave log'!$F$7:$F$306,"Approved")&gt;0,"A",""))="A","A",IF(OR(DATE($B$3,11,29)&gt;EOMONTH(DATE($B$3,11,1),0),NETWORKDAYS.INTL(DATE($B$3,11,29),DATE($B$3,11,29),1,'Non-working days'!$A$6:$A$45)=0),"",IF(COUNTIFS('Leave log'!$A$7:$A$306,Employees!$A$30,'Leave log'!$B$7:$B$306,"&lt;="&amp;DATE($B$3,11,29),'Leave log'!$C$7:$C$306,"&gt;="&amp;DATE($B$3,11,29),'Leave log'!$F$7:$F$306,"Pending")&gt;0,"P",""))))</f>
        <v/>
      </c>
      <c r="AE371" s="23" t="str">
        <f>IF(A371="","",IF(IF(OR(DATE($B$3,11,30)&gt;EOMONTH(DATE($B$3,11,1),0),NETWORKDAYS.INTL(DATE($B$3,11,30),DATE($B$3,11,30),1,'Non-working days'!$A$6:$A$45)=0),"",IF(COUNTIFS('Leave log'!$A$7:$A$306,Employees!$A$30,'Leave log'!$B$7:$B$306,"&lt;="&amp;DATE($B$3,11,30),'Leave log'!$C$7:$C$306,"&gt;="&amp;DATE($B$3,11,30),'Leave log'!$F$7:$F$306,"Approved")&gt;0,"A",""))="A","A",IF(OR(DATE($B$3,11,30)&gt;EOMONTH(DATE($B$3,11,1),0),NETWORKDAYS.INTL(DATE($B$3,11,30),DATE($B$3,11,30),1,'Non-working days'!$A$6:$A$45)=0),"",IF(COUNTIFS('Leave log'!$A$7:$A$306,Employees!$A$30,'Leave log'!$B$7:$B$306,"&lt;="&amp;DATE($B$3,11,30),'Leave log'!$C$7:$C$306,"&gt;="&amp;DATE($B$3,11,30),'Leave log'!$F$7:$F$306,"Pending")&gt;0,"P",""))))</f>
        <v/>
      </c>
      <c r="AF371" s="23" t="str">
        <f>IF(A371="","",IF(IF(OR(DATE($B$3,11,31)&gt;EOMONTH(DATE($B$3,11,1),0),NETWORKDAYS.INTL(DATE($B$3,11,31),DATE($B$3,11,31),1,'Non-working days'!$A$6:$A$45)=0),"",IF(COUNTIFS('Leave log'!$A$7:$A$306,Employees!$A$30,'Leave log'!$B$7:$B$306,"&lt;="&amp;DATE($B$3,11,31),'Leave log'!$C$7:$C$306,"&gt;="&amp;DATE($B$3,11,31),'Leave log'!$F$7:$F$306,"Approved")&gt;0,"A",""))="A","A",IF(OR(DATE($B$3,11,31)&gt;EOMONTH(DATE($B$3,11,1),0),NETWORKDAYS.INTL(DATE($B$3,11,31),DATE($B$3,11,31),1,'Non-working days'!$A$6:$A$45)=0),"",IF(COUNTIFS('Leave log'!$A$7:$A$306,Employees!$A$30,'Leave log'!$B$7:$B$306,"&lt;="&amp;DATE($B$3,11,31),'Leave log'!$C$7:$C$306,"&gt;="&amp;DATE($B$3,11,31),'Leave log'!$F$7:$F$306,"Pending")&gt;0,"P",""))))</f>
        <v/>
      </c>
    </row>
    <row r="372" spans="1:32" ht="18" customHeight="1" x14ac:dyDescent="0.3">
      <c r="A372" s="22" t="str">
        <f>IF(Employees!F31="Yes",Employees!B31,"")</f>
        <v/>
      </c>
      <c r="B372" s="23" t="str">
        <f>IF(A372="","",IF(IF(OR(DATE($B$3,11,1)&gt;EOMONTH(DATE($B$3,11,1),0),NETWORKDAYS.INTL(DATE($B$3,11,1),DATE($B$3,11,1),1,'Non-working days'!$A$6:$A$45)=0),"",IF(COUNTIFS('Leave log'!$A$7:$A$306,Employees!$A$31,'Leave log'!$B$7:$B$306,"&lt;="&amp;DATE($B$3,11,1),'Leave log'!$C$7:$C$306,"&gt;="&amp;DATE($B$3,11,1),'Leave log'!$F$7:$F$306,"Approved")&gt;0,"A",""))="A","A",IF(OR(DATE($B$3,11,1)&gt;EOMONTH(DATE($B$3,11,1),0),NETWORKDAYS.INTL(DATE($B$3,11,1),DATE($B$3,11,1),1,'Non-working days'!$A$6:$A$45)=0),"",IF(COUNTIFS('Leave log'!$A$7:$A$306,Employees!$A$31,'Leave log'!$B$7:$B$306,"&lt;="&amp;DATE($B$3,11,1),'Leave log'!$C$7:$C$306,"&gt;="&amp;DATE($B$3,11,1),'Leave log'!$F$7:$F$306,"Pending")&gt;0,"P",""))))</f>
        <v/>
      </c>
      <c r="C372" s="23" t="str">
        <f>IF(A372="","",IF(IF(OR(DATE($B$3,11,2)&gt;EOMONTH(DATE($B$3,11,1),0),NETWORKDAYS.INTL(DATE($B$3,11,2),DATE($B$3,11,2),1,'Non-working days'!$A$6:$A$45)=0),"",IF(COUNTIFS('Leave log'!$A$7:$A$306,Employees!$A$31,'Leave log'!$B$7:$B$306,"&lt;="&amp;DATE($B$3,11,2),'Leave log'!$C$7:$C$306,"&gt;="&amp;DATE($B$3,11,2),'Leave log'!$F$7:$F$306,"Approved")&gt;0,"A",""))="A","A",IF(OR(DATE($B$3,11,2)&gt;EOMONTH(DATE($B$3,11,1),0),NETWORKDAYS.INTL(DATE($B$3,11,2),DATE($B$3,11,2),1,'Non-working days'!$A$6:$A$45)=0),"",IF(COUNTIFS('Leave log'!$A$7:$A$306,Employees!$A$31,'Leave log'!$B$7:$B$306,"&lt;="&amp;DATE($B$3,11,2),'Leave log'!$C$7:$C$306,"&gt;="&amp;DATE($B$3,11,2),'Leave log'!$F$7:$F$306,"Pending")&gt;0,"P",""))))</f>
        <v/>
      </c>
      <c r="D372" s="23" t="str">
        <f>IF(A372="","",IF(IF(OR(DATE($B$3,11,3)&gt;EOMONTH(DATE($B$3,11,1),0),NETWORKDAYS.INTL(DATE($B$3,11,3),DATE($B$3,11,3),1,'Non-working days'!$A$6:$A$45)=0),"",IF(COUNTIFS('Leave log'!$A$7:$A$306,Employees!$A$31,'Leave log'!$B$7:$B$306,"&lt;="&amp;DATE($B$3,11,3),'Leave log'!$C$7:$C$306,"&gt;="&amp;DATE($B$3,11,3),'Leave log'!$F$7:$F$306,"Approved")&gt;0,"A",""))="A","A",IF(OR(DATE($B$3,11,3)&gt;EOMONTH(DATE($B$3,11,1),0),NETWORKDAYS.INTL(DATE($B$3,11,3),DATE($B$3,11,3),1,'Non-working days'!$A$6:$A$45)=0),"",IF(COUNTIFS('Leave log'!$A$7:$A$306,Employees!$A$31,'Leave log'!$B$7:$B$306,"&lt;="&amp;DATE($B$3,11,3),'Leave log'!$C$7:$C$306,"&gt;="&amp;DATE($B$3,11,3),'Leave log'!$F$7:$F$306,"Pending")&gt;0,"P",""))))</f>
        <v/>
      </c>
      <c r="E372" s="23" t="str">
        <f>IF(A372="","",IF(IF(OR(DATE($B$3,11,4)&gt;EOMONTH(DATE($B$3,11,1),0),NETWORKDAYS.INTL(DATE($B$3,11,4),DATE($B$3,11,4),1,'Non-working days'!$A$6:$A$45)=0),"",IF(COUNTIFS('Leave log'!$A$7:$A$306,Employees!$A$31,'Leave log'!$B$7:$B$306,"&lt;="&amp;DATE($B$3,11,4),'Leave log'!$C$7:$C$306,"&gt;="&amp;DATE($B$3,11,4),'Leave log'!$F$7:$F$306,"Approved")&gt;0,"A",""))="A","A",IF(OR(DATE($B$3,11,4)&gt;EOMONTH(DATE($B$3,11,1),0),NETWORKDAYS.INTL(DATE($B$3,11,4),DATE($B$3,11,4),1,'Non-working days'!$A$6:$A$45)=0),"",IF(COUNTIFS('Leave log'!$A$7:$A$306,Employees!$A$31,'Leave log'!$B$7:$B$306,"&lt;="&amp;DATE($B$3,11,4),'Leave log'!$C$7:$C$306,"&gt;="&amp;DATE($B$3,11,4),'Leave log'!$F$7:$F$306,"Pending")&gt;0,"P",""))))</f>
        <v/>
      </c>
      <c r="F372" s="23" t="str">
        <f>IF(A372="","",IF(IF(OR(DATE($B$3,11,5)&gt;EOMONTH(DATE($B$3,11,1),0),NETWORKDAYS.INTL(DATE($B$3,11,5),DATE($B$3,11,5),1,'Non-working days'!$A$6:$A$45)=0),"",IF(COUNTIFS('Leave log'!$A$7:$A$306,Employees!$A$31,'Leave log'!$B$7:$B$306,"&lt;="&amp;DATE($B$3,11,5),'Leave log'!$C$7:$C$306,"&gt;="&amp;DATE($B$3,11,5),'Leave log'!$F$7:$F$306,"Approved")&gt;0,"A",""))="A","A",IF(OR(DATE($B$3,11,5)&gt;EOMONTH(DATE($B$3,11,1),0),NETWORKDAYS.INTL(DATE($B$3,11,5),DATE($B$3,11,5),1,'Non-working days'!$A$6:$A$45)=0),"",IF(COUNTIFS('Leave log'!$A$7:$A$306,Employees!$A$31,'Leave log'!$B$7:$B$306,"&lt;="&amp;DATE($B$3,11,5),'Leave log'!$C$7:$C$306,"&gt;="&amp;DATE($B$3,11,5),'Leave log'!$F$7:$F$306,"Pending")&gt;0,"P",""))))</f>
        <v/>
      </c>
      <c r="G372" s="23" t="str">
        <f>IF(A372="","",IF(IF(OR(DATE($B$3,11,6)&gt;EOMONTH(DATE($B$3,11,1),0),NETWORKDAYS.INTL(DATE($B$3,11,6),DATE($B$3,11,6),1,'Non-working days'!$A$6:$A$45)=0),"",IF(COUNTIFS('Leave log'!$A$7:$A$306,Employees!$A$31,'Leave log'!$B$7:$B$306,"&lt;="&amp;DATE($B$3,11,6),'Leave log'!$C$7:$C$306,"&gt;="&amp;DATE($B$3,11,6),'Leave log'!$F$7:$F$306,"Approved")&gt;0,"A",""))="A","A",IF(OR(DATE($B$3,11,6)&gt;EOMONTH(DATE($B$3,11,1),0),NETWORKDAYS.INTL(DATE($B$3,11,6),DATE($B$3,11,6),1,'Non-working days'!$A$6:$A$45)=0),"",IF(COUNTIFS('Leave log'!$A$7:$A$306,Employees!$A$31,'Leave log'!$B$7:$B$306,"&lt;="&amp;DATE($B$3,11,6),'Leave log'!$C$7:$C$306,"&gt;="&amp;DATE($B$3,11,6),'Leave log'!$F$7:$F$306,"Pending")&gt;0,"P",""))))</f>
        <v/>
      </c>
      <c r="H372" s="23" t="str">
        <f>IF(A372="","",IF(IF(OR(DATE($B$3,11,7)&gt;EOMONTH(DATE($B$3,11,1),0),NETWORKDAYS.INTL(DATE($B$3,11,7),DATE($B$3,11,7),1,'Non-working days'!$A$6:$A$45)=0),"",IF(COUNTIFS('Leave log'!$A$7:$A$306,Employees!$A$31,'Leave log'!$B$7:$B$306,"&lt;="&amp;DATE($B$3,11,7),'Leave log'!$C$7:$C$306,"&gt;="&amp;DATE($B$3,11,7),'Leave log'!$F$7:$F$306,"Approved")&gt;0,"A",""))="A","A",IF(OR(DATE($B$3,11,7)&gt;EOMONTH(DATE($B$3,11,1),0),NETWORKDAYS.INTL(DATE($B$3,11,7),DATE($B$3,11,7),1,'Non-working days'!$A$6:$A$45)=0),"",IF(COUNTIFS('Leave log'!$A$7:$A$306,Employees!$A$31,'Leave log'!$B$7:$B$306,"&lt;="&amp;DATE($B$3,11,7),'Leave log'!$C$7:$C$306,"&gt;="&amp;DATE($B$3,11,7),'Leave log'!$F$7:$F$306,"Pending")&gt;0,"P",""))))</f>
        <v/>
      </c>
      <c r="I372" s="23" t="str">
        <f>IF(A372="","",IF(IF(OR(DATE($B$3,11,8)&gt;EOMONTH(DATE($B$3,11,1),0),NETWORKDAYS.INTL(DATE($B$3,11,8),DATE($B$3,11,8),1,'Non-working days'!$A$6:$A$45)=0),"",IF(COUNTIFS('Leave log'!$A$7:$A$306,Employees!$A$31,'Leave log'!$B$7:$B$306,"&lt;="&amp;DATE($B$3,11,8),'Leave log'!$C$7:$C$306,"&gt;="&amp;DATE($B$3,11,8),'Leave log'!$F$7:$F$306,"Approved")&gt;0,"A",""))="A","A",IF(OR(DATE($B$3,11,8)&gt;EOMONTH(DATE($B$3,11,1),0),NETWORKDAYS.INTL(DATE($B$3,11,8),DATE($B$3,11,8),1,'Non-working days'!$A$6:$A$45)=0),"",IF(COUNTIFS('Leave log'!$A$7:$A$306,Employees!$A$31,'Leave log'!$B$7:$B$306,"&lt;="&amp;DATE($B$3,11,8),'Leave log'!$C$7:$C$306,"&gt;="&amp;DATE($B$3,11,8),'Leave log'!$F$7:$F$306,"Pending")&gt;0,"P",""))))</f>
        <v/>
      </c>
      <c r="J372" s="23" t="str">
        <f>IF(A372="","",IF(IF(OR(DATE($B$3,11,9)&gt;EOMONTH(DATE($B$3,11,1),0),NETWORKDAYS.INTL(DATE($B$3,11,9),DATE($B$3,11,9),1,'Non-working days'!$A$6:$A$45)=0),"",IF(COUNTIFS('Leave log'!$A$7:$A$306,Employees!$A$31,'Leave log'!$B$7:$B$306,"&lt;="&amp;DATE($B$3,11,9),'Leave log'!$C$7:$C$306,"&gt;="&amp;DATE($B$3,11,9),'Leave log'!$F$7:$F$306,"Approved")&gt;0,"A",""))="A","A",IF(OR(DATE($B$3,11,9)&gt;EOMONTH(DATE($B$3,11,1),0),NETWORKDAYS.INTL(DATE($B$3,11,9),DATE($B$3,11,9),1,'Non-working days'!$A$6:$A$45)=0),"",IF(COUNTIFS('Leave log'!$A$7:$A$306,Employees!$A$31,'Leave log'!$B$7:$B$306,"&lt;="&amp;DATE($B$3,11,9),'Leave log'!$C$7:$C$306,"&gt;="&amp;DATE($B$3,11,9),'Leave log'!$F$7:$F$306,"Pending")&gt;0,"P",""))))</f>
        <v/>
      </c>
      <c r="K372" s="23" t="str">
        <f>IF(A372="","",IF(IF(OR(DATE($B$3,11,10)&gt;EOMONTH(DATE($B$3,11,1),0),NETWORKDAYS.INTL(DATE($B$3,11,10),DATE($B$3,11,10),1,'Non-working days'!$A$6:$A$45)=0),"",IF(COUNTIFS('Leave log'!$A$7:$A$306,Employees!$A$31,'Leave log'!$B$7:$B$306,"&lt;="&amp;DATE($B$3,11,10),'Leave log'!$C$7:$C$306,"&gt;="&amp;DATE($B$3,11,10),'Leave log'!$F$7:$F$306,"Approved")&gt;0,"A",""))="A","A",IF(OR(DATE($B$3,11,10)&gt;EOMONTH(DATE($B$3,11,1),0),NETWORKDAYS.INTL(DATE($B$3,11,10),DATE($B$3,11,10),1,'Non-working days'!$A$6:$A$45)=0),"",IF(COUNTIFS('Leave log'!$A$7:$A$306,Employees!$A$31,'Leave log'!$B$7:$B$306,"&lt;="&amp;DATE($B$3,11,10),'Leave log'!$C$7:$C$306,"&gt;="&amp;DATE($B$3,11,10),'Leave log'!$F$7:$F$306,"Pending")&gt;0,"P",""))))</f>
        <v/>
      </c>
      <c r="L372" s="23" t="str">
        <f>IF(A372="","",IF(IF(OR(DATE($B$3,11,11)&gt;EOMONTH(DATE($B$3,11,1),0),NETWORKDAYS.INTL(DATE($B$3,11,11),DATE($B$3,11,11),1,'Non-working days'!$A$6:$A$45)=0),"",IF(COUNTIFS('Leave log'!$A$7:$A$306,Employees!$A$31,'Leave log'!$B$7:$B$306,"&lt;="&amp;DATE($B$3,11,11),'Leave log'!$C$7:$C$306,"&gt;="&amp;DATE($B$3,11,11),'Leave log'!$F$7:$F$306,"Approved")&gt;0,"A",""))="A","A",IF(OR(DATE($B$3,11,11)&gt;EOMONTH(DATE($B$3,11,1),0),NETWORKDAYS.INTL(DATE($B$3,11,11),DATE($B$3,11,11),1,'Non-working days'!$A$6:$A$45)=0),"",IF(COUNTIFS('Leave log'!$A$7:$A$306,Employees!$A$31,'Leave log'!$B$7:$B$306,"&lt;="&amp;DATE($B$3,11,11),'Leave log'!$C$7:$C$306,"&gt;="&amp;DATE($B$3,11,11),'Leave log'!$F$7:$F$306,"Pending")&gt;0,"P",""))))</f>
        <v/>
      </c>
      <c r="M372" s="23" t="str">
        <f>IF(A372="","",IF(IF(OR(DATE($B$3,11,12)&gt;EOMONTH(DATE($B$3,11,1),0),NETWORKDAYS.INTL(DATE($B$3,11,12),DATE($B$3,11,12),1,'Non-working days'!$A$6:$A$45)=0),"",IF(COUNTIFS('Leave log'!$A$7:$A$306,Employees!$A$31,'Leave log'!$B$7:$B$306,"&lt;="&amp;DATE($B$3,11,12),'Leave log'!$C$7:$C$306,"&gt;="&amp;DATE($B$3,11,12),'Leave log'!$F$7:$F$306,"Approved")&gt;0,"A",""))="A","A",IF(OR(DATE($B$3,11,12)&gt;EOMONTH(DATE($B$3,11,1),0),NETWORKDAYS.INTL(DATE($B$3,11,12),DATE($B$3,11,12),1,'Non-working days'!$A$6:$A$45)=0),"",IF(COUNTIFS('Leave log'!$A$7:$A$306,Employees!$A$31,'Leave log'!$B$7:$B$306,"&lt;="&amp;DATE($B$3,11,12),'Leave log'!$C$7:$C$306,"&gt;="&amp;DATE($B$3,11,12),'Leave log'!$F$7:$F$306,"Pending")&gt;0,"P",""))))</f>
        <v/>
      </c>
      <c r="N372" s="23" t="str">
        <f>IF(A372="","",IF(IF(OR(DATE($B$3,11,13)&gt;EOMONTH(DATE($B$3,11,1),0),NETWORKDAYS.INTL(DATE($B$3,11,13),DATE($B$3,11,13),1,'Non-working days'!$A$6:$A$45)=0),"",IF(COUNTIFS('Leave log'!$A$7:$A$306,Employees!$A$31,'Leave log'!$B$7:$B$306,"&lt;="&amp;DATE($B$3,11,13),'Leave log'!$C$7:$C$306,"&gt;="&amp;DATE($B$3,11,13),'Leave log'!$F$7:$F$306,"Approved")&gt;0,"A",""))="A","A",IF(OR(DATE($B$3,11,13)&gt;EOMONTH(DATE($B$3,11,1),0),NETWORKDAYS.INTL(DATE($B$3,11,13),DATE($B$3,11,13),1,'Non-working days'!$A$6:$A$45)=0),"",IF(COUNTIFS('Leave log'!$A$7:$A$306,Employees!$A$31,'Leave log'!$B$7:$B$306,"&lt;="&amp;DATE($B$3,11,13),'Leave log'!$C$7:$C$306,"&gt;="&amp;DATE($B$3,11,13),'Leave log'!$F$7:$F$306,"Pending")&gt;0,"P",""))))</f>
        <v/>
      </c>
      <c r="O372" s="23" t="str">
        <f>IF(A372="","",IF(IF(OR(DATE($B$3,11,14)&gt;EOMONTH(DATE($B$3,11,1),0),NETWORKDAYS.INTL(DATE($B$3,11,14),DATE($B$3,11,14),1,'Non-working days'!$A$6:$A$45)=0),"",IF(COUNTIFS('Leave log'!$A$7:$A$306,Employees!$A$31,'Leave log'!$B$7:$B$306,"&lt;="&amp;DATE($B$3,11,14),'Leave log'!$C$7:$C$306,"&gt;="&amp;DATE($B$3,11,14),'Leave log'!$F$7:$F$306,"Approved")&gt;0,"A",""))="A","A",IF(OR(DATE($B$3,11,14)&gt;EOMONTH(DATE($B$3,11,1),0),NETWORKDAYS.INTL(DATE($B$3,11,14),DATE($B$3,11,14),1,'Non-working days'!$A$6:$A$45)=0),"",IF(COUNTIFS('Leave log'!$A$7:$A$306,Employees!$A$31,'Leave log'!$B$7:$B$306,"&lt;="&amp;DATE($B$3,11,14),'Leave log'!$C$7:$C$306,"&gt;="&amp;DATE($B$3,11,14),'Leave log'!$F$7:$F$306,"Pending")&gt;0,"P",""))))</f>
        <v/>
      </c>
      <c r="P372" s="23" t="str">
        <f>IF(A372="","",IF(IF(OR(DATE($B$3,11,15)&gt;EOMONTH(DATE($B$3,11,1),0),NETWORKDAYS.INTL(DATE($B$3,11,15),DATE($B$3,11,15),1,'Non-working days'!$A$6:$A$45)=0),"",IF(COUNTIFS('Leave log'!$A$7:$A$306,Employees!$A$31,'Leave log'!$B$7:$B$306,"&lt;="&amp;DATE($B$3,11,15),'Leave log'!$C$7:$C$306,"&gt;="&amp;DATE($B$3,11,15),'Leave log'!$F$7:$F$306,"Approved")&gt;0,"A",""))="A","A",IF(OR(DATE($B$3,11,15)&gt;EOMONTH(DATE($B$3,11,1),0),NETWORKDAYS.INTL(DATE($B$3,11,15),DATE($B$3,11,15),1,'Non-working days'!$A$6:$A$45)=0),"",IF(COUNTIFS('Leave log'!$A$7:$A$306,Employees!$A$31,'Leave log'!$B$7:$B$306,"&lt;="&amp;DATE($B$3,11,15),'Leave log'!$C$7:$C$306,"&gt;="&amp;DATE($B$3,11,15),'Leave log'!$F$7:$F$306,"Pending")&gt;0,"P",""))))</f>
        <v/>
      </c>
      <c r="Q372" s="23" t="str">
        <f>IF(A372="","",IF(IF(OR(DATE($B$3,11,16)&gt;EOMONTH(DATE($B$3,11,1),0),NETWORKDAYS.INTL(DATE($B$3,11,16),DATE($B$3,11,16),1,'Non-working days'!$A$6:$A$45)=0),"",IF(COUNTIFS('Leave log'!$A$7:$A$306,Employees!$A$31,'Leave log'!$B$7:$B$306,"&lt;="&amp;DATE($B$3,11,16),'Leave log'!$C$7:$C$306,"&gt;="&amp;DATE($B$3,11,16),'Leave log'!$F$7:$F$306,"Approved")&gt;0,"A",""))="A","A",IF(OR(DATE($B$3,11,16)&gt;EOMONTH(DATE($B$3,11,1),0),NETWORKDAYS.INTL(DATE($B$3,11,16),DATE($B$3,11,16),1,'Non-working days'!$A$6:$A$45)=0),"",IF(COUNTIFS('Leave log'!$A$7:$A$306,Employees!$A$31,'Leave log'!$B$7:$B$306,"&lt;="&amp;DATE($B$3,11,16),'Leave log'!$C$7:$C$306,"&gt;="&amp;DATE($B$3,11,16),'Leave log'!$F$7:$F$306,"Pending")&gt;0,"P",""))))</f>
        <v/>
      </c>
      <c r="R372" s="23" t="str">
        <f>IF(A372="","",IF(IF(OR(DATE($B$3,11,17)&gt;EOMONTH(DATE($B$3,11,1),0),NETWORKDAYS.INTL(DATE($B$3,11,17),DATE($B$3,11,17),1,'Non-working days'!$A$6:$A$45)=0),"",IF(COUNTIFS('Leave log'!$A$7:$A$306,Employees!$A$31,'Leave log'!$B$7:$B$306,"&lt;="&amp;DATE($B$3,11,17),'Leave log'!$C$7:$C$306,"&gt;="&amp;DATE($B$3,11,17),'Leave log'!$F$7:$F$306,"Approved")&gt;0,"A",""))="A","A",IF(OR(DATE($B$3,11,17)&gt;EOMONTH(DATE($B$3,11,1),0),NETWORKDAYS.INTL(DATE($B$3,11,17),DATE($B$3,11,17),1,'Non-working days'!$A$6:$A$45)=0),"",IF(COUNTIFS('Leave log'!$A$7:$A$306,Employees!$A$31,'Leave log'!$B$7:$B$306,"&lt;="&amp;DATE($B$3,11,17),'Leave log'!$C$7:$C$306,"&gt;="&amp;DATE($B$3,11,17),'Leave log'!$F$7:$F$306,"Pending")&gt;0,"P",""))))</f>
        <v/>
      </c>
      <c r="S372" s="23" t="str">
        <f>IF(A372="","",IF(IF(OR(DATE($B$3,11,18)&gt;EOMONTH(DATE($B$3,11,1),0),NETWORKDAYS.INTL(DATE($B$3,11,18),DATE($B$3,11,18),1,'Non-working days'!$A$6:$A$45)=0),"",IF(COUNTIFS('Leave log'!$A$7:$A$306,Employees!$A$31,'Leave log'!$B$7:$B$306,"&lt;="&amp;DATE($B$3,11,18),'Leave log'!$C$7:$C$306,"&gt;="&amp;DATE($B$3,11,18),'Leave log'!$F$7:$F$306,"Approved")&gt;0,"A",""))="A","A",IF(OR(DATE($B$3,11,18)&gt;EOMONTH(DATE($B$3,11,1),0),NETWORKDAYS.INTL(DATE($B$3,11,18),DATE($B$3,11,18),1,'Non-working days'!$A$6:$A$45)=0),"",IF(COUNTIFS('Leave log'!$A$7:$A$306,Employees!$A$31,'Leave log'!$B$7:$B$306,"&lt;="&amp;DATE($B$3,11,18),'Leave log'!$C$7:$C$306,"&gt;="&amp;DATE($B$3,11,18),'Leave log'!$F$7:$F$306,"Pending")&gt;0,"P",""))))</f>
        <v/>
      </c>
      <c r="T372" s="23" t="str">
        <f>IF(A372="","",IF(IF(OR(DATE($B$3,11,19)&gt;EOMONTH(DATE($B$3,11,1),0),NETWORKDAYS.INTL(DATE($B$3,11,19),DATE($B$3,11,19),1,'Non-working days'!$A$6:$A$45)=0),"",IF(COUNTIFS('Leave log'!$A$7:$A$306,Employees!$A$31,'Leave log'!$B$7:$B$306,"&lt;="&amp;DATE($B$3,11,19),'Leave log'!$C$7:$C$306,"&gt;="&amp;DATE($B$3,11,19),'Leave log'!$F$7:$F$306,"Approved")&gt;0,"A",""))="A","A",IF(OR(DATE($B$3,11,19)&gt;EOMONTH(DATE($B$3,11,1),0),NETWORKDAYS.INTL(DATE($B$3,11,19),DATE($B$3,11,19),1,'Non-working days'!$A$6:$A$45)=0),"",IF(COUNTIFS('Leave log'!$A$7:$A$306,Employees!$A$31,'Leave log'!$B$7:$B$306,"&lt;="&amp;DATE($B$3,11,19),'Leave log'!$C$7:$C$306,"&gt;="&amp;DATE($B$3,11,19),'Leave log'!$F$7:$F$306,"Pending")&gt;0,"P",""))))</f>
        <v/>
      </c>
      <c r="U372" s="23" t="str">
        <f>IF(A372="","",IF(IF(OR(DATE($B$3,11,20)&gt;EOMONTH(DATE($B$3,11,1),0),NETWORKDAYS.INTL(DATE($B$3,11,20),DATE($B$3,11,20),1,'Non-working days'!$A$6:$A$45)=0),"",IF(COUNTIFS('Leave log'!$A$7:$A$306,Employees!$A$31,'Leave log'!$B$7:$B$306,"&lt;="&amp;DATE($B$3,11,20),'Leave log'!$C$7:$C$306,"&gt;="&amp;DATE($B$3,11,20),'Leave log'!$F$7:$F$306,"Approved")&gt;0,"A",""))="A","A",IF(OR(DATE($B$3,11,20)&gt;EOMONTH(DATE($B$3,11,1),0),NETWORKDAYS.INTL(DATE($B$3,11,20),DATE($B$3,11,20),1,'Non-working days'!$A$6:$A$45)=0),"",IF(COUNTIFS('Leave log'!$A$7:$A$306,Employees!$A$31,'Leave log'!$B$7:$B$306,"&lt;="&amp;DATE($B$3,11,20),'Leave log'!$C$7:$C$306,"&gt;="&amp;DATE($B$3,11,20),'Leave log'!$F$7:$F$306,"Pending")&gt;0,"P",""))))</f>
        <v/>
      </c>
      <c r="V372" s="23" t="str">
        <f>IF(A372="","",IF(IF(OR(DATE($B$3,11,21)&gt;EOMONTH(DATE($B$3,11,1),0),NETWORKDAYS.INTL(DATE($B$3,11,21),DATE($B$3,11,21),1,'Non-working days'!$A$6:$A$45)=0),"",IF(COUNTIFS('Leave log'!$A$7:$A$306,Employees!$A$31,'Leave log'!$B$7:$B$306,"&lt;="&amp;DATE($B$3,11,21),'Leave log'!$C$7:$C$306,"&gt;="&amp;DATE($B$3,11,21),'Leave log'!$F$7:$F$306,"Approved")&gt;0,"A",""))="A","A",IF(OR(DATE($B$3,11,21)&gt;EOMONTH(DATE($B$3,11,1),0),NETWORKDAYS.INTL(DATE($B$3,11,21),DATE($B$3,11,21),1,'Non-working days'!$A$6:$A$45)=0),"",IF(COUNTIFS('Leave log'!$A$7:$A$306,Employees!$A$31,'Leave log'!$B$7:$B$306,"&lt;="&amp;DATE($B$3,11,21),'Leave log'!$C$7:$C$306,"&gt;="&amp;DATE($B$3,11,21),'Leave log'!$F$7:$F$306,"Pending")&gt;0,"P",""))))</f>
        <v/>
      </c>
      <c r="W372" s="23" t="str">
        <f>IF(A372="","",IF(IF(OR(DATE($B$3,11,22)&gt;EOMONTH(DATE($B$3,11,1),0),NETWORKDAYS.INTL(DATE($B$3,11,22),DATE($B$3,11,22),1,'Non-working days'!$A$6:$A$45)=0),"",IF(COUNTIFS('Leave log'!$A$7:$A$306,Employees!$A$31,'Leave log'!$B$7:$B$306,"&lt;="&amp;DATE($B$3,11,22),'Leave log'!$C$7:$C$306,"&gt;="&amp;DATE($B$3,11,22),'Leave log'!$F$7:$F$306,"Approved")&gt;0,"A",""))="A","A",IF(OR(DATE($B$3,11,22)&gt;EOMONTH(DATE($B$3,11,1),0),NETWORKDAYS.INTL(DATE($B$3,11,22),DATE($B$3,11,22),1,'Non-working days'!$A$6:$A$45)=0),"",IF(COUNTIFS('Leave log'!$A$7:$A$306,Employees!$A$31,'Leave log'!$B$7:$B$306,"&lt;="&amp;DATE($B$3,11,22),'Leave log'!$C$7:$C$306,"&gt;="&amp;DATE($B$3,11,22),'Leave log'!$F$7:$F$306,"Pending")&gt;0,"P",""))))</f>
        <v/>
      </c>
      <c r="X372" s="23" t="str">
        <f>IF(A372="","",IF(IF(OR(DATE($B$3,11,23)&gt;EOMONTH(DATE($B$3,11,1),0),NETWORKDAYS.INTL(DATE($B$3,11,23),DATE($B$3,11,23),1,'Non-working days'!$A$6:$A$45)=0),"",IF(COUNTIFS('Leave log'!$A$7:$A$306,Employees!$A$31,'Leave log'!$B$7:$B$306,"&lt;="&amp;DATE($B$3,11,23),'Leave log'!$C$7:$C$306,"&gt;="&amp;DATE($B$3,11,23),'Leave log'!$F$7:$F$306,"Approved")&gt;0,"A",""))="A","A",IF(OR(DATE($B$3,11,23)&gt;EOMONTH(DATE($B$3,11,1),0),NETWORKDAYS.INTL(DATE($B$3,11,23),DATE($B$3,11,23),1,'Non-working days'!$A$6:$A$45)=0),"",IF(COUNTIFS('Leave log'!$A$7:$A$306,Employees!$A$31,'Leave log'!$B$7:$B$306,"&lt;="&amp;DATE($B$3,11,23),'Leave log'!$C$7:$C$306,"&gt;="&amp;DATE($B$3,11,23),'Leave log'!$F$7:$F$306,"Pending")&gt;0,"P",""))))</f>
        <v/>
      </c>
      <c r="Y372" s="23" t="str">
        <f>IF(A372="","",IF(IF(OR(DATE($B$3,11,24)&gt;EOMONTH(DATE($B$3,11,1),0),NETWORKDAYS.INTL(DATE($B$3,11,24),DATE($B$3,11,24),1,'Non-working days'!$A$6:$A$45)=0),"",IF(COUNTIFS('Leave log'!$A$7:$A$306,Employees!$A$31,'Leave log'!$B$7:$B$306,"&lt;="&amp;DATE($B$3,11,24),'Leave log'!$C$7:$C$306,"&gt;="&amp;DATE($B$3,11,24),'Leave log'!$F$7:$F$306,"Approved")&gt;0,"A",""))="A","A",IF(OR(DATE($B$3,11,24)&gt;EOMONTH(DATE($B$3,11,1),0),NETWORKDAYS.INTL(DATE($B$3,11,24),DATE($B$3,11,24),1,'Non-working days'!$A$6:$A$45)=0),"",IF(COUNTIFS('Leave log'!$A$7:$A$306,Employees!$A$31,'Leave log'!$B$7:$B$306,"&lt;="&amp;DATE($B$3,11,24),'Leave log'!$C$7:$C$306,"&gt;="&amp;DATE($B$3,11,24),'Leave log'!$F$7:$F$306,"Pending")&gt;0,"P",""))))</f>
        <v/>
      </c>
      <c r="Z372" s="23" t="str">
        <f>IF(A372="","",IF(IF(OR(DATE($B$3,11,25)&gt;EOMONTH(DATE($B$3,11,1),0),NETWORKDAYS.INTL(DATE($B$3,11,25),DATE($B$3,11,25),1,'Non-working days'!$A$6:$A$45)=0),"",IF(COUNTIFS('Leave log'!$A$7:$A$306,Employees!$A$31,'Leave log'!$B$7:$B$306,"&lt;="&amp;DATE($B$3,11,25),'Leave log'!$C$7:$C$306,"&gt;="&amp;DATE($B$3,11,25),'Leave log'!$F$7:$F$306,"Approved")&gt;0,"A",""))="A","A",IF(OR(DATE($B$3,11,25)&gt;EOMONTH(DATE($B$3,11,1),0),NETWORKDAYS.INTL(DATE($B$3,11,25),DATE($B$3,11,25),1,'Non-working days'!$A$6:$A$45)=0),"",IF(COUNTIFS('Leave log'!$A$7:$A$306,Employees!$A$31,'Leave log'!$B$7:$B$306,"&lt;="&amp;DATE($B$3,11,25),'Leave log'!$C$7:$C$306,"&gt;="&amp;DATE($B$3,11,25),'Leave log'!$F$7:$F$306,"Pending")&gt;0,"P",""))))</f>
        <v/>
      </c>
      <c r="AA372" s="23" t="str">
        <f>IF(A372="","",IF(IF(OR(DATE($B$3,11,26)&gt;EOMONTH(DATE($B$3,11,1),0),NETWORKDAYS.INTL(DATE($B$3,11,26),DATE($B$3,11,26),1,'Non-working days'!$A$6:$A$45)=0),"",IF(COUNTIFS('Leave log'!$A$7:$A$306,Employees!$A$31,'Leave log'!$B$7:$B$306,"&lt;="&amp;DATE($B$3,11,26),'Leave log'!$C$7:$C$306,"&gt;="&amp;DATE($B$3,11,26),'Leave log'!$F$7:$F$306,"Approved")&gt;0,"A",""))="A","A",IF(OR(DATE($B$3,11,26)&gt;EOMONTH(DATE($B$3,11,1),0),NETWORKDAYS.INTL(DATE($B$3,11,26),DATE($B$3,11,26),1,'Non-working days'!$A$6:$A$45)=0),"",IF(COUNTIFS('Leave log'!$A$7:$A$306,Employees!$A$31,'Leave log'!$B$7:$B$306,"&lt;="&amp;DATE($B$3,11,26),'Leave log'!$C$7:$C$306,"&gt;="&amp;DATE($B$3,11,26),'Leave log'!$F$7:$F$306,"Pending")&gt;0,"P",""))))</f>
        <v/>
      </c>
      <c r="AB372" s="23" t="str">
        <f>IF(A372="","",IF(IF(OR(DATE($B$3,11,27)&gt;EOMONTH(DATE($B$3,11,1),0),NETWORKDAYS.INTL(DATE($B$3,11,27),DATE($B$3,11,27),1,'Non-working days'!$A$6:$A$45)=0),"",IF(COUNTIFS('Leave log'!$A$7:$A$306,Employees!$A$31,'Leave log'!$B$7:$B$306,"&lt;="&amp;DATE($B$3,11,27),'Leave log'!$C$7:$C$306,"&gt;="&amp;DATE($B$3,11,27),'Leave log'!$F$7:$F$306,"Approved")&gt;0,"A",""))="A","A",IF(OR(DATE($B$3,11,27)&gt;EOMONTH(DATE($B$3,11,1),0),NETWORKDAYS.INTL(DATE($B$3,11,27),DATE($B$3,11,27),1,'Non-working days'!$A$6:$A$45)=0),"",IF(COUNTIFS('Leave log'!$A$7:$A$306,Employees!$A$31,'Leave log'!$B$7:$B$306,"&lt;="&amp;DATE($B$3,11,27),'Leave log'!$C$7:$C$306,"&gt;="&amp;DATE($B$3,11,27),'Leave log'!$F$7:$F$306,"Pending")&gt;0,"P",""))))</f>
        <v/>
      </c>
      <c r="AC372" s="23" t="str">
        <f>IF(A372="","",IF(IF(OR(DATE($B$3,11,28)&gt;EOMONTH(DATE($B$3,11,1),0),NETWORKDAYS.INTL(DATE($B$3,11,28),DATE($B$3,11,28),1,'Non-working days'!$A$6:$A$45)=0),"",IF(COUNTIFS('Leave log'!$A$7:$A$306,Employees!$A$31,'Leave log'!$B$7:$B$306,"&lt;="&amp;DATE($B$3,11,28),'Leave log'!$C$7:$C$306,"&gt;="&amp;DATE($B$3,11,28),'Leave log'!$F$7:$F$306,"Approved")&gt;0,"A",""))="A","A",IF(OR(DATE($B$3,11,28)&gt;EOMONTH(DATE($B$3,11,1),0),NETWORKDAYS.INTL(DATE($B$3,11,28),DATE($B$3,11,28),1,'Non-working days'!$A$6:$A$45)=0),"",IF(COUNTIFS('Leave log'!$A$7:$A$306,Employees!$A$31,'Leave log'!$B$7:$B$306,"&lt;="&amp;DATE($B$3,11,28),'Leave log'!$C$7:$C$306,"&gt;="&amp;DATE($B$3,11,28),'Leave log'!$F$7:$F$306,"Pending")&gt;0,"P",""))))</f>
        <v/>
      </c>
      <c r="AD372" s="23" t="str">
        <f>IF(A372="","",IF(IF(OR(DATE($B$3,11,29)&gt;EOMONTH(DATE($B$3,11,1),0),NETWORKDAYS.INTL(DATE($B$3,11,29),DATE($B$3,11,29),1,'Non-working days'!$A$6:$A$45)=0),"",IF(COUNTIFS('Leave log'!$A$7:$A$306,Employees!$A$31,'Leave log'!$B$7:$B$306,"&lt;="&amp;DATE($B$3,11,29),'Leave log'!$C$7:$C$306,"&gt;="&amp;DATE($B$3,11,29),'Leave log'!$F$7:$F$306,"Approved")&gt;0,"A",""))="A","A",IF(OR(DATE($B$3,11,29)&gt;EOMONTH(DATE($B$3,11,1),0),NETWORKDAYS.INTL(DATE($B$3,11,29),DATE($B$3,11,29),1,'Non-working days'!$A$6:$A$45)=0),"",IF(COUNTIFS('Leave log'!$A$7:$A$306,Employees!$A$31,'Leave log'!$B$7:$B$306,"&lt;="&amp;DATE($B$3,11,29),'Leave log'!$C$7:$C$306,"&gt;="&amp;DATE($B$3,11,29),'Leave log'!$F$7:$F$306,"Pending")&gt;0,"P",""))))</f>
        <v/>
      </c>
      <c r="AE372" s="23" t="str">
        <f>IF(A372="","",IF(IF(OR(DATE($B$3,11,30)&gt;EOMONTH(DATE($B$3,11,1),0),NETWORKDAYS.INTL(DATE($B$3,11,30),DATE($B$3,11,30),1,'Non-working days'!$A$6:$A$45)=0),"",IF(COUNTIFS('Leave log'!$A$7:$A$306,Employees!$A$31,'Leave log'!$B$7:$B$306,"&lt;="&amp;DATE($B$3,11,30),'Leave log'!$C$7:$C$306,"&gt;="&amp;DATE($B$3,11,30),'Leave log'!$F$7:$F$306,"Approved")&gt;0,"A",""))="A","A",IF(OR(DATE($B$3,11,30)&gt;EOMONTH(DATE($B$3,11,1),0),NETWORKDAYS.INTL(DATE($B$3,11,30),DATE($B$3,11,30),1,'Non-working days'!$A$6:$A$45)=0),"",IF(COUNTIFS('Leave log'!$A$7:$A$306,Employees!$A$31,'Leave log'!$B$7:$B$306,"&lt;="&amp;DATE($B$3,11,30),'Leave log'!$C$7:$C$306,"&gt;="&amp;DATE($B$3,11,30),'Leave log'!$F$7:$F$306,"Pending")&gt;0,"P",""))))</f>
        <v/>
      </c>
      <c r="AF372" s="23" t="str">
        <f>IF(A372="","",IF(IF(OR(DATE($B$3,11,31)&gt;EOMONTH(DATE($B$3,11,1),0),NETWORKDAYS.INTL(DATE($B$3,11,31),DATE($B$3,11,31),1,'Non-working days'!$A$6:$A$45)=0),"",IF(COUNTIFS('Leave log'!$A$7:$A$306,Employees!$A$31,'Leave log'!$B$7:$B$306,"&lt;="&amp;DATE($B$3,11,31),'Leave log'!$C$7:$C$306,"&gt;="&amp;DATE($B$3,11,31),'Leave log'!$F$7:$F$306,"Approved")&gt;0,"A",""))="A","A",IF(OR(DATE($B$3,11,31)&gt;EOMONTH(DATE($B$3,11,1),0),NETWORKDAYS.INTL(DATE($B$3,11,31),DATE($B$3,11,31),1,'Non-working days'!$A$6:$A$45)=0),"",IF(COUNTIFS('Leave log'!$A$7:$A$306,Employees!$A$31,'Leave log'!$B$7:$B$306,"&lt;="&amp;DATE($B$3,11,31),'Leave log'!$C$7:$C$306,"&gt;="&amp;DATE($B$3,11,31),'Leave log'!$F$7:$F$306,"Pending")&gt;0,"P",""))))</f>
        <v/>
      </c>
    </row>
    <row r="373" spans="1:32" ht="18" customHeight="1" x14ac:dyDescent="0.3">
      <c r="A373" s="22" t="str">
        <f>IF(Employees!F32="Yes",Employees!B32,"")</f>
        <v/>
      </c>
      <c r="B373" s="23" t="str">
        <f>IF(A373="","",IF(IF(OR(DATE($B$3,11,1)&gt;EOMONTH(DATE($B$3,11,1),0),NETWORKDAYS.INTL(DATE($B$3,11,1),DATE($B$3,11,1),1,'Non-working days'!$A$6:$A$45)=0),"",IF(COUNTIFS('Leave log'!$A$7:$A$306,Employees!$A$32,'Leave log'!$B$7:$B$306,"&lt;="&amp;DATE($B$3,11,1),'Leave log'!$C$7:$C$306,"&gt;="&amp;DATE($B$3,11,1),'Leave log'!$F$7:$F$306,"Approved")&gt;0,"A",""))="A","A",IF(OR(DATE($B$3,11,1)&gt;EOMONTH(DATE($B$3,11,1),0),NETWORKDAYS.INTL(DATE($B$3,11,1),DATE($B$3,11,1),1,'Non-working days'!$A$6:$A$45)=0),"",IF(COUNTIFS('Leave log'!$A$7:$A$306,Employees!$A$32,'Leave log'!$B$7:$B$306,"&lt;="&amp;DATE($B$3,11,1),'Leave log'!$C$7:$C$306,"&gt;="&amp;DATE($B$3,11,1),'Leave log'!$F$7:$F$306,"Pending")&gt;0,"P",""))))</f>
        <v/>
      </c>
      <c r="C373" s="23" t="str">
        <f>IF(A373="","",IF(IF(OR(DATE($B$3,11,2)&gt;EOMONTH(DATE($B$3,11,1),0),NETWORKDAYS.INTL(DATE($B$3,11,2),DATE($B$3,11,2),1,'Non-working days'!$A$6:$A$45)=0),"",IF(COUNTIFS('Leave log'!$A$7:$A$306,Employees!$A$32,'Leave log'!$B$7:$B$306,"&lt;="&amp;DATE($B$3,11,2),'Leave log'!$C$7:$C$306,"&gt;="&amp;DATE($B$3,11,2),'Leave log'!$F$7:$F$306,"Approved")&gt;0,"A",""))="A","A",IF(OR(DATE($B$3,11,2)&gt;EOMONTH(DATE($B$3,11,1),0),NETWORKDAYS.INTL(DATE($B$3,11,2),DATE($B$3,11,2),1,'Non-working days'!$A$6:$A$45)=0),"",IF(COUNTIFS('Leave log'!$A$7:$A$306,Employees!$A$32,'Leave log'!$B$7:$B$306,"&lt;="&amp;DATE($B$3,11,2),'Leave log'!$C$7:$C$306,"&gt;="&amp;DATE($B$3,11,2),'Leave log'!$F$7:$F$306,"Pending")&gt;0,"P",""))))</f>
        <v/>
      </c>
      <c r="D373" s="23" t="str">
        <f>IF(A373="","",IF(IF(OR(DATE($B$3,11,3)&gt;EOMONTH(DATE($B$3,11,1),0),NETWORKDAYS.INTL(DATE($B$3,11,3),DATE($B$3,11,3),1,'Non-working days'!$A$6:$A$45)=0),"",IF(COUNTIFS('Leave log'!$A$7:$A$306,Employees!$A$32,'Leave log'!$B$7:$B$306,"&lt;="&amp;DATE($B$3,11,3),'Leave log'!$C$7:$C$306,"&gt;="&amp;DATE($B$3,11,3),'Leave log'!$F$7:$F$306,"Approved")&gt;0,"A",""))="A","A",IF(OR(DATE($B$3,11,3)&gt;EOMONTH(DATE($B$3,11,1),0),NETWORKDAYS.INTL(DATE($B$3,11,3),DATE($B$3,11,3),1,'Non-working days'!$A$6:$A$45)=0),"",IF(COUNTIFS('Leave log'!$A$7:$A$306,Employees!$A$32,'Leave log'!$B$7:$B$306,"&lt;="&amp;DATE($B$3,11,3),'Leave log'!$C$7:$C$306,"&gt;="&amp;DATE($B$3,11,3),'Leave log'!$F$7:$F$306,"Pending")&gt;0,"P",""))))</f>
        <v/>
      </c>
      <c r="E373" s="23" t="str">
        <f>IF(A373="","",IF(IF(OR(DATE($B$3,11,4)&gt;EOMONTH(DATE($B$3,11,1),0),NETWORKDAYS.INTL(DATE($B$3,11,4),DATE($B$3,11,4),1,'Non-working days'!$A$6:$A$45)=0),"",IF(COUNTIFS('Leave log'!$A$7:$A$306,Employees!$A$32,'Leave log'!$B$7:$B$306,"&lt;="&amp;DATE($B$3,11,4),'Leave log'!$C$7:$C$306,"&gt;="&amp;DATE($B$3,11,4),'Leave log'!$F$7:$F$306,"Approved")&gt;0,"A",""))="A","A",IF(OR(DATE($B$3,11,4)&gt;EOMONTH(DATE($B$3,11,1),0),NETWORKDAYS.INTL(DATE($B$3,11,4),DATE($B$3,11,4),1,'Non-working days'!$A$6:$A$45)=0),"",IF(COUNTIFS('Leave log'!$A$7:$A$306,Employees!$A$32,'Leave log'!$B$7:$B$306,"&lt;="&amp;DATE($B$3,11,4),'Leave log'!$C$7:$C$306,"&gt;="&amp;DATE($B$3,11,4),'Leave log'!$F$7:$F$306,"Pending")&gt;0,"P",""))))</f>
        <v/>
      </c>
      <c r="F373" s="23" t="str">
        <f>IF(A373="","",IF(IF(OR(DATE($B$3,11,5)&gt;EOMONTH(DATE($B$3,11,1),0),NETWORKDAYS.INTL(DATE($B$3,11,5),DATE($B$3,11,5),1,'Non-working days'!$A$6:$A$45)=0),"",IF(COUNTIFS('Leave log'!$A$7:$A$306,Employees!$A$32,'Leave log'!$B$7:$B$306,"&lt;="&amp;DATE($B$3,11,5),'Leave log'!$C$7:$C$306,"&gt;="&amp;DATE($B$3,11,5),'Leave log'!$F$7:$F$306,"Approved")&gt;0,"A",""))="A","A",IF(OR(DATE($B$3,11,5)&gt;EOMONTH(DATE($B$3,11,1),0),NETWORKDAYS.INTL(DATE($B$3,11,5),DATE($B$3,11,5),1,'Non-working days'!$A$6:$A$45)=0),"",IF(COUNTIFS('Leave log'!$A$7:$A$306,Employees!$A$32,'Leave log'!$B$7:$B$306,"&lt;="&amp;DATE($B$3,11,5),'Leave log'!$C$7:$C$306,"&gt;="&amp;DATE($B$3,11,5),'Leave log'!$F$7:$F$306,"Pending")&gt;0,"P",""))))</f>
        <v/>
      </c>
      <c r="G373" s="23" t="str">
        <f>IF(A373="","",IF(IF(OR(DATE($B$3,11,6)&gt;EOMONTH(DATE($B$3,11,1),0),NETWORKDAYS.INTL(DATE($B$3,11,6),DATE($B$3,11,6),1,'Non-working days'!$A$6:$A$45)=0),"",IF(COUNTIFS('Leave log'!$A$7:$A$306,Employees!$A$32,'Leave log'!$B$7:$B$306,"&lt;="&amp;DATE($B$3,11,6),'Leave log'!$C$7:$C$306,"&gt;="&amp;DATE($B$3,11,6),'Leave log'!$F$7:$F$306,"Approved")&gt;0,"A",""))="A","A",IF(OR(DATE($B$3,11,6)&gt;EOMONTH(DATE($B$3,11,1),0),NETWORKDAYS.INTL(DATE($B$3,11,6),DATE($B$3,11,6),1,'Non-working days'!$A$6:$A$45)=0),"",IF(COUNTIFS('Leave log'!$A$7:$A$306,Employees!$A$32,'Leave log'!$B$7:$B$306,"&lt;="&amp;DATE($B$3,11,6),'Leave log'!$C$7:$C$306,"&gt;="&amp;DATE($B$3,11,6),'Leave log'!$F$7:$F$306,"Pending")&gt;0,"P",""))))</f>
        <v/>
      </c>
      <c r="H373" s="23" t="str">
        <f>IF(A373="","",IF(IF(OR(DATE($B$3,11,7)&gt;EOMONTH(DATE($B$3,11,1),0),NETWORKDAYS.INTL(DATE($B$3,11,7),DATE($B$3,11,7),1,'Non-working days'!$A$6:$A$45)=0),"",IF(COUNTIFS('Leave log'!$A$7:$A$306,Employees!$A$32,'Leave log'!$B$7:$B$306,"&lt;="&amp;DATE($B$3,11,7),'Leave log'!$C$7:$C$306,"&gt;="&amp;DATE($B$3,11,7),'Leave log'!$F$7:$F$306,"Approved")&gt;0,"A",""))="A","A",IF(OR(DATE($B$3,11,7)&gt;EOMONTH(DATE($B$3,11,1),0),NETWORKDAYS.INTL(DATE($B$3,11,7),DATE($B$3,11,7),1,'Non-working days'!$A$6:$A$45)=0),"",IF(COUNTIFS('Leave log'!$A$7:$A$306,Employees!$A$32,'Leave log'!$B$7:$B$306,"&lt;="&amp;DATE($B$3,11,7),'Leave log'!$C$7:$C$306,"&gt;="&amp;DATE($B$3,11,7),'Leave log'!$F$7:$F$306,"Pending")&gt;0,"P",""))))</f>
        <v/>
      </c>
      <c r="I373" s="23" t="str">
        <f>IF(A373="","",IF(IF(OR(DATE($B$3,11,8)&gt;EOMONTH(DATE($B$3,11,1),0),NETWORKDAYS.INTL(DATE($B$3,11,8),DATE($B$3,11,8),1,'Non-working days'!$A$6:$A$45)=0),"",IF(COUNTIFS('Leave log'!$A$7:$A$306,Employees!$A$32,'Leave log'!$B$7:$B$306,"&lt;="&amp;DATE($B$3,11,8),'Leave log'!$C$7:$C$306,"&gt;="&amp;DATE($B$3,11,8),'Leave log'!$F$7:$F$306,"Approved")&gt;0,"A",""))="A","A",IF(OR(DATE($B$3,11,8)&gt;EOMONTH(DATE($B$3,11,1),0),NETWORKDAYS.INTL(DATE($B$3,11,8),DATE($B$3,11,8),1,'Non-working days'!$A$6:$A$45)=0),"",IF(COUNTIFS('Leave log'!$A$7:$A$306,Employees!$A$32,'Leave log'!$B$7:$B$306,"&lt;="&amp;DATE($B$3,11,8),'Leave log'!$C$7:$C$306,"&gt;="&amp;DATE($B$3,11,8),'Leave log'!$F$7:$F$306,"Pending")&gt;0,"P",""))))</f>
        <v/>
      </c>
      <c r="J373" s="23" t="str">
        <f>IF(A373="","",IF(IF(OR(DATE($B$3,11,9)&gt;EOMONTH(DATE($B$3,11,1),0),NETWORKDAYS.INTL(DATE($B$3,11,9),DATE($B$3,11,9),1,'Non-working days'!$A$6:$A$45)=0),"",IF(COUNTIFS('Leave log'!$A$7:$A$306,Employees!$A$32,'Leave log'!$B$7:$B$306,"&lt;="&amp;DATE($B$3,11,9),'Leave log'!$C$7:$C$306,"&gt;="&amp;DATE($B$3,11,9),'Leave log'!$F$7:$F$306,"Approved")&gt;0,"A",""))="A","A",IF(OR(DATE($B$3,11,9)&gt;EOMONTH(DATE($B$3,11,1),0),NETWORKDAYS.INTL(DATE($B$3,11,9),DATE($B$3,11,9),1,'Non-working days'!$A$6:$A$45)=0),"",IF(COUNTIFS('Leave log'!$A$7:$A$306,Employees!$A$32,'Leave log'!$B$7:$B$306,"&lt;="&amp;DATE($B$3,11,9),'Leave log'!$C$7:$C$306,"&gt;="&amp;DATE($B$3,11,9),'Leave log'!$F$7:$F$306,"Pending")&gt;0,"P",""))))</f>
        <v/>
      </c>
      <c r="K373" s="23" t="str">
        <f>IF(A373="","",IF(IF(OR(DATE($B$3,11,10)&gt;EOMONTH(DATE($B$3,11,1),0),NETWORKDAYS.INTL(DATE($B$3,11,10),DATE($B$3,11,10),1,'Non-working days'!$A$6:$A$45)=0),"",IF(COUNTIFS('Leave log'!$A$7:$A$306,Employees!$A$32,'Leave log'!$B$7:$B$306,"&lt;="&amp;DATE($B$3,11,10),'Leave log'!$C$7:$C$306,"&gt;="&amp;DATE($B$3,11,10),'Leave log'!$F$7:$F$306,"Approved")&gt;0,"A",""))="A","A",IF(OR(DATE($B$3,11,10)&gt;EOMONTH(DATE($B$3,11,1),0),NETWORKDAYS.INTL(DATE($B$3,11,10),DATE($B$3,11,10),1,'Non-working days'!$A$6:$A$45)=0),"",IF(COUNTIFS('Leave log'!$A$7:$A$306,Employees!$A$32,'Leave log'!$B$7:$B$306,"&lt;="&amp;DATE($B$3,11,10),'Leave log'!$C$7:$C$306,"&gt;="&amp;DATE($B$3,11,10),'Leave log'!$F$7:$F$306,"Pending")&gt;0,"P",""))))</f>
        <v/>
      </c>
      <c r="L373" s="23" t="str">
        <f>IF(A373="","",IF(IF(OR(DATE($B$3,11,11)&gt;EOMONTH(DATE($B$3,11,1),0),NETWORKDAYS.INTL(DATE($B$3,11,11),DATE($B$3,11,11),1,'Non-working days'!$A$6:$A$45)=0),"",IF(COUNTIFS('Leave log'!$A$7:$A$306,Employees!$A$32,'Leave log'!$B$7:$B$306,"&lt;="&amp;DATE($B$3,11,11),'Leave log'!$C$7:$C$306,"&gt;="&amp;DATE($B$3,11,11),'Leave log'!$F$7:$F$306,"Approved")&gt;0,"A",""))="A","A",IF(OR(DATE($B$3,11,11)&gt;EOMONTH(DATE($B$3,11,1),0),NETWORKDAYS.INTL(DATE($B$3,11,11),DATE($B$3,11,11),1,'Non-working days'!$A$6:$A$45)=0),"",IF(COUNTIFS('Leave log'!$A$7:$A$306,Employees!$A$32,'Leave log'!$B$7:$B$306,"&lt;="&amp;DATE($B$3,11,11),'Leave log'!$C$7:$C$306,"&gt;="&amp;DATE($B$3,11,11),'Leave log'!$F$7:$F$306,"Pending")&gt;0,"P",""))))</f>
        <v/>
      </c>
      <c r="M373" s="23" t="str">
        <f>IF(A373="","",IF(IF(OR(DATE($B$3,11,12)&gt;EOMONTH(DATE($B$3,11,1),0),NETWORKDAYS.INTL(DATE($B$3,11,12),DATE($B$3,11,12),1,'Non-working days'!$A$6:$A$45)=0),"",IF(COUNTIFS('Leave log'!$A$7:$A$306,Employees!$A$32,'Leave log'!$B$7:$B$306,"&lt;="&amp;DATE($B$3,11,12),'Leave log'!$C$7:$C$306,"&gt;="&amp;DATE($B$3,11,12),'Leave log'!$F$7:$F$306,"Approved")&gt;0,"A",""))="A","A",IF(OR(DATE($B$3,11,12)&gt;EOMONTH(DATE($B$3,11,1),0),NETWORKDAYS.INTL(DATE($B$3,11,12),DATE($B$3,11,12),1,'Non-working days'!$A$6:$A$45)=0),"",IF(COUNTIFS('Leave log'!$A$7:$A$306,Employees!$A$32,'Leave log'!$B$7:$B$306,"&lt;="&amp;DATE($B$3,11,12),'Leave log'!$C$7:$C$306,"&gt;="&amp;DATE($B$3,11,12),'Leave log'!$F$7:$F$306,"Pending")&gt;0,"P",""))))</f>
        <v/>
      </c>
      <c r="N373" s="23" t="str">
        <f>IF(A373="","",IF(IF(OR(DATE($B$3,11,13)&gt;EOMONTH(DATE($B$3,11,1),0),NETWORKDAYS.INTL(DATE($B$3,11,13),DATE($B$3,11,13),1,'Non-working days'!$A$6:$A$45)=0),"",IF(COUNTIFS('Leave log'!$A$7:$A$306,Employees!$A$32,'Leave log'!$B$7:$B$306,"&lt;="&amp;DATE($B$3,11,13),'Leave log'!$C$7:$C$306,"&gt;="&amp;DATE($B$3,11,13),'Leave log'!$F$7:$F$306,"Approved")&gt;0,"A",""))="A","A",IF(OR(DATE($B$3,11,13)&gt;EOMONTH(DATE($B$3,11,1),0),NETWORKDAYS.INTL(DATE($B$3,11,13),DATE($B$3,11,13),1,'Non-working days'!$A$6:$A$45)=0),"",IF(COUNTIFS('Leave log'!$A$7:$A$306,Employees!$A$32,'Leave log'!$B$7:$B$306,"&lt;="&amp;DATE($B$3,11,13),'Leave log'!$C$7:$C$306,"&gt;="&amp;DATE($B$3,11,13),'Leave log'!$F$7:$F$306,"Pending")&gt;0,"P",""))))</f>
        <v/>
      </c>
      <c r="O373" s="23" t="str">
        <f>IF(A373="","",IF(IF(OR(DATE($B$3,11,14)&gt;EOMONTH(DATE($B$3,11,1),0),NETWORKDAYS.INTL(DATE($B$3,11,14),DATE($B$3,11,14),1,'Non-working days'!$A$6:$A$45)=0),"",IF(COUNTIFS('Leave log'!$A$7:$A$306,Employees!$A$32,'Leave log'!$B$7:$B$306,"&lt;="&amp;DATE($B$3,11,14),'Leave log'!$C$7:$C$306,"&gt;="&amp;DATE($B$3,11,14),'Leave log'!$F$7:$F$306,"Approved")&gt;0,"A",""))="A","A",IF(OR(DATE($B$3,11,14)&gt;EOMONTH(DATE($B$3,11,1),0),NETWORKDAYS.INTL(DATE($B$3,11,14),DATE($B$3,11,14),1,'Non-working days'!$A$6:$A$45)=0),"",IF(COUNTIFS('Leave log'!$A$7:$A$306,Employees!$A$32,'Leave log'!$B$7:$B$306,"&lt;="&amp;DATE($B$3,11,14),'Leave log'!$C$7:$C$306,"&gt;="&amp;DATE($B$3,11,14),'Leave log'!$F$7:$F$306,"Pending")&gt;0,"P",""))))</f>
        <v/>
      </c>
      <c r="P373" s="23" t="str">
        <f>IF(A373="","",IF(IF(OR(DATE($B$3,11,15)&gt;EOMONTH(DATE($B$3,11,1),0),NETWORKDAYS.INTL(DATE($B$3,11,15),DATE($B$3,11,15),1,'Non-working days'!$A$6:$A$45)=0),"",IF(COUNTIFS('Leave log'!$A$7:$A$306,Employees!$A$32,'Leave log'!$B$7:$B$306,"&lt;="&amp;DATE($B$3,11,15),'Leave log'!$C$7:$C$306,"&gt;="&amp;DATE($B$3,11,15),'Leave log'!$F$7:$F$306,"Approved")&gt;0,"A",""))="A","A",IF(OR(DATE($B$3,11,15)&gt;EOMONTH(DATE($B$3,11,1),0),NETWORKDAYS.INTL(DATE($B$3,11,15),DATE($B$3,11,15),1,'Non-working days'!$A$6:$A$45)=0),"",IF(COUNTIFS('Leave log'!$A$7:$A$306,Employees!$A$32,'Leave log'!$B$7:$B$306,"&lt;="&amp;DATE($B$3,11,15),'Leave log'!$C$7:$C$306,"&gt;="&amp;DATE($B$3,11,15),'Leave log'!$F$7:$F$306,"Pending")&gt;0,"P",""))))</f>
        <v/>
      </c>
      <c r="Q373" s="23" t="str">
        <f>IF(A373="","",IF(IF(OR(DATE($B$3,11,16)&gt;EOMONTH(DATE($B$3,11,1),0),NETWORKDAYS.INTL(DATE($B$3,11,16),DATE($B$3,11,16),1,'Non-working days'!$A$6:$A$45)=0),"",IF(COUNTIFS('Leave log'!$A$7:$A$306,Employees!$A$32,'Leave log'!$B$7:$B$306,"&lt;="&amp;DATE($B$3,11,16),'Leave log'!$C$7:$C$306,"&gt;="&amp;DATE($B$3,11,16),'Leave log'!$F$7:$F$306,"Approved")&gt;0,"A",""))="A","A",IF(OR(DATE($B$3,11,16)&gt;EOMONTH(DATE($B$3,11,1),0),NETWORKDAYS.INTL(DATE($B$3,11,16),DATE($B$3,11,16),1,'Non-working days'!$A$6:$A$45)=0),"",IF(COUNTIFS('Leave log'!$A$7:$A$306,Employees!$A$32,'Leave log'!$B$7:$B$306,"&lt;="&amp;DATE($B$3,11,16),'Leave log'!$C$7:$C$306,"&gt;="&amp;DATE($B$3,11,16),'Leave log'!$F$7:$F$306,"Pending")&gt;0,"P",""))))</f>
        <v/>
      </c>
      <c r="R373" s="23" t="str">
        <f>IF(A373="","",IF(IF(OR(DATE($B$3,11,17)&gt;EOMONTH(DATE($B$3,11,1),0),NETWORKDAYS.INTL(DATE($B$3,11,17),DATE($B$3,11,17),1,'Non-working days'!$A$6:$A$45)=0),"",IF(COUNTIFS('Leave log'!$A$7:$A$306,Employees!$A$32,'Leave log'!$B$7:$B$306,"&lt;="&amp;DATE($B$3,11,17),'Leave log'!$C$7:$C$306,"&gt;="&amp;DATE($B$3,11,17),'Leave log'!$F$7:$F$306,"Approved")&gt;0,"A",""))="A","A",IF(OR(DATE($B$3,11,17)&gt;EOMONTH(DATE($B$3,11,1),0),NETWORKDAYS.INTL(DATE($B$3,11,17),DATE($B$3,11,17),1,'Non-working days'!$A$6:$A$45)=0),"",IF(COUNTIFS('Leave log'!$A$7:$A$306,Employees!$A$32,'Leave log'!$B$7:$B$306,"&lt;="&amp;DATE($B$3,11,17),'Leave log'!$C$7:$C$306,"&gt;="&amp;DATE($B$3,11,17),'Leave log'!$F$7:$F$306,"Pending")&gt;0,"P",""))))</f>
        <v/>
      </c>
      <c r="S373" s="23" t="str">
        <f>IF(A373="","",IF(IF(OR(DATE($B$3,11,18)&gt;EOMONTH(DATE($B$3,11,1),0),NETWORKDAYS.INTL(DATE($B$3,11,18),DATE($B$3,11,18),1,'Non-working days'!$A$6:$A$45)=0),"",IF(COUNTIFS('Leave log'!$A$7:$A$306,Employees!$A$32,'Leave log'!$B$7:$B$306,"&lt;="&amp;DATE($B$3,11,18),'Leave log'!$C$7:$C$306,"&gt;="&amp;DATE($B$3,11,18),'Leave log'!$F$7:$F$306,"Approved")&gt;0,"A",""))="A","A",IF(OR(DATE($B$3,11,18)&gt;EOMONTH(DATE($B$3,11,1),0),NETWORKDAYS.INTL(DATE($B$3,11,18),DATE($B$3,11,18),1,'Non-working days'!$A$6:$A$45)=0),"",IF(COUNTIFS('Leave log'!$A$7:$A$306,Employees!$A$32,'Leave log'!$B$7:$B$306,"&lt;="&amp;DATE($B$3,11,18),'Leave log'!$C$7:$C$306,"&gt;="&amp;DATE($B$3,11,18),'Leave log'!$F$7:$F$306,"Pending")&gt;0,"P",""))))</f>
        <v/>
      </c>
      <c r="T373" s="23" t="str">
        <f>IF(A373="","",IF(IF(OR(DATE($B$3,11,19)&gt;EOMONTH(DATE($B$3,11,1),0),NETWORKDAYS.INTL(DATE($B$3,11,19),DATE($B$3,11,19),1,'Non-working days'!$A$6:$A$45)=0),"",IF(COUNTIFS('Leave log'!$A$7:$A$306,Employees!$A$32,'Leave log'!$B$7:$B$306,"&lt;="&amp;DATE($B$3,11,19),'Leave log'!$C$7:$C$306,"&gt;="&amp;DATE($B$3,11,19),'Leave log'!$F$7:$F$306,"Approved")&gt;0,"A",""))="A","A",IF(OR(DATE($B$3,11,19)&gt;EOMONTH(DATE($B$3,11,1),0),NETWORKDAYS.INTL(DATE($B$3,11,19),DATE($B$3,11,19),1,'Non-working days'!$A$6:$A$45)=0),"",IF(COUNTIFS('Leave log'!$A$7:$A$306,Employees!$A$32,'Leave log'!$B$7:$B$306,"&lt;="&amp;DATE($B$3,11,19),'Leave log'!$C$7:$C$306,"&gt;="&amp;DATE($B$3,11,19),'Leave log'!$F$7:$F$306,"Pending")&gt;0,"P",""))))</f>
        <v/>
      </c>
      <c r="U373" s="23" t="str">
        <f>IF(A373="","",IF(IF(OR(DATE($B$3,11,20)&gt;EOMONTH(DATE($B$3,11,1),0),NETWORKDAYS.INTL(DATE($B$3,11,20),DATE($B$3,11,20),1,'Non-working days'!$A$6:$A$45)=0),"",IF(COUNTIFS('Leave log'!$A$7:$A$306,Employees!$A$32,'Leave log'!$B$7:$B$306,"&lt;="&amp;DATE($B$3,11,20),'Leave log'!$C$7:$C$306,"&gt;="&amp;DATE($B$3,11,20),'Leave log'!$F$7:$F$306,"Approved")&gt;0,"A",""))="A","A",IF(OR(DATE($B$3,11,20)&gt;EOMONTH(DATE($B$3,11,1),0),NETWORKDAYS.INTL(DATE($B$3,11,20),DATE($B$3,11,20),1,'Non-working days'!$A$6:$A$45)=0),"",IF(COUNTIFS('Leave log'!$A$7:$A$306,Employees!$A$32,'Leave log'!$B$7:$B$306,"&lt;="&amp;DATE($B$3,11,20),'Leave log'!$C$7:$C$306,"&gt;="&amp;DATE($B$3,11,20),'Leave log'!$F$7:$F$306,"Pending")&gt;0,"P",""))))</f>
        <v/>
      </c>
      <c r="V373" s="23" t="str">
        <f>IF(A373="","",IF(IF(OR(DATE($B$3,11,21)&gt;EOMONTH(DATE($B$3,11,1),0),NETWORKDAYS.INTL(DATE($B$3,11,21),DATE($B$3,11,21),1,'Non-working days'!$A$6:$A$45)=0),"",IF(COUNTIFS('Leave log'!$A$7:$A$306,Employees!$A$32,'Leave log'!$B$7:$B$306,"&lt;="&amp;DATE($B$3,11,21),'Leave log'!$C$7:$C$306,"&gt;="&amp;DATE($B$3,11,21),'Leave log'!$F$7:$F$306,"Approved")&gt;0,"A",""))="A","A",IF(OR(DATE($B$3,11,21)&gt;EOMONTH(DATE($B$3,11,1),0),NETWORKDAYS.INTL(DATE($B$3,11,21),DATE($B$3,11,21),1,'Non-working days'!$A$6:$A$45)=0),"",IF(COUNTIFS('Leave log'!$A$7:$A$306,Employees!$A$32,'Leave log'!$B$7:$B$306,"&lt;="&amp;DATE($B$3,11,21),'Leave log'!$C$7:$C$306,"&gt;="&amp;DATE($B$3,11,21),'Leave log'!$F$7:$F$306,"Pending")&gt;0,"P",""))))</f>
        <v/>
      </c>
      <c r="W373" s="23" t="str">
        <f>IF(A373="","",IF(IF(OR(DATE($B$3,11,22)&gt;EOMONTH(DATE($B$3,11,1),0),NETWORKDAYS.INTL(DATE($B$3,11,22),DATE($B$3,11,22),1,'Non-working days'!$A$6:$A$45)=0),"",IF(COUNTIFS('Leave log'!$A$7:$A$306,Employees!$A$32,'Leave log'!$B$7:$B$306,"&lt;="&amp;DATE($B$3,11,22),'Leave log'!$C$7:$C$306,"&gt;="&amp;DATE($B$3,11,22),'Leave log'!$F$7:$F$306,"Approved")&gt;0,"A",""))="A","A",IF(OR(DATE($B$3,11,22)&gt;EOMONTH(DATE($B$3,11,1),0),NETWORKDAYS.INTL(DATE($B$3,11,22),DATE($B$3,11,22),1,'Non-working days'!$A$6:$A$45)=0),"",IF(COUNTIFS('Leave log'!$A$7:$A$306,Employees!$A$32,'Leave log'!$B$7:$B$306,"&lt;="&amp;DATE($B$3,11,22),'Leave log'!$C$7:$C$306,"&gt;="&amp;DATE($B$3,11,22),'Leave log'!$F$7:$F$306,"Pending")&gt;0,"P",""))))</f>
        <v/>
      </c>
      <c r="X373" s="23" t="str">
        <f>IF(A373="","",IF(IF(OR(DATE($B$3,11,23)&gt;EOMONTH(DATE($B$3,11,1),0),NETWORKDAYS.INTL(DATE($B$3,11,23),DATE($B$3,11,23),1,'Non-working days'!$A$6:$A$45)=0),"",IF(COUNTIFS('Leave log'!$A$7:$A$306,Employees!$A$32,'Leave log'!$B$7:$B$306,"&lt;="&amp;DATE($B$3,11,23),'Leave log'!$C$7:$C$306,"&gt;="&amp;DATE($B$3,11,23),'Leave log'!$F$7:$F$306,"Approved")&gt;0,"A",""))="A","A",IF(OR(DATE($B$3,11,23)&gt;EOMONTH(DATE($B$3,11,1),0),NETWORKDAYS.INTL(DATE($B$3,11,23),DATE($B$3,11,23),1,'Non-working days'!$A$6:$A$45)=0),"",IF(COUNTIFS('Leave log'!$A$7:$A$306,Employees!$A$32,'Leave log'!$B$7:$B$306,"&lt;="&amp;DATE($B$3,11,23),'Leave log'!$C$7:$C$306,"&gt;="&amp;DATE($B$3,11,23),'Leave log'!$F$7:$F$306,"Pending")&gt;0,"P",""))))</f>
        <v/>
      </c>
      <c r="Y373" s="23" t="str">
        <f>IF(A373="","",IF(IF(OR(DATE($B$3,11,24)&gt;EOMONTH(DATE($B$3,11,1),0),NETWORKDAYS.INTL(DATE($B$3,11,24),DATE($B$3,11,24),1,'Non-working days'!$A$6:$A$45)=0),"",IF(COUNTIFS('Leave log'!$A$7:$A$306,Employees!$A$32,'Leave log'!$B$7:$B$306,"&lt;="&amp;DATE($B$3,11,24),'Leave log'!$C$7:$C$306,"&gt;="&amp;DATE($B$3,11,24),'Leave log'!$F$7:$F$306,"Approved")&gt;0,"A",""))="A","A",IF(OR(DATE($B$3,11,24)&gt;EOMONTH(DATE($B$3,11,1),0),NETWORKDAYS.INTL(DATE($B$3,11,24),DATE($B$3,11,24),1,'Non-working days'!$A$6:$A$45)=0),"",IF(COUNTIFS('Leave log'!$A$7:$A$306,Employees!$A$32,'Leave log'!$B$7:$B$306,"&lt;="&amp;DATE($B$3,11,24),'Leave log'!$C$7:$C$306,"&gt;="&amp;DATE($B$3,11,24),'Leave log'!$F$7:$F$306,"Pending")&gt;0,"P",""))))</f>
        <v/>
      </c>
      <c r="Z373" s="23" t="str">
        <f>IF(A373="","",IF(IF(OR(DATE($B$3,11,25)&gt;EOMONTH(DATE($B$3,11,1),0),NETWORKDAYS.INTL(DATE($B$3,11,25),DATE($B$3,11,25),1,'Non-working days'!$A$6:$A$45)=0),"",IF(COUNTIFS('Leave log'!$A$7:$A$306,Employees!$A$32,'Leave log'!$B$7:$B$306,"&lt;="&amp;DATE($B$3,11,25),'Leave log'!$C$7:$C$306,"&gt;="&amp;DATE($B$3,11,25),'Leave log'!$F$7:$F$306,"Approved")&gt;0,"A",""))="A","A",IF(OR(DATE($B$3,11,25)&gt;EOMONTH(DATE($B$3,11,1),0),NETWORKDAYS.INTL(DATE($B$3,11,25),DATE($B$3,11,25),1,'Non-working days'!$A$6:$A$45)=0),"",IF(COUNTIFS('Leave log'!$A$7:$A$306,Employees!$A$32,'Leave log'!$B$7:$B$306,"&lt;="&amp;DATE($B$3,11,25),'Leave log'!$C$7:$C$306,"&gt;="&amp;DATE($B$3,11,25),'Leave log'!$F$7:$F$306,"Pending")&gt;0,"P",""))))</f>
        <v/>
      </c>
      <c r="AA373" s="23" t="str">
        <f>IF(A373="","",IF(IF(OR(DATE($B$3,11,26)&gt;EOMONTH(DATE($B$3,11,1),0),NETWORKDAYS.INTL(DATE($B$3,11,26),DATE($B$3,11,26),1,'Non-working days'!$A$6:$A$45)=0),"",IF(COUNTIFS('Leave log'!$A$7:$A$306,Employees!$A$32,'Leave log'!$B$7:$B$306,"&lt;="&amp;DATE($B$3,11,26),'Leave log'!$C$7:$C$306,"&gt;="&amp;DATE($B$3,11,26),'Leave log'!$F$7:$F$306,"Approved")&gt;0,"A",""))="A","A",IF(OR(DATE($B$3,11,26)&gt;EOMONTH(DATE($B$3,11,1),0),NETWORKDAYS.INTL(DATE($B$3,11,26),DATE($B$3,11,26),1,'Non-working days'!$A$6:$A$45)=0),"",IF(COUNTIFS('Leave log'!$A$7:$A$306,Employees!$A$32,'Leave log'!$B$7:$B$306,"&lt;="&amp;DATE($B$3,11,26),'Leave log'!$C$7:$C$306,"&gt;="&amp;DATE($B$3,11,26),'Leave log'!$F$7:$F$306,"Pending")&gt;0,"P",""))))</f>
        <v/>
      </c>
      <c r="AB373" s="23" t="str">
        <f>IF(A373="","",IF(IF(OR(DATE($B$3,11,27)&gt;EOMONTH(DATE($B$3,11,1),0),NETWORKDAYS.INTL(DATE($B$3,11,27),DATE($B$3,11,27),1,'Non-working days'!$A$6:$A$45)=0),"",IF(COUNTIFS('Leave log'!$A$7:$A$306,Employees!$A$32,'Leave log'!$B$7:$B$306,"&lt;="&amp;DATE($B$3,11,27),'Leave log'!$C$7:$C$306,"&gt;="&amp;DATE($B$3,11,27),'Leave log'!$F$7:$F$306,"Approved")&gt;0,"A",""))="A","A",IF(OR(DATE($B$3,11,27)&gt;EOMONTH(DATE($B$3,11,1),0),NETWORKDAYS.INTL(DATE($B$3,11,27),DATE($B$3,11,27),1,'Non-working days'!$A$6:$A$45)=0),"",IF(COUNTIFS('Leave log'!$A$7:$A$306,Employees!$A$32,'Leave log'!$B$7:$B$306,"&lt;="&amp;DATE($B$3,11,27),'Leave log'!$C$7:$C$306,"&gt;="&amp;DATE($B$3,11,27),'Leave log'!$F$7:$F$306,"Pending")&gt;0,"P",""))))</f>
        <v/>
      </c>
      <c r="AC373" s="23" t="str">
        <f>IF(A373="","",IF(IF(OR(DATE($B$3,11,28)&gt;EOMONTH(DATE($B$3,11,1),0),NETWORKDAYS.INTL(DATE($B$3,11,28),DATE($B$3,11,28),1,'Non-working days'!$A$6:$A$45)=0),"",IF(COUNTIFS('Leave log'!$A$7:$A$306,Employees!$A$32,'Leave log'!$B$7:$B$306,"&lt;="&amp;DATE($B$3,11,28),'Leave log'!$C$7:$C$306,"&gt;="&amp;DATE($B$3,11,28),'Leave log'!$F$7:$F$306,"Approved")&gt;0,"A",""))="A","A",IF(OR(DATE($B$3,11,28)&gt;EOMONTH(DATE($B$3,11,1),0),NETWORKDAYS.INTL(DATE($B$3,11,28),DATE($B$3,11,28),1,'Non-working days'!$A$6:$A$45)=0),"",IF(COUNTIFS('Leave log'!$A$7:$A$306,Employees!$A$32,'Leave log'!$B$7:$B$306,"&lt;="&amp;DATE($B$3,11,28),'Leave log'!$C$7:$C$306,"&gt;="&amp;DATE($B$3,11,28),'Leave log'!$F$7:$F$306,"Pending")&gt;0,"P",""))))</f>
        <v/>
      </c>
      <c r="AD373" s="23" t="str">
        <f>IF(A373="","",IF(IF(OR(DATE($B$3,11,29)&gt;EOMONTH(DATE($B$3,11,1),0),NETWORKDAYS.INTL(DATE($B$3,11,29),DATE($B$3,11,29),1,'Non-working days'!$A$6:$A$45)=0),"",IF(COUNTIFS('Leave log'!$A$7:$A$306,Employees!$A$32,'Leave log'!$B$7:$B$306,"&lt;="&amp;DATE($B$3,11,29),'Leave log'!$C$7:$C$306,"&gt;="&amp;DATE($B$3,11,29),'Leave log'!$F$7:$F$306,"Approved")&gt;0,"A",""))="A","A",IF(OR(DATE($B$3,11,29)&gt;EOMONTH(DATE($B$3,11,1),0),NETWORKDAYS.INTL(DATE($B$3,11,29),DATE($B$3,11,29),1,'Non-working days'!$A$6:$A$45)=0),"",IF(COUNTIFS('Leave log'!$A$7:$A$306,Employees!$A$32,'Leave log'!$B$7:$B$306,"&lt;="&amp;DATE($B$3,11,29),'Leave log'!$C$7:$C$306,"&gt;="&amp;DATE($B$3,11,29),'Leave log'!$F$7:$F$306,"Pending")&gt;0,"P",""))))</f>
        <v/>
      </c>
      <c r="AE373" s="23" t="str">
        <f>IF(A373="","",IF(IF(OR(DATE($B$3,11,30)&gt;EOMONTH(DATE($B$3,11,1),0),NETWORKDAYS.INTL(DATE($B$3,11,30),DATE($B$3,11,30),1,'Non-working days'!$A$6:$A$45)=0),"",IF(COUNTIFS('Leave log'!$A$7:$A$306,Employees!$A$32,'Leave log'!$B$7:$B$306,"&lt;="&amp;DATE($B$3,11,30),'Leave log'!$C$7:$C$306,"&gt;="&amp;DATE($B$3,11,30),'Leave log'!$F$7:$F$306,"Approved")&gt;0,"A",""))="A","A",IF(OR(DATE($B$3,11,30)&gt;EOMONTH(DATE($B$3,11,1),0),NETWORKDAYS.INTL(DATE($B$3,11,30),DATE($B$3,11,30),1,'Non-working days'!$A$6:$A$45)=0),"",IF(COUNTIFS('Leave log'!$A$7:$A$306,Employees!$A$32,'Leave log'!$B$7:$B$306,"&lt;="&amp;DATE($B$3,11,30),'Leave log'!$C$7:$C$306,"&gt;="&amp;DATE($B$3,11,30),'Leave log'!$F$7:$F$306,"Pending")&gt;0,"P",""))))</f>
        <v/>
      </c>
      <c r="AF373" s="23" t="str">
        <f>IF(A373="","",IF(IF(OR(DATE($B$3,11,31)&gt;EOMONTH(DATE($B$3,11,1),0),NETWORKDAYS.INTL(DATE($B$3,11,31),DATE($B$3,11,31),1,'Non-working days'!$A$6:$A$45)=0),"",IF(COUNTIFS('Leave log'!$A$7:$A$306,Employees!$A$32,'Leave log'!$B$7:$B$306,"&lt;="&amp;DATE($B$3,11,31),'Leave log'!$C$7:$C$306,"&gt;="&amp;DATE($B$3,11,31),'Leave log'!$F$7:$F$306,"Approved")&gt;0,"A",""))="A","A",IF(OR(DATE($B$3,11,31)&gt;EOMONTH(DATE($B$3,11,1),0),NETWORKDAYS.INTL(DATE($B$3,11,31),DATE($B$3,11,31),1,'Non-working days'!$A$6:$A$45)=0),"",IF(COUNTIFS('Leave log'!$A$7:$A$306,Employees!$A$32,'Leave log'!$B$7:$B$306,"&lt;="&amp;DATE($B$3,11,31),'Leave log'!$C$7:$C$306,"&gt;="&amp;DATE($B$3,11,31),'Leave log'!$F$7:$F$306,"Pending")&gt;0,"P",""))))</f>
        <v/>
      </c>
    </row>
    <row r="374" spans="1:32" ht="18" customHeight="1" x14ac:dyDescent="0.3">
      <c r="A374" s="22" t="str">
        <f>IF(Employees!F33="Yes",Employees!B33,"")</f>
        <v/>
      </c>
      <c r="B374" s="23" t="str">
        <f>IF(A374="","",IF(IF(OR(DATE($B$3,11,1)&gt;EOMONTH(DATE($B$3,11,1),0),NETWORKDAYS.INTL(DATE($B$3,11,1),DATE($B$3,11,1),1,'Non-working days'!$A$6:$A$45)=0),"",IF(COUNTIFS('Leave log'!$A$7:$A$306,Employees!$A$33,'Leave log'!$B$7:$B$306,"&lt;="&amp;DATE($B$3,11,1),'Leave log'!$C$7:$C$306,"&gt;="&amp;DATE($B$3,11,1),'Leave log'!$F$7:$F$306,"Approved")&gt;0,"A",""))="A","A",IF(OR(DATE($B$3,11,1)&gt;EOMONTH(DATE($B$3,11,1),0),NETWORKDAYS.INTL(DATE($B$3,11,1),DATE($B$3,11,1),1,'Non-working days'!$A$6:$A$45)=0),"",IF(COUNTIFS('Leave log'!$A$7:$A$306,Employees!$A$33,'Leave log'!$B$7:$B$306,"&lt;="&amp;DATE($B$3,11,1),'Leave log'!$C$7:$C$306,"&gt;="&amp;DATE($B$3,11,1),'Leave log'!$F$7:$F$306,"Pending")&gt;0,"P",""))))</f>
        <v/>
      </c>
      <c r="C374" s="23" t="str">
        <f>IF(A374="","",IF(IF(OR(DATE($B$3,11,2)&gt;EOMONTH(DATE($B$3,11,1),0),NETWORKDAYS.INTL(DATE($B$3,11,2),DATE($B$3,11,2),1,'Non-working days'!$A$6:$A$45)=0),"",IF(COUNTIFS('Leave log'!$A$7:$A$306,Employees!$A$33,'Leave log'!$B$7:$B$306,"&lt;="&amp;DATE($B$3,11,2),'Leave log'!$C$7:$C$306,"&gt;="&amp;DATE($B$3,11,2),'Leave log'!$F$7:$F$306,"Approved")&gt;0,"A",""))="A","A",IF(OR(DATE($B$3,11,2)&gt;EOMONTH(DATE($B$3,11,1),0),NETWORKDAYS.INTL(DATE($B$3,11,2),DATE($B$3,11,2),1,'Non-working days'!$A$6:$A$45)=0),"",IF(COUNTIFS('Leave log'!$A$7:$A$306,Employees!$A$33,'Leave log'!$B$7:$B$306,"&lt;="&amp;DATE($B$3,11,2),'Leave log'!$C$7:$C$306,"&gt;="&amp;DATE($B$3,11,2),'Leave log'!$F$7:$F$306,"Pending")&gt;0,"P",""))))</f>
        <v/>
      </c>
      <c r="D374" s="23" t="str">
        <f>IF(A374="","",IF(IF(OR(DATE($B$3,11,3)&gt;EOMONTH(DATE($B$3,11,1),0),NETWORKDAYS.INTL(DATE($B$3,11,3),DATE($B$3,11,3),1,'Non-working days'!$A$6:$A$45)=0),"",IF(COUNTIFS('Leave log'!$A$7:$A$306,Employees!$A$33,'Leave log'!$B$7:$B$306,"&lt;="&amp;DATE($B$3,11,3),'Leave log'!$C$7:$C$306,"&gt;="&amp;DATE($B$3,11,3),'Leave log'!$F$7:$F$306,"Approved")&gt;0,"A",""))="A","A",IF(OR(DATE($B$3,11,3)&gt;EOMONTH(DATE($B$3,11,1),0),NETWORKDAYS.INTL(DATE($B$3,11,3),DATE($B$3,11,3),1,'Non-working days'!$A$6:$A$45)=0),"",IF(COUNTIFS('Leave log'!$A$7:$A$306,Employees!$A$33,'Leave log'!$B$7:$B$306,"&lt;="&amp;DATE($B$3,11,3),'Leave log'!$C$7:$C$306,"&gt;="&amp;DATE($B$3,11,3),'Leave log'!$F$7:$F$306,"Pending")&gt;0,"P",""))))</f>
        <v/>
      </c>
      <c r="E374" s="23" t="str">
        <f>IF(A374="","",IF(IF(OR(DATE($B$3,11,4)&gt;EOMONTH(DATE($B$3,11,1),0),NETWORKDAYS.INTL(DATE($B$3,11,4),DATE($B$3,11,4),1,'Non-working days'!$A$6:$A$45)=0),"",IF(COUNTIFS('Leave log'!$A$7:$A$306,Employees!$A$33,'Leave log'!$B$7:$B$306,"&lt;="&amp;DATE($B$3,11,4),'Leave log'!$C$7:$C$306,"&gt;="&amp;DATE($B$3,11,4),'Leave log'!$F$7:$F$306,"Approved")&gt;0,"A",""))="A","A",IF(OR(DATE($B$3,11,4)&gt;EOMONTH(DATE($B$3,11,1),0),NETWORKDAYS.INTL(DATE($B$3,11,4),DATE($B$3,11,4),1,'Non-working days'!$A$6:$A$45)=0),"",IF(COUNTIFS('Leave log'!$A$7:$A$306,Employees!$A$33,'Leave log'!$B$7:$B$306,"&lt;="&amp;DATE($B$3,11,4),'Leave log'!$C$7:$C$306,"&gt;="&amp;DATE($B$3,11,4),'Leave log'!$F$7:$F$306,"Pending")&gt;0,"P",""))))</f>
        <v/>
      </c>
      <c r="F374" s="23" t="str">
        <f>IF(A374="","",IF(IF(OR(DATE($B$3,11,5)&gt;EOMONTH(DATE($B$3,11,1),0),NETWORKDAYS.INTL(DATE($B$3,11,5),DATE($B$3,11,5),1,'Non-working days'!$A$6:$A$45)=0),"",IF(COUNTIFS('Leave log'!$A$7:$A$306,Employees!$A$33,'Leave log'!$B$7:$B$306,"&lt;="&amp;DATE($B$3,11,5),'Leave log'!$C$7:$C$306,"&gt;="&amp;DATE($B$3,11,5),'Leave log'!$F$7:$F$306,"Approved")&gt;0,"A",""))="A","A",IF(OR(DATE($B$3,11,5)&gt;EOMONTH(DATE($B$3,11,1),0),NETWORKDAYS.INTL(DATE($B$3,11,5),DATE($B$3,11,5),1,'Non-working days'!$A$6:$A$45)=0),"",IF(COUNTIFS('Leave log'!$A$7:$A$306,Employees!$A$33,'Leave log'!$B$7:$B$306,"&lt;="&amp;DATE($B$3,11,5),'Leave log'!$C$7:$C$306,"&gt;="&amp;DATE($B$3,11,5),'Leave log'!$F$7:$F$306,"Pending")&gt;0,"P",""))))</f>
        <v/>
      </c>
      <c r="G374" s="23" t="str">
        <f>IF(A374="","",IF(IF(OR(DATE($B$3,11,6)&gt;EOMONTH(DATE($B$3,11,1),0),NETWORKDAYS.INTL(DATE($B$3,11,6),DATE($B$3,11,6),1,'Non-working days'!$A$6:$A$45)=0),"",IF(COUNTIFS('Leave log'!$A$7:$A$306,Employees!$A$33,'Leave log'!$B$7:$B$306,"&lt;="&amp;DATE($B$3,11,6),'Leave log'!$C$7:$C$306,"&gt;="&amp;DATE($B$3,11,6),'Leave log'!$F$7:$F$306,"Approved")&gt;0,"A",""))="A","A",IF(OR(DATE($B$3,11,6)&gt;EOMONTH(DATE($B$3,11,1),0),NETWORKDAYS.INTL(DATE($B$3,11,6),DATE($B$3,11,6),1,'Non-working days'!$A$6:$A$45)=0),"",IF(COUNTIFS('Leave log'!$A$7:$A$306,Employees!$A$33,'Leave log'!$B$7:$B$306,"&lt;="&amp;DATE($B$3,11,6),'Leave log'!$C$7:$C$306,"&gt;="&amp;DATE($B$3,11,6),'Leave log'!$F$7:$F$306,"Pending")&gt;0,"P",""))))</f>
        <v/>
      </c>
      <c r="H374" s="23" t="str">
        <f>IF(A374="","",IF(IF(OR(DATE($B$3,11,7)&gt;EOMONTH(DATE($B$3,11,1),0),NETWORKDAYS.INTL(DATE($B$3,11,7),DATE($B$3,11,7),1,'Non-working days'!$A$6:$A$45)=0),"",IF(COUNTIFS('Leave log'!$A$7:$A$306,Employees!$A$33,'Leave log'!$B$7:$B$306,"&lt;="&amp;DATE($B$3,11,7),'Leave log'!$C$7:$C$306,"&gt;="&amp;DATE($B$3,11,7),'Leave log'!$F$7:$F$306,"Approved")&gt;0,"A",""))="A","A",IF(OR(DATE($B$3,11,7)&gt;EOMONTH(DATE($B$3,11,1),0),NETWORKDAYS.INTL(DATE($B$3,11,7),DATE($B$3,11,7),1,'Non-working days'!$A$6:$A$45)=0),"",IF(COUNTIFS('Leave log'!$A$7:$A$306,Employees!$A$33,'Leave log'!$B$7:$B$306,"&lt;="&amp;DATE($B$3,11,7),'Leave log'!$C$7:$C$306,"&gt;="&amp;DATE($B$3,11,7),'Leave log'!$F$7:$F$306,"Pending")&gt;0,"P",""))))</f>
        <v/>
      </c>
      <c r="I374" s="23" t="str">
        <f>IF(A374="","",IF(IF(OR(DATE($B$3,11,8)&gt;EOMONTH(DATE($B$3,11,1),0),NETWORKDAYS.INTL(DATE($B$3,11,8),DATE($B$3,11,8),1,'Non-working days'!$A$6:$A$45)=0),"",IF(COUNTIFS('Leave log'!$A$7:$A$306,Employees!$A$33,'Leave log'!$B$7:$B$306,"&lt;="&amp;DATE($B$3,11,8),'Leave log'!$C$7:$C$306,"&gt;="&amp;DATE($B$3,11,8),'Leave log'!$F$7:$F$306,"Approved")&gt;0,"A",""))="A","A",IF(OR(DATE($B$3,11,8)&gt;EOMONTH(DATE($B$3,11,1),0),NETWORKDAYS.INTL(DATE($B$3,11,8),DATE($B$3,11,8),1,'Non-working days'!$A$6:$A$45)=0),"",IF(COUNTIFS('Leave log'!$A$7:$A$306,Employees!$A$33,'Leave log'!$B$7:$B$306,"&lt;="&amp;DATE($B$3,11,8),'Leave log'!$C$7:$C$306,"&gt;="&amp;DATE($B$3,11,8),'Leave log'!$F$7:$F$306,"Pending")&gt;0,"P",""))))</f>
        <v/>
      </c>
      <c r="J374" s="23" t="str">
        <f>IF(A374="","",IF(IF(OR(DATE($B$3,11,9)&gt;EOMONTH(DATE($B$3,11,1),0),NETWORKDAYS.INTL(DATE($B$3,11,9),DATE($B$3,11,9),1,'Non-working days'!$A$6:$A$45)=0),"",IF(COUNTIFS('Leave log'!$A$7:$A$306,Employees!$A$33,'Leave log'!$B$7:$B$306,"&lt;="&amp;DATE($B$3,11,9),'Leave log'!$C$7:$C$306,"&gt;="&amp;DATE($B$3,11,9),'Leave log'!$F$7:$F$306,"Approved")&gt;0,"A",""))="A","A",IF(OR(DATE($B$3,11,9)&gt;EOMONTH(DATE($B$3,11,1),0),NETWORKDAYS.INTL(DATE($B$3,11,9),DATE($B$3,11,9),1,'Non-working days'!$A$6:$A$45)=0),"",IF(COUNTIFS('Leave log'!$A$7:$A$306,Employees!$A$33,'Leave log'!$B$7:$B$306,"&lt;="&amp;DATE($B$3,11,9),'Leave log'!$C$7:$C$306,"&gt;="&amp;DATE($B$3,11,9),'Leave log'!$F$7:$F$306,"Pending")&gt;0,"P",""))))</f>
        <v/>
      </c>
      <c r="K374" s="23" t="str">
        <f>IF(A374="","",IF(IF(OR(DATE($B$3,11,10)&gt;EOMONTH(DATE($B$3,11,1),0),NETWORKDAYS.INTL(DATE($B$3,11,10),DATE($B$3,11,10),1,'Non-working days'!$A$6:$A$45)=0),"",IF(COUNTIFS('Leave log'!$A$7:$A$306,Employees!$A$33,'Leave log'!$B$7:$B$306,"&lt;="&amp;DATE($B$3,11,10),'Leave log'!$C$7:$C$306,"&gt;="&amp;DATE($B$3,11,10),'Leave log'!$F$7:$F$306,"Approved")&gt;0,"A",""))="A","A",IF(OR(DATE($B$3,11,10)&gt;EOMONTH(DATE($B$3,11,1),0),NETWORKDAYS.INTL(DATE($B$3,11,10),DATE($B$3,11,10),1,'Non-working days'!$A$6:$A$45)=0),"",IF(COUNTIFS('Leave log'!$A$7:$A$306,Employees!$A$33,'Leave log'!$B$7:$B$306,"&lt;="&amp;DATE($B$3,11,10),'Leave log'!$C$7:$C$306,"&gt;="&amp;DATE($B$3,11,10),'Leave log'!$F$7:$F$306,"Pending")&gt;0,"P",""))))</f>
        <v/>
      </c>
      <c r="L374" s="23" t="str">
        <f>IF(A374="","",IF(IF(OR(DATE($B$3,11,11)&gt;EOMONTH(DATE($B$3,11,1),0),NETWORKDAYS.INTL(DATE($B$3,11,11),DATE($B$3,11,11),1,'Non-working days'!$A$6:$A$45)=0),"",IF(COUNTIFS('Leave log'!$A$7:$A$306,Employees!$A$33,'Leave log'!$B$7:$B$306,"&lt;="&amp;DATE($B$3,11,11),'Leave log'!$C$7:$C$306,"&gt;="&amp;DATE($B$3,11,11),'Leave log'!$F$7:$F$306,"Approved")&gt;0,"A",""))="A","A",IF(OR(DATE($B$3,11,11)&gt;EOMONTH(DATE($B$3,11,1),0),NETWORKDAYS.INTL(DATE($B$3,11,11),DATE($B$3,11,11),1,'Non-working days'!$A$6:$A$45)=0),"",IF(COUNTIFS('Leave log'!$A$7:$A$306,Employees!$A$33,'Leave log'!$B$7:$B$306,"&lt;="&amp;DATE($B$3,11,11),'Leave log'!$C$7:$C$306,"&gt;="&amp;DATE($B$3,11,11),'Leave log'!$F$7:$F$306,"Pending")&gt;0,"P",""))))</f>
        <v/>
      </c>
      <c r="M374" s="23" t="str">
        <f>IF(A374="","",IF(IF(OR(DATE($B$3,11,12)&gt;EOMONTH(DATE($B$3,11,1),0),NETWORKDAYS.INTL(DATE($B$3,11,12),DATE($B$3,11,12),1,'Non-working days'!$A$6:$A$45)=0),"",IF(COUNTIFS('Leave log'!$A$7:$A$306,Employees!$A$33,'Leave log'!$B$7:$B$306,"&lt;="&amp;DATE($B$3,11,12),'Leave log'!$C$7:$C$306,"&gt;="&amp;DATE($B$3,11,12),'Leave log'!$F$7:$F$306,"Approved")&gt;0,"A",""))="A","A",IF(OR(DATE($B$3,11,12)&gt;EOMONTH(DATE($B$3,11,1),0),NETWORKDAYS.INTL(DATE($B$3,11,12),DATE($B$3,11,12),1,'Non-working days'!$A$6:$A$45)=0),"",IF(COUNTIFS('Leave log'!$A$7:$A$306,Employees!$A$33,'Leave log'!$B$7:$B$306,"&lt;="&amp;DATE($B$3,11,12),'Leave log'!$C$7:$C$306,"&gt;="&amp;DATE($B$3,11,12),'Leave log'!$F$7:$F$306,"Pending")&gt;0,"P",""))))</f>
        <v/>
      </c>
      <c r="N374" s="23" t="str">
        <f>IF(A374="","",IF(IF(OR(DATE($B$3,11,13)&gt;EOMONTH(DATE($B$3,11,1),0),NETWORKDAYS.INTL(DATE($B$3,11,13),DATE($B$3,11,13),1,'Non-working days'!$A$6:$A$45)=0),"",IF(COUNTIFS('Leave log'!$A$7:$A$306,Employees!$A$33,'Leave log'!$B$7:$B$306,"&lt;="&amp;DATE($B$3,11,13),'Leave log'!$C$7:$C$306,"&gt;="&amp;DATE($B$3,11,13),'Leave log'!$F$7:$F$306,"Approved")&gt;0,"A",""))="A","A",IF(OR(DATE($B$3,11,13)&gt;EOMONTH(DATE($B$3,11,1),0),NETWORKDAYS.INTL(DATE($B$3,11,13),DATE($B$3,11,13),1,'Non-working days'!$A$6:$A$45)=0),"",IF(COUNTIFS('Leave log'!$A$7:$A$306,Employees!$A$33,'Leave log'!$B$7:$B$306,"&lt;="&amp;DATE($B$3,11,13),'Leave log'!$C$7:$C$306,"&gt;="&amp;DATE($B$3,11,13),'Leave log'!$F$7:$F$306,"Pending")&gt;0,"P",""))))</f>
        <v/>
      </c>
      <c r="O374" s="23" t="str">
        <f>IF(A374="","",IF(IF(OR(DATE($B$3,11,14)&gt;EOMONTH(DATE($B$3,11,1),0),NETWORKDAYS.INTL(DATE($B$3,11,14),DATE($B$3,11,14),1,'Non-working days'!$A$6:$A$45)=0),"",IF(COUNTIFS('Leave log'!$A$7:$A$306,Employees!$A$33,'Leave log'!$B$7:$B$306,"&lt;="&amp;DATE($B$3,11,14),'Leave log'!$C$7:$C$306,"&gt;="&amp;DATE($B$3,11,14),'Leave log'!$F$7:$F$306,"Approved")&gt;0,"A",""))="A","A",IF(OR(DATE($B$3,11,14)&gt;EOMONTH(DATE($B$3,11,1),0),NETWORKDAYS.INTL(DATE($B$3,11,14),DATE($B$3,11,14),1,'Non-working days'!$A$6:$A$45)=0),"",IF(COUNTIFS('Leave log'!$A$7:$A$306,Employees!$A$33,'Leave log'!$B$7:$B$306,"&lt;="&amp;DATE($B$3,11,14),'Leave log'!$C$7:$C$306,"&gt;="&amp;DATE($B$3,11,14),'Leave log'!$F$7:$F$306,"Pending")&gt;0,"P",""))))</f>
        <v/>
      </c>
      <c r="P374" s="23" t="str">
        <f>IF(A374="","",IF(IF(OR(DATE($B$3,11,15)&gt;EOMONTH(DATE($B$3,11,1),0),NETWORKDAYS.INTL(DATE($B$3,11,15),DATE($B$3,11,15),1,'Non-working days'!$A$6:$A$45)=0),"",IF(COUNTIFS('Leave log'!$A$7:$A$306,Employees!$A$33,'Leave log'!$B$7:$B$306,"&lt;="&amp;DATE($B$3,11,15),'Leave log'!$C$7:$C$306,"&gt;="&amp;DATE($B$3,11,15),'Leave log'!$F$7:$F$306,"Approved")&gt;0,"A",""))="A","A",IF(OR(DATE($B$3,11,15)&gt;EOMONTH(DATE($B$3,11,1),0),NETWORKDAYS.INTL(DATE($B$3,11,15),DATE($B$3,11,15),1,'Non-working days'!$A$6:$A$45)=0),"",IF(COUNTIFS('Leave log'!$A$7:$A$306,Employees!$A$33,'Leave log'!$B$7:$B$306,"&lt;="&amp;DATE($B$3,11,15),'Leave log'!$C$7:$C$306,"&gt;="&amp;DATE($B$3,11,15),'Leave log'!$F$7:$F$306,"Pending")&gt;0,"P",""))))</f>
        <v/>
      </c>
      <c r="Q374" s="23" t="str">
        <f>IF(A374="","",IF(IF(OR(DATE($B$3,11,16)&gt;EOMONTH(DATE($B$3,11,1),0),NETWORKDAYS.INTL(DATE($B$3,11,16),DATE($B$3,11,16),1,'Non-working days'!$A$6:$A$45)=0),"",IF(COUNTIFS('Leave log'!$A$7:$A$306,Employees!$A$33,'Leave log'!$B$7:$B$306,"&lt;="&amp;DATE($B$3,11,16),'Leave log'!$C$7:$C$306,"&gt;="&amp;DATE($B$3,11,16),'Leave log'!$F$7:$F$306,"Approved")&gt;0,"A",""))="A","A",IF(OR(DATE($B$3,11,16)&gt;EOMONTH(DATE($B$3,11,1),0),NETWORKDAYS.INTL(DATE($B$3,11,16),DATE($B$3,11,16),1,'Non-working days'!$A$6:$A$45)=0),"",IF(COUNTIFS('Leave log'!$A$7:$A$306,Employees!$A$33,'Leave log'!$B$7:$B$306,"&lt;="&amp;DATE($B$3,11,16),'Leave log'!$C$7:$C$306,"&gt;="&amp;DATE($B$3,11,16),'Leave log'!$F$7:$F$306,"Pending")&gt;0,"P",""))))</f>
        <v/>
      </c>
      <c r="R374" s="23" t="str">
        <f>IF(A374="","",IF(IF(OR(DATE($B$3,11,17)&gt;EOMONTH(DATE($B$3,11,1),0),NETWORKDAYS.INTL(DATE($B$3,11,17),DATE($B$3,11,17),1,'Non-working days'!$A$6:$A$45)=0),"",IF(COUNTIFS('Leave log'!$A$7:$A$306,Employees!$A$33,'Leave log'!$B$7:$B$306,"&lt;="&amp;DATE($B$3,11,17),'Leave log'!$C$7:$C$306,"&gt;="&amp;DATE($B$3,11,17),'Leave log'!$F$7:$F$306,"Approved")&gt;0,"A",""))="A","A",IF(OR(DATE($B$3,11,17)&gt;EOMONTH(DATE($B$3,11,1),0),NETWORKDAYS.INTL(DATE($B$3,11,17),DATE($B$3,11,17),1,'Non-working days'!$A$6:$A$45)=0),"",IF(COUNTIFS('Leave log'!$A$7:$A$306,Employees!$A$33,'Leave log'!$B$7:$B$306,"&lt;="&amp;DATE($B$3,11,17),'Leave log'!$C$7:$C$306,"&gt;="&amp;DATE($B$3,11,17),'Leave log'!$F$7:$F$306,"Pending")&gt;0,"P",""))))</f>
        <v/>
      </c>
      <c r="S374" s="23" t="str">
        <f>IF(A374="","",IF(IF(OR(DATE($B$3,11,18)&gt;EOMONTH(DATE($B$3,11,1),0),NETWORKDAYS.INTL(DATE($B$3,11,18),DATE($B$3,11,18),1,'Non-working days'!$A$6:$A$45)=0),"",IF(COUNTIFS('Leave log'!$A$7:$A$306,Employees!$A$33,'Leave log'!$B$7:$B$306,"&lt;="&amp;DATE($B$3,11,18),'Leave log'!$C$7:$C$306,"&gt;="&amp;DATE($B$3,11,18),'Leave log'!$F$7:$F$306,"Approved")&gt;0,"A",""))="A","A",IF(OR(DATE($B$3,11,18)&gt;EOMONTH(DATE($B$3,11,1),0),NETWORKDAYS.INTL(DATE($B$3,11,18),DATE($B$3,11,18),1,'Non-working days'!$A$6:$A$45)=0),"",IF(COUNTIFS('Leave log'!$A$7:$A$306,Employees!$A$33,'Leave log'!$B$7:$B$306,"&lt;="&amp;DATE($B$3,11,18),'Leave log'!$C$7:$C$306,"&gt;="&amp;DATE($B$3,11,18),'Leave log'!$F$7:$F$306,"Pending")&gt;0,"P",""))))</f>
        <v/>
      </c>
      <c r="T374" s="23" t="str">
        <f>IF(A374="","",IF(IF(OR(DATE($B$3,11,19)&gt;EOMONTH(DATE($B$3,11,1),0),NETWORKDAYS.INTL(DATE($B$3,11,19),DATE($B$3,11,19),1,'Non-working days'!$A$6:$A$45)=0),"",IF(COUNTIFS('Leave log'!$A$7:$A$306,Employees!$A$33,'Leave log'!$B$7:$B$306,"&lt;="&amp;DATE($B$3,11,19),'Leave log'!$C$7:$C$306,"&gt;="&amp;DATE($B$3,11,19),'Leave log'!$F$7:$F$306,"Approved")&gt;0,"A",""))="A","A",IF(OR(DATE($B$3,11,19)&gt;EOMONTH(DATE($B$3,11,1),0),NETWORKDAYS.INTL(DATE($B$3,11,19),DATE($B$3,11,19),1,'Non-working days'!$A$6:$A$45)=0),"",IF(COUNTIFS('Leave log'!$A$7:$A$306,Employees!$A$33,'Leave log'!$B$7:$B$306,"&lt;="&amp;DATE($B$3,11,19),'Leave log'!$C$7:$C$306,"&gt;="&amp;DATE($B$3,11,19),'Leave log'!$F$7:$F$306,"Pending")&gt;0,"P",""))))</f>
        <v/>
      </c>
      <c r="U374" s="23" t="str">
        <f>IF(A374="","",IF(IF(OR(DATE($B$3,11,20)&gt;EOMONTH(DATE($B$3,11,1),0),NETWORKDAYS.INTL(DATE($B$3,11,20),DATE($B$3,11,20),1,'Non-working days'!$A$6:$A$45)=0),"",IF(COUNTIFS('Leave log'!$A$7:$A$306,Employees!$A$33,'Leave log'!$B$7:$B$306,"&lt;="&amp;DATE($B$3,11,20),'Leave log'!$C$7:$C$306,"&gt;="&amp;DATE($B$3,11,20),'Leave log'!$F$7:$F$306,"Approved")&gt;0,"A",""))="A","A",IF(OR(DATE($B$3,11,20)&gt;EOMONTH(DATE($B$3,11,1),0),NETWORKDAYS.INTL(DATE($B$3,11,20),DATE($B$3,11,20),1,'Non-working days'!$A$6:$A$45)=0),"",IF(COUNTIFS('Leave log'!$A$7:$A$306,Employees!$A$33,'Leave log'!$B$7:$B$306,"&lt;="&amp;DATE($B$3,11,20),'Leave log'!$C$7:$C$306,"&gt;="&amp;DATE($B$3,11,20),'Leave log'!$F$7:$F$306,"Pending")&gt;0,"P",""))))</f>
        <v/>
      </c>
      <c r="V374" s="23" t="str">
        <f>IF(A374="","",IF(IF(OR(DATE($B$3,11,21)&gt;EOMONTH(DATE($B$3,11,1),0),NETWORKDAYS.INTL(DATE($B$3,11,21),DATE($B$3,11,21),1,'Non-working days'!$A$6:$A$45)=0),"",IF(COUNTIFS('Leave log'!$A$7:$A$306,Employees!$A$33,'Leave log'!$B$7:$B$306,"&lt;="&amp;DATE($B$3,11,21),'Leave log'!$C$7:$C$306,"&gt;="&amp;DATE($B$3,11,21),'Leave log'!$F$7:$F$306,"Approved")&gt;0,"A",""))="A","A",IF(OR(DATE($B$3,11,21)&gt;EOMONTH(DATE($B$3,11,1),0),NETWORKDAYS.INTL(DATE($B$3,11,21),DATE($B$3,11,21),1,'Non-working days'!$A$6:$A$45)=0),"",IF(COUNTIFS('Leave log'!$A$7:$A$306,Employees!$A$33,'Leave log'!$B$7:$B$306,"&lt;="&amp;DATE($B$3,11,21),'Leave log'!$C$7:$C$306,"&gt;="&amp;DATE($B$3,11,21),'Leave log'!$F$7:$F$306,"Pending")&gt;0,"P",""))))</f>
        <v/>
      </c>
      <c r="W374" s="23" t="str">
        <f>IF(A374="","",IF(IF(OR(DATE($B$3,11,22)&gt;EOMONTH(DATE($B$3,11,1),0),NETWORKDAYS.INTL(DATE($B$3,11,22),DATE($B$3,11,22),1,'Non-working days'!$A$6:$A$45)=0),"",IF(COUNTIFS('Leave log'!$A$7:$A$306,Employees!$A$33,'Leave log'!$B$7:$B$306,"&lt;="&amp;DATE($B$3,11,22),'Leave log'!$C$7:$C$306,"&gt;="&amp;DATE($B$3,11,22),'Leave log'!$F$7:$F$306,"Approved")&gt;0,"A",""))="A","A",IF(OR(DATE($B$3,11,22)&gt;EOMONTH(DATE($B$3,11,1),0),NETWORKDAYS.INTL(DATE($B$3,11,22),DATE($B$3,11,22),1,'Non-working days'!$A$6:$A$45)=0),"",IF(COUNTIFS('Leave log'!$A$7:$A$306,Employees!$A$33,'Leave log'!$B$7:$B$306,"&lt;="&amp;DATE($B$3,11,22),'Leave log'!$C$7:$C$306,"&gt;="&amp;DATE($B$3,11,22),'Leave log'!$F$7:$F$306,"Pending")&gt;0,"P",""))))</f>
        <v/>
      </c>
      <c r="X374" s="23" t="str">
        <f>IF(A374="","",IF(IF(OR(DATE($B$3,11,23)&gt;EOMONTH(DATE($B$3,11,1),0),NETWORKDAYS.INTL(DATE($B$3,11,23),DATE($B$3,11,23),1,'Non-working days'!$A$6:$A$45)=0),"",IF(COUNTIFS('Leave log'!$A$7:$A$306,Employees!$A$33,'Leave log'!$B$7:$B$306,"&lt;="&amp;DATE($B$3,11,23),'Leave log'!$C$7:$C$306,"&gt;="&amp;DATE($B$3,11,23),'Leave log'!$F$7:$F$306,"Approved")&gt;0,"A",""))="A","A",IF(OR(DATE($B$3,11,23)&gt;EOMONTH(DATE($B$3,11,1),0),NETWORKDAYS.INTL(DATE($B$3,11,23),DATE($B$3,11,23),1,'Non-working days'!$A$6:$A$45)=0),"",IF(COUNTIFS('Leave log'!$A$7:$A$306,Employees!$A$33,'Leave log'!$B$7:$B$306,"&lt;="&amp;DATE($B$3,11,23),'Leave log'!$C$7:$C$306,"&gt;="&amp;DATE($B$3,11,23),'Leave log'!$F$7:$F$306,"Pending")&gt;0,"P",""))))</f>
        <v/>
      </c>
      <c r="Y374" s="23" t="str">
        <f>IF(A374="","",IF(IF(OR(DATE($B$3,11,24)&gt;EOMONTH(DATE($B$3,11,1),0),NETWORKDAYS.INTL(DATE($B$3,11,24),DATE($B$3,11,24),1,'Non-working days'!$A$6:$A$45)=0),"",IF(COUNTIFS('Leave log'!$A$7:$A$306,Employees!$A$33,'Leave log'!$B$7:$B$306,"&lt;="&amp;DATE($B$3,11,24),'Leave log'!$C$7:$C$306,"&gt;="&amp;DATE($B$3,11,24),'Leave log'!$F$7:$F$306,"Approved")&gt;0,"A",""))="A","A",IF(OR(DATE($B$3,11,24)&gt;EOMONTH(DATE($B$3,11,1),0),NETWORKDAYS.INTL(DATE($B$3,11,24),DATE($B$3,11,24),1,'Non-working days'!$A$6:$A$45)=0),"",IF(COUNTIFS('Leave log'!$A$7:$A$306,Employees!$A$33,'Leave log'!$B$7:$B$306,"&lt;="&amp;DATE($B$3,11,24),'Leave log'!$C$7:$C$306,"&gt;="&amp;DATE($B$3,11,24),'Leave log'!$F$7:$F$306,"Pending")&gt;0,"P",""))))</f>
        <v/>
      </c>
      <c r="Z374" s="23" t="str">
        <f>IF(A374="","",IF(IF(OR(DATE($B$3,11,25)&gt;EOMONTH(DATE($B$3,11,1),0),NETWORKDAYS.INTL(DATE($B$3,11,25),DATE($B$3,11,25),1,'Non-working days'!$A$6:$A$45)=0),"",IF(COUNTIFS('Leave log'!$A$7:$A$306,Employees!$A$33,'Leave log'!$B$7:$B$306,"&lt;="&amp;DATE($B$3,11,25),'Leave log'!$C$7:$C$306,"&gt;="&amp;DATE($B$3,11,25),'Leave log'!$F$7:$F$306,"Approved")&gt;0,"A",""))="A","A",IF(OR(DATE($B$3,11,25)&gt;EOMONTH(DATE($B$3,11,1),0),NETWORKDAYS.INTL(DATE($B$3,11,25),DATE($B$3,11,25),1,'Non-working days'!$A$6:$A$45)=0),"",IF(COUNTIFS('Leave log'!$A$7:$A$306,Employees!$A$33,'Leave log'!$B$7:$B$306,"&lt;="&amp;DATE($B$3,11,25),'Leave log'!$C$7:$C$306,"&gt;="&amp;DATE($B$3,11,25),'Leave log'!$F$7:$F$306,"Pending")&gt;0,"P",""))))</f>
        <v/>
      </c>
      <c r="AA374" s="23" t="str">
        <f>IF(A374="","",IF(IF(OR(DATE($B$3,11,26)&gt;EOMONTH(DATE($B$3,11,1),0),NETWORKDAYS.INTL(DATE($B$3,11,26),DATE($B$3,11,26),1,'Non-working days'!$A$6:$A$45)=0),"",IF(COUNTIFS('Leave log'!$A$7:$A$306,Employees!$A$33,'Leave log'!$B$7:$B$306,"&lt;="&amp;DATE($B$3,11,26),'Leave log'!$C$7:$C$306,"&gt;="&amp;DATE($B$3,11,26),'Leave log'!$F$7:$F$306,"Approved")&gt;0,"A",""))="A","A",IF(OR(DATE($B$3,11,26)&gt;EOMONTH(DATE($B$3,11,1),0),NETWORKDAYS.INTL(DATE($B$3,11,26),DATE($B$3,11,26),1,'Non-working days'!$A$6:$A$45)=0),"",IF(COUNTIFS('Leave log'!$A$7:$A$306,Employees!$A$33,'Leave log'!$B$7:$B$306,"&lt;="&amp;DATE($B$3,11,26),'Leave log'!$C$7:$C$306,"&gt;="&amp;DATE($B$3,11,26),'Leave log'!$F$7:$F$306,"Pending")&gt;0,"P",""))))</f>
        <v/>
      </c>
      <c r="AB374" s="23" t="str">
        <f>IF(A374="","",IF(IF(OR(DATE($B$3,11,27)&gt;EOMONTH(DATE($B$3,11,1),0),NETWORKDAYS.INTL(DATE($B$3,11,27),DATE($B$3,11,27),1,'Non-working days'!$A$6:$A$45)=0),"",IF(COUNTIFS('Leave log'!$A$7:$A$306,Employees!$A$33,'Leave log'!$B$7:$B$306,"&lt;="&amp;DATE($B$3,11,27),'Leave log'!$C$7:$C$306,"&gt;="&amp;DATE($B$3,11,27),'Leave log'!$F$7:$F$306,"Approved")&gt;0,"A",""))="A","A",IF(OR(DATE($B$3,11,27)&gt;EOMONTH(DATE($B$3,11,1),0),NETWORKDAYS.INTL(DATE($B$3,11,27),DATE($B$3,11,27),1,'Non-working days'!$A$6:$A$45)=0),"",IF(COUNTIFS('Leave log'!$A$7:$A$306,Employees!$A$33,'Leave log'!$B$7:$B$306,"&lt;="&amp;DATE($B$3,11,27),'Leave log'!$C$7:$C$306,"&gt;="&amp;DATE($B$3,11,27),'Leave log'!$F$7:$F$306,"Pending")&gt;0,"P",""))))</f>
        <v/>
      </c>
      <c r="AC374" s="23" t="str">
        <f>IF(A374="","",IF(IF(OR(DATE($B$3,11,28)&gt;EOMONTH(DATE($B$3,11,1),0),NETWORKDAYS.INTL(DATE($B$3,11,28),DATE($B$3,11,28),1,'Non-working days'!$A$6:$A$45)=0),"",IF(COUNTIFS('Leave log'!$A$7:$A$306,Employees!$A$33,'Leave log'!$B$7:$B$306,"&lt;="&amp;DATE($B$3,11,28),'Leave log'!$C$7:$C$306,"&gt;="&amp;DATE($B$3,11,28),'Leave log'!$F$7:$F$306,"Approved")&gt;0,"A",""))="A","A",IF(OR(DATE($B$3,11,28)&gt;EOMONTH(DATE($B$3,11,1),0),NETWORKDAYS.INTL(DATE($B$3,11,28),DATE($B$3,11,28),1,'Non-working days'!$A$6:$A$45)=0),"",IF(COUNTIFS('Leave log'!$A$7:$A$306,Employees!$A$33,'Leave log'!$B$7:$B$306,"&lt;="&amp;DATE($B$3,11,28),'Leave log'!$C$7:$C$306,"&gt;="&amp;DATE($B$3,11,28),'Leave log'!$F$7:$F$306,"Pending")&gt;0,"P",""))))</f>
        <v/>
      </c>
      <c r="AD374" s="23" t="str">
        <f>IF(A374="","",IF(IF(OR(DATE($B$3,11,29)&gt;EOMONTH(DATE($B$3,11,1),0),NETWORKDAYS.INTL(DATE($B$3,11,29),DATE($B$3,11,29),1,'Non-working days'!$A$6:$A$45)=0),"",IF(COUNTIFS('Leave log'!$A$7:$A$306,Employees!$A$33,'Leave log'!$B$7:$B$306,"&lt;="&amp;DATE($B$3,11,29),'Leave log'!$C$7:$C$306,"&gt;="&amp;DATE($B$3,11,29),'Leave log'!$F$7:$F$306,"Approved")&gt;0,"A",""))="A","A",IF(OR(DATE($B$3,11,29)&gt;EOMONTH(DATE($B$3,11,1),0),NETWORKDAYS.INTL(DATE($B$3,11,29),DATE($B$3,11,29),1,'Non-working days'!$A$6:$A$45)=0),"",IF(COUNTIFS('Leave log'!$A$7:$A$306,Employees!$A$33,'Leave log'!$B$7:$B$306,"&lt;="&amp;DATE($B$3,11,29),'Leave log'!$C$7:$C$306,"&gt;="&amp;DATE($B$3,11,29),'Leave log'!$F$7:$F$306,"Pending")&gt;0,"P",""))))</f>
        <v/>
      </c>
      <c r="AE374" s="23" t="str">
        <f>IF(A374="","",IF(IF(OR(DATE($B$3,11,30)&gt;EOMONTH(DATE($B$3,11,1),0),NETWORKDAYS.INTL(DATE($B$3,11,30),DATE($B$3,11,30),1,'Non-working days'!$A$6:$A$45)=0),"",IF(COUNTIFS('Leave log'!$A$7:$A$306,Employees!$A$33,'Leave log'!$B$7:$B$306,"&lt;="&amp;DATE($B$3,11,30),'Leave log'!$C$7:$C$306,"&gt;="&amp;DATE($B$3,11,30),'Leave log'!$F$7:$F$306,"Approved")&gt;0,"A",""))="A","A",IF(OR(DATE($B$3,11,30)&gt;EOMONTH(DATE($B$3,11,1),0),NETWORKDAYS.INTL(DATE($B$3,11,30),DATE($B$3,11,30),1,'Non-working days'!$A$6:$A$45)=0),"",IF(COUNTIFS('Leave log'!$A$7:$A$306,Employees!$A$33,'Leave log'!$B$7:$B$306,"&lt;="&amp;DATE($B$3,11,30),'Leave log'!$C$7:$C$306,"&gt;="&amp;DATE($B$3,11,30),'Leave log'!$F$7:$F$306,"Pending")&gt;0,"P",""))))</f>
        <v/>
      </c>
      <c r="AF374" s="23" t="str">
        <f>IF(A374="","",IF(IF(OR(DATE($B$3,11,31)&gt;EOMONTH(DATE($B$3,11,1),0),NETWORKDAYS.INTL(DATE($B$3,11,31),DATE($B$3,11,31),1,'Non-working days'!$A$6:$A$45)=0),"",IF(COUNTIFS('Leave log'!$A$7:$A$306,Employees!$A$33,'Leave log'!$B$7:$B$306,"&lt;="&amp;DATE($B$3,11,31),'Leave log'!$C$7:$C$306,"&gt;="&amp;DATE($B$3,11,31),'Leave log'!$F$7:$F$306,"Approved")&gt;0,"A",""))="A","A",IF(OR(DATE($B$3,11,31)&gt;EOMONTH(DATE($B$3,11,1),0),NETWORKDAYS.INTL(DATE($B$3,11,31),DATE($B$3,11,31),1,'Non-working days'!$A$6:$A$45)=0),"",IF(COUNTIFS('Leave log'!$A$7:$A$306,Employees!$A$33,'Leave log'!$B$7:$B$306,"&lt;="&amp;DATE($B$3,11,31),'Leave log'!$C$7:$C$306,"&gt;="&amp;DATE($B$3,11,31),'Leave log'!$F$7:$F$306,"Pending")&gt;0,"P",""))))</f>
        <v/>
      </c>
    </row>
    <row r="375" spans="1:32" ht="18" customHeight="1" x14ac:dyDescent="0.3">
      <c r="A375" s="22" t="str">
        <f>IF(Employees!F34="Yes",Employees!B34,"")</f>
        <v/>
      </c>
      <c r="B375" s="23" t="str">
        <f>IF(A375="","",IF(IF(OR(DATE($B$3,11,1)&gt;EOMONTH(DATE($B$3,11,1),0),NETWORKDAYS.INTL(DATE($B$3,11,1),DATE($B$3,11,1),1,'Non-working days'!$A$6:$A$45)=0),"",IF(COUNTIFS('Leave log'!$A$7:$A$306,Employees!$A$34,'Leave log'!$B$7:$B$306,"&lt;="&amp;DATE($B$3,11,1),'Leave log'!$C$7:$C$306,"&gt;="&amp;DATE($B$3,11,1),'Leave log'!$F$7:$F$306,"Approved")&gt;0,"A",""))="A","A",IF(OR(DATE($B$3,11,1)&gt;EOMONTH(DATE($B$3,11,1),0),NETWORKDAYS.INTL(DATE($B$3,11,1),DATE($B$3,11,1),1,'Non-working days'!$A$6:$A$45)=0),"",IF(COUNTIFS('Leave log'!$A$7:$A$306,Employees!$A$34,'Leave log'!$B$7:$B$306,"&lt;="&amp;DATE($B$3,11,1),'Leave log'!$C$7:$C$306,"&gt;="&amp;DATE($B$3,11,1),'Leave log'!$F$7:$F$306,"Pending")&gt;0,"P",""))))</f>
        <v/>
      </c>
      <c r="C375" s="23" t="str">
        <f>IF(A375="","",IF(IF(OR(DATE($B$3,11,2)&gt;EOMONTH(DATE($B$3,11,1),0),NETWORKDAYS.INTL(DATE($B$3,11,2),DATE($B$3,11,2),1,'Non-working days'!$A$6:$A$45)=0),"",IF(COUNTIFS('Leave log'!$A$7:$A$306,Employees!$A$34,'Leave log'!$B$7:$B$306,"&lt;="&amp;DATE($B$3,11,2),'Leave log'!$C$7:$C$306,"&gt;="&amp;DATE($B$3,11,2),'Leave log'!$F$7:$F$306,"Approved")&gt;0,"A",""))="A","A",IF(OR(DATE($B$3,11,2)&gt;EOMONTH(DATE($B$3,11,1),0),NETWORKDAYS.INTL(DATE($B$3,11,2),DATE($B$3,11,2),1,'Non-working days'!$A$6:$A$45)=0),"",IF(COUNTIFS('Leave log'!$A$7:$A$306,Employees!$A$34,'Leave log'!$B$7:$B$306,"&lt;="&amp;DATE($B$3,11,2),'Leave log'!$C$7:$C$306,"&gt;="&amp;DATE($B$3,11,2),'Leave log'!$F$7:$F$306,"Pending")&gt;0,"P",""))))</f>
        <v/>
      </c>
      <c r="D375" s="23" t="str">
        <f>IF(A375="","",IF(IF(OR(DATE($B$3,11,3)&gt;EOMONTH(DATE($B$3,11,1),0),NETWORKDAYS.INTL(DATE($B$3,11,3),DATE($B$3,11,3),1,'Non-working days'!$A$6:$A$45)=0),"",IF(COUNTIFS('Leave log'!$A$7:$A$306,Employees!$A$34,'Leave log'!$B$7:$B$306,"&lt;="&amp;DATE($B$3,11,3),'Leave log'!$C$7:$C$306,"&gt;="&amp;DATE($B$3,11,3),'Leave log'!$F$7:$F$306,"Approved")&gt;0,"A",""))="A","A",IF(OR(DATE($B$3,11,3)&gt;EOMONTH(DATE($B$3,11,1),0),NETWORKDAYS.INTL(DATE($B$3,11,3),DATE($B$3,11,3),1,'Non-working days'!$A$6:$A$45)=0),"",IF(COUNTIFS('Leave log'!$A$7:$A$306,Employees!$A$34,'Leave log'!$B$7:$B$306,"&lt;="&amp;DATE($B$3,11,3),'Leave log'!$C$7:$C$306,"&gt;="&amp;DATE($B$3,11,3),'Leave log'!$F$7:$F$306,"Pending")&gt;0,"P",""))))</f>
        <v/>
      </c>
      <c r="E375" s="23" t="str">
        <f>IF(A375="","",IF(IF(OR(DATE($B$3,11,4)&gt;EOMONTH(DATE($B$3,11,1),0),NETWORKDAYS.INTL(DATE($B$3,11,4),DATE($B$3,11,4),1,'Non-working days'!$A$6:$A$45)=0),"",IF(COUNTIFS('Leave log'!$A$7:$A$306,Employees!$A$34,'Leave log'!$B$7:$B$306,"&lt;="&amp;DATE($B$3,11,4),'Leave log'!$C$7:$C$306,"&gt;="&amp;DATE($B$3,11,4),'Leave log'!$F$7:$F$306,"Approved")&gt;0,"A",""))="A","A",IF(OR(DATE($B$3,11,4)&gt;EOMONTH(DATE($B$3,11,1),0),NETWORKDAYS.INTL(DATE($B$3,11,4),DATE($B$3,11,4),1,'Non-working days'!$A$6:$A$45)=0),"",IF(COUNTIFS('Leave log'!$A$7:$A$306,Employees!$A$34,'Leave log'!$B$7:$B$306,"&lt;="&amp;DATE($B$3,11,4),'Leave log'!$C$7:$C$306,"&gt;="&amp;DATE($B$3,11,4),'Leave log'!$F$7:$F$306,"Pending")&gt;0,"P",""))))</f>
        <v/>
      </c>
      <c r="F375" s="23" t="str">
        <f>IF(A375="","",IF(IF(OR(DATE($B$3,11,5)&gt;EOMONTH(DATE($B$3,11,1),0),NETWORKDAYS.INTL(DATE($B$3,11,5),DATE($B$3,11,5),1,'Non-working days'!$A$6:$A$45)=0),"",IF(COUNTIFS('Leave log'!$A$7:$A$306,Employees!$A$34,'Leave log'!$B$7:$B$306,"&lt;="&amp;DATE($B$3,11,5),'Leave log'!$C$7:$C$306,"&gt;="&amp;DATE($B$3,11,5),'Leave log'!$F$7:$F$306,"Approved")&gt;0,"A",""))="A","A",IF(OR(DATE($B$3,11,5)&gt;EOMONTH(DATE($B$3,11,1),0),NETWORKDAYS.INTL(DATE($B$3,11,5),DATE($B$3,11,5),1,'Non-working days'!$A$6:$A$45)=0),"",IF(COUNTIFS('Leave log'!$A$7:$A$306,Employees!$A$34,'Leave log'!$B$7:$B$306,"&lt;="&amp;DATE($B$3,11,5),'Leave log'!$C$7:$C$306,"&gt;="&amp;DATE($B$3,11,5),'Leave log'!$F$7:$F$306,"Pending")&gt;0,"P",""))))</f>
        <v/>
      </c>
      <c r="G375" s="23" t="str">
        <f>IF(A375="","",IF(IF(OR(DATE($B$3,11,6)&gt;EOMONTH(DATE($B$3,11,1),0),NETWORKDAYS.INTL(DATE($B$3,11,6),DATE($B$3,11,6),1,'Non-working days'!$A$6:$A$45)=0),"",IF(COUNTIFS('Leave log'!$A$7:$A$306,Employees!$A$34,'Leave log'!$B$7:$B$306,"&lt;="&amp;DATE($B$3,11,6),'Leave log'!$C$7:$C$306,"&gt;="&amp;DATE($B$3,11,6),'Leave log'!$F$7:$F$306,"Approved")&gt;0,"A",""))="A","A",IF(OR(DATE($B$3,11,6)&gt;EOMONTH(DATE($B$3,11,1),0),NETWORKDAYS.INTL(DATE($B$3,11,6),DATE($B$3,11,6),1,'Non-working days'!$A$6:$A$45)=0),"",IF(COUNTIFS('Leave log'!$A$7:$A$306,Employees!$A$34,'Leave log'!$B$7:$B$306,"&lt;="&amp;DATE($B$3,11,6),'Leave log'!$C$7:$C$306,"&gt;="&amp;DATE($B$3,11,6),'Leave log'!$F$7:$F$306,"Pending")&gt;0,"P",""))))</f>
        <v/>
      </c>
      <c r="H375" s="23" t="str">
        <f>IF(A375="","",IF(IF(OR(DATE($B$3,11,7)&gt;EOMONTH(DATE($B$3,11,1),0),NETWORKDAYS.INTL(DATE($B$3,11,7),DATE($B$3,11,7),1,'Non-working days'!$A$6:$A$45)=0),"",IF(COUNTIFS('Leave log'!$A$7:$A$306,Employees!$A$34,'Leave log'!$B$7:$B$306,"&lt;="&amp;DATE($B$3,11,7),'Leave log'!$C$7:$C$306,"&gt;="&amp;DATE($B$3,11,7),'Leave log'!$F$7:$F$306,"Approved")&gt;0,"A",""))="A","A",IF(OR(DATE($B$3,11,7)&gt;EOMONTH(DATE($B$3,11,1),0),NETWORKDAYS.INTL(DATE($B$3,11,7),DATE($B$3,11,7),1,'Non-working days'!$A$6:$A$45)=0),"",IF(COUNTIFS('Leave log'!$A$7:$A$306,Employees!$A$34,'Leave log'!$B$7:$B$306,"&lt;="&amp;DATE($B$3,11,7),'Leave log'!$C$7:$C$306,"&gt;="&amp;DATE($B$3,11,7),'Leave log'!$F$7:$F$306,"Pending")&gt;0,"P",""))))</f>
        <v/>
      </c>
      <c r="I375" s="23" t="str">
        <f>IF(A375="","",IF(IF(OR(DATE($B$3,11,8)&gt;EOMONTH(DATE($B$3,11,1),0),NETWORKDAYS.INTL(DATE($B$3,11,8),DATE($B$3,11,8),1,'Non-working days'!$A$6:$A$45)=0),"",IF(COUNTIFS('Leave log'!$A$7:$A$306,Employees!$A$34,'Leave log'!$B$7:$B$306,"&lt;="&amp;DATE($B$3,11,8),'Leave log'!$C$7:$C$306,"&gt;="&amp;DATE($B$3,11,8),'Leave log'!$F$7:$F$306,"Approved")&gt;0,"A",""))="A","A",IF(OR(DATE($B$3,11,8)&gt;EOMONTH(DATE($B$3,11,1),0),NETWORKDAYS.INTL(DATE($B$3,11,8),DATE($B$3,11,8),1,'Non-working days'!$A$6:$A$45)=0),"",IF(COUNTIFS('Leave log'!$A$7:$A$306,Employees!$A$34,'Leave log'!$B$7:$B$306,"&lt;="&amp;DATE($B$3,11,8),'Leave log'!$C$7:$C$306,"&gt;="&amp;DATE($B$3,11,8),'Leave log'!$F$7:$F$306,"Pending")&gt;0,"P",""))))</f>
        <v/>
      </c>
      <c r="J375" s="23" t="str">
        <f>IF(A375="","",IF(IF(OR(DATE($B$3,11,9)&gt;EOMONTH(DATE($B$3,11,1),0),NETWORKDAYS.INTL(DATE($B$3,11,9),DATE($B$3,11,9),1,'Non-working days'!$A$6:$A$45)=0),"",IF(COUNTIFS('Leave log'!$A$7:$A$306,Employees!$A$34,'Leave log'!$B$7:$B$306,"&lt;="&amp;DATE($B$3,11,9),'Leave log'!$C$7:$C$306,"&gt;="&amp;DATE($B$3,11,9),'Leave log'!$F$7:$F$306,"Approved")&gt;0,"A",""))="A","A",IF(OR(DATE($B$3,11,9)&gt;EOMONTH(DATE($B$3,11,1),0),NETWORKDAYS.INTL(DATE($B$3,11,9),DATE($B$3,11,9),1,'Non-working days'!$A$6:$A$45)=0),"",IF(COUNTIFS('Leave log'!$A$7:$A$306,Employees!$A$34,'Leave log'!$B$7:$B$306,"&lt;="&amp;DATE($B$3,11,9),'Leave log'!$C$7:$C$306,"&gt;="&amp;DATE($B$3,11,9),'Leave log'!$F$7:$F$306,"Pending")&gt;0,"P",""))))</f>
        <v/>
      </c>
      <c r="K375" s="23" t="str">
        <f>IF(A375="","",IF(IF(OR(DATE($B$3,11,10)&gt;EOMONTH(DATE($B$3,11,1),0),NETWORKDAYS.INTL(DATE($B$3,11,10),DATE($B$3,11,10),1,'Non-working days'!$A$6:$A$45)=0),"",IF(COUNTIFS('Leave log'!$A$7:$A$306,Employees!$A$34,'Leave log'!$B$7:$B$306,"&lt;="&amp;DATE($B$3,11,10),'Leave log'!$C$7:$C$306,"&gt;="&amp;DATE($B$3,11,10),'Leave log'!$F$7:$F$306,"Approved")&gt;0,"A",""))="A","A",IF(OR(DATE($B$3,11,10)&gt;EOMONTH(DATE($B$3,11,1),0),NETWORKDAYS.INTL(DATE($B$3,11,10),DATE($B$3,11,10),1,'Non-working days'!$A$6:$A$45)=0),"",IF(COUNTIFS('Leave log'!$A$7:$A$306,Employees!$A$34,'Leave log'!$B$7:$B$306,"&lt;="&amp;DATE($B$3,11,10),'Leave log'!$C$7:$C$306,"&gt;="&amp;DATE($B$3,11,10),'Leave log'!$F$7:$F$306,"Pending")&gt;0,"P",""))))</f>
        <v/>
      </c>
      <c r="L375" s="23" t="str">
        <f>IF(A375="","",IF(IF(OR(DATE($B$3,11,11)&gt;EOMONTH(DATE($B$3,11,1),0),NETWORKDAYS.INTL(DATE($B$3,11,11),DATE($B$3,11,11),1,'Non-working days'!$A$6:$A$45)=0),"",IF(COUNTIFS('Leave log'!$A$7:$A$306,Employees!$A$34,'Leave log'!$B$7:$B$306,"&lt;="&amp;DATE($B$3,11,11),'Leave log'!$C$7:$C$306,"&gt;="&amp;DATE($B$3,11,11),'Leave log'!$F$7:$F$306,"Approved")&gt;0,"A",""))="A","A",IF(OR(DATE($B$3,11,11)&gt;EOMONTH(DATE($B$3,11,1),0),NETWORKDAYS.INTL(DATE($B$3,11,11),DATE($B$3,11,11),1,'Non-working days'!$A$6:$A$45)=0),"",IF(COUNTIFS('Leave log'!$A$7:$A$306,Employees!$A$34,'Leave log'!$B$7:$B$306,"&lt;="&amp;DATE($B$3,11,11),'Leave log'!$C$7:$C$306,"&gt;="&amp;DATE($B$3,11,11),'Leave log'!$F$7:$F$306,"Pending")&gt;0,"P",""))))</f>
        <v/>
      </c>
      <c r="M375" s="23" t="str">
        <f>IF(A375="","",IF(IF(OR(DATE($B$3,11,12)&gt;EOMONTH(DATE($B$3,11,1),0),NETWORKDAYS.INTL(DATE($B$3,11,12),DATE($B$3,11,12),1,'Non-working days'!$A$6:$A$45)=0),"",IF(COUNTIFS('Leave log'!$A$7:$A$306,Employees!$A$34,'Leave log'!$B$7:$B$306,"&lt;="&amp;DATE($B$3,11,12),'Leave log'!$C$7:$C$306,"&gt;="&amp;DATE($B$3,11,12),'Leave log'!$F$7:$F$306,"Approved")&gt;0,"A",""))="A","A",IF(OR(DATE($B$3,11,12)&gt;EOMONTH(DATE($B$3,11,1),0),NETWORKDAYS.INTL(DATE($B$3,11,12),DATE($B$3,11,12),1,'Non-working days'!$A$6:$A$45)=0),"",IF(COUNTIFS('Leave log'!$A$7:$A$306,Employees!$A$34,'Leave log'!$B$7:$B$306,"&lt;="&amp;DATE($B$3,11,12),'Leave log'!$C$7:$C$306,"&gt;="&amp;DATE($B$3,11,12),'Leave log'!$F$7:$F$306,"Pending")&gt;0,"P",""))))</f>
        <v/>
      </c>
      <c r="N375" s="23" t="str">
        <f>IF(A375="","",IF(IF(OR(DATE($B$3,11,13)&gt;EOMONTH(DATE($B$3,11,1),0),NETWORKDAYS.INTL(DATE($B$3,11,13),DATE($B$3,11,13),1,'Non-working days'!$A$6:$A$45)=0),"",IF(COUNTIFS('Leave log'!$A$7:$A$306,Employees!$A$34,'Leave log'!$B$7:$B$306,"&lt;="&amp;DATE($B$3,11,13),'Leave log'!$C$7:$C$306,"&gt;="&amp;DATE($B$3,11,13),'Leave log'!$F$7:$F$306,"Approved")&gt;0,"A",""))="A","A",IF(OR(DATE($B$3,11,13)&gt;EOMONTH(DATE($B$3,11,1),0),NETWORKDAYS.INTL(DATE($B$3,11,13),DATE($B$3,11,13),1,'Non-working days'!$A$6:$A$45)=0),"",IF(COUNTIFS('Leave log'!$A$7:$A$306,Employees!$A$34,'Leave log'!$B$7:$B$306,"&lt;="&amp;DATE($B$3,11,13),'Leave log'!$C$7:$C$306,"&gt;="&amp;DATE($B$3,11,13),'Leave log'!$F$7:$F$306,"Pending")&gt;0,"P",""))))</f>
        <v/>
      </c>
      <c r="O375" s="23" t="str">
        <f>IF(A375="","",IF(IF(OR(DATE($B$3,11,14)&gt;EOMONTH(DATE($B$3,11,1),0),NETWORKDAYS.INTL(DATE($B$3,11,14),DATE($B$3,11,14),1,'Non-working days'!$A$6:$A$45)=0),"",IF(COUNTIFS('Leave log'!$A$7:$A$306,Employees!$A$34,'Leave log'!$B$7:$B$306,"&lt;="&amp;DATE($B$3,11,14),'Leave log'!$C$7:$C$306,"&gt;="&amp;DATE($B$3,11,14),'Leave log'!$F$7:$F$306,"Approved")&gt;0,"A",""))="A","A",IF(OR(DATE($B$3,11,14)&gt;EOMONTH(DATE($B$3,11,1),0),NETWORKDAYS.INTL(DATE($B$3,11,14),DATE($B$3,11,14),1,'Non-working days'!$A$6:$A$45)=0),"",IF(COUNTIFS('Leave log'!$A$7:$A$306,Employees!$A$34,'Leave log'!$B$7:$B$306,"&lt;="&amp;DATE($B$3,11,14),'Leave log'!$C$7:$C$306,"&gt;="&amp;DATE($B$3,11,14),'Leave log'!$F$7:$F$306,"Pending")&gt;0,"P",""))))</f>
        <v/>
      </c>
      <c r="P375" s="23" t="str">
        <f>IF(A375="","",IF(IF(OR(DATE($B$3,11,15)&gt;EOMONTH(DATE($B$3,11,1),0),NETWORKDAYS.INTL(DATE($B$3,11,15),DATE($B$3,11,15),1,'Non-working days'!$A$6:$A$45)=0),"",IF(COUNTIFS('Leave log'!$A$7:$A$306,Employees!$A$34,'Leave log'!$B$7:$B$306,"&lt;="&amp;DATE($B$3,11,15),'Leave log'!$C$7:$C$306,"&gt;="&amp;DATE($B$3,11,15),'Leave log'!$F$7:$F$306,"Approved")&gt;0,"A",""))="A","A",IF(OR(DATE($B$3,11,15)&gt;EOMONTH(DATE($B$3,11,1),0),NETWORKDAYS.INTL(DATE($B$3,11,15),DATE($B$3,11,15),1,'Non-working days'!$A$6:$A$45)=0),"",IF(COUNTIFS('Leave log'!$A$7:$A$306,Employees!$A$34,'Leave log'!$B$7:$B$306,"&lt;="&amp;DATE($B$3,11,15),'Leave log'!$C$7:$C$306,"&gt;="&amp;DATE($B$3,11,15),'Leave log'!$F$7:$F$306,"Pending")&gt;0,"P",""))))</f>
        <v/>
      </c>
      <c r="Q375" s="23" t="str">
        <f>IF(A375="","",IF(IF(OR(DATE($B$3,11,16)&gt;EOMONTH(DATE($B$3,11,1),0),NETWORKDAYS.INTL(DATE($B$3,11,16),DATE($B$3,11,16),1,'Non-working days'!$A$6:$A$45)=0),"",IF(COUNTIFS('Leave log'!$A$7:$A$306,Employees!$A$34,'Leave log'!$B$7:$B$306,"&lt;="&amp;DATE($B$3,11,16),'Leave log'!$C$7:$C$306,"&gt;="&amp;DATE($B$3,11,16),'Leave log'!$F$7:$F$306,"Approved")&gt;0,"A",""))="A","A",IF(OR(DATE($B$3,11,16)&gt;EOMONTH(DATE($B$3,11,1),0),NETWORKDAYS.INTL(DATE($B$3,11,16),DATE($B$3,11,16),1,'Non-working days'!$A$6:$A$45)=0),"",IF(COUNTIFS('Leave log'!$A$7:$A$306,Employees!$A$34,'Leave log'!$B$7:$B$306,"&lt;="&amp;DATE($B$3,11,16),'Leave log'!$C$7:$C$306,"&gt;="&amp;DATE($B$3,11,16),'Leave log'!$F$7:$F$306,"Pending")&gt;0,"P",""))))</f>
        <v/>
      </c>
      <c r="R375" s="23" t="str">
        <f>IF(A375="","",IF(IF(OR(DATE($B$3,11,17)&gt;EOMONTH(DATE($B$3,11,1),0),NETWORKDAYS.INTL(DATE($B$3,11,17),DATE($B$3,11,17),1,'Non-working days'!$A$6:$A$45)=0),"",IF(COUNTIFS('Leave log'!$A$7:$A$306,Employees!$A$34,'Leave log'!$B$7:$B$306,"&lt;="&amp;DATE($B$3,11,17),'Leave log'!$C$7:$C$306,"&gt;="&amp;DATE($B$3,11,17),'Leave log'!$F$7:$F$306,"Approved")&gt;0,"A",""))="A","A",IF(OR(DATE($B$3,11,17)&gt;EOMONTH(DATE($B$3,11,1),0),NETWORKDAYS.INTL(DATE($B$3,11,17),DATE($B$3,11,17),1,'Non-working days'!$A$6:$A$45)=0),"",IF(COUNTIFS('Leave log'!$A$7:$A$306,Employees!$A$34,'Leave log'!$B$7:$B$306,"&lt;="&amp;DATE($B$3,11,17),'Leave log'!$C$7:$C$306,"&gt;="&amp;DATE($B$3,11,17),'Leave log'!$F$7:$F$306,"Pending")&gt;0,"P",""))))</f>
        <v/>
      </c>
      <c r="S375" s="23" t="str">
        <f>IF(A375="","",IF(IF(OR(DATE($B$3,11,18)&gt;EOMONTH(DATE($B$3,11,1),0),NETWORKDAYS.INTL(DATE($B$3,11,18),DATE($B$3,11,18),1,'Non-working days'!$A$6:$A$45)=0),"",IF(COUNTIFS('Leave log'!$A$7:$A$306,Employees!$A$34,'Leave log'!$B$7:$B$306,"&lt;="&amp;DATE($B$3,11,18),'Leave log'!$C$7:$C$306,"&gt;="&amp;DATE($B$3,11,18),'Leave log'!$F$7:$F$306,"Approved")&gt;0,"A",""))="A","A",IF(OR(DATE($B$3,11,18)&gt;EOMONTH(DATE($B$3,11,1),0),NETWORKDAYS.INTL(DATE($B$3,11,18),DATE($B$3,11,18),1,'Non-working days'!$A$6:$A$45)=0),"",IF(COUNTIFS('Leave log'!$A$7:$A$306,Employees!$A$34,'Leave log'!$B$7:$B$306,"&lt;="&amp;DATE($B$3,11,18),'Leave log'!$C$7:$C$306,"&gt;="&amp;DATE($B$3,11,18),'Leave log'!$F$7:$F$306,"Pending")&gt;0,"P",""))))</f>
        <v/>
      </c>
      <c r="T375" s="23" t="str">
        <f>IF(A375="","",IF(IF(OR(DATE($B$3,11,19)&gt;EOMONTH(DATE($B$3,11,1),0),NETWORKDAYS.INTL(DATE($B$3,11,19),DATE($B$3,11,19),1,'Non-working days'!$A$6:$A$45)=0),"",IF(COUNTIFS('Leave log'!$A$7:$A$306,Employees!$A$34,'Leave log'!$B$7:$B$306,"&lt;="&amp;DATE($B$3,11,19),'Leave log'!$C$7:$C$306,"&gt;="&amp;DATE($B$3,11,19),'Leave log'!$F$7:$F$306,"Approved")&gt;0,"A",""))="A","A",IF(OR(DATE($B$3,11,19)&gt;EOMONTH(DATE($B$3,11,1),0),NETWORKDAYS.INTL(DATE($B$3,11,19),DATE($B$3,11,19),1,'Non-working days'!$A$6:$A$45)=0),"",IF(COUNTIFS('Leave log'!$A$7:$A$306,Employees!$A$34,'Leave log'!$B$7:$B$306,"&lt;="&amp;DATE($B$3,11,19),'Leave log'!$C$7:$C$306,"&gt;="&amp;DATE($B$3,11,19),'Leave log'!$F$7:$F$306,"Pending")&gt;0,"P",""))))</f>
        <v/>
      </c>
      <c r="U375" s="23" t="str">
        <f>IF(A375="","",IF(IF(OR(DATE($B$3,11,20)&gt;EOMONTH(DATE($B$3,11,1),0),NETWORKDAYS.INTL(DATE($B$3,11,20),DATE($B$3,11,20),1,'Non-working days'!$A$6:$A$45)=0),"",IF(COUNTIFS('Leave log'!$A$7:$A$306,Employees!$A$34,'Leave log'!$B$7:$B$306,"&lt;="&amp;DATE($B$3,11,20),'Leave log'!$C$7:$C$306,"&gt;="&amp;DATE($B$3,11,20),'Leave log'!$F$7:$F$306,"Approved")&gt;0,"A",""))="A","A",IF(OR(DATE($B$3,11,20)&gt;EOMONTH(DATE($B$3,11,1),0),NETWORKDAYS.INTL(DATE($B$3,11,20),DATE($B$3,11,20),1,'Non-working days'!$A$6:$A$45)=0),"",IF(COUNTIFS('Leave log'!$A$7:$A$306,Employees!$A$34,'Leave log'!$B$7:$B$306,"&lt;="&amp;DATE($B$3,11,20),'Leave log'!$C$7:$C$306,"&gt;="&amp;DATE($B$3,11,20),'Leave log'!$F$7:$F$306,"Pending")&gt;0,"P",""))))</f>
        <v/>
      </c>
      <c r="V375" s="23" t="str">
        <f>IF(A375="","",IF(IF(OR(DATE($B$3,11,21)&gt;EOMONTH(DATE($B$3,11,1),0),NETWORKDAYS.INTL(DATE($B$3,11,21),DATE($B$3,11,21),1,'Non-working days'!$A$6:$A$45)=0),"",IF(COUNTIFS('Leave log'!$A$7:$A$306,Employees!$A$34,'Leave log'!$B$7:$B$306,"&lt;="&amp;DATE($B$3,11,21),'Leave log'!$C$7:$C$306,"&gt;="&amp;DATE($B$3,11,21),'Leave log'!$F$7:$F$306,"Approved")&gt;0,"A",""))="A","A",IF(OR(DATE($B$3,11,21)&gt;EOMONTH(DATE($B$3,11,1),0),NETWORKDAYS.INTL(DATE($B$3,11,21),DATE($B$3,11,21),1,'Non-working days'!$A$6:$A$45)=0),"",IF(COUNTIFS('Leave log'!$A$7:$A$306,Employees!$A$34,'Leave log'!$B$7:$B$306,"&lt;="&amp;DATE($B$3,11,21),'Leave log'!$C$7:$C$306,"&gt;="&amp;DATE($B$3,11,21),'Leave log'!$F$7:$F$306,"Pending")&gt;0,"P",""))))</f>
        <v/>
      </c>
      <c r="W375" s="23" t="str">
        <f>IF(A375="","",IF(IF(OR(DATE($B$3,11,22)&gt;EOMONTH(DATE($B$3,11,1),0),NETWORKDAYS.INTL(DATE($B$3,11,22),DATE($B$3,11,22),1,'Non-working days'!$A$6:$A$45)=0),"",IF(COUNTIFS('Leave log'!$A$7:$A$306,Employees!$A$34,'Leave log'!$B$7:$B$306,"&lt;="&amp;DATE($B$3,11,22),'Leave log'!$C$7:$C$306,"&gt;="&amp;DATE($B$3,11,22),'Leave log'!$F$7:$F$306,"Approved")&gt;0,"A",""))="A","A",IF(OR(DATE($B$3,11,22)&gt;EOMONTH(DATE($B$3,11,1),0),NETWORKDAYS.INTL(DATE($B$3,11,22),DATE($B$3,11,22),1,'Non-working days'!$A$6:$A$45)=0),"",IF(COUNTIFS('Leave log'!$A$7:$A$306,Employees!$A$34,'Leave log'!$B$7:$B$306,"&lt;="&amp;DATE($B$3,11,22),'Leave log'!$C$7:$C$306,"&gt;="&amp;DATE($B$3,11,22),'Leave log'!$F$7:$F$306,"Pending")&gt;0,"P",""))))</f>
        <v/>
      </c>
      <c r="X375" s="23" t="str">
        <f>IF(A375="","",IF(IF(OR(DATE($B$3,11,23)&gt;EOMONTH(DATE($B$3,11,1),0),NETWORKDAYS.INTL(DATE($B$3,11,23),DATE($B$3,11,23),1,'Non-working days'!$A$6:$A$45)=0),"",IF(COUNTIFS('Leave log'!$A$7:$A$306,Employees!$A$34,'Leave log'!$B$7:$B$306,"&lt;="&amp;DATE($B$3,11,23),'Leave log'!$C$7:$C$306,"&gt;="&amp;DATE($B$3,11,23),'Leave log'!$F$7:$F$306,"Approved")&gt;0,"A",""))="A","A",IF(OR(DATE($B$3,11,23)&gt;EOMONTH(DATE($B$3,11,1),0),NETWORKDAYS.INTL(DATE($B$3,11,23),DATE($B$3,11,23),1,'Non-working days'!$A$6:$A$45)=0),"",IF(COUNTIFS('Leave log'!$A$7:$A$306,Employees!$A$34,'Leave log'!$B$7:$B$306,"&lt;="&amp;DATE($B$3,11,23),'Leave log'!$C$7:$C$306,"&gt;="&amp;DATE($B$3,11,23),'Leave log'!$F$7:$F$306,"Pending")&gt;0,"P",""))))</f>
        <v/>
      </c>
      <c r="Y375" s="23" t="str">
        <f>IF(A375="","",IF(IF(OR(DATE($B$3,11,24)&gt;EOMONTH(DATE($B$3,11,1),0),NETWORKDAYS.INTL(DATE($B$3,11,24),DATE($B$3,11,24),1,'Non-working days'!$A$6:$A$45)=0),"",IF(COUNTIFS('Leave log'!$A$7:$A$306,Employees!$A$34,'Leave log'!$B$7:$B$306,"&lt;="&amp;DATE($B$3,11,24),'Leave log'!$C$7:$C$306,"&gt;="&amp;DATE($B$3,11,24),'Leave log'!$F$7:$F$306,"Approved")&gt;0,"A",""))="A","A",IF(OR(DATE($B$3,11,24)&gt;EOMONTH(DATE($B$3,11,1),0),NETWORKDAYS.INTL(DATE($B$3,11,24),DATE($B$3,11,24),1,'Non-working days'!$A$6:$A$45)=0),"",IF(COUNTIFS('Leave log'!$A$7:$A$306,Employees!$A$34,'Leave log'!$B$7:$B$306,"&lt;="&amp;DATE($B$3,11,24),'Leave log'!$C$7:$C$306,"&gt;="&amp;DATE($B$3,11,24),'Leave log'!$F$7:$F$306,"Pending")&gt;0,"P",""))))</f>
        <v/>
      </c>
      <c r="Z375" s="23" t="str">
        <f>IF(A375="","",IF(IF(OR(DATE($B$3,11,25)&gt;EOMONTH(DATE($B$3,11,1),0),NETWORKDAYS.INTL(DATE($B$3,11,25),DATE($B$3,11,25),1,'Non-working days'!$A$6:$A$45)=0),"",IF(COUNTIFS('Leave log'!$A$7:$A$306,Employees!$A$34,'Leave log'!$B$7:$B$306,"&lt;="&amp;DATE($B$3,11,25),'Leave log'!$C$7:$C$306,"&gt;="&amp;DATE($B$3,11,25),'Leave log'!$F$7:$F$306,"Approved")&gt;0,"A",""))="A","A",IF(OR(DATE($B$3,11,25)&gt;EOMONTH(DATE($B$3,11,1),0),NETWORKDAYS.INTL(DATE($B$3,11,25),DATE($B$3,11,25),1,'Non-working days'!$A$6:$A$45)=0),"",IF(COUNTIFS('Leave log'!$A$7:$A$306,Employees!$A$34,'Leave log'!$B$7:$B$306,"&lt;="&amp;DATE($B$3,11,25),'Leave log'!$C$7:$C$306,"&gt;="&amp;DATE($B$3,11,25),'Leave log'!$F$7:$F$306,"Pending")&gt;0,"P",""))))</f>
        <v/>
      </c>
      <c r="AA375" s="23" t="str">
        <f>IF(A375="","",IF(IF(OR(DATE($B$3,11,26)&gt;EOMONTH(DATE($B$3,11,1),0),NETWORKDAYS.INTL(DATE($B$3,11,26),DATE($B$3,11,26),1,'Non-working days'!$A$6:$A$45)=0),"",IF(COUNTIFS('Leave log'!$A$7:$A$306,Employees!$A$34,'Leave log'!$B$7:$B$306,"&lt;="&amp;DATE($B$3,11,26),'Leave log'!$C$7:$C$306,"&gt;="&amp;DATE($B$3,11,26),'Leave log'!$F$7:$F$306,"Approved")&gt;0,"A",""))="A","A",IF(OR(DATE($B$3,11,26)&gt;EOMONTH(DATE($B$3,11,1),0),NETWORKDAYS.INTL(DATE($B$3,11,26),DATE($B$3,11,26),1,'Non-working days'!$A$6:$A$45)=0),"",IF(COUNTIFS('Leave log'!$A$7:$A$306,Employees!$A$34,'Leave log'!$B$7:$B$306,"&lt;="&amp;DATE($B$3,11,26),'Leave log'!$C$7:$C$306,"&gt;="&amp;DATE($B$3,11,26),'Leave log'!$F$7:$F$306,"Pending")&gt;0,"P",""))))</f>
        <v/>
      </c>
      <c r="AB375" s="23" t="str">
        <f>IF(A375="","",IF(IF(OR(DATE($B$3,11,27)&gt;EOMONTH(DATE($B$3,11,1),0),NETWORKDAYS.INTL(DATE($B$3,11,27),DATE($B$3,11,27),1,'Non-working days'!$A$6:$A$45)=0),"",IF(COUNTIFS('Leave log'!$A$7:$A$306,Employees!$A$34,'Leave log'!$B$7:$B$306,"&lt;="&amp;DATE($B$3,11,27),'Leave log'!$C$7:$C$306,"&gt;="&amp;DATE($B$3,11,27),'Leave log'!$F$7:$F$306,"Approved")&gt;0,"A",""))="A","A",IF(OR(DATE($B$3,11,27)&gt;EOMONTH(DATE($B$3,11,1),0),NETWORKDAYS.INTL(DATE($B$3,11,27),DATE($B$3,11,27),1,'Non-working days'!$A$6:$A$45)=0),"",IF(COUNTIFS('Leave log'!$A$7:$A$306,Employees!$A$34,'Leave log'!$B$7:$B$306,"&lt;="&amp;DATE($B$3,11,27),'Leave log'!$C$7:$C$306,"&gt;="&amp;DATE($B$3,11,27),'Leave log'!$F$7:$F$306,"Pending")&gt;0,"P",""))))</f>
        <v/>
      </c>
      <c r="AC375" s="23" t="str">
        <f>IF(A375="","",IF(IF(OR(DATE($B$3,11,28)&gt;EOMONTH(DATE($B$3,11,1),0),NETWORKDAYS.INTL(DATE($B$3,11,28),DATE($B$3,11,28),1,'Non-working days'!$A$6:$A$45)=0),"",IF(COUNTIFS('Leave log'!$A$7:$A$306,Employees!$A$34,'Leave log'!$B$7:$B$306,"&lt;="&amp;DATE($B$3,11,28),'Leave log'!$C$7:$C$306,"&gt;="&amp;DATE($B$3,11,28),'Leave log'!$F$7:$F$306,"Approved")&gt;0,"A",""))="A","A",IF(OR(DATE($B$3,11,28)&gt;EOMONTH(DATE($B$3,11,1),0),NETWORKDAYS.INTL(DATE($B$3,11,28),DATE($B$3,11,28),1,'Non-working days'!$A$6:$A$45)=0),"",IF(COUNTIFS('Leave log'!$A$7:$A$306,Employees!$A$34,'Leave log'!$B$7:$B$306,"&lt;="&amp;DATE($B$3,11,28),'Leave log'!$C$7:$C$306,"&gt;="&amp;DATE($B$3,11,28),'Leave log'!$F$7:$F$306,"Pending")&gt;0,"P",""))))</f>
        <v/>
      </c>
      <c r="AD375" s="23" t="str">
        <f>IF(A375="","",IF(IF(OR(DATE($B$3,11,29)&gt;EOMONTH(DATE($B$3,11,1),0),NETWORKDAYS.INTL(DATE($B$3,11,29),DATE($B$3,11,29),1,'Non-working days'!$A$6:$A$45)=0),"",IF(COUNTIFS('Leave log'!$A$7:$A$306,Employees!$A$34,'Leave log'!$B$7:$B$306,"&lt;="&amp;DATE($B$3,11,29),'Leave log'!$C$7:$C$306,"&gt;="&amp;DATE($B$3,11,29),'Leave log'!$F$7:$F$306,"Approved")&gt;0,"A",""))="A","A",IF(OR(DATE($B$3,11,29)&gt;EOMONTH(DATE($B$3,11,1),0),NETWORKDAYS.INTL(DATE($B$3,11,29),DATE($B$3,11,29),1,'Non-working days'!$A$6:$A$45)=0),"",IF(COUNTIFS('Leave log'!$A$7:$A$306,Employees!$A$34,'Leave log'!$B$7:$B$306,"&lt;="&amp;DATE($B$3,11,29),'Leave log'!$C$7:$C$306,"&gt;="&amp;DATE($B$3,11,29),'Leave log'!$F$7:$F$306,"Pending")&gt;0,"P",""))))</f>
        <v/>
      </c>
      <c r="AE375" s="23" t="str">
        <f>IF(A375="","",IF(IF(OR(DATE($B$3,11,30)&gt;EOMONTH(DATE($B$3,11,1),0),NETWORKDAYS.INTL(DATE($B$3,11,30),DATE($B$3,11,30),1,'Non-working days'!$A$6:$A$45)=0),"",IF(COUNTIFS('Leave log'!$A$7:$A$306,Employees!$A$34,'Leave log'!$B$7:$B$306,"&lt;="&amp;DATE($B$3,11,30),'Leave log'!$C$7:$C$306,"&gt;="&amp;DATE($B$3,11,30),'Leave log'!$F$7:$F$306,"Approved")&gt;0,"A",""))="A","A",IF(OR(DATE($B$3,11,30)&gt;EOMONTH(DATE($B$3,11,1),0),NETWORKDAYS.INTL(DATE($B$3,11,30),DATE($B$3,11,30),1,'Non-working days'!$A$6:$A$45)=0),"",IF(COUNTIFS('Leave log'!$A$7:$A$306,Employees!$A$34,'Leave log'!$B$7:$B$306,"&lt;="&amp;DATE($B$3,11,30),'Leave log'!$C$7:$C$306,"&gt;="&amp;DATE($B$3,11,30),'Leave log'!$F$7:$F$306,"Pending")&gt;0,"P",""))))</f>
        <v/>
      </c>
      <c r="AF375" s="23" t="str">
        <f>IF(A375="","",IF(IF(OR(DATE($B$3,11,31)&gt;EOMONTH(DATE($B$3,11,1),0),NETWORKDAYS.INTL(DATE($B$3,11,31),DATE($B$3,11,31),1,'Non-working days'!$A$6:$A$45)=0),"",IF(COUNTIFS('Leave log'!$A$7:$A$306,Employees!$A$34,'Leave log'!$B$7:$B$306,"&lt;="&amp;DATE($B$3,11,31),'Leave log'!$C$7:$C$306,"&gt;="&amp;DATE($B$3,11,31),'Leave log'!$F$7:$F$306,"Approved")&gt;0,"A",""))="A","A",IF(OR(DATE($B$3,11,31)&gt;EOMONTH(DATE($B$3,11,1),0),NETWORKDAYS.INTL(DATE($B$3,11,31),DATE($B$3,11,31),1,'Non-working days'!$A$6:$A$45)=0),"",IF(COUNTIFS('Leave log'!$A$7:$A$306,Employees!$A$34,'Leave log'!$B$7:$B$306,"&lt;="&amp;DATE($B$3,11,31),'Leave log'!$C$7:$C$306,"&gt;="&amp;DATE($B$3,11,31),'Leave log'!$F$7:$F$306,"Pending")&gt;0,"P",""))))</f>
        <v/>
      </c>
    </row>
    <row r="376" spans="1:32" ht="18" customHeight="1" x14ac:dyDescent="0.3">
      <c r="A376" s="22" t="str">
        <f>IF(Employees!F35="Yes",Employees!B35,"")</f>
        <v/>
      </c>
      <c r="B376" s="23" t="str">
        <f>IF(A376="","",IF(IF(OR(DATE($B$3,11,1)&gt;EOMONTH(DATE($B$3,11,1),0),NETWORKDAYS.INTL(DATE($B$3,11,1),DATE($B$3,11,1),1,'Non-working days'!$A$6:$A$45)=0),"",IF(COUNTIFS('Leave log'!$A$7:$A$306,Employees!$A$35,'Leave log'!$B$7:$B$306,"&lt;="&amp;DATE($B$3,11,1),'Leave log'!$C$7:$C$306,"&gt;="&amp;DATE($B$3,11,1),'Leave log'!$F$7:$F$306,"Approved")&gt;0,"A",""))="A","A",IF(OR(DATE($B$3,11,1)&gt;EOMONTH(DATE($B$3,11,1),0),NETWORKDAYS.INTL(DATE($B$3,11,1),DATE($B$3,11,1),1,'Non-working days'!$A$6:$A$45)=0),"",IF(COUNTIFS('Leave log'!$A$7:$A$306,Employees!$A$35,'Leave log'!$B$7:$B$306,"&lt;="&amp;DATE($B$3,11,1),'Leave log'!$C$7:$C$306,"&gt;="&amp;DATE($B$3,11,1),'Leave log'!$F$7:$F$306,"Pending")&gt;0,"P",""))))</f>
        <v/>
      </c>
      <c r="C376" s="23" t="str">
        <f>IF(A376="","",IF(IF(OR(DATE($B$3,11,2)&gt;EOMONTH(DATE($B$3,11,1),0),NETWORKDAYS.INTL(DATE($B$3,11,2),DATE($B$3,11,2),1,'Non-working days'!$A$6:$A$45)=0),"",IF(COUNTIFS('Leave log'!$A$7:$A$306,Employees!$A$35,'Leave log'!$B$7:$B$306,"&lt;="&amp;DATE($B$3,11,2),'Leave log'!$C$7:$C$306,"&gt;="&amp;DATE($B$3,11,2),'Leave log'!$F$7:$F$306,"Approved")&gt;0,"A",""))="A","A",IF(OR(DATE($B$3,11,2)&gt;EOMONTH(DATE($B$3,11,1),0),NETWORKDAYS.INTL(DATE($B$3,11,2),DATE($B$3,11,2),1,'Non-working days'!$A$6:$A$45)=0),"",IF(COUNTIFS('Leave log'!$A$7:$A$306,Employees!$A$35,'Leave log'!$B$7:$B$306,"&lt;="&amp;DATE($B$3,11,2),'Leave log'!$C$7:$C$306,"&gt;="&amp;DATE($B$3,11,2),'Leave log'!$F$7:$F$306,"Pending")&gt;0,"P",""))))</f>
        <v/>
      </c>
      <c r="D376" s="23" t="str">
        <f>IF(A376="","",IF(IF(OR(DATE($B$3,11,3)&gt;EOMONTH(DATE($B$3,11,1),0),NETWORKDAYS.INTL(DATE($B$3,11,3),DATE($B$3,11,3),1,'Non-working days'!$A$6:$A$45)=0),"",IF(COUNTIFS('Leave log'!$A$7:$A$306,Employees!$A$35,'Leave log'!$B$7:$B$306,"&lt;="&amp;DATE($B$3,11,3),'Leave log'!$C$7:$C$306,"&gt;="&amp;DATE($B$3,11,3),'Leave log'!$F$7:$F$306,"Approved")&gt;0,"A",""))="A","A",IF(OR(DATE($B$3,11,3)&gt;EOMONTH(DATE($B$3,11,1),0),NETWORKDAYS.INTL(DATE($B$3,11,3),DATE($B$3,11,3),1,'Non-working days'!$A$6:$A$45)=0),"",IF(COUNTIFS('Leave log'!$A$7:$A$306,Employees!$A$35,'Leave log'!$B$7:$B$306,"&lt;="&amp;DATE($B$3,11,3),'Leave log'!$C$7:$C$306,"&gt;="&amp;DATE($B$3,11,3),'Leave log'!$F$7:$F$306,"Pending")&gt;0,"P",""))))</f>
        <v/>
      </c>
      <c r="E376" s="23" t="str">
        <f>IF(A376="","",IF(IF(OR(DATE($B$3,11,4)&gt;EOMONTH(DATE($B$3,11,1),0),NETWORKDAYS.INTL(DATE($B$3,11,4),DATE($B$3,11,4),1,'Non-working days'!$A$6:$A$45)=0),"",IF(COUNTIFS('Leave log'!$A$7:$A$306,Employees!$A$35,'Leave log'!$B$7:$B$306,"&lt;="&amp;DATE($B$3,11,4),'Leave log'!$C$7:$C$306,"&gt;="&amp;DATE($B$3,11,4),'Leave log'!$F$7:$F$306,"Approved")&gt;0,"A",""))="A","A",IF(OR(DATE($B$3,11,4)&gt;EOMONTH(DATE($B$3,11,1),0),NETWORKDAYS.INTL(DATE($B$3,11,4),DATE($B$3,11,4),1,'Non-working days'!$A$6:$A$45)=0),"",IF(COUNTIFS('Leave log'!$A$7:$A$306,Employees!$A$35,'Leave log'!$B$7:$B$306,"&lt;="&amp;DATE($B$3,11,4),'Leave log'!$C$7:$C$306,"&gt;="&amp;DATE($B$3,11,4),'Leave log'!$F$7:$F$306,"Pending")&gt;0,"P",""))))</f>
        <v/>
      </c>
      <c r="F376" s="23" t="str">
        <f>IF(A376="","",IF(IF(OR(DATE($B$3,11,5)&gt;EOMONTH(DATE($B$3,11,1),0),NETWORKDAYS.INTL(DATE($B$3,11,5),DATE($B$3,11,5),1,'Non-working days'!$A$6:$A$45)=0),"",IF(COUNTIFS('Leave log'!$A$7:$A$306,Employees!$A$35,'Leave log'!$B$7:$B$306,"&lt;="&amp;DATE($B$3,11,5),'Leave log'!$C$7:$C$306,"&gt;="&amp;DATE($B$3,11,5),'Leave log'!$F$7:$F$306,"Approved")&gt;0,"A",""))="A","A",IF(OR(DATE($B$3,11,5)&gt;EOMONTH(DATE($B$3,11,1),0),NETWORKDAYS.INTL(DATE($B$3,11,5),DATE($B$3,11,5),1,'Non-working days'!$A$6:$A$45)=0),"",IF(COUNTIFS('Leave log'!$A$7:$A$306,Employees!$A$35,'Leave log'!$B$7:$B$306,"&lt;="&amp;DATE($B$3,11,5),'Leave log'!$C$7:$C$306,"&gt;="&amp;DATE($B$3,11,5),'Leave log'!$F$7:$F$306,"Pending")&gt;0,"P",""))))</f>
        <v/>
      </c>
      <c r="G376" s="23" t="str">
        <f>IF(A376="","",IF(IF(OR(DATE($B$3,11,6)&gt;EOMONTH(DATE($B$3,11,1),0),NETWORKDAYS.INTL(DATE($B$3,11,6),DATE($B$3,11,6),1,'Non-working days'!$A$6:$A$45)=0),"",IF(COUNTIFS('Leave log'!$A$7:$A$306,Employees!$A$35,'Leave log'!$B$7:$B$306,"&lt;="&amp;DATE($B$3,11,6),'Leave log'!$C$7:$C$306,"&gt;="&amp;DATE($B$3,11,6),'Leave log'!$F$7:$F$306,"Approved")&gt;0,"A",""))="A","A",IF(OR(DATE($B$3,11,6)&gt;EOMONTH(DATE($B$3,11,1),0),NETWORKDAYS.INTL(DATE($B$3,11,6),DATE($B$3,11,6),1,'Non-working days'!$A$6:$A$45)=0),"",IF(COUNTIFS('Leave log'!$A$7:$A$306,Employees!$A$35,'Leave log'!$B$7:$B$306,"&lt;="&amp;DATE($B$3,11,6),'Leave log'!$C$7:$C$306,"&gt;="&amp;DATE($B$3,11,6),'Leave log'!$F$7:$F$306,"Pending")&gt;0,"P",""))))</f>
        <v/>
      </c>
      <c r="H376" s="23" t="str">
        <f>IF(A376="","",IF(IF(OR(DATE($B$3,11,7)&gt;EOMONTH(DATE($B$3,11,1),0),NETWORKDAYS.INTL(DATE($B$3,11,7),DATE($B$3,11,7),1,'Non-working days'!$A$6:$A$45)=0),"",IF(COUNTIFS('Leave log'!$A$7:$A$306,Employees!$A$35,'Leave log'!$B$7:$B$306,"&lt;="&amp;DATE($B$3,11,7),'Leave log'!$C$7:$C$306,"&gt;="&amp;DATE($B$3,11,7),'Leave log'!$F$7:$F$306,"Approved")&gt;0,"A",""))="A","A",IF(OR(DATE($B$3,11,7)&gt;EOMONTH(DATE($B$3,11,1),0),NETWORKDAYS.INTL(DATE($B$3,11,7),DATE($B$3,11,7),1,'Non-working days'!$A$6:$A$45)=0),"",IF(COUNTIFS('Leave log'!$A$7:$A$306,Employees!$A$35,'Leave log'!$B$7:$B$306,"&lt;="&amp;DATE($B$3,11,7),'Leave log'!$C$7:$C$306,"&gt;="&amp;DATE($B$3,11,7),'Leave log'!$F$7:$F$306,"Pending")&gt;0,"P",""))))</f>
        <v/>
      </c>
      <c r="I376" s="23" t="str">
        <f>IF(A376="","",IF(IF(OR(DATE($B$3,11,8)&gt;EOMONTH(DATE($B$3,11,1),0),NETWORKDAYS.INTL(DATE($B$3,11,8),DATE($B$3,11,8),1,'Non-working days'!$A$6:$A$45)=0),"",IF(COUNTIFS('Leave log'!$A$7:$A$306,Employees!$A$35,'Leave log'!$B$7:$B$306,"&lt;="&amp;DATE($B$3,11,8),'Leave log'!$C$7:$C$306,"&gt;="&amp;DATE($B$3,11,8),'Leave log'!$F$7:$F$306,"Approved")&gt;0,"A",""))="A","A",IF(OR(DATE($B$3,11,8)&gt;EOMONTH(DATE($B$3,11,1),0),NETWORKDAYS.INTL(DATE($B$3,11,8),DATE($B$3,11,8),1,'Non-working days'!$A$6:$A$45)=0),"",IF(COUNTIFS('Leave log'!$A$7:$A$306,Employees!$A$35,'Leave log'!$B$7:$B$306,"&lt;="&amp;DATE($B$3,11,8),'Leave log'!$C$7:$C$306,"&gt;="&amp;DATE($B$3,11,8),'Leave log'!$F$7:$F$306,"Pending")&gt;0,"P",""))))</f>
        <v/>
      </c>
      <c r="J376" s="23" t="str">
        <f>IF(A376="","",IF(IF(OR(DATE($B$3,11,9)&gt;EOMONTH(DATE($B$3,11,1),0),NETWORKDAYS.INTL(DATE($B$3,11,9),DATE($B$3,11,9),1,'Non-working days'!$A$6:$A$45)=0),"",IF(COUNTIFS('Leave log'!$A$7:$A$306,Employees!$A$35,'Leave log'!$B$7:$B$306,"&lt;="&amp;DATE($B$3,11,9),'Leave log'!$C$7:$C$306,"&gt;="&amp;DATE($B$3,11,9),'Leave log'!$F$7:$F$306,"Approved")&gt;0,"A",""))="A","A",IF(OR(DATE($B$3,11,9)&gt;EOMONTH(DATE($B$3,11,1),0),NETWORKDAYS.INTL(DATE($B$3,11,9),DATE($B$3,11,9),1,'Non-working days'!$A$6:$A$45)=0),"",IF(COUNTIFS('Leave log'!$A$7:$A$306,Employees!$A$35,'Leave log'!$B$7:$B$306,"&lt;="&amp;DATE($B$3,11,9),'Leave log'!$C$7:$C$306,"&gt;="&amp;DATE($B$3,11,9),'Leave log'!$F$7:$F$306,"Pending")&gt;0,"P",""))))</f>
        <v/>
      </c>
      <c r="K376" s="23" t="str">
        <f>IF(A376="","",IF(IF(OR(DATE($B$3,11,10)&gt;EOMONTH(DATE($B$3,11,1),0),NETWORKDAYS.INTL(DATE($B$3,11,10),DATE($B$3,11,10),1,'Non-working days'!$A$6:$A$45)=0),"",IF(COUNTIFS('Leave log'!$A$7:$A$306,Employees!$A$35,'Leave log'!$B$7:$B$306,"&lt;="&amp;DATE($B$3,11,10),'Leave log'!$C$7:$C$306,"&gt;="&amp;DATE($B$3,11,10),'Leave log'!$F$7:$F$306,"Approved")&gt;0,"A",""))="A","A",IF(OR(DATE($B$3,11,10)&gt;EOMONTH(DATE($B$3,11,1),0),NETWORKDAYS.INTL(DATE($B$3,11,10),DATE($B$3,11,10),1,'Non-working days'!$A$6:$A$45)=0),"",IF(COUNTIFS('Leave log'!$A$7:$A$306,Employees!$A$35,'Leave log'!$B$7:$B$306,"&lt;="&amp;DATE($B$3,11,10),'Leave log'!$C$7:$C$306,"&gt;="&amp;DATE($B$3,11,10),'Leave log'!$F$7:$F$306,"Pending")&gt;0,"P",""))))</f>
        <v/>
      </c>
      <c r="L376" s="23" t="str">
        <f>IF(A376="","",IF(IF(OR(DATE($B$3,11,11)&gt;EOMONTH(DATE($B$3,11,1),0),NETWORKDAYS.INTL(DATE($B$3,11,11),DATE($B$3,11,11),1,'Non-working days'!$A$6:$A$45)=0),"",IF(COUNTIFS('Leave log'!$A$7:$A$306,Employees!$A$35,'Leave log'!$B$7:$B$306,"&lt;="&amp;DATE($B$3,11,11),'Leave log'!$C$7:$C$306,"&gt;="&amp;DATE($B$3,11,11),'Leave log'!$F$7:$F$306,"Approved")&gt;0,"A",""))="A","A",IF(OR(DATE($B$3,11,11)&gt;EOMONTH(DATE($B$3,11,1),0),NETWORKDAYS.INTL(DATE($B$3,11,11),DATE($B$3,11,11),1,'Non-working days'!$A$6:$A$45)=0),"",IF(COUNTIFS('Leave log'!$A$7:$A$306,Employees!$A$35,'Leave log'!$B$7:$B$306,"&lt;="&amp;DATE($B$3,11,11),'Leave log'!$C$7:$C$306,"&gt;="&amp;DATE($B$3,11,11),'Leave log'!$F$7:$F$306,"Pending")&gt;0,"P",""))))</f>
        <v/>
      </c>
      <c r="M376" s="23" t="str">
        <f>IF(A376="","",IF(IF(OR(DATE($B$3,11,12)&gt;EOMONTH(DATE($B$3,11,1),0),NETWORKDAYS.INTL(DATE($B$3,11,12),DATE($B$3,11,12),1,'Non-working days'!$A$6:$A$45)=0),"",IF(COUNTIFS('Leave log'!$A$7:$A$306,Employees!$A$35,'Leave log'!$B$7:$B$306,"&lt;="&amp;DATE($B$3,11,12),'Leave log'!$C$7:$C$306,"&gt;="&amp;DATE($B$3,11,12),'Leave log'!$F$7:$F$306,"Approved")&gt;0,"A",""))="A","A",IF(OR(DATE($B$3,11,12)&gt;EOMONTH(DATE($B$3,11,1),0),NETWORKDAYS.INTL(DATE($B$3,11,12),DATE($B$3,11,12),1,'Non-working days'!$A$6:$A$45)=0),"",IF(COUNTIFS('Leave log'!$A$7:$A$306,Employees!$A$35,'Leave log'!$B$7:$B$306,"&lt;="&amp;DATE($B$3,11,12),'Leave log'!$C$7:$C$306,"&gt;="&amp;DATE($B$3,11,12),'Leave log'!$F$7:$F$306,"Pending")&gt;0,"P",""))))</f>
        <v/>
      </c>
      <c r="N376" s="23" t="str">
        <f>IF(A376="","",IF(IF(OR(DATE($B$3,11,13)&gt;EOMONTH(DATE($B$3,11,1),0),NETWORKDAYS.INTL(DATE($B$3,11,13),DATE($B$3,11,13),1,'Non-working days'!$A$6:$A$45)=0),"",IF(COUNTIFS('Leave log'!$A$7:$A$306,Employees!$A$35,'Leave log'!$B$7:$B$306,"&lt;="&amp;DATE($B$3,11,13),'Leave log'!$C$7:$C$306,"&gt;="&amp;DATE($B$3,11,13),'Leave log'!$F$7:$F$306,"Approved")&gt;0,"A",""))="A","A",IF(OR(DATE($B$3,11,13)&gt;EOMONTH(DATE($B$3,11,1),0),NETWORKDAYS.INTL(DATE($B$3,11,13),DATE($B$3,11,13),1,'Non-working days'!$A$6:$A$45)=0),"",IF(COUNTIFS('Leave log'!$A$7:$A$306,Employees!$A$35,'Leave log'!$B$7:$B$306,"&lt;="&amp;DATE($B$3,11,13),'Leave log'!$C$7:$C$306,"&gt;="&amp;DATE($B$3,11,13),'Leave log'!$F$7:$F$306,"Pending")&gt;0,"P",""))))</f>
        <v/>
      </c>
      <c r="O376" s="23" t="str">
        <f>IF(A376="","",IF(IF(OR(DATE($B$3,11,14)&gt;EOMONTH(DATE($B$3,11,1),0),NETWORKDAYS.INTL(DATE($B$3,11,14),DATE($B$3,11,14),1,'Non-working days'!$A$6:$A$45)=0),"",IF(COUNTIFS('Leave log'!$A$7:$A$306,Employees!$A$35,'Leave log'!$B$7:$B$306,"&lt;="&amp;DATE($B$3,11,14),'Leave log'!$C$7:$C$306,"&gt;="&amp;DATE($B$3,11,14),'Leave log'!$F$7:$F$306,"Approved")&gt;0,"A",""))="A","A",IF(OR(DATE($B$3,11,14)&gt;EOMONTH(DATE($B$3,11,1),0),NETWORKDAYS.INTL(DATE($B$3,11,14),DATE($B$3,11,14),1,'Non-working days'!$A$6:$A$45)=0),"",IF(COUNTIFS('Leave log'!$A$7:$A$306,Employees!$A$35,'Leave log'!$B$7:$B$306,"&lt;="&amp;DATE($B$3,11,14),'Leave log'!$C$7:$C$306,"&gt;="&amp;DATE($B$3,11,14),'Leave log'!$F$7:$F$306,"Pending")&gt;0,"P",""))))</f>
        <v/>
      </c>
      <c r="P376" s="23" t="str">
        <f>IF(A376="","",IF(IF(OR(DATE($B$3,11,15)&gt;EOMONTH(DATE($B$3,11,1),0),NETWORKDAYS.INTL(DATE($B$3,11,15),DATE($B$3,11,15),1,'Non-working days'!$A$6:$A$45)=0),"",IF(COUNTIFS('Leave log'!$A$7:$A$306,Employees!$A$35,'Leave log'!$B$7:$B$306,"&lt;="&amp;DATE($B$3,11,15),'Leave log'!$C$7:$C$306,"&gt;="&amp;DATE($B$3,11,15),'Leave log'!$F$7:$F$306,"Approved")&gt;0,"A",""))="A","A",IF(OR(DATE($B$3,11,15)&gt;EOMONTH(DATE($B$3,11,1),0),NETWORKDAYS.INTL(DATE($B$3,11,15),DATE($B$3,11,15),1,'Non-working days'!$A$6:$A$45)=0),"",IF(COUNTIFS('Leave log'!$A$7:$A$306,Employees!$A$35,'Leave log'!$B$7:$B$306,"&lt;="&amp;DATE($B$3,11,15),'Leave log'!$C$7:$C$306,"&gt;="&amp;DATE($B$3,11,15),'Leave log'!$F$7:$F$306,"Pending")&gt;0,"P",""))))</f>
        <v/>
      </c>
      <c r="Q376" s="23" t="str">
        <f>IF(A376="","",IF(IF(OR(DATE($B$3,11,16)&gt;EOMONTH(DATE($B$3,11,1),0),NETWORKDAYS.INTL(DATE($B$3,11,16),DATE($B$3,11,16),1,'Non-working days'!$A$6:$A$45)=0),"",IF(COUNTIFS('Leave log'!$A$7:$A$306,Employees!$A$35,'Leave log'!$B$7:$B$306,"&lt;="&amp;DATE($B$3,11,16),'Leave log'!$C$7:$C$306,"&gt;="&amp;DATE($B$3,11,16),'Leave log'!$F$7:$F$306,"Approved")&gt;0,"A",""))="A","A",IF(OR(DATE($B$3,11,16)&gt;EOMONTH(DATE($B$3,11,1),0),NETWORKDAYS.INTL(DATE($B$3,11,16),DATE($B$3,11,16),1,'Non-working days'!$A$6:$A$45)=0),"",IF(COUNTIFS('Leave log'!$A$7:$A$306,Employees!$A$35,'Leave log'!$B$7:$B$306,"&lt;="&amp;DATE($B$3,11,16),'Leave log'!$C$7:$C$306,"&gt;="&amp;DATE($B$3,11,16),'Leave log'!$F$7:$F$306,"Pending")&gt;0,"P",""))))</f>
        <v/>
      </c>
      <c r="R376" s="23" t="str">
        <f>IF(A376="","",IF(IF(OR(DATE($B$3,11,17)&gt;EOMONTH(DATE($B$3,11,1),0),NETWORKDAYS.INTL(DATE($B$3,11,17),DATE($B$3,11,17),1,'Non-working days'!$A$6:$A$45)=0),"",IF(COUNTIFS('Leave log'!$A$7:$A$306,Employees!$A$35,'Leave log'!$B$7:$B$306,"&lt;="&amp;DATE($B$3,11,17),'Leave log'!$C$7:$C$306,"&gt;="&amp;DATE($B$3,11,17),'Leave log'!$F$7:$F$306,"Approved")&gt;0,"A",""))="A","A",IF(OR(DATE($B$3,11,17)&gt;EOMONTH(DATE($B$3,11,1),0),NETWORKDAYS.INTL(DATE($B$3,11,17),DATE($B$3,11,17),1,'Non-working days'!$A$6:$A$45)=0),"",IF(COUNTIFS('Leave log'!$A$7:$A$306,Employees!$A$35,'Leave log'!$B$7:$B$306,"&lt;="&amp;DATE($B$3,11,17),'Leave log'!$C$7:$C$306,"&gt;="&amp;DATE($B$3,11,17),'Leave log'!$F$7:$F$306,"Pending")&gt;0,"P",""))))</f>
        <v/>
      </c>
      <c r="S376" s="23" t="str">
        <f>IF(A376="","",IF(IF(OR(DATE($B$3,11,18)&gt;EOMONTH(DATE($B$3,11,1),0),NETWORKDAYS.INTL(DATE($B$3,11,18),DATE($B$3,11,18),1,'Non-working days'!$A$6:$A$45)=0),"",IF(COUNTIFS('Leave log'!$A$7:$A$306,Employees!$A$35,'Leave log'!$B$7:$B$306,"&lt;="&amp;DATE($B$3,11,18),'Leave log'!$C$7:$C$306,"&gt;="&amp;DATE($B$3,11,18),'Leave log'!$F$7:$F$306,"Approved")&gt;0,"A",""))="A","A",IF(OR(DATE($B$3,11,18)&gt;EOMONTH(DATE($B$3,11,1),0),NETWORKDAYS.INTL(DATE($B$3,11,18),DATE($B$3,11,18),1,'Non-working days'!$A$6:$A$45)=0),"",IF(COUNTIFS('Leave log'!$A$7:$A$306,Employees!$A$35,'Leave log'!$B$7:$B$306,"&lt;="&amp;DATE($B$3,11,18),'Leave log'!$C$7:$C$306,"&gt;="&amp;DATE($B$3,11,18),'Leave log'!$F$7:$F$306,"Pending")&gt;0,"P",""))))</f>
        <v/>
      </c>
      <c r="T376" s="23" t="str">
        <f>IF(A376="","",IF(IF(OR(DATE($B$3,11,19)&gt;EOMONTH(DATE($B$3,11,1),0),NETWORKDAYS.INTL(DATE($B$3,11,19),DATE($B$3,11,19),1,'Non-working days'!$A$6:$A$45)=0),"",IF(COUNTIFS('Leave log'!$A$7:$A$306,Employees!$A$35,'Leave log'!$B$7:$B$306,"&lt;="&amp;DATE($B$3,11,19),'Leave log'!$C$7:$C$306,"&gt;="&amp;DATE($B$3,11,19),'Leave log'!$F$7:$F$306,"Approved")&gt;0,"A",""))="A","A",IF(OR(DATE($B$3,11,19)&gt;EOMONTH(DATE($B$3,11,1),0),NETWORKDAYS.INTL(DATE($B$3,11,19),DATE($B$3,11,19),1,'Non-working days'!$A$6:$A$45)=0),"",IF(COUNTIFS('Leave log'!$A$7:$A$306,Employees!$A$35,'Leave log'!$B$7:$B$306,"&lt;="&amp;DATE($B$3,11,19),'Leave log'!$C$7:$C$306,"&gt;="&amp;DATE($B$3,11,19),'Leave log'!$F$7:$F$306,"Pending")&gt;0,"P",""))))</f>
        <v/>
      </c>
      <c r="U376" s="23" t="str">
        <f>IF(A376="","",IF(IF(OR(DATE($B$3,11,20)&gt;EOMONTH(DATE($B$3,11,1),0),NETWORKDAYS.INTL(DATE($B$3,11,20),DATE($B$3,11,20),1,'Non-working days'!$A$6:$A$45)=0),"",IF(COUNTIFS('Leave log'!$A$7:$A$306,Employees!$A$35,'Leave log'!$B$7:$B$306,"&lt;="&amp;DATE($B$3,11,20),'Leave log'!$C$7:$C$306,"&gt;="&amp;DATE($B$3,11,20),'Leave log'!$F$7:$F$306,"Approved")&gt;0,"A",""))="A","A",IF(OR(DATE($B$3,11,20)&gt;EOMONTH(DATE($B$3,11,1),0),NETWORKDAYS.INTL(DATE($B$3,11,20),DATE($B$3,11,20),1,'Non-working days'!$A$6:$A$45)=0),"",IF(COUNTIFS('Leave log'!$A$7:$A$306,Employees!$A$35,'Leave log'!$B$7:$B$306,"&lt;="&amp;DATE($B$3,11,20),'Leave log'!$C$7:$C$306,"&gt;="&amp;DATE($B$3,11,20),'Leave log'!$F$7:$F$306,"Pending")&gt;0,"P",""))))</f>
        <v/>
      </c>
      <c r="V376" s="23" t="str">
        <f>IF(A376="","",IF(IF(OR(DATE($B$3,11,21)&gt;EOMONTH(DATE($B$3,11,1),0),NETWORKDAYS.INTL(DATE($B$3,11,21),DATE($B$3,11,21),1,'Non-working days'!$A$6:$A$45)=0),"",IF(COUNTIFS('Leave log'!$A$7:$A$306,Employees!$A$35,'Leave log'!$B$7:$B$306,"&lt;="&amp;DATE($B$3,11,21),'Leave log'!$C$7:$C$306,"&gt;="&amp;DATE($B$3,11,21),'Leave log'!$F$7:$F$306,"Approved")&gt;0,"A",""))="A","A",IF(OR(DATE($B$3,11,21)&gt;EOMONTH(DATE($B$3,11,1),0),NETWORKDAYS.INTL(DATE($B$3,11,21),DATE($B$3,11,21),1,'Non-working days'!$A$6:$A$45)=0),"",IF(COUNTIFS('Leave log'!$A$7:$A$306,Employees!$A$35,'Leave log'!$B$7:$B$306,"&lt;="&amp;DATE($B$3,11,21),'Leave log'!$C$7:$C$306,"&gt;="&amp;DATE($B$3,11,21),'Leave log'!$F$7:$F$306,"Pending")&gt;0,"P",""))))</f>
        <v/>
      </c>
      <c r="W376" s="23" t="str">
        <f>IF(A376="","",IF(IF(OR(DATE($B$3,11,22)&gt;EOMONTH(DATE($B$3,11,1),0),NETWORKDAYS.INTL(DATE($B$3,11,22),DATE($B$3,11,22),1,'Non-working days'!$A$6:$A$45)=0),"",IF(COUNTIFS('Leave log'!$A$7:$A$306,Employees!$A$35,'Leave log'!$B$7:$B$306,"&lt;="&amp;DATE($B$3,11,22),'Leave log'!$C$7:$C$306,"&gt;="&amp;DATE($B$3,11,22),'Leave log'!$F$7:$F$306,"Approved")&gt;0,"A",""))="A","A",IF(OR(DATE($B$3,11,22)&gt;EOMONTH(DATE($B$3,11,1),0),NETWORKDAYS.INTL(DATE($B$3,11,22),DATE($B$3,11,22),1,'Non-working days'!$A$6:$A$45)=0),"",IF(COUNTIFS('Leave log'!$A$7:$A$306,Employees!$A$35,'Leave log'!$B$7:$B$306,"&lt;="&amp;DATE($B$3,11,22),'Leave log'!$C$7:$C$306,"&gt;="&amp;DATE($B$3,11,22),'Leave log'!$F$7:$F$306,"Pending")&gt;0,"P",""))))</f>
        <v/>
      </c>
      <c r="X376" s="23" t="str">
        <f>IF(A376="","",IF(IF(OR(DATE($B$3,11,23)&gt;EOMONTH(DATE($B$3,11,1),0),NETWORKDAYS.INTL(DATE($B$3,11,23),DATE($B$3,11,23),1,'Non-working days'!$A$6:$A$45)=0),"",IF(COUNTIFS('Leave log'!$A$7:$A$306,Employees!$A$35,'Leave log'!$B$7:$B$306,"&lt;="&amp;DATE($B$3,11,23),'Leave log'!$C$7:$C$306,"&gt;="&amp;DATE($B$3,11,23),'Leave log'!$F$7:$F$306,"Approved")&gt;0,"A",""))="A","A",IF(OR(DATE($B$3,11,23)&gt;EOMONTH(DATE($B$3,11,1),0),NETWORKDAYS.INTL(DATE($B$3,11,23),DATE($B$3,11,23),1,'Non-working days'!$A$6:$A$45)=0),"",IF(COUNTIFS('Leave log'!$A$7:$A$306,Employees!$A$35,'Leave log'!$B$7:$B$306,"&lt;="&amp;DATE($B$3,11,23),'Leave log'!$C$7:$C$306,"&gt;="&amp;DATE($B$3,11,23),'Leave log'!$F$7:$F$306,"Pending")&gt;0,"P",""))))</f>
        <v/>
      </c>
      <c r="Y376" s="23" t="str">
        <f>IF(A376="","",IF(IF(OR(DATE($B$3,11,24)&gt;EOMONTH(DATE($B$3,11,1),0),NETWORKDAYS.INTL(DATE($B$3,11,24),DATE($B$3,11,24),1,'Non-working days'!$A$6:$A$45)=0),"",IF(COUNTIFS('Leave log'!$A$7:$A$306,Employees!$A$35,'Leave log'!$B$7:$B$306,"&lt;="&amp;DATE($B$3,11,24),'Leave log'!$C$7:$C$306,"&gt;="&amp;DATE($B$3,11,24),'Leave log'!$F$7:$F$306,"Approved")&gt;0,"A",""))="A","A",IF(OR(DATE($B$3,11,24)&gt;EOMONTH(DATE($B$3,11,1),0),NETWORKDAYS.INTL(DATE($B$3,11,24),DATE($B$3,11,24),1,'Non-working days'!$A$6:$A$45)=0),"",IF(COUNTIFS('Leave log'!$A$7:$A$306,Employees!$A$35,'Leave log'!$B$7:$B$306,"&lt;="&amp;DATE($B$3,11,24),'Leave log'!$C$7:$C$306,"&gt;="&amp;DATE($B$3,11,24),'Leave log'!$F$7:$F$306,"Pending")&gt;0,"P",""))))</f>
        <v/>
      </c>
      <c r="Z376" s="23" t="str">
        <f>IF(A376="","",IF(IF(OR(DATE($B$3,11,25)&gt;EOMONTH(DATE($B$3,11,1),0),NETWORKDAYS.INTL(DATE($B$3,11,25),DATE($B$3,11,25),1,'Non-working days'!$A$6:$A$45)=0),"",IF(COUNTIFS('Leave log'!$A$7:$A$306,Employees!$A$35,'Leave log'!$B$7:$B$306,"&lt;="&amp;DATE($B$3,11,25),'Leave log'!$C$7:$C$306,"&gt;="&amp;DATE($B$3,11,25),'Leave log'!$F$7:$F$306,"Approved")&gt;0,"A",""))="A","A",IF(OR(DATE($B$3,11,25)&gt;EOMONTH(DATE($B$3,11,1),0),NETWORKDAYS.INTL(DATE($B$3,11,25),DATE($B$3,11,25),1,'Non-working days'!$A$6:$A$45)=0),"",IF(COUNTIFS('Leave log'!$A$7:$A$306,Employees!$A$35,'Leave log'!$B$7:$B$306,"&lt;="&amp;DATE($B$3,11,25),'Leave log'!$C$7:$C$306,"&gt;="&amp;DATE($B$3,11,25),'Leave log'!$F$7:$F$306,"Pending")&gt;0,"P",""))))</f>
        <v/>
      </c>
      <c r="AA376" s="23" t="str">
        <f>IF(A376="","",IF(IF(OR(DATE($B$3,11,26)&gt;EOMONTH(DATE($B$3,11,1),0),NETWORKDAYS.INTL(DATE($B$3,11,26),DATE($B$3,11,26),1,'Non-working days'!$A$6:$A$45)=0),"",IF(COUNTIFS('Leave log'!$A$7:$A$306,Employees!$A$35,'Leave log'!$B$7:$B$306,"&lt;="&amp;DATE($B$3,11,26),'Leave log'!$C$7:$C$306,"&gt;="&amp;DATE($B$3,11,26),'Leave log'!$F$7:$F$306,"Approved")&gt;0,"A",""))="A","A",IF(OR(DATE($B$3,11,26)&gt;EOMONTH(DATE($B$3,11,1),0),NETWORKDAYS.INTL(DATE($B$3,11,26),DATE($B$3,11,26),1,'Non-working days'!$A$6:$A$45)=0),"",IF(COUNTIFS('Leave log'!$A$7:$A$306,Employees!$A$35,'Leave log'!$B$7:$B$306,"&lt;="&amp;DATE($B$3,11,26),'Leave log'!$C$7:$C$306,"&gt;="&amp;DATE($B$3,11,26),'Leave log'!$F$7:$F$306,"Pending")&gt;0,"P",""))))</f>
        <v/>
      </c>
      <c r="AB376" s="23" t="str">
        <f>IF(A376="","",IF(IF(OR(DATE($B$3,11,27)&gt;EOMONTH(DATE($B$3,11,1),0),NETWORKDAYS.INTL(DATE($B$3,11,27),DATE($B$3,11,27),1,'Non-working days'!$A$6:$A$45)=0),"",IF(COUNTIFS('Leave log'!$A$7:$A$306,Employees!$A$35,'Leave log'!$B$7:$B$306,"&lt;="&amp;DATE($B$3,11,27),'Leave log'!$C$7:$C$306,"&gt;="&amp;DATE($B$3,11,27),'Leave log'!$F$7:$F$306,"Approved")&gt;0,"A",""))="A","A",IF(OR(DATE($B$3,11,27)&gt;EOMONTH(DATE($B$3,11,1),0),NETWORKDAYS.INTL(DATE($B$3,11,27),DATE($B$3,11,27),1,'Non-working days'!$A$6:$A$45)=0),"",IF(COUNTIFS('Leave log'!$A$7:$A$306,Employees!$A$35,'Leave log'!$B$7:$B$306,"&lt;="&amp;DATE($B$3,11,27),'Leave log'!$C$7:$C$306,"&gt;="&amp;DATE($B$3,11,27),'Leave log'!$F$7:$F$306,"Pending")&gt;0,"P",""))))</f>
        <v/>
      </c>
      <c r="AC376" s="23" t="str">
        <f>IF(A376="","",IF(IF(OR(DATE($B$3,11,28)&gt;EOMONTH(DATE($B$3,11,1),0),NETWORKDAYS.INTL(DATE($B$3,11,28),DATE($B$3,11,28),1,'Non-working days'!$A$6:$A$45)=0),"",IF(COUNTIFS('Leave log'!$A$7:$A$306,Employees!$A$35,'Leave log'!$B$7:$B$306,"&lt;="&amp;DATE($B$3,11,28),'Leave log'!$C$7:$C$306,"&gt;="&amp;DATE($B$3,11,28),'Leave log'!$F$7:$F$306,"Approved")&gt;0,"A",""))="A","A",IF(OR(DATE($B$3,11,28)&gt;EOMONTH(DATE($B$3,11,1),0),NETWORKDAYS.INTL(DATE($B$3,11,28),DATE($B$3,11,28),1,'Non-working days'!$A$6:$A$45)=0),"",IF(COUNTIFS('Leave log'!$A$7:$A$306,Employees!$A$35,'Leave log'!$B$7:$B$306,"&lt;="&amp;DATE($B$3,11,28),'Leave log'!$C$7:$C$306,"&gt;="&amp;DATE($B$3,11,28),'Leave log'!$F$7:$F$306,"Pending")&gt;0,"P",""))))</f>
        <v/>
      </c>
      <c r="AD376" s="23" t="str">
        <f>IF(A376="","",IF(IF(OR(DATE($B$3,11,29)&gt;EOMONTH(DATE($B$3,11,1),0),NETWORKDAYS.INTL(DATE($B$3,11,29),DATE($B$3,11,29),1,'Non-working days'!$A$6:$A$45)=0),"",IF(COUNTIFS('Leave log'!$A$7:$A$306,Employees!$A$35,'Leave log'!$B$7:$B$306,"&lt;="&amp;DATE($B$3,11,29),'Leave log'!$C$7:$C$306,"&gt;="&amp;DATE($B$3,11,29),'Leave log'!$F$7:$F$306,"Approved")&gt;0,"A",""))="A","A",IF(OR(DATE($B$3,11,29)&gt;EOMONTH(DATE($B$3,11,1),0),NETWORKDAYS.INTL(DATE($B$3,11,29),DATE($B$3,11,29),1,'Non-working days'!$A$6:$A$45)=0),"",IF(COUNTIFS('Leave log'!$A$7:$A$306,Employees!$A$35,'Leave log'!$B$7:$B$306,"&lt;="&amp;DATE($B$3,11,29),'Leave log'!$C$7:$C$306,"&gt;="&amp;DATE($B$3,11,29),'Leave log'!$F$7:$F$306,"Pending")&gt;0,"P",""))))</f>
        <v/>
      </c>
      <c r="AE376" s="23" t="str">
        <f>IF(A376="","",IF(IF(OR(DATE($B$3,11,30)&gt;EOMONTH(DATE($B$3,11,1),0),NETWORKDAYS.INTL(DATE($B$3,11,30),DATE($B$3,11,30),1,'Non-working days'!$A$6:$A$45)=0),"",IF(COUNTIFS('Leave log'!$A$7:$A$306,Employees!$A$35,'Leave log'!$B$7:$B$306,"&lt;="&amp;DATE($B$3,11,30),'Leave log'!$C$7:$C$306,"&gt;="&amp;DATE($B$3,11,30),'Leave log'!$F$7:$F$306,"Approved")&gt;0,"A",""))="A","A",IF(OR(DATE($B$3,11,30)&gt;EOMONTH(DATE($B$3,11,1),0),NETWORKDAYS.INTL(DATE($B$3,11,30),DATE($B$3,11,30),1,'Non-working days'!$A$6:$A$45)=0),"",IF(COUNTIFS('Leave log'!$A$7:$A$306,Employees!$A$35,'Leave log'!$B$7:$B$306,"&lt;="&amp;DATE($B$3,11,30),'Leave log'!$C$7:$C$306,"&gt;="&amp;DATE($B$3,11,30),'Leave log'!$F$7:$F$306,"Pending")&gt;0,"P",""))))</f>
        <v/>
      </c>
      <c r="AF376" s="23" t="str">
        <f>IF(A376="","",IF(IF(OR(DATE($B$3,11,31)&gt;EOMONTH(DATE($B$3,11,1),0),NETWORKDAYS.INTL(DATE($B$3,11,31),DATE($B$3,11,31),1,'Non-working days'!$A$6:$A$45)=0),"",IF(COUNTIFS('Leave log'!$A$7:$A$306,Employees!$A$35,'Leave log'!$B$7:$B$306,"&lt;="&amp;DATE($B$3,11,31),'Leave log'!$C$7:$C$306,"&gt;="&amp;DATE($B$3,11,31),'Leave log'!$F$7:$F$306,"Approved")&gt;0,"A",""))="A","A",IF(OR(DATE($B$3,11,31)&gt;EOMONTH(DATE($B$3,11,1),0),NETWORKDAYS.INTL(DATE($B$3,11,31),DATE($B$3,11,31),1,'Non-working days'!$A$6:$A$45)=0),"",IF(COUNTIFS('Leave log'!$A$7:$A$306,Employees!$A$35,'Leave log'!$B$7:$B$306,"&lt;="&amp;DATE($B$3,11,31),'Leave log'!$C$7:$C$306,"&gt;="&amp;DATE($B$3,11,31),'Leave log'!$F$7:$F$306,"Pending")&gt;0,"P",""))))</f>
        <v/>
      </c>
    </row>
    <row r="379" spans="1:32" ht="15.6" x14ac:dyDescent="0.3">
      <c r="A379" s="31" t="s">
        <v>86</v>
      </c>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row>
    <row r="380" spans="1:32" x14ac:dyDescent="0.3">
      <c r="A380" s="20" t="s">
        <v>75</v>
      </c>
      <c r="B380" s="21">
        <v>1</v>
      </c>
      <c r="C380" s="21">
        <v>2</v>
      </c>
      <c r="D380" s="21">
        <v>3</v>
      </c>
      <c r="E380" s="21">
        <v>4</v>
      </c>
      <c r="F380" s="21">
        <v>5</v>
      </c>
      <c r="G380" s="21">
        <v>6</v>
      </c>
      <c r="H380" s="21">
        <v>7</v>
      </c>
      <c r="I380" s="21">
        <v>8</v>
      </c>
      <c r="J380" s="21">
        <v>9</v>
      </c>
      <c r="K380" s="21">
        <v>10</v>
      </c>
      <c r="L380" s="21">
        <v>11</v>
      </c>
      <c r="M380" s="21">
        <v>12</v>
      </c>
      <c r="N380" s="21">
        <v>13</v>
      </c>
      <c r="O380" s="21">
        <v>14</v>
      </c>
      <c r="P380" s="21">
        <v>15</v>
      </c>
      <c r="Q380" s="21">
        <v>16</v>
      </c>
      <c r="R380" s="21">
        <v>17</v>
      </c>
      <c r="S380" s="21">
        <v>18</v>
      </c>
      <c r="T380" s="21">
        <v>19</v>
      </c>
      <c r="U380" s="21">
        <v>20</v>
      </c>
      <c r="V380" s="21">
        <v>21</v>
      </c>
      <c r="W380" s="21">
        <v>22</v>
      </c>
      <c r="X380" s="21">
        <v>23</v>
      </c>
      <c r="Y380" s="21">
        <v>24</v>
      </c>
      <c r="Z380" s="21">
        <v>25</v>
      </c>
      <c r="AA380" s="21">
        <v>26</v>
      </c>
      <c r="AB380" s="21">
        <v>27</v>
      </c>
      <c r="AC380" s="21">
        <v>28</v>
      </c>
      <c r="AD380" s="21">
        <v>29</v>
      </c>
      <c r="AE380" s="21">
        <v>30</v>
      </c>
      <c r="AF380" s="21">
        <v>31</v>
      </c>
    </row>
    <row r="381" spans="1:32" ht="18" customHeight="1" x14ac:dyDescent="0.3">
      <c r="A381" s="22" t="str">
        <f>IF(Employees!F6="Yes",Employees!B6,"")</f>
        <v>Alex Morgan</v>
      </c>
      <c r="B381" s="23" t="str">
        <f>IF(A381="","",IF(IF(OR(DATE($B$3,12,1)&gt;EOMONTH(DATE($B$3,12,1),0),NETWORKDAYS.INTL(DATE($B$3,12,1),DATE($B$3,12,1),1,'Non-working days'!$A$6:$A$45)=0),"",IF(COUNTIFS('Leave log'!$A$7:$A$306,Employees!$A$6,'Leave log'!$B$7:$B$306,"&lt;="&amp;DATE($B$3,12,1),'Leave log'!$C$7:$C$306,"&gt;="&amp;DATE($B$3,12,1),'Leave log'!$F$7:$F$306,"Approved")&gt;0,"A",""))="A","A",IF(OR(DATE($B$3,12,1)&gt;EOMONTH(DATE($B$3,12,1),0),NETWORKDAYS.INTL(DATE($B$3,12,1),DATE($B$3,12,1),1,'Non-working days'!$A$6:$A$45)=0),"",IF(COUNTIFS('Leave log'!$A$7:$A$306,Employees!$A$6,'Leave log'!$B$7:$B$306,"&lt;="&amp;DATE($B$3,12,1),'Leave log'!$C$7:$C$306,"&gt;="&amp;DATE($B$3,12,1),'Leave log'!$F$7:$F$306,"Pending")&gt;0,"P",""))))</f>
        <v/>
      </c>
      <c r="C381" s="23" t="str">
        <f>IF(A381="","",IF(IF(OR(DATE($B$3,12,2)&gt;EOMONTH(DATE($B$3,12,1),0),NETWORKDAYS.INTL(DATE($B$3,12,2),DATE($B$3,12,2),1,'Non-working days'!$A$6:$A$45)=0),"",IF(COUNTIFS('Leave log'!$A$7:$A$306,Employees!$A$6,'Leave log'!$B$7:$B$306,"&lt;="&amp;DATE($B$3,12,2),'Leave log'!$C$7:$C$306,"&gt;="&amp;DATE($B$3,12,2),'Leave log'!$F$7:$F$306,"Approved")&gt;0,"A",""))="A","A",IF(OR(DATE($B$3,12,2)&gt;EOMONTH(DATE($B$3,12,1),0),NETWORKDAYS.INTL(DATE($B$3,12,2),DATE($B$3,12,2),1,'Non-working days'!$A$6:$A$45)=0),"",IF(COUNTIFS('Leave log'!$A$7:$A$306,Employees!$A$6,'Leave log'!$B$7:$B$306,"&lt;="&amp;DATE($B$3,12,2),'Leave log'!$C$7:$C$306,"&gt;="&amp;DATE($B$3,12,2),'Leave log'!$F$7:$F$306,"Pending")&gt;0,"P",""))))</f>
        <v/>
      </c>
      <c r="D381" s="23" t="str">
        <f>IF(A381="","",IF(IF(OR(DATE($B$3,12,3)&gt;EOMONTH(DATE($B$3,12,1),0),NETWORKDAYS.INTL(DATE($B$3,12,3),DATE($B$3,12,3),1,'Non-working days'!$A$6:$A$45)=0),"",IF(COUNTIFS('Leave log'!$A$7:$A$306,Employees!$A$6,'Leave log'!$B$7:$B$306,"&lt;="&amp;DATE($B$3,12,3),'Leave log'!$C$7:$C$306,"&gt;="&amp;DATE($B$3,12,3),'Leave log'!$F$7:$F$306,"Approved")&gt;0,"A",""))="A","A",IF(OR(DATE($B$3,12,3)&gt;EOMONTH(DATE($B$3,12,1),0),NETWORKDAYS.INTL(DATE($B$3,12,3),DATE($B$3,12,3),1,'Non-working days'!$A$6:$A$45)=0),"",IF(COUNTIFS('Leave log'!$A$7:$A$306,Employees!$A$6,'Leave log'!$B$7:$B$306,"&lt;="&amp;DATE($B$3,12,3),'Leave log'!$C$7:$C$306,"&gt;="&amp;DATE($B$3,12,3),'Leave log'!$F$7:$F$306,"Pending")&gt;0,"P",""))))</f>
        <v/>
      </c>
      <c r="E381" s="23" t="str">
        <f>IF(A381="","",IF(IF(OR(DATE($B$3,12,4)&gt;EOMONTH(DATE($B$3,12,1),0),NETWORKDAYS.INTL(DATE($B$3,12,4),DATE($B$3,12,4),1,'Non-working days'!$A$6:$A$45)=0),"",IF(COUNTIFS('Leave log'!$A$7:$A$306,Employees!$A$6,'Leave log'!$B$7:$B$306,"&lt;="&amp;DATE($B$3,12,4),'Leave log'!$C$7:$C$306,"&gt;="&amp;DATE($B$3,12,4),'Leave log'!$F$7:$F$306,"Approved")&gt;0,"A",""))="A","A",IF(OR(DATE($B$3,12,4)&gt;EOMONTH(DATE($B$3,12,1),0),NETWORKDAYS.INTL(DATE($B$3,12,4),DATE($B$3,12,4),1,'Non-working days'!$A$6:$A$45)=0),"",IF(COUNTIFS('Leave log'!$A$7:$A$306,Employees!$A$6,'Leave log'!$B$7:$B$306,"&lt;="&amp;DATE($B$3,12,4),'Leave log'!$C$7:$C$306,"&gt;="&amp;DATE($B$3,12,4),'Leave log'!$F$7:$F$306,"Pending")&gt;0,"P",""))))</f>
        <v/>
      </c>
      <c r="F381" s="23" t="str">
        <f>IF(A381="","",IF(IF(OR(DATE($B$3,12,5)&gt;EOMONTH(DATE($B$3,12,1),0),NETWORKDAYS.INTL(DATE($B$3,12,5),DATE($B$3,12,5),1,'Non-working days'!$A$6:$A$45)=0),"",IF(COUNTIFS('Leave log'!$A$7:$A$306,Employees!$A$6,'Leave log'!$B$7:$B$306,"&lt;="&amp;DATE($B$3,12,5),'Leave log'!$C$7:$C$306,"&gt;="&amp;DATE($B$3,12,5),'Leave log'!$F$7:$F$306,"Approved")&gt;0,"A",""))="A","A",IF(OR(DATE($B$3,12,5)&gt;EOMONTH(DATE($B$3,12,1),0),NETWORKDAYS.INTL(DATE($B$3,12,5),DATE($B$3,12,5),1,'Non-working days'!$A$6:$A$45)=0),"",IF(COUNTIFS('Leave log'!$A$7:$A$306,Employees!$A$6,'Leave log'!$B$7:$B$306,"&lt;="&amp;DATE($B$3,12,5),'Leave log'!$C$7:$C$306,"&gt;="&amp;DATE($B$3,12,5),'Leave log'!$F$7:$F$306,"Pending")&gt;0,"P",""))))</f>
        <v/>
      </c>
      <c r="G381" s="23" t="str">
        <f>IF(A381="","",IF(IF(OR(DATE($B$3,12,6)&gt;EOMONTH(DATE($B$3,12,1),0),NETWORKDAYS.INTL(DATE($B$3,12,6),DATE($B$3,12,6),1,'Non-working days'!$A$6:$A$45)=0),"",IF(COUNTIFS('Leave log'!$A$7:$A$306,Employees!$A$6,'Leave log'!$B$7:$B$306,"&lt;="&amp;DATE($B$3,12,6),'Leave log'!$C$7:$C$306,"&gt;="&amp;DATE($B$3,12,6),'Leave log'!$F$7:$F$306,"Approved")&gt;0,"A",""))="A","A",IF(OR(DATE($B$3,12,6)&gt;EOMONTH(DATE($B$3,12,1),0),NETWORKDAYS.INTL(DATE($B$3,12,6),DATE($B$3,12,6),1,'Non-working days'!$A$6:$A$45)=0),"",IF(COUNTIFS('Leave log'!$A$7:$A$306,Employees!$A$6,'Leave log'!$B$7:$B$306,"&lt;="&amp;DATE($B$3,12,6),'Leave log'!$C$7:$C$306,"&gt;="&amp;DATE($B$3,12,6),'Leave log'!$F$7:$F$306,"Pending")&gt;0,"P",""))))</f>
        <v/>
      </c>
      <c r="H381" s="23" t="str">
        <f>IF(A381="","",IF(IF(OR(DATE($B$3,12,7)&gt;EOMONTH(DATE($B$3,12,1),0),NETWORKDAYS.INTL(DATE($B$3,12,7),DATE($B$3,12,7),1,'Non-working days'!$A$6:$A$45)=0),"",IF(COUNTIFS('Leave log'!$A$7:$A$306,Employees!$A$6,'Leave log'!$B$7:$B$306,"&lt;="&amp;DATE($B$3,12,7),'Leave log'!$C$7:$C$306,"&gt;="&amp;DATE($B$3,12,7),'Leave log'!$F$7:$F$306,"Approved")&gt;0,"A",""))="A","A",IF(OR(DATE($B$3,12,7)&gt;EOMONTH(DATE($B$3,12,1),0),NETWORKDAYS.INTL(DATE($B$3,12,7),DATE($B$3,12,7),1,'Non-working days'!$A$6:$A$45)=0),"",IF(COUNTIFS('Leave log'!$A$7:$A$306,Employees!$A$6,'Leave log'!$B$7:$B$306,"&lt;="&amp;DATE($B$3,12,7),'Leave log'!$C$7:$C$306,"&gt;="&amp;DATE($B$3,12,7),'Leave log'!$F$7:$F$306,"Pending")&gt;0,"P",""))))</f>
        <v/>
      </c>
      <c r="I381" s="23" t="str">
        <f>IF(A381="","",IF(IF(OR(DATE($B$3,12,8)&gt;EOMONTH(DATE($B$3,12,1),0),NETWORKDAYS.INTL(DATE($B$3,12,8),DATE($B$3,12,8),1,'Non-working days'!$A$6:$A$45)=0),"",IF(COUNTIFS('Leave log'!$A$7:$A$306,Employees!$A$6,'Leave log'!$B$7:$B$306,"&lt;="&amp;DATE($B$3,12,8),'Leave log'!$C$7:$C$306,"&gt;="&amp;DATE($B$3,12,8),'Leave log'!$F$7:$F$306,"Approved")&gt;0,"A",""))="A","A",IF(OR(DATE($B$3,12,8)&gt;EOMONTH(DATE($B$3,12,1),0),NETWORKDAYS.INTL(DATE($B$3,12,8),DATE($B$3,12,8),1,'Non-working days'!$A$6:$A$45)=0),"",IF(COUNTIFS('Leave log'!$A$7:$A$306,Employees!$A$6,'Leave log'!$B$7:$B$306,"&lt;="&amp;DATE($B$3,12,8),'Leave log'!$C$7:$C$306,"&gt;="&amp;DATE($B$3,12,8),'Leave log'!$F$7:$F$306,"Pending")&gt;0,"P",""))))</f>
        <v/>
      </c>
      <c r="J381" s="23" t="str">
        <f>IF(A381="","",IF(IF(OR(DATE($B$3,12,9)&gt;EOMONTH(DATE($B$3,12,1),0),NETWORKDAYS.INTL(DATE($B$3,12,9),DATE($B$3,12,9),1,'Non-working days'!$A$6:$A$45)=0),"",IF(COUNTIFS('Leave log'!$A$7:$A$306,Employees!$A$6,'Leave log'!$B$7:$B$306,"&lt;="&amp;DATE($B$3,12,9),'Leave log'!$C$7:$C$306,"&gt;="&amp;DATE($B$3,12,9),'Leave log'!$F$7:$F$306,"Approved")&gt;0,"A",""))="A","A",IF(OR(DATE($B$3,12,9)&gt;EOMONTH(DATE($B$3,12,1),0),NETWORKDAYS.INTL(DATE($B$3,12,9),DATE($B$3,12,9),1,'Non-working days'!$A$6:$A$45)=0),"",IF(COUNTIFS('Leave log'!$A$7:$A$306,Employees!$A$6,'Leave log'!$B$7:$B$306,"&lt;="&amp;DATE($B$3,12,9),'Leave log'!$C$7:$C$306,"&gt;="&amp;DATE($B$3,12,9),'Leave log'!$F$7:$F$306,"Pending")&gt;0,"P",""))))</f>
        <v/>
      </c>
      <c r="K381" s="23" t="str">
        <f>IF(A381="","",IF(IF(OR(DATE($B$3,12,10)&gt;EOMONTH(DATE($B$3,12,1),0),NETWORKDAYS.INTL(DATE($B$3,12,10),DATE($B$3,12,10),1,'Non-working days'!$A$6:$A$45)=0),"",IF(COUNTIFS('Leave log'!$A$7:$A$306,Employees!$A$6,'Leave log'!$B$7:$B$306,"&lt;="&amp;DATE($B$3,12,10),'Leave log'!$C$7:$C$306,"&gt;="&amp;DATE($B$3,12,10),'Leave log'!$F$7:$F$306,"Approved")&gt;0,"A",""))="A","A",IF(OR(DATE($B$3,12,10)&gt;EOMONTH(DATE($B$3,12,1),0),NETWORKDAYS.INTL(DATE($B$3,12,10),DATE($B$3,12,10),1,'Non-working days'!$A$6:$A$45)=0),"",IF(COUNTIFS('Leave log'!$A$7:$A$306,Employees!$A$6,'Leave log'!$B$7:$B$306,"&lt;="&amp;DATE($B$3,12,10),'Leave log'!$C$7:$C$306,"&gt;="&amp;DATE($B$3,12,10),'Leave log'!$F$7:$F$306,"Pending")&gt;0,"P",""))))</f>
        <v/>
      </c>
      <c r="L381" s="23" t="str">
        <f>IF(A381="","",IF(IF(OR(DATE($B$3,12,11)&gt;EOMONTH(DATE($B$3,12,1),0),NETWORKDAYS.INTL(DATE($B$3,12,11),DATE($B$3,12,11),1,'Non-working days'!$A$6:$A$45)=0),"",IF(COUNTIFS('Leave log'!$A$7:$A$306,Employees!$A$6,'Leave log'!$B$7:$B$306,"&lt;="&amp;DATE($B$3,12,11),'Leave log'!$C$7:$C$306,"&gt;="&amp;DATE($B$3,12,11),'Leave log'!$F$7:$F$306,"Approved")&gt;0,"A",""))="A","A",IF(OR(DATE($B$3,12,11)&gt;EOMONTH(DATE($B$3,12,1),0),NETWORKDAYS.INTL(DATE($B$3,12,11),DATE($B$3,12,11),1,'Non-working days'!$A$6:$A$45)=0),"",IF(COUNTIFS('Leave log'!$A$7:$A$306,Employees!$A$6,'Leave log'!$B$7:$B$306,"&lt;="&amp;DATE($B$3,12,11),'Leave log'!$C$7:$C$306,"&gt;="&amp;DATE($B$3,12,11),'Leave log'!$F$7:$F$306,"Pending")&gt;0,"P",""))))</f>
        <v/>
      </c>
      <c r="M381" s="23" t="str">
        <f>IF(A381="","",IF(IF(OR(DATE($B$3,12,12)&gt;EOMONTH(DATE($B$3,12,1),0),NETWORKDAYS.INTL(DATE($B$3,12,12),DATE($B$3,12,12),1,'Non-working days'!$A$6:$A$45)=0),"",IF(COUNTIFS('Leave log'!$A$7:$A$306,Employees!$A$6,'Leave log'!$B$7:$B$306,"&lt;="&amp;DATE($B$3,12,12),'Leave log'!$C$7:$C$306,"&gt;="&amp;DATE($B$3,12,12),'Leave log'!$F$7:$F$306,"Approved")&gt;0,"A",""))="A","A",IF(OR(DATE($B$3,12,12)&gt;EOMONTH(DATE($B$3,12,1),0),NETWORKDAYS.INTL(DATE($B$3,12,12),DATE($B$3,12,12),1,'Non-working days'!$A$6:$A$45)=0),"",IF(COUNTIFS('Leave log'!$A$7:$A$306,Employees!$A$6,'Leave log'!$B$7:$B$306,"&lt;="&amp;DATE($B$3,12,12),'Leave log'!$C$7:$C$306,"&gt;="&amp;DATE($B$3,12,12),'Leave log'!$F$7:$F$306,"Pending")&gt;0,"P",""))))</f>
        <v/>
      </c>
      <c r="N381" s="23" t="str">
        <f>IF(A381="","",IF(IF(OR(DATE($B$3,12,13)&gt;EOMONTH(DATE($B$3,12,1),0),NETWORKDAYS.INTL(DATE($B$3,12,13),DATE($B$3,12,13),1,'Non-working days'!$A$6:$A$45)=0),"",IF(COUNTIFS('Leave log'!$A$7:$A$306,Employees!$A$6,'Leave log'!$B$7:$B$306,"&lt;="&amp;DATE($B$3,12,13),'Leave log'!$C$7:$C$306,"&gt;="&amp;DATE($B$3,12,13),'Leave log'!$F$7:$F$306,"Approved")&gt;0,"A",""))="A","A",IF(OR(DATE($B$3,12,13)&gt;EOMONTH(DATE($B$3,12,1),0),NETWORKDAYS.INTL(DATE($B$3,12,13),DATE($B$3,12,13),1,'Non-working days'!$A$6:$A$45)=0),"",IF(COUNTIFS('Leave log'!$A$7:$A$306,Employees!$A$6,'Leave log'!$B$7:$B$306,"&lt;="&amp;DATE($B$3,12,13),'Leave log'!$C$7:$C$306,"&gt;="&amp;DATE($B$3,12,13),'Leave log'!$F$7:$F$306,"Pending")&gt;0,"P",""))))</f>
        <v/>
      </c>
      <c r="O381" s="23" t="str">
        <f>IF(A381="","",IF(IF(OR(DATE($B$3,12,14)&gt;EOMONTH(DATE($B$3,12,1),0),NETWORKDAYS.INTL(DATE($B$3,12,14),DATE($B$3,12,14),1,'Non-working days'!$A$6:$A$45)=0),"",IF(COUNTIFS('Leave log'!$A$7:$A$306,Employees!$A$6,'Leave log'!$B$7:$B$306,"&lt;="&amp;DATE($B$3,12,14),'Leave log'!$C$7:$C$306,"&gt;="&amp;DATE($B$3,12,14),'Leave log'!$F$7:$F$306,"Approved")&gt;0,"A",""))="A","A",IF(OR(DATE($B$3,12,14)&gt;EOMONTH(DATE($B$3,12,1),0),NETWORKDAYS.INTL(DATE($B$3,12,14),DATE($B$3,12,14),1,'Non-working days'!$A$6:$A$45)=0),"",IF(COUNTIFS('Leave log'!$A$7:$A$306,Employees!$A$6,'Leave log'!$B$7:$B$306,"&lt;="&amp;DATE($B$3,12,14),'Leave log'!$C$7:$C$306,"&gt;="&amp;DATE($B$3,12,14),'Leave log'!$F$7:$F$306,"Pending")&gt;0,"P",""))))</f>
        <v/>
      </c>
      <c r="P381" s="23" t="str">
        <f>IF(A381="","",IF(IF(OR(DATE($B$3,12,15)&gt;EOMONTH(DATE($B$3,12,1),0),NETWORKDAYS.INTL(DATE($B$3,12,15),DATE($B$3,12,15),1,'Non-working days'!$A$6:$A$45)=0),"",IF(COUNTIFS('Leave log'!$A$7:$A$306,Employees!$A$6,'Leave log'!$B$7:$B$306,"&lt;="&amp;DATE($B$3,12,15),'Leave log'!$C$7:$C$306,"&gt;="&amp;DATE($B$3,12,15),'Leave log'!$F$7:$F$306,"Approved")&gt;0,"A",""))="A","A",IF(OR(DATE($B$3,12,15)&gt;EOMONTH(DATE($B$3,12,1),0),NETWORKDAYS.INTL(DATE($B$3,12,15),DATE($B$3,12,15),1,'Non-working days'!$A$6:$A$45)=0),"",IF(COUNTIFS('Leave log'!$A$7:$A$306,Employees!$A$6,'Leave log'!$B$7:$B$306,"&lt;="&amp;DATE($B$3,12,15),'Leave log'!$C$7:$C$306,"&gt;="&amp;DATE($B$3,12,15),'Leave log'!$F$7:$F$306,"Pending")&gt;0,"P",""))))</f>
        <v/>
      </c>
      <c r="Q381" s="23" t="str">
        <f>IF(A381="","",IF(IF(OR(DATE($B$3,12,16)&gt;EOMONTH(DATE($B$3,12,1),0),NETWORKDAYS.INTL(DATE($B$3,12,16),DATE($B$3,12,16),1,'Non-working days'!$A$6:$A$45)=0),"",IF(COUNTIFS('Leave log'!$A$7:$A$306,Employees!$A$6,'Leave log'!$B$7:$B$306,"&lt;="&amp;DATE($B$3,12,16),'Leave log'!$C$7:$C$306,"&gt;="&amp;DATE($B$3,12,16),'Leave log'!$F$7:$F$306,"Approved")&gt;0,"A",""))="A","A",IF(OR(DATE($B$3,12,16)&gt;EOMONTH(DATE($B$3,12,1),0),NETWORKDAYS.INTL(DATE($B$3,12,16),DATE($B$3,12,16),1,'Non-working days'!$A$6:$A$45)=0),"",IF(COUNTIFS('Leave log'!$A$7:$A$306,Employees!$A$6,'Leave log'!$B$7:$B$306,"&lt;="&amp;DATE($B$3,12,16),'Leave log'!$C$7:$C$306,"&gt;="&amp;DATE($B$3,12,16),'Leave log'!$F$7:$F$306,"Pending")&gt;0,"P",""))))</f>
        <v/>
      </c>
      <c r="R381" s="23" t="str">
        <f>IF(A381="","",IF(IF(OR(DATE($B$3,12,17)&gt;EOMONTH(DATE($B$3,12,1),0),NETWORKDAYS.INTL(DATE($B$3,12,17),DATE($B$3,12,17),1,'Non-working days'!$A$6:$A$45)=0),"",IF(COUNTIFS('Leave log'!$A$7:$A$306,Employees!$A$6,'Leave log'!$B$7:$B$306,"&lt;="&amp;DATE($B$3,12,17),'Leave log'!$C$7:$C$306,"&gt;="&amp;DATE($B$3,12,17),'Leave log'!$F$7:$F$306,"Approved")&gt;0,"A",""))="A","A",IF(OR(DATE($B$3,12,17)&gt;EOMONTH(DATE($B$3,12,1),0),NETWORKDAYS.INTL(DATE($B$3,12,17),DATE($B$3,12,17),1,'Non-working days'!$A$6:$A$45)=0),"",IF(COUNTIFS('Leave log'!$A$7:$A$306,Employees!$A$6,'Leave log'!$B$7:$B$306,"&lt;="&amp;DATE($B$3,12,17),'Leave log'!$C$7:$C$306,"&gt;="&amp;DATE($B$3,12,17),'Leave log'!$F$7:$F$306,"Pending")&gt;0,"P",""))))</f>
        <v/>
      </c>
      <c r="S381" s="23" t="str">
        <f>IF(A381="","",IF(IF(OR(DATE($B$3,12,18)&gt;EOMONTH(DATE($B$3,12,1),0),NETWORKDAYS.INTL(DATE($B$3,12,18),DATE($B$3,12,18),1,'Non-working days'!$A$6:$A$45)=0),"",IF(COUNTIFS('Leave log'!$A$7:$A$306,Employees!$A$6,'Leave log'!$B$7:$B$306,"&lt;="&amp;DATE($B$3,12,18),'Leave log'!$C$7:$C$306,"&gt;="&amp;DATE($B$3,12,18),'Leave log'!$F$7:$F$306,"Approved")&gt;0,"A",""))="A","A",IF(OR(DATE($B$3,12,18)&gt;EOMONTH(DATE($B$3,12,1),0),NETWORKDAYS.INTL(DATE($B$3,12,18),DATE($B$3,12,18),1,'Non-working days'!$A$6:$A$45)=0),"",IF(COUNTIFS('Leave log'!$A$7:$A$306,Employees!$A$6,'Leave log'!$B$7:$B$306,"&lt;="&amp;DATE($B$3,12,18),'Leave log'!$C$7:$C$306,"&gt;="&amp;DATE($B$3,12,18),'Leave log'!$F$7:$F$306,"Pending")&gt;0,"P",""))))</f>
        <v/>
      </c>
      <c r="T381" s="23" t="str">
        <f>IF(A381="","",IF(IF(OR(DATE($B$3,12,19)&gt;EOMONTH(DATE($B$3,12,1),0),NETWORKDAYS.INTL(DATE($B$3,12,19),DATE($B$3,12,19),1,'Non-working days'!$A$6:$A$45)=0),"",IF(COUNTIFS('Leave log'!$A$7:$A$306,Employees!$A$6,'Leave log'!$B$7:$B$306,"&lt;="&amp;DATE($B$3,12,19),'Leave log'!$C$7:$C$306,"&gt;="&amp;DATE($B$3,12,19),'Leave log'!$F$7:$F$306,"Approved")&gt;0,"A",""))="A","A",IF(OR(DATE($B$3,12,19)&gt;EOMONTH(DATE($B$3,12,1),0),NETWORKDAYS.INTL(DATE($B$3,12,19),DATE($B$3,12,19),1,'Non-working days'!$A$6:$A$45)=0),"",IF(COUNTIFS('Leave log'!$A$7:$A$306,Employees!$A$6,'Leave log'!$B$7:$B$306,"&lt;="&amp;DATE($B$3,12,19),'Leave log'!$C$7:$C$306,"&gt;="&amp;DATE($B$3,12,19),'Leave log'!$F$7:$F$306,"Pending")&gt;0,"P",""))))</f>
        <v/>
      </c>
      <c r="U381" s="23" t="str">
        <f>IF(A381="","",IF(IF(OR(DATE($B$3,12,20)&gt;EOMONTH(DATE($B$3,12,1),0),NETWORKDAYS.INTL(DATE($B$3,12,20),DATE($B$3,12,20),1,'Non-working days'!$A$6:$A$45)=0),"",IF(COUNTIFS('Leave log'!$A$7:$A$306,Employees!$A$6,'Leave log'!$B$7:$B$306,"&lt;="&amp;DATE($B$3,12,20),'Leave log'!$C$7:$C$306,"&gt;="&amp;DATE($B$3,12,20),'Leave log'!$F$7:$F$306,"Approved")&gt;0,"A",""))="A","A",IF(OR(DATE($B$3,12,20)&gt;EOMONTH(DATE($B$3,12,1),0),NETWORKDAYS.INTL(DATE($B$3,12,20),DATE($B$3,12,20),1,'Non-working days'!$A$6:$A$45)=0),"",IF(COUNTIFS('Leave log'!$A$7:$A$306,Employees!$A$6,'Leave log'!$B$7:$B$306,"&lt;="&amp;DATE($B$3,12,20),'Leave log'!$C$7:$C$306,"&gt;="&amp;DATE($B$3,12,20),'Leave log'!$F$7:$F$306,"Pending")&gt;0,"P",""))))</f>
        <v/>
      </c>
      <c r="V381" s="23" t="str">
        <f>IF(A381="","",IF(IF(OR(DATE($B$3,12,21)&gt;EOMONTH(DATE($B$3,12,1),0),NETWORKDAYS.INTL(DATE($B$3,12,21),DATE($B$3,12,21),1,'Non-working days'!$A$6:$A$45)=0),"",IF(COUNTIFS('Leave log'!$A$7:$A$306,Employees!$A$6,'Leave log'!$B$7:$B$306,"&lt;="&amp;DATE($B$3,12,21),'Leave log'!$C$7:$C$306,"&gt;="&amp;DATE($B$3,12,21),'Leave log'!$F$7:$F$306,"Approved")&gt;0,"A",""))="A","A",IF(OR(DATE($B$3,12,21)&gt;EOMONTH(DATE($B$3,12,1),0),NETWORKDAYS.INTL(DATE($B$3,12,21),DATE($B$3,12,21),1,'Non-working days'!$A$6:$A$45)=0),"",IF(COUNTIFS('Leave log'!$A$7:$A$306,Employees!$A$6,'Leave log'!$B$7:$B$306,"&lt;="&amp;DATE($B$3,12,21),'Leave log'!$C$7:$C$306,"&gt;="&amp;DATE($B$3,12,21),'Leave log'!$F$7:$F$306,"Pending")&gt;0,"P",""))))</f>
        <v/>
      </c>
      <c r="W381" s="23" t="str">
        <f>IF(A381="","",IF(IF(OR(DATE($B$3,12,22)&gt;EOMONTH(DATE($B$3,12,1),0),NETWORKDAYS.INTL(DATE($B$3,12,22),DATE($B$3,12,22),1,'Non-working days'!$A$6:$A$45)=0),"",IF(COUNTIFS('Leave log'!$A$7:$A$306,Employees!$A$6,'Leave log'!$B$7:$B$306,"&lt;="&amp;DATE($B$3,12,22),'Leave log'!$C$7:$C$306,"&gt;="&amp;DATE($B$3,12,22),'Leave log'!$F$7:$F$306,"Approved")&gt;0,"A",""))="A","A",IF(OR(DATE($B$3,12,22)&gt;EOMONTH(DATE($B$3,12,1),0),NETWORKDAYS.INTL(DATE($B$3,12,22),DATE($B$3,12,22),1,'Non-working days'!$A$6:$A$45)=0),"",IF(COUNTIFS('Leave log'!$A$7:$A$306,Employees!$A$6,'Leave log'!$B$7:$B$306,"&lt;="&amp;DATE($B$3,12,22),'Leave log'!$C$7:$C$306,"&gt;="&amp;DATE($B$3,12,22),'Leave log'!$F$7:$F$306,"Pending")&gt;0,"P",""))))</f>
        <v/>
      </c>
      <c r="X381" s="23" t="str">
        <f>IF(A381="","",IF(IF(OR(DATE($B$3,12,23)&gt;EOMONTH(DATE($B$3,12,1),0),NETWORKDAYS.INTL(DATE($B$3,12,23),DATE($B$3,12,23),1,'Non-working days'!$A$6:$A$45)=0),"",IF(COUNTIFS('Leave log'!$A$7:$A$306,Employees!$A$6,'Leave log'!$B$7:$B$306,"&lt;="&amp;DATE($B$3,12,23),'Leave log'!$C$7:$C$306,"&gt;="&amp;DATE($B$3,12,23),'Leave log'!$F$7:$F$306,"Approved")&gt;0,"A",""))="A","A",IF(OR(DATE($B$3,12,23)&gt;EOMONTH(DATE($B$3,12,1),0),NETWORKDAYS.INTL(DATE($B$3,12,23),DATE($B$3,12,23),1,'Non-working days'!$A$6:$A$45)=0),"",IF(COUNTIFS('Leave log'!$A$7:$A$306,Employees!$A$6,'Leave log'!$B$7:$B$306,"&lt;="&amp;DATE($B$3,12,23),'Leave log'!$C$7:$C$306,"&gt;="&amp;DATE($B$3,12,23),'Leave log'!$F$7:$F$306,"Pending")&gt;0,"P",""))))</f>
        <v/>
      </c>
      <c r="Y381" s="23" t="str">
        <f>IF(A381="","",IF(IF(OR(DATE($B$3,12,24)&gt;EOMONTH(DATE($B$3,12,1),0),NETWORKDAYS.INTL(DATE($B$3,12,24),DATE($B$3,12,24),1,'Non-working days'!$A$6:$A$45)=0),"",IF(COUNTIFS('Leave log'!$A$7:$A$306,Employees!$A$6,'Leave log'!$B$7:$B$306,"&lt;="&amp;DATE($B$3,12,24),'Leave log'!$C$7:$C$306,"&gt;="&amp;DATE($B$3,12,24),'Leave log'!$F$7:$F$306,"Approved")&gt;0,"A",""))="A","A",IF(OR(DATE($B$3,12,24)&gt;EOMONTH(DATE($B$3,12,1),0),NETWORKDAYS.INTL(DATE($B$3,12,24),DATE($B$3,12,24),1,'Non-working days'!$A$6:$A$45)=0),"",IF(COUNTIFS('Leave log'!$A$7:$A$306,Employees!$A$6,'Leave log'!$B$7:$B$306,"&lt;="&amp;DATE($B$3,12,24),'Leave log'!$C$7:$C$306,"&gt;="&amp;DATE($B$3,12,24),'Leave log'!$F$7:$F$306,"Pending")&gt;0,"P",""))))</f>
        <v/>
      </c>
      <c r="Z381" s="23" t="str">
        <f>IF(A381="","",IF(IF(OR(DATE($B$3,12,25)&gt;EOMONTH(DATE($B$3,12,1),0),NETWORKDAYS.INTL(DATE($B$3,12,25),DATE($B$3,12,25),1,'Non-working days'!$A$6:$A$45)=0),"",IF(COUNTIFS('Leave log'!$A$7:$A$306,Employees!$A$6,'Leave log'!$B$7:$B$306,"&lt;="&amp;DATE($B$3,12,25),'Leave log'!$C$7:$C$306,"&gt;="&amp;DATE($B$3,12,25),'Leave log'!$F$7:$F$306,"Approved")&gt;0,"A",""))="A","A",IF(OR(DATE($B$3,12,25)&gt;EOMONTH(DATE($B$3,12,1),0),NETWORKDAYS.INTL(DATE($B$3,12,25),DATE($B$3,12,25),1,'Non-working days'!$A$6:$A$45)=0),"",IF(COUNTIFS('Leave log'!$A$7:$A$306,Employees!$A$6,'Leave log'!$B$7:$B$306,"&lt;="&amp;DATE($B$3,12,25),'Leave log'!$C$7:$C$306,"&gt;="&amp;DATE($B$3,12,25),'Leave log'!$F$7:$F$306,"Pending")&gt;0,"P",""))))</f>
        <v/>
      </c>
      <c r="AA381" s="23" t="str">
        <f>IF(A381="","",IF(IF(OR(DATE($B$3,12,26)&gt;EOMONTH(DATE($B$3,12,1),0),NETWORKDAYS.INTL(DATE($B$3,12,26),DATE($B$3,12,26),1,'Non-working days'!$A$6:$A$45)=0),"",IF(COUNTIFS('Leave log'!$A$7:$A$306,Employees!$A$6,'Leave log'!$B$7:$B$306,"&lt;="&amp;DATE($B$3,12,26),'Leave log'!$C$7:$C$306,"&gt;="&amp;DATE($B$3,12,26),'Leave log'!$F$7:$F$306,"Approved")&gt;0,"A",""))="A","A",IF(OR(DATE($B$3,12,26)&gt;EOMONTH(DATE($B$3,12,1),0),NETWORKDAYS.INTL(DATE($B$3,12,26),DATE($B$3,12,26),1,'Non-working days'!$A$6:$A$45)=0),"",IF(COUNTIFS('Leave log'!$A$7:$A$306,Employees!$A$6,'Leave log'!$B$7:$B$306,"&lt;="&amp;DATE($B$3,12,26),'Leave log'!$C$7:$C$306,"&gt;="&amp;DATE($B$3,12,26),'Leave log'!$F$7:$F$306,"Pending")&gt;0,"P",""))))</f>
        <v/>
      </c>
      <c r="AB381" s="23" t="str">
        <f>IF(A381="","",IF(IF(OR(DATE($B$3,12,27)&gt;EOMONTH(DATE($B$3,12,1),0),NETWORKDAYS.INTL(DATE($B$3,12,27),DATE($B$3,12,27),1,'Non-working days'!$A$6:$A$45)=0),"",IF(COUNTIFS('Leave log'!$A$7:$A$306,Employees!$A$6,'Leave log'!$B$7:$B$306,"&lt;="&amp;DATE($B$3,12,27),'Leave log'!$C$7:$C$306,"&gt;="&amp;DATE($B$3,12,27),'Leave log'!$F$7:$F$306,"Approved")&gt;0,"A",""))="A","A",IF(OR(DATE($B$3,12,27)&gt;EOMONTH(DATE($B$3,12,1),0),NETWORKDAYS.INTL(DATE($B$3,12,27),DATE($B$3,12,27),1,'Non-working days'!$A$6:$A$45)=0),"",IF(COUNTIFS('Leave log'!$A$7:$A$306,Employees!$A$6,'Leave log'!$B$7:$B$306,"&lt;="&amp;DATE($B$3,12,27),'Leave log'!$C$7:$C$306,"&gt;="&amp;DATE($B$3,12,27),'Leave log'!$F$7:$F$306,"Pending")&gt;0,"P",""))))</f>
        <v/>
      </c>
      <c r="AC381" s="23" t="str">
        <f>IF(A381="","",IF(IF(OR(DATE($B$3,12,28)&gt;EOMONTH(DATE($B$3,12,1),0),NETWORKDAYS.INTL(DATE($B$3,12,28),DATE($B$3,12,28),1,'Non-working days'!$A$6:$A$45)=0),"",IF(COUNTIFS('Leave log'!$A$7:$A$306,Employees!$A$6,'Leave log'!$B$7:$B$306,"&lt;="&amp;DATE($B$3,12,28),'Leave log'!$C$7:$C$306,"&gt;="&amp;DATE($B$3,12,28),'Leave log'!$F$7:$F$306,"Approved")&gt;0,"A",""))="A","A",IF(OR(DATE($B$3,12,28)&gt;EOMONTH(DATE($B$3,12,1),0),NETWORKDAYS.INTL(DATE($B$3,12,28),DATE($B$3,12,28),1,'Non-working days'!$A$6:$A$45)=0),"",IF(COUNTIFS('Leave log'!$A$7:$A$306,Employees!$A$6,'Leave log'!$B$7:$B$306,"&lt;="&amp;DATE($B$3,12,28),'Leave log'!$C$7:$C$306,"&gt;="&amp;DATE($B$3,12,28),'Leave log'!$F$7:$F$306,"Pending")&gt;0,"P",""))))</f>
        <v/>
      </c>
      <c r="AD381" s="23" t="str">
        <f>IF(A381="","",IF(IF(OR(DATE($B$3,12,29)&gt;EOMONTH(DATE($B$3,12,1),0),NETWORKDAYS.INTL(DATE($B$3,12,29),DATE($B$3,12,29),1,'Non-working days'!$A$6:$A$45)=0),"",IF(COUNTIFS('Leave log'!$A$7:$A$306,Employees!$A$6,'Leave log'!$B$7:$B$306,"&lt;="&amp;DATE($B$3,12,29),'Leave log'!$C$7:$C$306,"&gt;="&amp;DATE($B$3,12,29),'Leave log'!$F$7:$F$306,"Approved")&gt;0,"A",""))="A","A",IF(OR(DATE($B$3,12,29)&gt;EOMONTH(DATE($B$3,12,1),0),NETWORKDAYS.INTL(DATE($B$3,12,29),DATE($B$3,12,29),1,'Non-working days'!$A$6:$A$45)=0),"",IF(COUNTIFS('Leave log'!$A$7:$A$306,Employees!$A$6,'Leave log'!$B$7:$B$306,"&lt;="&amp;DATE($B$3,12,29),'Leave log'!$C$7:$C$306,"&gt;="&amp;DATE($B$3,12,29),'Leave log'!$F$7:$F$306,"Pending")&gt;0,"P",""))))</f>
        <v/>
      </c>
      <c r="AE381" s="23" t="str">
        <f>IF(A381="","",IF(IF(OR(DATE($B$3,12,30)&gt;EOMONTH(DATE($B$3,12,1),0),NETWORKDAYS.INTL(DATE($B$3,12,30),DATE($B$3,12,30),1,'Non-working days'!$A$6:$A$45)=0),"",IF(COUNTIFS('Leave log'!$A$7:$A$306,Employees!$A$6,'Leave log'!$B$7:$B$306,"&lt;="&amp;DATE($B$3,12,30),'Leave log'!$C$7:$C$306,"&gt;="&amp;DATE($B$3,12,30),'Leave log'!$F$7:$F$306,"Approved")&gt;0,"A",""))="A","A",IF(OR(DATE($B$3,12,30)&gt;EOMONTH(DATE($B$3,12,1),0),NETWORKDAYS.INTL(DATE($B$3,12,30),DATE($B$3,12,30),1,'Non-working days'!$A$6:$A$45)=0),"",IF(COUNTIFS('Leave log'!$A$7:$A$306,Employees!$A$6,'Leave log'!$B$7:$B$306,"&lt;="&amp;DATE($B$3,12,30),'Leave log'!$C$7:$C$306,"&gt;="&amp;DATE($B$3,12,30),'Leave log'!$F$7:$F$306,"Pending")&gt;0,"P",""))))</f>
        <v/>
      </c>
      <c r="AF381" s="23" t="str">
        <f>IF(A381="","",IF(IF(OR(DATE($B$3,12,31)&gt;EOMONTH(DATE($B$3,12,1),0),NETWORKDAYS.INTL(DATE($B$3,12,31),DATE($B$3,12,31),1,'Non-working days'!$A$6:$A$45)=0),"",IF(COUNTIFS('Leave log'!$A$7:$A$306,Employees!$A$6,'Leave log'!$B$7:$B$306,"&lt;="&amp;DATE($B$3,12,31),'Leave log'!$C$7:$C$306,"&gt;="&amp;DATE($B$3,12,31),'Leave log'!$F$7:$F$306,"Approved")&gt;0,"A",""))="A","A",IF(OR(DATE($B$3,12,31)&gt;EOMONTH(DATE($B$3,12,1),0),NETWORKDAYS.INTL(DATE($B$3,12,31),DATE($B$3,12,31),1,'Non-working days'!$A$6:$A$45)=0),"",IF(COUNTIFS('Leave log'!$A$7:$A$306,Employees!$A$6,'Leave log'!$B$7:$B$306,"&lt;="&amp;DATE($B$3,12,31),'Leave log'!$C$7:$C$306,"&gt;="&amp;DATE($B$3,12,31),'Leave log'!$F$7:$F$306,"Pending")&gt;0,"P",""))))</f>
        <v/>
      </c>
    </row>
    <row r="382" spans="1:32" ht="18" customHeight="1" x14ac:dyDescent="0.3">
      <c r="A382" s="22" t="str">
        <f>IF(Employees!F7="Yes",Employees!B7,"")</f>
        <v/>
      </c>
      <c r="B382" s="23" t="str">
        <f>IF(A382="","",IF(IF(OR(DATE($B$3,12,1)&gt;EOMONTH(DATE($B$3,12,1),0),NETWORKDAYS.INTL(DATE($B$3,12,1),DATE($B$3,12,1),1,'Non-working days'!$A$6:$A$45)=0),"",IF(COUNTIFS('Leave log'!$A$7:$A$306,Employees!$A$7,'Leave log'!$B$7:$B$306,"&lt;="&amp;DATE($B$3,12,1),'Leave log'!$C$7:$C$306,"&gt;="&amp;DATE($B$3,12,1),'Leave log'!$F$7:$F$306,"Approved")&gt;0,"A",""))="A","A",IF(OR(DATE($B$3,12,1)&gt;EOMONTH(DATE($B$3,12,1),0),NETWORKDAYS.INTL(DATE($B$3,12,1),DATE($B$3,12,1),1,'Non-working days'!$A$6:$A$45)=0),"",IF(COUNTIFS('Leave log'!$A$7:$A$306,Employees!$A$7,'Leave log'!$B$7:$B$306,"&lt;="&amp;DATE($B$3,12,1),'Leave log'!$C$7:$C$306,"&gt;="&amp;DATE($B$3,12,1),'Leave log'!$F$7:$F$306,"Pending")&gt;0,"P",""))))</f>
        <v/>
      </c>
      <c r="C382" s="23" t="str">
        <f>IF(A382="","",IF(IF(OR(DATE($B$3,12,2)&gt;EOMONTH(DATE($B$3,12,1),0),NETWORKDAYS.INTL(DATE($B$3,12,2),DATE($B$3,12,2),1,'Non-working days'!$A$6:$A$45)=0),"",IF(COUNTIFS('Leave log'!$A$7:$A$306,Employees!$A$7,'Leave log'!$B$7:$B$306,"&lt;="&amp;DATE($B$3,12,2),'Leave log'!$C$7:$C$306,"&gt;="&amp;DATE($B$3,12,2),'Leave log'!$F$7:$F$306,"Approved")&gt;0,"A",""))="A","A",IF(OR(DATE($B$3,12,2)&gt;EOMONTH(DATE($B$3,12,1),0),NETWORKDAYS.INTL(DATE($B$3,12,2),DATE($B$3,12,2),1,'Non-working days'!$A$6:$A$45)=0),"",IF(COUNTIFS('Leave log'!$A$7:$A$306,Employees!$A$7,'Leave log'!$B$7:$B$306,"&lt;="&amp;DATE($B$3,12,2),'Leave log'!$C$7:$C$306,"&gt;="&amp;DATE($B$3,12,2),'Leave log'!$F$7:$F$306,"Pending")&gt;0,"P",""))))</f>
        <v/>
      </c>
      <c r="D382" s="23" t="str">
        <f>IF(A382="","",IF(IF(OR(DATE($B$3,12,3)&gt;EOMONTH(DATE($B$3,12,1),0),NETWORKDAYS.INTL(DATE($B$3,12,3),DATE($B$3,12,3),1,'Non-working days'!$A$6:$A$45)=0),"",IF(COUNTIFS('Leave log'!$A$7:$A$306,Employees!$A$7,'Leave log'!$B$7:$B$306,"&lt;="&amp;DATE($B$3,12,3),'Leave log'!$C$7:$C$306,"&gt;="&amp;DATE($B$3,12,3),'Leave log'!$F$7:$F$306,"Approved")&gt;0,"A",""))="A","A",IF(OR(DATE($B$3,12,3)&gt;EOMONTH(DATE($B$3,12,1),0),NETWORKDAYS.INTL(DATE($B$3,12,3),DATE($B$3,12,3),1,'Non-working days'!$A$6:$A$45)=0),"",IF(COUNTIFS('Leave log'!$A$7:$A$306,Employees!$A$7,'Leave log'!$B$7:$B$306,"&lt;="&amp;DATE($B$3,12,3),'Leave log'!$C$7:$C$306,"&gt;="&amp;DATE($B$3,12,3),'Leave log'!$F$7:$F$306,"Pending")&gt;0,"P",""))))</f>
        <v/>
      </c>
      <c r="E382" s="23" t="str">
        <f>IF(A382="","",IF(IF(OR(DATE($B$3,12,4)&gt;EOMONTH(DATE($B$3,12,1),0),NETWORKDAYS.INTL(DATE($B$3,12,4),DATE($B$3,12,4),1,'Non-working days'!$A$6:$A$45)=0),"",IF(COUNTIFS('Leave log'!$A$7:$A$306,Employees!$A$7,'Leave log'!$B$7:$B$306,"&lt;="&amp;DATE($B$3,12,4),'Leave log'!$C$7:$C$306,"&gt;="&amp;DATE($B$3,12,4),'Leave log'!$F$7:$F$306,"Approved")&gt;0,"A",""))="A","A",IF(OR(DATE($B$3,12,4)&gt;EOMONTH(DATE($B$3,12,1),0),NETWORKDAYS.INTL(DATE($B$3,12,4),DATE($B$3,12,4),1,'Non-working days'!$A$6:$A$45)=0),"",IF(COUNTIFS('Leave log'!$A$7:$A$306,Employees!$A$7,'Leave log'!$B$7:$B$306,"&lt;="&amp;DATE($B$3,12,4),'Leave log'!$C$7:$C$306,"&gt;="&amp;DATE($B$3,12,4),'Leave log'!$F$7:$F$306,"Pending")&gt;0,"P",""))))</f>
        <v/>
      </c>
      <c r="F382" s="23" t="str">
        <f>IF(A382="","",IF(IF(OR(DATE($B$3,12,5)&gt;EOMONTH(DATE($B$3,12,1),0),NETWORKDAYS.INTL(DATE($B$3,12,5),DATE($B$3,12,5),1,'Non-working days'!$A$6:$A$45)=0),"",IF(COUNTIFS('Leave log'!$A$7:$A$306,Employees!$A$7,'Leave log'!$B$7:$B$306,"&lt;="&amp;DATE($B$3,12,5),'Leave log'!$C$7:$C$306,"&gt;="&amp;DATE($B$3,12,5),'Leave log'!$F$7:$F$306,"Approved")&gt;0,"A",""))="A","A",IF(OR(DATE($B$3,12,5)&gt;EOMONTH(DATE($B$3,12,1),0),NETWORKDAYS.INTL(DATE($B$3,12,5),DATE($B$3,12,5),1,'Non-working days'!$A$6:$A$45)=0),"",IF(COUNTIFS('Leave log'!$A$7:$A$306,Employees!$A$7,'Leave log'!$B$7:$B$306,"&lt;="&amp;DATE($B$3,12,5),'Leave log'!$C$7:$C$306,"&gt;="&amp;DATE($B$3,12,5),'Leave log'!$F$7:$F$306,"Pending")&gt;0,"P",""))))</f>
        <v/>
      </c>
      <c r="G382" s="23" t="str">
        <f>IF(A382="","",IF(IF(OR(DATE($B$3,12,6)&gt;EOMONTH(DATE($B$3,12,1),0),NETWORKDAYS.INTL(DATE($B$3,12,6),DATE($B$3,12,6),1,'Non-working days'!$A$6:$A$45)=0),"",IF(COUNTIFS('Leave log'!$A$7:$A$306,Employees!$A$7,'Leave log'!$B$7:$B$306,"&lt;="&amp;DATE($B$3,12,6),'Leave log'!$C$7:$C$306,"&gt;="&amp;DATE($B$3,12,6),'Leave log'!$F$7:$F$306,"Approved")&gt;0,"A",""))="A","A",IF(OR(DATE($B$3,12,6)&gt;EOMONTH(DATE($B$3,12,1),0),NETWORKDAYS.INTL(DATE($B$3,12,6),DATE($B$3,12,6),1,'Non-working days'!$A$6:$A$45)=0),"",IF(COUNTIFS('Leave log'!$A$7:$A$306,Employees!$A$7,'Leave log'!$B$7:$B$306,"&lt;="&amp;DATE($B$3,12,6),'Leave log'!$C$7:$C$306,"&gt;="&amp;DATE($B$3,12,6),'Leave log'!$F$7:$F$306,"Pending")&gt;0,"P",""))))</f>
        <v/>
      </c>
      <c r="H382" s="23" t="str">
        <f>IF(A382="","",IF(IF(OR(DATE($B$3,12,7)&gt;EOMONTH(DATE($B$3,12,1),0),NETWORKDAYS.INTL(DATE($B$3,12,7),DATE($B$3,12,7),1,'Non-working days'!$A$6:$A$45)=0),"",IF(COUNTIFS('Leave log'!$A$7:$A$306,Employees!$A$7,'Leave log'!$B$7:$B$306,"&lt;="&amp;DATE($B$3,12,7),'Leave log'!$C$7:$C$306,"&gt;="&amp;DATE($B$3,12,7),'Leave log'!$F$7:$F$306,"Approved")&gt;0,"A",""))="A","A",IF(OR(DATE($B$3,12,7)&gt;EOMONTH(DATE($B$3,12,1),0),NETWORKDAYS.INTL(DATE($B$3,12,7),DATE($B$3,12,7),1,'Non-working days'!$A$6:$A$45)=0),"",IF(COUNTIFS('Leave log'!$A$7:$A$306,Employees!$A$7,'Leave log'!$B$7:$B$306,"&lt;="&amp;DATE($B$3,12,7),'Leave log'!$C$7:$C$306,"&gt;="&amp;DATE($B$3,12,7),'Leave log'!$F$7:$F$306,"Pending")&gt;0,"P",""))))</f>
        <v/>
      </c>
      <c r="I382" s="23" t="str">
        <f>IF(A382="","",IF(IF(OR(DATE($B$3,12,8)&gt;EOMONTH(DATE($B$3,12,1),0),NETWORKDAYS.INTL(DATE($B$3,12,8),DATE($B$3,12,8),1,'Non-working days'!$A$6:$A$45)=0),"",IF(COUNTIFS('Leave log'!$A$7:$A$306,Employees!$A$7,'Leave log'!$B$7:$B$306,"&lt;="&amp;DATE($B$3,12,8),'Leave log'!$C$7:$C$306,"&gt;="&amp;DATE($B$3,12,8),'Leave log'!$F$7:$F$306,"Approved")&gt;0,"A",""))="A","A",IF(OR(DATE($B$3,12,8)&gt;EOMONTH(DATE($B$3,12,1),0),NETWORKDAYS.INTL(DATE($B$3,12,8),DATE($B$3,12,8),1,'Non-working days'!$A$6:$A$45)=0),"",IF(COUNTIFS('Leave log'!$A$7:$A$306,Employees!$A$7,'Leave log'!$B$7:$B$306,"&lt;="&amp;DATE($B$3,12,8),'Leave log'!$C$7:$C$306,"&gt;="&amp;DATE($B$3,12,8),'Leave log'!$F$7:$F$306,"Pending")&gt;0,"P",""))))</f>
        <v/>
      </c>
      <c r="J382" s="23" t="str">
        <f>IF(A382="","",IF(IF(OR(DATE($B$3,12,9)&gt;EOMONTH(DATE($B$3,12,1),0),NETWORKDAYS.INTL(DATE($B$3,12,9),DATE($B$3,12,9),1,'Non-working days'!$A$6:$A$45)=0),"",IF(COUNTIFS('Leave log'!$A$7:$A$306,Employees!$A$7,'Leave log'!$B$7:$B$306,"&lt;="&amp;DATE($B$3,12,9),'Leave log'!$C$7:$C$306,"&gt;="&amp;DATE($B$3,12,9),'Leave log'!$F$7:$F$306,"Approved")&gt;0,"A",""))="A","A",IF(OR(DATE($B$3,12,9)&gt;EOMONTH(DATE($B$3,12,1),0),NETWORKDAYS.INTL(DATE($B$3,12,9),DATE($B$3,12,9),1,'Non-working days'!$A$6:$A$45)=0),"",IF(COUNTIFS('Leave log'!$A$7:$A$306,Employees!$A$7,'Leave log'!$B$7:$B$306,"&lt;="&amp;DATE($B$3,12,9),'Leave log'!$C$7:$C$306,"&gt;="&amp;DATE($B$3,12,9),'Leave log'!$F$7:$F$306,"Pending")&gt;0,"P",""))))</f>
        <v/>
      </c>
      <c r="K382" s="23" t="str">
        <f>IF(A382="","",IF(IF(OR(DATE($B$3,12,10)&gt;EOMONTH(DATE($B$3,12,1),0),NETWORKDAYS.INTL(DATE($B$3,12,10),DATE($B$3,12,10),1,'Non-working days'!$A$6:$A$45)=0),"",IF(COUNTIFS('Leave log'!$A$7:$A$306,Employees!$A$7,'Leave log'!$B$7:$B$306,"&lt;="&amp;DATE($B$3,12,10),'Leave log'!$C$7:$C$306,"&gt;="&amp;DATE($B$3,12,10),'Leave log'!$F$7:$F$306,"Approved")&gt;0,"A",""))="A","A",IF(OR(DATE($B$3,12,10)&gt;EOMONTH(DATE($B$3,12,1),0),NETWORKDAYS.INTL(DATE($B$3,12,10),DATE($B$3,12,10),1,'Non-working days'!$A$6:$A$45)=0),"",IF(COUNTIFS('Leave log'!$A$7:$A$306,Employees!$A$7,'Leave log'!$B$7:$B$306,"&lt;="&amp;DATE($B$3,12,10),'Leave log'!$C$7:$C$306,"&gt;="&amp;DATE($B$3,12,10),'Leave log'!$F$7:$F$306,"Pending")&gt;0,"P",""))))</f>
        <v/>
      </c>
      <c r="L382" s="23" t="str">
        <f>IF(A382="","",IF(IF(OR(DATE($B$3,12,11)&gt;EOMONTH(DATE($B$3,12,1),0),NETWORKDAYS.INTL(DATE($B$3,12,11),DATE($B$3,12,11),1,'Non-working days'!$A$6:$A$45)=0),"",IF(COUNTIFS('Leave log'!$A$7:$A$306,Employees!$A$7,'Leave log'!$B$7:$B$306,"&lt;="&amp;DATE($B$3,12,11),'Leave log'!$C$7:$C$306,"&gt;="&amp;DATE($B$3,12,11),'Leave log'!$F$7:$F$306,"Approved")&gt;0,"A",""))="A","A",IF(OR(DATE($B$3,12,11)&gt;EOMONTH(DATE($B$3,12,1),0),NETWORKDAYS.INTL(DATE($B$3,12,11),DATE($B$3,12,11),1,'Non-working days'!$A$6:$A$45)=0),"",IF(COUNTIFS('Leave log'!$A$7:$A$306,Employees!$A$7,'Leave log'!$B$7:$B$306,"&lt;="&amp;DATE($B$3,12,11),'Leave log'!$C$7:$C$306,"&gt;="&amp;DATE($B$3,12,11),'Leave log'!$F$7:$F$306,"Pending")&gt;0,"P",""))))</f>
        <v/>
      </c>
      <c r="M382" s="23" t="str">
        <f>IF(A382="","",IF(IF(OR(DATE($B$3,12,12)&gt;EOMONTH(DATE($B$3,12,1),0),NETWORKDAYS.INTL(DATE($B$3,12,12),DATE($B$3,12,12),1,'Non-working days'!$A$6:$A$45)=0),"",IF(COUNTIFS('Leave log'!$A$7:$A$306,Employees!$A$7,'Leave log'!$B$7:$B$306,"&lt;="&amp;DATE($B$3,12,12),'Leave log'!$C$7:$C$306,"&gt;="&amp;DATE($B$3,12,12),'Leave log'!$F$7:$F$306,"Approved")&gt;0,"A",""))="A","A",IF(OR(DATE($B$3,12,12)&gt;EOMONTH(DATE($B$3,12,1),0),NETWORKDAYS.INTL(DATE($B$3,12,12),DATE($B$3,12,12),1,'Non-working days'!$A$6:$A$45)=0),"",IF(COUNTIFS('Leave log'!$A$7:$A$306,Employees!$A$7,'Leave log'!$B$7:$B$306,"&lt;="&amp;DATE($B$3,12,12),'Leave log'!$C$7:$C$306,"&gt;="&amp;DATE($B$3,12,12),'Leave log'!$F$7:$F$306,"Pending")&gt;0,"P",""))))</f>
        <v/>
      </c>
      <c r="N382" s="23" t="str">
        <f>IF(A382="","",IF(IF(OR(DATE($B$3,12,13)&gt;EOMONTH(DATE($B$3,12,1),0),NETWORKDAYS.INTL(DATE($B$3,12,13),DATE($B$3,12,13),1,'Non-working days'!$A$6:$A$45)=0),"",IF(COUNTIFS('Leave log'!$A$7:$A$306,Employees!$A$7,'Leave log'!$B$7:$B$306,"&lt;="&amp;DATE($B$3,12,13),'Leave log'!$C$7:$C$306,"&gt;="&amp;DATE($B$3,12,13),'Leave log'!$F$7:$F$306,"Approved")&gt;0,"A",""))="A","A",IF(OR(DATE($B$3,12,13)&gt;EOMONTH(DATE($B$3,12,1),0),NETWORKDAYS.INTL(DATE($B$3,12,13),DATE($B$3,12,13),1,'Non-working days'!$A$6:$A$45)=0),"",IF(COUNTIFS('Leave log'!$A$7:$A$306,Employees!$A$7,'Leave log'!$B$7:$B$306,"&lt;="&amp;DATE($B$3,12,13),'Leave log'!$C$7:$C$306,"&gt;="&amp;DATE($B$3,12,13),'Leave log'!$F$7:$F$306,"Pending")&gt;0,"P",""))))</f>
        <v/>
      </c>
      <c r="O382" s="23" t="str">
        <f>IF(A382="","",IF(IF(OR(DATE($B$3,12,14)&gt;EOMONTH(DATE($B$3,12,1),0),NETWORKDAYS.INTL(DATE($B$3,12,14),DATE($B$3,12,14),1,'Non-working days'!$A$6:$A$45)=0),"",IF(COUNTIFS('Leave log'!$A$7:$A$306,Employees!$A$7,'Leave log'!$B$7:$B$306,"&lt;="&amp;DATE($B$3,12,14),'Leave log'!$C$7:$C$306,"&gt;="&amp;DATE($B$3,12,14),'Leave log'!$F$7:$F$306,"Approved")&gt;0,"A",""))="A","A",IF(OR(DATE($B$3,12,14)&gt;EOMONTH(DATE($B$3,12,1),0),NETWORKDAYS.INTL(DATE($B$3,12,14),DATE($B$3,12,14),1,'Non-working days'!$A$6:$A$45)=0),"",IF(COUNTIFS('Leave log'!$A$7:$A$306,Employees!$A$7,'Leave log'!$B$7:$B$306,"&lt;="&amp;DATE($B$3,12,14),'Leave log'!$C$7:$C$306,"&gt;="&amp;DATE($B$3,12,14),'Leave log'!$F$7:$F$306,"Pending")&gt;0,"P",""))))</f>
        <v/>
      </c>
      <c r="P382" s="23" t="str">
        <f>IF(A382="","",IF(IF(OR(DATE($B$3,12,15)&gt;EOMONTH(DATE($B$3,12,1),0),NETWORKDAYS.INTL(DATE($B$3,12,15),DATE($B$3,12,15),1,'Non-working days'!$A$6:$A$45)=0),"",IF(COUNTIFS('Leave log'!$A$7:$A$306,Employees!$A$7,'Leave log'!$B$7:$B$306,"&lt;="&amp;DATE($B$3,12,15),'Leave log'!$C$7:$C$306,"&gt;="&amp;DATE($B$3,12,15),'Leave log'!$F$7:$F$306,"Approved")&gt;0,"A",""))="A","A",IF(OR(DATE($B$3,12,15)&gt;EOMONTH(DATE($B$3,12,1),0),NETWORKDAYS.INTL(DATE($B$3,12,15),DATE($B$3,12,15),1,'Non-working days'!$A$6:$A$45)=0),"",IF(COUNTIFS('Leave log'!$A$7:$A$306,Employees!$A$7,'Leave log'!$B$7:$B$306,"&lt;="&amp;DATE($B$3,12,15),'Leave log'!$C$7:$C$306,"&gt;="&amp;DATE($B$3,12,15),'Leave log'!$F$7:$F$306,"Pending")&gt;0,"P",""))))</f>
        <v/>
      </c>
      <c r="Q382" s="23" t="str">
        <f>IF(A382="","",IF(IF(OR(DATE($B$3,12,16)&gt;EOMONTH(DATE($B$3,12,1),0),NETWORKDAYS.INTL(DATE($B$3,12,16),DATE($B$3,12,16),1,'Non-working days'!$A$6:$A$45)=0),"",IF(COUNTIFS('Leave log'!$A$7:$A$306,Employees!$A$7,'Leave log'!$B$7:$B$306,"&lt;="&amp;DATE($B$3,12,16),'Leave log'!$C$7:$C$306,"&gt;="&amp;DATE($B$3,12,16),'Leave log'!$F$7:$F$306,"Approved")&gt;0,"A",""))="A","A",IF(OR(DATE($B$3,12,16)&gt;EOMONTH(DATE($B$3,12,1),0),NETWORKDAYS.INTL(DATE($B$3,12,16),DATE($B$3,12,16),1,'Non-working days'!$A$6:$A$45)=0),"",IF(COUNTIFS('Leave log'!$A$7:$A$306,Employees!$A$7,'Leave log'!$B$7:$B$306,"&lt;="&amp;DATE($B$3,12,16),'Leave log'!$C$7:$C$306,"&gt;="&amp;DATE($B$3,12,16),'Leave log'!$F$7:$F$306,"Pending")&gt;0,"P",""))))</f>
        <v/>
      </c>
      <c r="R382" s="23" t="str">
        <f>IF(A382="","",IF(IF(OR(DATE($B$3,12,17)&gt;EOMONTH(DATE($B$3,12,1),0),NETWORKDAYS.INTL(DATE($B$3,12,17),DATE($B$3,12,17),1,'Non-working days'!$A$6:$A$45)=0),"",IF(COUNTIFS('Leave log'!$A$7:$A$306,Employees!$A$7,'Leave log'!$B$7:$B$306,"&lt;="&amp;DATE($B$3,12,17),'Leave log'!$C$7:$C$306,"&gt;="&amp;DATE($B$3,12,17),'Leave log'!$F$7:$F$306,"Approved")&gt;0,"A",""))="A","A",IF(OR(DATE($B$3,12,17)&gt;EOMONTH(DATE($B$3,12,1),0),NETWORKDAYS.INTL(DATE($B$3,12,17),DATE($B$3,12,17),1,'Non-working days'!$A$6:$A$45)=0),"",IF(COUNTIFS('Leave log'!$A$7:$A$306,Employees!$A$7,'Leave log'!$B$7:$B$306,"&lt;="&amp;DATE($B$3,12,17),'Leave log'!$C$7:$C$306,"&gt;="&amp;DATE($B$3,12,17),'Leave log'!$F$7:$F$306,"Pending")&gt;0,"P",""))))</f>
        <v/>
      </c>
      <c r="S382" s="23" t="str">
        <f>IF(A382="","",IF(IF(OR(DATE($B$3,12,18)&gt;EOMONTH(DATE($B$3,12,1),0),NETWORKDAYS.INTL(DATE($B$3,12,18),DATE($B$3,12,18),1,'Non-working days'!$A$6:$A$45)=0),"",IF(COUNTIFS('Leave log'!$A$7:$A$306,Employees!$A$7,'Leave log'!$B$7:$B$306,"&lt;="&amp;DATE($B$3,12,18),'Leave log'!$C$7:$C$306,"&gt;="&amp;DATE($B$3,12,18),'Leave log'!$F$7:$F$306,"Approved")&gt;0,"A",""))="A","A",IF(OR(DATE($B$3,12,18)&gt;EOMONTH(DATE($B$3,12,1),0),NETWORKDAYS.INTL(DATE($B$3,12,18),DATE($B$3,12,18),1,'Non-working days'!$A$6:$A$45)=0),"",IF(COUNTIFS('Leave log'!$A$7:$A$306,Employees!$A$7,'Leave log'!$B$7:$B$306,"&lt;="&amp;DATE($B$3,12,18),'Leave log'!$C$7:$C$306,"&gt;="&amp;DATE($B$3,12,18),'Leave log'!$F$7:$F$306,"Pending")&gt;0,"P",""))))</f>
        <v/>
      </c>
      <c r="T382" s="23" t="str">
        <f>IF(A382="","",IF(IF(OR(DATE($B$3,12,19)&gt;EOMONTH(DATE($B$3,12,1),0),NETWORKDAYS.INTL(DATE($B$3,12,19),DATE($B$3,12,19),1,'Non-working days'!$A$6:$A$45)=0),"",IF(COUNTIFS('Leave log'!$A$7:$A$306,Employees!$A$7,'Leave log'!$B$7:$B$306,"&lt;="&amp;DATE($B$3,12,19),'Leave log'!$C$7:$C$306,"&gt;="&amp;DATE($B$3,12,19),'Leave log'!$F$7:$F$306,"Approved")&gt;0,"A",""))="A","A",IF(OR(DATE($B$3,12,19)&gt;EOMONTH(DATE($B$3,12,1),0),NETWORKDAYS.INTL(DATE($B$3,12,19),DATE($B$3,12,19),1,'Non-working days'!$A$6:$A$45)=0),"",IF(COUNTIFS('Leave log'!$A$7:$A$306,Employees!$A$7,'Leave log'!$B$7:$B$306,"&lt;="&amp;DATE($B$3,12,19),'Leave log'!$C$7:$C$306,"&gt;="&amp;DATE($B$3,12,19),'Leave log'!$F$7:$F$306,"Pending")&gt;0,"P",""))))</f>
        <v/>
      </c>
      <c r="U382" s="23" t="str">
        <f>IF(A382="","",IF(IF(OR(DATE($B$3,12,20)&gt;EOMONTH(DATE($B$3,12,1),0),NETWORKDAYS.INTL(DATE($B$3,12,20),DATE($B$3,12,20),1,'Non-working days'!$A$6:$A$45)=0),"",IF(COUNTIFS('Leave log'!$A$7:$A$306,Employees!$A$7,'Leave log'!$B$7:$B$306,"&lt;="&amp;DATE($B$3,12,20),'Leave log'!$C$7:$C$306,"&gt;="&amp;DATE($B$3,12,20),'Leave log'!$F$7:$F$306,"Approved")&gt;0,"A",""))="A","A",IF(OR(DATE($B$3,12,20)&gt;EOMONTH(DATE($B$3,12,1),0),NETWORKDAYS.INTL(DATE($B$3,12,20),DATE($B$3,12,20),1,'Non-working days'!$A$6:$A$45)=0),"",IF(COUNTIFS('Leave log'!$A$7:$A$306,Employees!$A$7,'Leave log'!$B$7:$B$306,"&lt;="&amp;DATE($B$3,12,20),'Leave log'!$C$7:$C$306,"&gt;="&amp;DATE($B$3,12,20),'Leave log'!$F$7:$F$306,"Pending")&gt;0,"P",""))))</f>
        <v/>
      </c>
      <c r="V382" s="23" t="str">
        <f>IF(A382="","",IF(IF(OR(DATE($B$3,12,21)&gt;EOMONTH(DATE($B$3,12,1),0),NETWORKDAYS.INTL(DATE($B$3,12,21),DATE($B$3,12,21),1,'Non-working days'!$A$6:$A$45)=0),"",IF(COUNTIFS('Leave log'!$A$7:$A$306,Employees!$A$7,'Leave log'!$B$7:$B$306,"&lt;="&amp;DATE($B$3,12,21),'Leave log'!$C$7:$C$306,"&gt;="&amp;DATE($B$3,12,21),'Leave log'!$F$7:$F$306,"Approved")&gt;0,"A",""))="A","A",IF(OR(DATE($B$3,12,21)&gt;EOMONTH(DATE($B$3,12,1),0),NETWORKDAYS.INTL(DATE($B$3,12,21),DATE($B$3,12,21),1,'Non-working days'!$A$6:$A$45)=0),"",IF(COUNTIFS('Leave log'!$A$7:$A$306,Employees!$A$7,'Leave log'!$B$7:$B$306,"&lt;="&amp;DATE($B$3,12,21),'Leave log'!$C$7:$C$306,"&gt;="&amp;DATE($B$3,12,21),'Leave log'!$F$7:$F$306,"Pending")&gt;0,"P",""))))</f>
        <v/>
      </c>
      <c r="W382" s="23" t="str">
        <f>IF(A382="","",IF(IF(OR(DATE($B$3,12,22)&gt;EOMONTH(DATE($B$3,12,1),0),NETWORKDAYS.INTL(DATE($B$3,12,22),DATE($B$3,12,22),1,'Non-working days'!$A$6:$A$45)=0),"",IF(COUNTIFS('Leave log'!$A$7:$A$306,Employees!$A$7,'Leave log'!$B$7:$B$306,"&lt;="&amp;DATE($B$3,12,22),'Leave log'!$C$7:$C$306,"&gt;="&amp;DATE($B$3,12,22),'Leave log'!$F$7:$F$306,"Approved")&gt;0,"A",""))="A","A",IF(OR(DATE($B$3,12,22)&gt;EOMONTH(DATE($B$3,12,1),0),NETWORKDAYS.INTL(DATE($B$3,12,22),DATE($B$3,12,22),1,'Non-working days'!$A$6:$A$45)=0),"",IF(COUNTIFS('Leave log'!$A$7:$A$306,Employees!$A$7,'Leave log'!$B$7:$B$306,"&lt;="&amp;DATE($B$3,12,22),'Leave log'!$C$7:$C$306,"&gt;="&amp;DATE($B$3,12,22),'Leave log'!$F$7:$F$306,"Pending")&gt;0,"P",""))))</f>
        <v/>
      </c>
      <c r="X382" s="23" t="str">
        <f>IF(A382="","",IF(IF(OR(DATE($B$3,12,23)&gt;EOMONTH(DATE($B$3,12,1),0),NETWORKDAYS.INTL(DATE($B$3,12,23),DATE($B$3,12,23),1,'Non-working days'!$A$6:$A$45)=0),"",IF(COUNTIFS('Leave log'!$A$7:$A$306,Employees!$A$7,'Leave log'!$B$7:$B$306,"&lt;="&amp;DATE($B$3,12,23),'Leave log'!$C$7:$C$306,"&gt;="&amp;DATE($B$3,12,23),'Leave log'!$F$7:$F$306,"Approved")&gt;0,"A",""))="A","A",IF(OR(DATE($B$3,12,23)&gt;EOMONTH(DATE($B$3,12,1),0),NETWORKDAYS.INTL(DATE($B$3,12,23),DATE($B$3,12,23),1,'Non-working days'!$A$6:$A$45)=0),"",IF(COUNTIFS('Leave log'!$A$7:$A$306,Employees!$A$7,'Leave log'!$B$7:$B$306,"&lt;="&amp;DATE($B$3,12,23),'Leave log'!$C$7:$C$306,"&gt;="&amp;DATE($B$3,12,23),'Leave log'!$F$7:$F$306,"Pending")&gt;0,"P",""))))</f>
        <v/>
      </c>
      <c r="Y382" s="23" t="str">
        <f>IF(A382="","",IF(IF(OR(DATE($B$3,12,24)&gt;EOMONTH(DATE($B$3,12,1),0),NETWORKDAYS.INTL(DATE($B$3,12,24),DATE($B$3,12,24),1,'Non-working days'!$A$6:$A$45)=0),"",IF(COUNTIFS('Leave log'!$A$7:$A$306,Employees!$A$7,'Leave log'!$B$7:$B$306,"&lt;="&amp;DATE($B$3,12,24),'Leave log'!$C$7:$C$306,"&gt;="&amp;DATE($B$3,12,24),'Leave log'!$F$7:$F$306,"Approved")&gt;0,"A",""))="A","A",IF(OR(DATE($B$3,12,24)&gt;EOMONTH(DATE($B$3,12,1),0),NETWORKDAYS.INTL(DATE($B$3,12,24),DATE($B$3,12,24),1,'Non-working days'!$A$6:$A$45)=0),"",IF(COUNTIFS('Leave log'!$A$7:$A$306,Employees!$A$7,'Leave log'!$B$7:$B$306,"&lt;="&amp;DATE($B$3,12,24),'Leave log'!$C$7:$C$306,"&gt;="&amp;DATE($B$3,12,24),'Leave log'!$F$7:$F$306,"Pending")&gt;0,"P",""))))</f>
        <v/>
      </c>
      <c r="Z382" s="23" t="str">
        <f>IF(A382="","",IF(IF(OR(DATE($B$3,12,25)&gt;EOMONTH(DATE($B$3,12,1),0),NETWORKDAYS.INTL(DATE($B$3,12,25),DATE($B$3,12,25),1,'Non-working days'!$A$6:$A$45)=0),"",IF(COUNTIFS('Leave log'!$A$7:$A$306,Employees!$A$7,'Leave log'!$B$7:$B$306,"&lt;="&amp;DATE($B$3,12,25),'Leave log'!$C$7:$C$306,"&gt;="&amp;DATE($B$3,12,25),'Leave log'!$F$7:$F$306,"Approved")&gt;0,"A",""))="A","A",IF(OR(DATE($B$3,12,25)&gt;EOMONTH(DATE($B$3,12,1),0),NETWORKDAYS.INTL(DATE($B$3,12,25),DATE($B$3,12,25),1,'Non-working days'!$A$6:$A$45)=0),"",IF(COUNTIFS('Leave log'!$A$7:$A$306,Employees!$A$7,'Leave log'!$B$7:$B$306,"&lt;="&amp;DATE($B$3,12,25),'Leave log'!$C$7:$C$306,"&gt;="&amp;DATE($B$3,12,25),'Leave log'!$F$7:$F$306,"Pending")&gt;0,"P",""))))</f>
        <v/>
      </c>
      <c r="AA382" s="23" t="str">
        <f>IF(A382="","",IF(IF(OR(DATE($B$3,12,26)&gt;EOMONTH(DATE($B$3,12,1),0),NETWORKDAYS.INTL(DATE($B$3,12,26),DATE($B$3,12,26),1,'Non-working days'!$A$6:$A$45)=0),"",IF(COUNTIFS('Leave log'!$A$7:$A$306,Employees!$A$7,'Leave log'!$B$7:$B$306,"&lt;="&amp;DATE($B$3,12,26),'Leave log'!$C$7:$C$306,"&gt;="&amp;DATE($B$3,12,26),'Leave log'!$F$7:$F$306,"Approved")&gt;0,"A",""))="A","A",IF(OR(DATE($B$3,12,26)&gt;EOMONTH(DATE($B$3,12,1),0),NETWORKDAYS.INTL(DATE($B$3,12,26),DATE($B$3,12,26),1,'Non-working days'!$A$6:$A$45)=0),"",IF(COUNTIFS('Leave log'!$A$7:$A$306,Employees!$A$7,'Leave log'!$B$7:$B$306,"&lt;="&amp;DATE($B$3,12,26),'Leave log'!$C$7:$C$306,"&gt;="&amp;DATE($B$3,12,26),'Leave log'!$F$7:$F$306,"Pending")&gt;0,"P",""))))</f>
        <v/>
      </c>
      <c r="AB382" s="23" t="str">
        <f>IF(A382="","",IF(IF(OR(DATE($B$3,12,27)&gt;EOMONTH(DATE($B$3,12,1),0),NETWORKDAYS.INTL(DATE($B$3,12,27),DATE($B$3,12,27),1,'Non-working days'!$A$6:$A$45)=0),"",IF(COUNTIFS('Leave log'!$A$7:$A$306,Employees!$A$7,'Leave log'!$B$7:$B$306,"&lt;="&amp;DATE($B$3,12,27),'Leave log'!$C$7:$C$306,"&gt;="&amp;DATE($B$3,12,27),'Leave log'!$F$7:$F$306,"Approved")&gt;0,"A",""))="A","A",IF(OR(DATE($B$3,12,27)&gt;EOMONTH(DATE($B$3,12,1),0),NETWORKDAYS.INTL(DATE($B$3,12,27),DATE($B$3,12,27),1,'Non-working days'!$A$6:$A$45)=0),"",IF(COUNTIFS('Leave log'!$A$7:$A$306,Employees!$A$7,'Leave log'!$B$7:$B$306,"&lt;="&amp;DATE($B$3,12,27),'Leave log'!$C$7:$C$306,"&gt;="&amp;DATE($B$3,12,27),'Leave log'!$F$7:$F$306,"Pending")&gt;0,"P",""))))</f>
        <v/>
      </c>
      <c r="AC382" s="23" t="str">
        <f>IF(A382="","",IF(IF(OR(DATE($B$3,12,28)&gt;EOMONTH(DATE($B$3,12,1),0),NETWORKDAYS.INTL(DATE($B$3,12,28),DATE($B$3,12,28),1,'Non-working days'!$A$6:$A$45)=0),"",IF(COUNTIFS('Leave log'!$A$7:$A$306,Employees!$A$7,'Leave log'!$B$7:$B$306,"&lt;="&amp;DATE($B$3,12,28),'Leave log'!$C$7:$C$306,"&gt;="&amp;DATE($B$3,12,28),'Leave log'!$F$7:$F$306,"Approved")&gt;0,"A",""))="A","A",IF(OR(DATE($B$3,12,28)&gt;EOMONTH(DATE($B$3,12,1),0),NETWORKDAYS.INTL(DATE($B$3,12,28),DATE($B$3,12,28),1,'Non-working days'!$A$6:$A$45)=0),"",IF(COUNTIFS('Leave log'!$A$7:$A$306,Employees!$A$7,'Leave log'!$B$7:$B$306,"&lt;="&amp;DATE($B$3,12,28),'Leave log'!$C$7:$C$306,"&gt;="&amp;DATE($B$3,12,28),'Leave log'!$F$7:$F$306,"Pending")&gt;0,"P",""))))</f>
        <v/>
      </c>
      <c r="AD382" s="23" t="str">
        <f>IF(A382="","",IF(IF(OR(DATE($B$3,12,29)&gt;EOMONTH(DATE($B$3,12,1),0),NETWORKDAYS.INTL(DATE($B$3,12,29),DATE($B$3,12,29),1,'Non-working days'!$A$6:$A$45)=0),"",IF(COUNTIFS('Leave log'!$A$7:$A$306,Employees!$A$7,'Leave log'!$B$7:$B$306,"&lt;="&amp;DATE($B$3,12,29),'Leave log'!$C$7:$C$306,"&gt;="&amp;DATE($B$3,12,29),'Leave log'!$F$7:$F$306,"Approved")&gt;0,"A",""))="A","A",IF(OR(DATE($B$3,12,29)&gt;EOMONTH(DATE($B$3,12,1),0),NETWORKDAYS.INTL(DATE($B$3,12,29),DATE($B$3,12,29),1,'Non-working days'!$A$6:$A$45)=0),"",IF(COUNTIFS('Leave log'!$A$7:$A$306,Employees!$A$7,'Leave log'!$B$7:$B$306,"&lt;="&amp;DATE($B$3,12,29),'Leave log'!$C$7:$C$306,"&gt;="&amp;DATE($B$3,12,29),'Leave log'!$F$7:$F$306,"Pending")&gt;0,"P",""))))</f>
        <v/>
      </c>
      <c r="AE382" s="23" t="str">
        <f>IF(A382="","",IF(IF(OR(DATE($B$3,12,30)&gt;EOMONTH(DATE($B$3,12,1),0),NETWORKDAYS.INTL(DATE($B$3,12,30),DATE($B$3,12,30),1,'Non-working days'!$A$6:$A$45)=0),"",IF(COUNTIFS('Leave log'!$A$7:$A$306,Employees!$A$7,'Leave log'!$B$7:$B$306,"&lt;="&amp;DATE($B$3,12,30),'Leave log'!$C$7:$C$306,"&gt;="&amp;DATE($B$3,12,30),'Leave log'!$F$7:$F$306,"Approved")&gt;0,"A",""))="A","A",IF(OR(DATE($B$3,12,30)&gt;EOMONTH(DATE($B$3,12,1),0),NETWORKDAYS.INTL(DATE($B$3,12,30),DATE($B$3,12,30),1,'Non-working days'!$A$6:$A$45)=0),"",IF(COUNTIFS('Leave log'!$A$7:$A$306,Employees!$A$7,'Leave log'!$B$7:$B$306,"&lt;="&amp;DATE($B$3,12,30),'Leave log'!$C$7:$C$306,"&gt;="&amp;DATE($B$3,12,30),'Leave log'!$F$7:$F$306,"Pending")&gt;0,"P",""))))</f>
        <v/>
      </c>
      <c r="AF382" s="23" t="str">
        <f>IF(A382="","",IF(IF(OR(DATE($B$3,12,31)&gt;EOMONTH(DATE($B$3,12,1),0),NETWORKDAYS.INTL(DATE($B$3,12,31),DATE($B$3,12,31),1,'Non-working days'!$A$6:$A$45)=0),"",IF(COUNTIFS('Leave log'!$A$7:$A$306,Employees!$A$7,'Leave log'!$B$7:$B$306,"&lt;="&amp;DATE($B$3,12,31),'Leave log'!$C$7:$C$306,"&gt;="&amp;DATE($B$3,12,31),'Leave log'!$F$7:$F$306,"Approved")&gt;0,"A",""))="A","A",IF(OR(DATE($B$3,12,31)&gt;EOMONTH(DATE($B$3,12,1),0),NETWORKDAYS.INTL(DATE($B$3,12,31),DATE($B$3,12,31),1,'Non-working days'!$A$6:$A$45)=0),"",IF(COUNTIFS('Leave log'!$A$7:$A$306,Employees!$A$7,'Leave log'!$B$7:$B$306,"&lt;="&amp;DATE($B$3,12,31),'Leave log'!$C$7:$C$306,"&gt;="&amp;DATE($B$3,12,31),'Leave log'!$F$7:$F$306,"Pending")&gt;0,"P",""))))</f>
        <v/>
      </c>
    </row>
    <row r="383" spans="1:32" ht="18" customHeight="1" x14ac:dyDescent="0.3">
      <c r="A383" s="22" t="str">
        <f>IF(Employees!F8="Yes",Employees!B8,"")</f>
        <v/>
      </c>
      <c r="B383" s="23" t="str">
        <f>IF(A383="","",IF(IF(OR(DATE($B$3,12,1)&gt;EOMONTH(DATE($B$3,12,1),0),NETWORKDAYS.INTL(DATE($B$3,12,1),DATE($B$3,12,1),1,'Non-working days'!$A$6:$A$45)=0),"",IF(COUNTIFS('Leave log'!$A$7:$A$306,Employees!$A$8,'Leave log'!$B$7:$B$306,"&lt;="&amp;DATE($B$3,12,1),'Leave log'!$C$7:$C$306,"&gt;="&amp;DATE($B$3,12,1),'Leave log'!$F$7:$F$306,"Approved")&gt;0,"A",""))="A","A",IF(OR(DATE($B$3,12,1)&gt;EOMONTH(DATE($B$3,12,1),0),NETWORKDAYS.INTL(DATE($B$3,12,1),DATE($B$3,12,1),1,'Non-working days'!$A$6:$A$45)=0),"",IF(COUNTIFS('Leave log'!$A$7:$A$306,Employees!$A$8,'Leave log'!$B$7:$B$306,"&lt;="&amp;DATE($B$3,12,1),'Leave log'!$C$7:$C$306,"&gt;="&amp;DATE($B$3,12,1),'Leave log'!$F$7:$F$306,"Pending")&gt;0,"P",""))))</f>
        <v/>
      </c>
      <c r="C383" s="23" t="str">
        <f>IF(A383="","",IF(IF(OR(DATE($B$3,12,2)&gt;EOMONTH(DATE($B$3,12,1),0),NETWORKDAYS.INTL(DATE($B$3,12,2),DATE($B$3,12,2),1,'Non-working days'!$A$6:$A$45)=0),"",IF(COUNTIFS('Leave log'!$A$7:$A$306,Employees!$A$8,'Leave log'!$B$7:$B$306,"&lt;="&amp;DATE($B$3,12,2),'Leave log'!$C$7:$C$306,"&gt;="&amp;DATE($B$3,12,2),'Leave log'!$F$7:$F$306,"Approved")&gt;0,"A",""))="A","A",IF(OR(DATE($B$3,12,2)&gt;EOMONTH(DATE($B$3,12,1),0),NETWORKDAYS.INTL(DATE($B$3,12,2),DATE($B$3,12,2),1,'Non-working days'!$A$6:$A$45)=0),"",IF(COUNTIFS('Leave log'!$A$7:$A$306,Employees!$A$8,'Leave log'!$B$7:$B$306,"&lt;="&amp;DATE($B$3,12,2),'Leave log'!$C$7:$C$306,"&gt;="&amp;DATE($B$3,12,2),'Leave log'!$F$7:$F$306,"Pending")&gt;0,"P",""))))</f>
        <v/>
      </c>
      <c r="D383" s="23" t="str">
        <f>IF(A383="","",IF(IF(OR(DATE($B$3,12,3)&gt;EOMONTH(DATE($B$3,12,1),0),NETWORKDAYS.INTL(DATE($B$3,12,3),DATE($B$3,12,3),1,'Non-working days'!$A$6:$A$45)=0),"",IF(COUNTIFS('Leave log'!$A$7:$A$306,Employees!$A$8,'Leave log'!$B$7:$B$306,"&lt;="&amp;DATE($B$3,12,3),'Leave log'!$C$7:$C$306,"&gt;="&amp;DATE($B$3,12,3),'Leave log'!$F$7:$F$306,"Approved")&gt;0,"A",""))="A","A",IF(OR(DATE($B$3,12,3)&gt;EOMONTH(DATE($B$3,12,1),0),NETWORKDAYS.INTL(DATE($B$3,12,3),DATE($B$3,12,3),1,'Non-working days'!$A$6:$A$45)=0),"",IF(COUNTIFS('Leave log'!$A$7:$A$306,Employees!$A$8,'Leave log'!$B$7:$B$306,"&lt;="&amp;DATE($B$3,12,3),'Leave log'!$C$7:$C$306,"&gt;="&amp;DATE($B$3,12,3),'Leave log'!$F$7:$F$306,"Pending")&gt;0,"P",""))))</f>
        <v/>
      </c>
      <c r="E383" s="23" t="str">
        <f>IF(A383="","",IF(IF(OR(DATE($B$3,12,4)&gt;EOMONTH(DATE($B$3,12,1),0),NETWORKDAYS.INTL(DATE($B$3,12,4),DATE($B$3,12,4),1,'Non-working days'!$A$6:$A$45)=0),"",IF(COUNTIFS('Leave log'!$A$7:$A$306,Employees!$A$8,'Leave log'!$B$7:$B$306,"&lt;="&amp;DATE($B$3,12,4),'Leave log'!$C$7:$C$306,"&gt;="&amp;DATE($B$3,12,4),'Leave log'!$F$7:$F$306,"Approved")&gt;0,"A",""))="A","A",IF(OR(DATE($B$3,12,4)&gt;EOMONTH(DATE($B$3,12,1),0),NETWORKDAYS.INTL(DATE($B$3,12,4),DATE($B$3,12,4),1,'Non-working days'!$A$6:$A$45)=0),"",IF(COUNTIFS('Leave log'!$A$7:$A$306,Employees!$A$8,'Leave log'!$B$7:$B$306,"&lt;="&amp;DATE($B$3,12,4),'Leave log'!$C$7:$C$306,"&gt;="&amp;DATE($B$3,12,4),'Leave log'!$F$7:$F$306,"Pending")&gt;0,"P",""))))</f>
        <v/>
      </c>
      <c r="F383" s="23" t="str">
        <f>IF(A383="","",IF(IF(OR(DATE($B$3,12,5)&gt;EOMONTH(DATE($B$3,12,1),0),NETWORKDAYS.INTL(DATE($B$3,12,5),DATE($B$3,12,5),1,'Non-working days'!$A$6:$A$45)=0),"",IF(COUNTIFS('Leave log'!$A$7:$A$306,Employees!$A$8,'Leave log'!$B$7:$B$306,"&lt;="&amp;DATE($B$3,12,5),'Leave log'!$C$7:$C$306,"&gt;="&amp;DATE($B$3,12,5),'Leave log'!$F$7:$F$306,"Approved")&gt;0,"A",""))="A","A",IF(OR(DATE($B$3,12,5)&gt;EOMONTH(DATE($B$3,12,1),0),NETWORKDAYS.INTL(DATE($B$3,12,5),DATE($B$3,12,5),1,'Non-working days'!$A$6:$A$45)=0),"",IF(COUNTIFS('Leave log'!$A$7:$A$306,Employees!$A$8,'Leave log'!$B$7:$B$306,"&lt;="&amp;DATE($B$3,12,5),'Leave log'!$C$7:$C$306,"&gt;="&amp;DATE($B$3,12,5),'Leave log'!$F$7:$F$306,"Pending")&gt;0,"P",""))))</f>
        <v/>
      </c>
      <c r="G383" s="23" t="str">
        <f>IF(A383="","",IF(IF(OR(DATE($B$3,12,6)&gt;EOMONTH(DATE($B$3,12,1),0),NETWORKDAYS.INTL(DATE($B$3,12,6),DATE($B$3,12,6),1,'Non-working days'!$A$6:$A$45)=0),"",IF(COUNTIFS('Leave log'!$A$7:$A$306,Employees!$A$8,'Leave log'!$B$7:$B$306,"&lt;="&amp;DATE($B$3,12,6),'Leave log'!$C$7:$C$306,"&gt;="&amp;DATE($B$3,12,6),'Leave log'!$F$7:$F$306,"Approved")&gt;0,"A",""))="A","A",IF(OR(DATE($B$3,12,6)&gt;EOMONTH(DATE($B$3,12,1),0),NETWORKDAYS.INTL(DATE($B$3,12,6),DATE($B$3,12,6),1,'Non-working days'!$A$6:$A$45)=0),"",IF(COUNTIFS('Leave log'!$A$7:$A$306,Employees!$A$8,'Leave log'!$B$7:$B$306,"&lt;="&amp;DATE($B$3,12,6),'Leave log'!$C$7:$C$306,"&gt;="&amp;DATE($B$3,12,6),'Leave log'!$F$7:$F$306,"Pending")&gt;0,"P",""))))</f>
        <v/>
      </c>
      <c r="H383" s="23" t="str">
        <f>IF(A383="","",IF(IF(OR(DATE($B$3,12,7)&gt;EOMONTH(DATE($B$3,12,1),0),NETWORKDAYS.INTL(DATE($B$3,12,7),DATE($B$3,12,7),1,'Non-working days'!$A$6:$A$45)=0),"",IF(COUNTIFS('Leave log'!$A$7:$A$306,Employees!$A$8,'Leave log'!$B$7:$B$306,"&lt;="&amp;DATE($B$3,12,7),'Leave log'!$C$7:$C$306,"&gt;="&amp;DATE($B$3,12,7),'Leave log'!$F$7:$F$306,"Approved")&gt;0,"A",""))="A","A",IF(OR(DATE($B$3,12,7)&gt;EOMONTH(DATE($B$3,12,1),0),NETWORKDAYS.INTL(DATE($B$3,12,7),DATE($B$3,12,7),1,'Non-working days'!$A$6:$A$45)=0),"",IF(COUNTIFS('Leave log'!$A$7:$A$306,Employees!$A$8,'Leave log'!$B$7:$B$306,"&lt;="&amp;DATE($B$3,12,7),'Leave log'!$C$7:$C$306,"&gt;="&amp;DATE($B$3,12,7),'Leave log'!$F$7:$F$306,"Pending")&gt;0,"P",""))))</f>
        <v/>
      </c>
      <c r="I383" s="23" t="str">
        <f>IF(A383="","",IF(IF(OR(DATE($B$3,12,8)&gt;EOMONTH(DATE($B$3,12,1),0),NETWORKDAYS.INTL(DATE($B$3,12,8),DATE($B$3,12,8),1,'Non-working days'!$A$6:$A$45)=0),"",IF(COUNTIFS('Leave log'!$A$7:$A$306,Employees!$A$8,'Leave log'!$B$7:$B$306,"&lt;="&amp;DATE($B$3,12,8),'Leave log'!$C$7:$C$306,"&gt;="&amp;DATE($B$3,12,8),'Leave log'!$F$7:$F$306,"Approved")&gt;0,"A",""))="A","A",IF(OR(DATE($B$3,12,8)&gt;EOMONTH(DATE($B$3,12,1),0),NETWORKDAYS.INTL(DATE($B$3,12,8),DATE($B$3,12,8),1,'Non-working days'!$A$6:$A$45)=0),"",IF(COUNTIFS('Leave log'!$A$7:$A$306,Employees!$A$8,'Leave log'!$B$7:$B$306,"&lt;="&amp;DATE($B$3,12,8),'Leave log'!$C$7:$C$306,"&gt;="&amp;DATE($B$3,12,8),'Leave log'!$F$7:$F$306,"Pending")&gt;0,"P",""))))</f>
        <v/>
      </c>
      <c r="J383" s="23" t="str">
        <f>IF(A383="","",IF(IF(OR(DATE($B$3,12,9)&gt;EOMONTH(DATE($B$3,12,1),0),NETWORKDAYS.INTL(DATE($B$3,12,9),DATE($B$3,12,9),1,'Non-working days'!$A$6:$A$45)=0),"",IF(COUNTIFS('Leave log'!$A$7:$A$306,Employees!$A$8,'Leave log'!$B$7:$B$306,"&lt;="&amp;DATE($B$3,12,9),'Leave log'!$C$7:$C$306,"&gt;="&amp;DATE($B$3,12,9),'Leave log'!$F$7:$F$306,"Approved")&gt;0,"A",""))="A","A",IF(OR(DATE($B$3,12,9)&gt;EOMONTH(DATE($B$3,12,1),0),NETWORKDAYS.INTL(DATE($B$3,12,9),DATE($B$3,12,9),1,'Non-working days'!$A$6:$A$45)=0),"",IF(COUNTIFS('Leave log'!$A$7:$A$306,Employees!$A$8,'Leave log'!$B$7:$B$306,"&lt;="&amp;DATE($B$3,12,9),'Leave log'!$C$7:$C$306,"&gt;="&amp;DATE($B$3,12,9),'Leave log'!$F$7:$F$306,"Pending")&gt;0,"P",""))))</f>
        <v/>
      </c>
      <c r="K383" s="23" t="str">
        <f>IF(A383="","",IF(IF(OR(DATE($B$3,12,10)&gt;EOMONTH(DATE($B$3,12,1),0),NETWORKDAYS.INTL(DATE($B$3,12,10),DATE($B$3,12,10),1,'Non-working days'!$A$6:$A$45)=0),"",IF(COUNTIFS('Leave log'!$A$7:$A$306,Employees!$A$8,'Leave log'!$B$7:$B$306,"&lt;="&amp;DATE($B$3,12,10),'Leave log'!$C$7:$C$306,"&gt;="&amp;DATE($B$3,12,10),'Leave log'!$F$7:$F$306,"Approved")&gt;0,"A",""))="A","A",IF(OR(DATE($B$3,12,10)&gt;EOMONTH(DATE($B$3,12,1),0),NETWORKDAYS.INTL(DATE($B$3,12,10),DATE($B$3,12,10),1,'Non-working days'!$A$6:$A$45)=0),"",IF(COUNTIFS('Leave log'!$A$7:$A$306,Employees!$A$8,'Leave log'!$B$7:$B$306,"&lt;="&amp;DATE($B$3,12,10),'Leave log'!$C$7:$C$306,"&gt;="&amp;DATE($B$3,12,10),'Leave log'!$F$7:$F$306,"Pending")&gt;0,"P",""))))</f>
        <v/>
      </c>
      <c r="L383" s="23" t="str">
        <f>IF(A383="","",IF(IF(OR(DATE($B$3,12,11)&gt;EOMONTH(DATE($B$3,12,1),0),NETWORKDAYS.INTL(DATE($B$3,12,11),DATE($B$3,12,11),1,'Non-working days'!$A$6:$A$45)=0),"",IF(COUNTIFS('Leave log'!$A$7:$A$306,Employees!$A$8,'Leave log'!$B$7:$B$306,"&lt;="&amp;DATE($B$3,12,11),'Leave log'!$C$7:$C$306,"&gt;="&amp;DATE($B$3,12,11),'Leave log'!$F$7:$F$306,"Approved")&gt;0,"A",""))="A","A",IF(OR(DATE($B$3,12,11)&gt;EOMONTH(DATE($B$3,12,1),0),NETWORKDAYS.INTL(DATE($B$3,12,11),DATE($B$3,12,11),1,'Non-working days'!$A$6:$A$45)=0),"",IF(COUNTIFS('Leave log'!$A$7:$A$306,Employees!$A$8,'Leave log'!$B$7:$B$306,"&lt;="&amp;DATE($B$3,12,11),'Leave log'!$C$7:$C$306,"&gt;="&amp;DATE($B$3,12,11),'Leave log'!$F$7:$F$306,"Pending")&gt;0,"P",""))))</f>
        <v/>
      </c>
      <c r="M383" s="23" t="str">
        <f>IF(A383="","",IF(IF(OR(DATE($B$3,12,12)&gt;EOMONTH(DATE($B$3,12,1),0),NETWORKDAYS.INTL(DATE($B$3,12,12),DATE($B$3,12,12),1,'Non-working days'!$A$6:$A$45)=0),"",IF(COUNTIFS('Leave log'!$A$7:$A$306,Employees!$A$8,'Leave log'!$B$7:$B$306,"&lt;="&amp;DATE($B$3,12,12),'Leave log'!$C$7:$C$306,"&gt;="&amp;DATE($B$3,12,12),'Leave log'!$F$7:$F$306,"Approved")&gt;0,"A",""))="A","A",IF(OR(DATE($B$3,12,12)&gt;EOMONTH(DATE($B$3,12,1),0),NETWORKDAYS.INTL(DATE($B$3,12,12),DATE($B$3,12,12),1,'Non-working days'!$A$6:$A$45)=0),"",IF(COUNTIFS('Leave log'!$A$7:$A$306,Employees!$A$8,'Leave log'!$B$7:$B$306,"&lt;="&amp;DATE($B$3,12,12),'Leave log'!$C$7:$C$306,"&gt;="&amp;DATE($B$3,12,12),'Leave log'!$F$7:$F$306,"Pending")&gt;0,"P",""))))</f>
        <v/>
      </c>
      <c r="N383" s="23" t="str">
        <f>IF(A383="","",IF(IF(OR(DATE($B$3,12,13)&gt;EOMONTH(DATE($B$3,12,1),0),NETWORKDAYS.INTL(DATE($B$3,12,13),DATE($B$3,12,13),1,'Non-working days'!$A$6:$A$45)=0),"",IF(COUNTIFS('Leave log'!$A$7:$A$306,Employees!$A$8,'Leave log'!$B$7:$B$306,"&lt;="&amp;DATE($B$3,12,13),'Leave log'!$C$7:$C$306,"&gt;="&amp;DATE($B$3,12,13),'Leave log'!$F$7:$F$306,"Approved")&gt;0,"A",""))="A","A",IF(OR(DATE($B$3,12,13)&gt;EOMONTH(DATE($B$3,12,1),0),NETWORKDAYS.INTL(DATE($B$3,12,13),DATE($B$3,12,13),1,'Non-working days'!$A$6:$A$45)=0),"",IF(COUNTIFS('Leave log'!$A$7:$A$306,Employees!$A$8,'Leave log'!$B$7:$B$306,"&lt;="&amp;DATE($B$3,12,13),'Leave log'!$C$7:$C$306,"&gt;="&amp;DATE($B$3,12,13),'Leave log'!$F$7:$F$306,"Pending")&gt;0,"P",""))))</f>
        <v/>
      </c>
      <c r="O383" s="23" t="str">
        <f>IF(A383="","",IF(IF(OR(DATE($B$3,12,14)&gt;EOMONTH(DATE($B$3,12,1),0),NETWORKDAYS.INTL(DATE($B$3,12,14),DATE($B$3,12,14),1,'Non-working days'!$A$6:$A$45)=0),"",IF(COUNTIFS('Leave log'!$A$7:$A$306,Employees!$A$8,'Leave log'!$B$7:$B$306,"&lt;="&amp;DATE($B$3,12,14),'Leave log'!$C$7:$C$306,"&gt;="&amp;DATE($B$3,12,14),'Leave log'!$F$7:$F$306,"Approved")&gt;0,"A",""))="A","A",IF(OR(DATE($B$3,12,14)&gt;EOMONTH(DATE($B$3,12,1),0),NETWORKDAYS.INTL(DATE($B$3,12,14),DATE($B$3,12,14),1,'Non-working days'!$A$6:$A$45)=0),"",IF(COUNTIFS('Leave log'!$A$7:$A$306,Employees!$A$8,'Leave log'!$B$7:$B$306,"&lt;="&amp;DATE($B$3,12,14),'Leave log'!$C$7:$C$306,"&gt;="&amp;DATE($B$3,12,14),'Leave log'!$F$7:$F$306,"Pending")&gt;0,"P",""))))</f>
        <v/>
      </c>
      <c r="P383" s="23" t="str">
        <f>IF(A383="","",IF(IF(OR(DATE($B$3,12,15)&gt;EOMONTH(DATE($B$3,12,1),0),NETWORKDAYS.INTL(DATE($B$3,12,15),DATE($B$3,12,15),1,'Non-working days'!$A$6:$A$45)=0),"",IF(COUNTIFS('Leave log'!$A$7:$A$306,Employees!$A$8,'Leave log'!$B$7:$B$306,"&lt;="&amp;DATE($B$3,12,15),'Leave log'!$C$7:$C$306,"&gt;="&amp;DATE($B$3,12,15),'Leave log'!$F$7:$F$306,"Approved")&gt;0,"A",""))="A","A",IF(OR(DATE($B$3,12,15)&gt;EOMONTH(DATE($B$3,12,1),0),NETWORKDAYS.INTL(DATE($B$3,12,15),DATE($B$3,12,15),1,'Non-working days'!$A$6:$A$45)=0),"",IF(COUNTIFS('Leave log'!$A$7:$A$306,Employees!$A$8,'Leave log'!$B$7:$B$306,"&lt;="&amp;DATE($B$3,12,15),'Leave log'!$C$7:$C$306,"&gt;="&amp;DATE($B$3,12,15),'Leave log'!$F$7:$F$306,"Pending")&gt;0,"P",""))))</f>
        <v/>
      </c>
      <c r="Q383" s="23" t="str">
        <f>IF(A383="","",IF(IF(OR(DATE($B$3,12,16)&gt;EOMONTH(DATE($B$3,12,1),0),NETWORKDAYS.INTL(DATE($B$3,12,16),DATE($B$3,12,16),1,'Non-working days'!$A$6:$A$45)=0),"",IF(COUNTIFS('Leave log'!$A$7:$A$306,Employees!$A$8,'Leave log'!$B$7:$B$306,"&lt;="&amp;DATE($B$3,12,16),'Leave log'!$C$7:$C$306,"&gt;="&amp;DATE($B$3,12,16),'Leave log'!$F$7:$F$306,"Approved")&gt;0,"A",""))="A","A",IF(OR(DATE($B$3,12,16)&gt;EOMONTH(DATE($B$3,12,1),0),NETWORKDAYS.INTL(DATE($B$3,12,16),DATE($B$3,12,16),1,'Non-working days'!$A$6:$A$45)=0),"",IF(COUNTIFS('Leave log'!$A$7:$A$306,Employees!$A$8,'Leave log'!$B$7:$B$306,"&lt;="&amp;DATE($B$3,12,16),'Leave log'!$C$7:$C$306,"&gt;="&amp;DATE($B$3,12,16),'Leave log'!$F$7:$F$306,"Pending")&gt;0,"P",""))))</f>
        <v/>
      </c>
      <c r="R383" s="23" t="str">
        <f>IF(A383="","",IF(IF(OR(DATE($B$3,12,17)&gt;EOMONTH(DATE($B$3,12,1),0),NETWORKDAYS.INTL(DATE($B$3,12,17),DATE($B$3,12,17),1,'Non-working days'!$A$6:$A$45)=0),"",IF(COUNTIFS('Leave log'!$A$7:$A$306,Employees!$A$8,'Leave log'!$B$7:$B$306,"&lt;="&amp;DATE($B$3,12,17),'Leave log'!$C$7:$C$306,"&gt;="&amp;DATE($B$3,12,17),'Leave log'!$F$7:$F$306,"Approved")&gt;0,"A",""))="A","A",IF(OR(DATE($B$3,12,17)&gt;EOMONTH(DATE($B$3,12,1),0),NETWORKDAYS.INTL(DATE($B$3,12,17),DATE($B$3,12,17),1,'Non-working days'!$A$6:$A$45)=0),"",IF(COUNTIFS('Leave log'!$A$7:$A$306,Employees!$A$8,'Leave log'!$B$7:$B$306,"&lt;="&amp;DATE($B$3,12,17),'Leave log'!$C$7:$C$306,"&gt;="&amp;DATE($B$3,12,17),'Leave log'!$F$7:$F$306,"Pending")&gt;0,"P",""))))</f>
        <v/>
      </c>
      <c r="S383" s="23" t="str">
        <f>IF(A383="","",IF(IF(OR(DATE($B$3,12,18)&gt;EOMONTH(DATE($B$3,12,1),0),NETWORKDAYS.INTL(DATE($B$3,12,18),DATE($B$3,12,18),1,'Non-working days'!$A$6:$A$45)=0),"",IF(COUNTIFS('Leave log'!$A$7:$A$306,Employees!$A$8,'Leave log'!$B$7:$B$306,"&lt;="&amp;DATE($B$3,12,18),'Leave log'!$C$7:$C$306,"&gt;="&amp;DATE($B$3,12,18),'Leave log'!$F$7:$F$306,"Approved")&gt;0,"A",""))="A","A",IF(OR(DATE($B$3,12,18)&gt;EOMONTH(DATE($B$3,12,1),0),NETWORKDAYS.INTL(DATE($B$3,12,18),DATE($B$3,12,18),1,'Non-working days'!$A$6:$A$45)=0),"",IF(COUNTIFS('Leave log'!$A$7:$A$306,Employees!$A$8,'Leave log'!$B$7:$B$306,"&lt;="&amp;DATE($B$3,12,18),'Leave log'!$C$7:$C$306,"&gt;="&amp;DATE($B$3,12,18),'Leave log'!$F$7:$F$306,"Pending")&gt;0,"P",""))))</f>
        <v/>
      </c>
      <c r="T383" s="23" t="str">
        <f>IF(A383="","",IF(IF(OR(DATE($B$3,12,19)&gt;EOMONTH(DATE($B$3,12,1),0),NETWORKDAYS.INTL(DATE($B$3,12,19),DATE($B$3,12,19),1,'Non-working days'!$A$6:$A$45)=0),"",IF(COUNTIFS('Leave log'!$A$7:$A$306,Employees!$A$8,'Leave log'!$B$7:$B$306,"&lt;="&amp;DATE($B$3,12,19),'Leave log'!$C$7:$C$306,"&gt;="&amp;DATE($B$3,12,19),'Leave log'!$F$7:$F$306,"Approved")&gt;0,"A",""))="A","A",IF(OR(DATE($B$3,12,19)&gt;EOMONTH(DATE($B$3,12,1),0),NETWORKDAYS.INTL(DATE($B$3,12,19),DATE($B$3,12,19),1,'Non-working days'!$A$6:$A$45)=0),"",IF(COUNTIFS('Leave log'!$A$7:$A$306,Employees!$A$8,'Leave log'!$B$7:$B$306,"&lt;="&amp;DATE($B$3,12,19),'Leave log'!$C$7:$C$306,"&gt;="&amp;DATE($B$3,12,19),'Leave log'!$F$7:$F$306,"Pending")&gt;0,"P",""))))</f>
        <v/>
      </c>
      <c r="U383" s="23" t="str">
        <f>IF(A383="","",IF(IF(OR(DATE($B$3,12,20)&gt;EOMONTH(DATE($B$3,12,1),0),NETWORKDAYS.INTL(DATE($B$3,12,20),DATE($B$3,12,20),1,'Non-working days'!$A$6:$A$45)=0),"",IF(COUNTIFS('Leave log'!$A$7:$A$306,Employees!$A$8,'Leave log'!$B$7:$B$306,"&lt;="&amp;DATE($B$3,12,20),'Leave log'!$C$7:$C$306,"&gt;="&amp;DATE($B$3,12,20),'Leave log'!$F$7:$F$306,"Approved")&gt;0,"A",""))="A","A",IF(OR(DATE($B$3,12,20)&gt;EOMONTH(DATE($B$3,12,1),0),NETWORKDAYS.INTL(DATE($B$3,12,20),DATE($B$3,12,20),1,'Non-working days'!$A$6:$A$45)=0),"",IF(COUNTIFS('Leave log'!$A$7:$A$306,Employees!$A$8,'Leave log'!$B$7:$B$306,"&lt;="&amp;DATE($B$3,12,20),'Leave log'!$C$7:$C$306,"&gt;="&amp;DATE($B$3,12,20),'Leave log'!$F$7:$F$306,"Pending")&gt;0,"P",""))))</f>
        <v/>
      </c>
      <c r="V383" s="23" t="str">
        <f>IF(A383="","",IF(IF(OR(DATE($B$3,12,21)&gt;EOMONTH(DATE($B$3,12,1),0),NETWORKDAYS.INTL(DATE($B$3,12,21),DATE($B$3,12,21),1,'Non-working days'!$A$6:$A$45)=0),"",IF(COUNTIFS('Leave log'!$A$7:$A$306,Employees!$A$8,'Leave log'!$B$7:$B$306,"&lt;="&amp;DATE($B$3,12,21),'Leave log'!$C$7:$C$306,"&gt;="&amp;DATE($B$3,12,21),'Leave log'!$F$7:$F$306,"Approved")&gt;0,"A",""))="A","A",IF(OR(DATE($B$3,12,21)&gt;EOMONTH(DATE($B$3,12,1),0),NETWORKDAYS.INTL(DATE($B$3,12,21),DATE($B$3,12,21),1,'Non-working days'!$A$6:$A$45)=0),"",IF(COUNTIFS('Leave log'!$A$7:$A$306,Employees!$A$8,'Leave log'!$B$7:$B$306,"&lt;="&amp;DATE($B$3,12,21),'Leave log'!$C$7:$C$306,"&gt;="&amp;DATE($B$3,12,21),'Leave log'!$F$7:$F$306,"Pending")&gt;0,"P",""))))</f>
        <v/>
      </c>
      <c r="W383" s="23" t="str">
        <f>IF(A383="","",IF(IF(OR(DATE($B$3,12,22)&gt;EOMONTH(DATE($B$3,12,1),0),NETWORKDAYS.INTL(DATE($B$3,12,22),DATE($B$3,12,22),1,'Non-working days'!$A$6:$A$45)=0),"",IF(COUNTIFS('Leave log'!$A$7:$A$306,Employees!$A$8,'Leave log'!$B$7:$B$306,"&lt;="&amp;DATE($B$3,12,22),'Leave log'!$C$7:$C$306,"&gt;="&amp;DATE($B$3,12,22),'Leave log'!$F$7:$F$306,"Approved")&gt;0,"A",""))="A","A",IF(OR(DATE($B$3,12,22)&gt;EOMONTH(DATE($B$3,12,1),0),NETWORKDAYS.INTL(DATE($B$3,12,22),DATE($B$3,12,22),1,'Non-working days'!$A$6:$A$45)=0),"",IF(COUNTIFS('Leave log'!$A$7:$A$306,Employees!$A$8,'Leave log'!$B$7:$B$306,"&lt;="&amp;DATE($B$3,12,22),'Leave log'!$C$7:$C$306,"&gt;="&amp;DATE($B$3,12,22),'Leave log'!$F$7:$F$306,"Pending")&gt;0,"P",""))))</f>
        <v/>
      </c>
      <c r="X383" s="23" t="str">
        <f>IF(A383="","",IF(IF(OR(DATE($B$3,12,23)&gt;EOMONTH(DATE($B$3,12,1),0),NETWORKDAYS.INTL(DATE($B$3,12,23),DATE($B$3,12,23),1,'Non-working days'!$A$6:$A$45)=0),"",IF(COUNTIFS('Leave log'!$A$7:$A$306,Employees!$A$8,'Leave log'!$B$7:$B$306,"&lt;="&amp;DATE($B$3,12,23),'Leave log'!$C$7:$C$306,"&gt;="&amp;DATE($B$3,12,23),'Leave log'!$F$7:$F$306,"Approved")&gt;0,"A",""))="A","A",IF(OR(DATE($B$3,12,23)&gt;EOMONTH(DATE($B$3,12,1),0),NETWORKDAYS.INTL(DATE($B$3,12,23),DATE($B$3,12,23),1,'Non-working days'!$A$6:$A$45)=0),"",IF(COUNTIFS('Leave log'!$A$7:$A$306,Employees!$A$8,'Leave log'!$B$7:$B$306,"&lt;="&amp;DATE($B$3,12,23),'Leave log'!$C$7:$C$306,"&gt;="&amp;DATE($B$3,12,23),'Leave log'!$F$7:$F$306,"Pending")&gt;0,"P",""))))</f>
        <v/>
      </c>
      <c r="Y383" s="23" t="str">
        <f>IF(A383="","",IF(IF(OR(DATE($B$3,12,24)&gt;EOMONTH(DATE($B$3,12,1),0),NETWORKDAYS.INTL(DATE($B$3,12,24),DATE($B$3,12,24),1,'Non-working days'!$A$6:$A$45)=0),"",IF(COUNTIFS('Leave log'!$A$7:$A$306,Employees!$A$8,'Leave log'!$B$7:$B$306,"&lt;="&amp;DATE($B$3,12,24),'Leave log'!$C$7:$C$306,"&gt;="&amp;DATE($B$3,12,24),'Leave log'!$F$7:$F$306,"Approved")&gt;0,"A",""))="A","A",IF(OR(DATE($B$3,12,24)&gt;EOMONTH(DATE($B$3,12,1),0),NETWORKDAYS.INTL(DATE($B$3,12,24),DATE($B$3,12,24),1,'Non-working days'!$A$6:$A$45)=0),"",IF(COUNTIFS('Leave log'!$A$7:$A$306,Employees!$A$8,'Leave log'!$B$7:$B$306,"&lt;="&amp;DATE($B$3,12,24),'Leave log'!$C$7:$C$306,"&gt;="&amp;DATE($B$3,12,24),'Leave log'!$F$7:$F$306,"Pending")&gt;0,"P",""))))</f>
        <v/>
      </c>
      <c r="Z383" s="23" t="str">
        <f>IF(A383="","",IF(IF(OR(DATE($B$3,12,25)&gt;EOMONTH(DATE($B$3,12,1),0),NETWORKDAYS.INTL(DATE($B$3,12,25),DATE($B$3,12,25),1,'Non-working days'!$A$6:$A$45)=0),"",IF(COUNTIFS('Leave log'!$A$7:$A$306,Employees!$A$8,'Leave log'!$B$7:$B$306,"&lt;="&amp;DATE($B$3,12,25),'Leave log'!$C$7:$C$306,"&gt;="&amp;DATE($B$3,12,25),'Leave log'!$F$7:$F$306,"Approved")&gt;0,"A",""))="A","A",IF(OR(DATE($B$3,12,25)&gt;EOMONTH(DATE($B$3,12,1),0),NETWORKDAYS.INTL(DATE($B$3,12,25),DATE($B$3,12,25),1,'Non-working days'!$A$6:$A$45)=0),"",IF(COUNTIFS('Leave log'!$A$7:$A$306,Employees!$A$8,'Leave log'!$B$7:$B$306,"&lt;="&amp;DATE($B$3,12,25),'Leave log'!$C$7:$C$306,"&gt;="&amp;DATE($B$3,12,25),'Leave log'!$F$7:$F$306,"Pending")&gt;0,"P",""))))</f>
        <v/>
      </c>
      <c r="AA383" s="23" t="str">
        <f>IF(A383="","",IF(IF(OR(DATE($B$3,12,26)&gt;EOMONTH(DATE($B$3,12,1),0),NETWORKDAYS.INTL(DATE($B$3,12,26),DATE($B$3,12,26),1,'Non-working days'!$A$6:$A$45)=0),"",IF(COUNTIFS('Leave log'!$A$7:$A$306,Employees!$A$8,'Leave log'!$B$7:$B$306,"&lt;="&amp;DATE($B$3,12,26),'Leave log'!$C$7:$C$306,"&gt;="&amp;DATE($B$3,12,26),'Leave log'!$F$7:$F$306,"Approved")&gt;0,"A",""))="A","A",IF(OR(DATE($B$3,12,26)&gt;EOMONTH(DATE($B$3,12,1),0),NETWORKDAYS.INTL(DATE($B$3,12,26),DATE($B$3,12,26),1,'Non-working days'!$A$6:$A$45)=0),"",IF(COUNTIFS('Leave log'!$A$7:$A$306,Employees!$A$8,'Leave log'!$B$7:$B$306,"&lt;="&amp;DATE($B$3,12,26),'Leave log'!$C$7:$C$306,"&gt;="&amp;DATE($B$3,12,26),'Leave log'!$F$7:$F$306,"Pending")&gt;0,"P",""))))</f>
        <v/>
      </c>
      <c r="AB383" s="23" t="str">
        <f>IF(A383="","",IF(IF(OR(DATE($B$3,12,27)&gt;EOMONTH(DATE($B$3,12,1),0),NETWORKDAYS.INTL(DATE($B$3,12,27),DATE($B$3,12,27),1,'Non-working days'!$A$6:$A$45)=0),"",IF(COUNTIFS('Leave log'!$A$7:$A$306,Employees!$A$8,'Leave log'!$B$7:$B$306,"&lt;="&amp;DATE($B$3,12,27),'Leave log'!$C$7:$C$306,"&gt;="&amp;DATE($B$3,12,27),'Leave log'!$F$7:$F$306,"Approved")&gt;0,"A",""))="A","A",IF(OR(DATE($B$3,12,27)&gt;EOMONTH(DATE($B$3,12,1),0),NETWORKDAYS.INTL(DATE($B$3,12,27),DATE($B$3,12,27),1,'Non-working days'!$A$6:$A$45)=0),"",IF(COUNTIFS('Leave log'!$A$7:$A$306,Employees!$A$8,'Leave log'!$B$7:$B$306,"&lt;="&amp;DATE($B$3,12,27),'Leave log'!$C$7:$C$306,"&gt;="&amp;DATE($B$3,12,27),'Leave log'!$F$7:$F$306,"Pending")&gt;0,"P",""))))</f>
        <v/>
      </c>
      <c r="AC383" s="23" t="str">
        <f>IF(A383="","",IF(IF(OR(DATE($B$3,12,28)&gt;EOMONTH(DATE($B$3,12,1),0),NETWORKDAYS.INTL(DATE($B$3,12,28),DATE($B$3,12,28),1,'Non-working days'!$A$6:$A$45)=0),"",IF(COUNTIFS('Leave log'!$A$7:$A$306,Employees!$A$8,'Leave log'!$B$7:$B$306,"&lt;="&amp;DATE($B$3,12,28),'Leave log'!$C$7:$C$306,"&gt;="&amp;DATE($B$3,12,28),'Leave log'!$F$7:$F$306,"Approved")&gt;0,"A",""))="A","A",IF(OR(DATE($B$3,12,28)&gt;EOMONTH(DATE($B$3,12,1),0),NETWORKDAYS.INTL(DATE($B$3,12,28),DATE($B$3,12,28),1,'Non-working days'!$A$6:$A$45)=0),"",IF(COUNTIFS('Leave log'!$A$7:$A$306,Employees!$A$8,'Leave log'!$B$7:$B$306,"&lt;="&amp;DATE($B$3,12,28),'Leave log'!$C$7:$C$306,"&gt;="&amp;DATE($B$3,12,28),'Leave log'!$F$7:$F$306,"Pending")&gt;0,"P",""))))</f>
        <v/>
      </c>
      <c r="AD383" s="23" t="str">
        <f>IF(A383="","",IF(IF(OR(DATE($B$3,12,29)&gt;EOMONTH(DATE($B$3,12,1),0),NETWORKDAYS.INTL(DATE($B$3,12,29),DATE($B$3,12,29),1,'Non-working days'!$A$6:$A$45)=0),"",IF(COUNTIFS('Leave log'!$A$7:$A$306,Employees!$A$8,'Leave log'!$B$7:$B$306,"&lt;="&amp;DATE($B$3,12,29),'Leave log'!$C$7:$C$306,"&gt;="&amp;DATE($B$3,12,29),'Leave log'!$F$7:$F$306,"Approved")&gt;0,"A",""))="A","A",IF(OR(DATE($B$3,12,29)&gt;EOMONTH(DATE($B$3,12,1),0),NETWORKDAYS.INTL(DATE($B$3,12,29),DATE($B$3,12,29),1,'Non-working days'!$A$6:$A$45)=0),"",IF(COUNTIFS('Leave log'!$A$7:$A$306,Employees!$A$8,'Leave log'!$B$7:$B$306,"&lt;="&amp;DATE($B$3,12,29),'Leave log'!$C$7:$C$306,"&gt;="&amp;DATE($B$3,12,29),'Leave log'!$F$7:$F$306,"Pending")&gt;0,"P",""))))</f>
        <v/>
      </c>
      <c r="AE383" s="23" t="str">
        <f>IF(A383="","",IF(IF(OR(DATE($B$3,12,30)&gt;EOMONTH(DATE($B$3,12,1),0),NETWORKDAYS.INTL(DATE($B$3,12,30),DATE($B$3,12,30),1,'Non-working days'!$A$6:$A$45)=0),"",IF(COUNTIFS('Leave log'!$A$7:$A$306,Employees!$A$8,'Leave log'!$B$7:$B$306,"&lt;="&amp;DATE($B$3,12,30),'Leave log'!$C$7:$C$306,"&gt;="&amp;DATE($B$3,12,30),'Leave log'!$F$7:$F$306,"Approved")&gt;0,"A",""))="A","A",IF(OR(DATE($B$3,12,30)&gt;EOMONTH(DATE($B$3,12,1),0),NETWORKDAYS.INTL(DATE($B$3,12,30),DATE($B$3,12,30),1,'Non-working days'!$A$6:$A$45)=0),"",IF(COUNTIFS('Leave log'!$A$7:$A$306,Employees!$A$8,'Leave log'!$B$7:$B$306,"&lt;="&amp;DATE($B$3,12,30),'Leave log'!$C$7:$C$306,"&gt;="&amp;DATE($B$3,12,30),'Leave log'!$F$7:$F$306,"Pending")&gt;0,"P",""))))</f>
        <v/>
      </c>
      <c r="AF383" s="23" t="str">
        <f>IF(A383="","",IF(IF(OR(DATE($B$3,12,31)&gt;EOMONTH(DATE($B$3,12,1),0),NETWORKDAYS.INTL(DATE($B$3,12,31),DATE($B$3,12,31),1,'Non-working days'!$A$6:$A$45)=0),"",IF(COUNTIFS('Leave log'!$A$7:$A$306,Employees!$A$8,'Leave log'!$B$7:$B$306,"&lt;="&amp;DATE($B$3,12,31),'Leave log'!$C$7:$C$306,"&gt;="&amp;DATE($B$3,12,31),'Leave log'!$F$7:$F$306,"Approved")&gt;0,"A",""))="A","A",IF(OR(DATE($B$3,12,31)&gt;EOMONTH(DATE($B$3,12,1),0),NETWORKDAYS.INTL(DATE($B$3,12,31),DATE($B$3,12,31),1,'Non-working days'!$A$6:$A$45)=0),"",IF(COUNTIFS('Leave log'!$A$7:$A$306,Employees!$A$8,'Leave log'!$B$7:$B$306,"&lt;="&amp;DATE($B$3,12,31),'Leave log'!$C$7:$C$306,"&gt;="&amp;DATE($B$3,12,31),'Leave log'!$F$7:$F$306,"Pending")&gt;0,"P",""))))</f>
        <v/>
      </c>
    </row>
    <row r="384" spans="1:32" ht="18" customHeight="1" x14ac:dyDescent="0.3">
      <c r="A384" s="22" t="str">
        <f>IF(Employees!F9="Yes",Employees!B9,"")</f>
        <v/>
      </c>
      <c r="B384" s="23" t="str">
        <f>IF(A384="","",IF(IF(OR(DATE($B$3,12,1)&gt;EOMONTH(DATE($B$3,12,1),0),NETWORKDAYS.INTL(DATE($B$3,12,1),DATE($B$3,12,1),1,'Non-working days'!$A$6:$A$45)=0),"",IF(COUNTIFS('Leave log'!$A$7:$A$306,Employees!$A$9,'Leave log'!$B$7:$B$306,"&lt;="&amp;DATE($B$3,12,1),'Leave log'!$C$7:$C$306,"&gt;="&amp;DATE($B$3,12,1),'Leave log'!$F$7:$F$306,"Approved")&gt;0,"A",""))="A","A",IF(OR(DATE($B$3,12,1)&gt;EOMONTH(DATE($B$3,12,1),0),NETWORKDAYS.INTL(DATE($B$3,12,1),DATE($B$3,12,1),1,'Non-working days'!$A$6:$A$45)=0),"",IF(COUNTIFS('Leave log'!$A$7:$A$306,Employees!$A$9,'Leave log'!$B$7:$B$306,"&lt;="&amp;DATE($B$3,12,1),'Leave log'!$C$7:$C$306,"&gt;="&amp;DATE($B$3,12,1),'Leave log'!$F$7:$F$306,"Pending")&gt;0,"P",""))))</f>
        <v/>
      </c>
      <c r="C384" s="23" t="str">
        <f>IF(A384="","",IF(IF(OR(DATE($B$3,12,2)&gt;EOMONTH(DATE($B$3,12,1),0),NETWORKDAYS.INTL(DATE($B$3,12,2),DATE($B$3,12,2),1,'Non-working days'!$A$6:$A$45)=0),"",IF(COUNTIFS('Leave log'!$A$7:$A$306,Employees!$A$9,'Leave log'!$B$7:$B$306,"&lt;="&amp;DATE($B$3,12,2),'Leave log'!$C$7:$C$306,"&gt;="&amp;DATE($B$3,12,2),'Leave log'!$F$7:$F$306,"Approved")&gt;0,"A",""))="A","A",IF(OR(DATE($B$3,12,2)&gt;EOMONTH(DATE($B$3,12,1),0),NETWORKDAYS.INTL(DATE($B$3,12,2),DATE($B$3,12,2),1,'Non-working days'!$A$6:$A$45)=0),"",IF(COUNTIFS('Leave log'!$A$7:$A$306,Employees!$A$9,'Leave log'!$B$7:$B$306,"&lt;="&amp;DATE($B$3,12,2),'Leave log'!$C$7:$C$306,"&gt;="&amp;DATE($B$3,12,2),'Leave log'!$F$7:$F$306,"Pending")&gt;0,"P",""))))</f>
        <v/>
      </c>
      <c r="D384" s="23" t="str">
        <f>IF(A384="","",IF(IF(OR(DATE($B$3,12,3)&gt;EOMONTH(DATE($B$3,12,1),0),NETWORKDAYS.INTL(DATE($B$3,12,3),DATE($B$3,12,3),1,'Non-working days'!$A$6:$A$45)=0),"",IF(COUNTIFS('Leave log'!$A$7:$A$306,Employees!$A$9,'Leave log'!$B$7:$B$306,"&lt;="&amp;DATE($B$3,12,3),'Leave log'!$C$7:$C$306,"&gt;="&amp;DATE($B$3,12,3),'Leave log'!$F$7:$F$306,"Approved")&gt;0,"A",""))="A","A",IF(OR(DATE($B$3,12,3)&gt;EOMONTH(DATE($B$3,12,1),0),NETWORKDAYS.INTL(DATE($B$3,12,3),DATE($B$3,12,3),1,'Non-working days'!$A$6:$A$45)=0),"",IF(COUNTIFS('Leave log'!$A$7:$A$306,Employees!$A$9,'Leave log'!$B$7:$B$306,"&lt;="&amp;DATE($B$3,12,3),'Leave log'!$C$7:$C$306,"&gt;="&amp;DATE($B$3,12,3),'Leave log'!$F$7:$F$306,"Pending")&gt;0,"P",""))))</f>
        <v/>
      </c>
      <c r="E384" s="23" t="str">
        <f>IF(A384="","",IF(IF(OR(DATE($B$3,12,4)&gt;EOMONTH(DATE($B$3,12,1),0),NETWORKDAYS.INTL(DATE($B$3,12,4),DATE($B$3,12,4),1,'Non-working days'!$A$6:$A$45)=0),"",IF(COUNTIFS('Leave log'!$A$7:$A$306,Employees!$A$9,'Leave log'!$B$7:$B$306,"&lt;="&amp;DATE($B$3,12,4),'Leave log'!$C$7:$C$306,"&gt;="&amp;DATE($B$3,12,4),'Leave log'!$F$7:$F$306,"Approved")&gt;0,"A",""))="A","A",IF(OR(DATE($B$3,12,4)&gt;EOMONTH(DATE($B$3,12,1),0),NETWORKDAYS.INTL(DATE($B$3,12,4),DATE($B$3,12,4),1,'Non-working days'!$A$6:$A$45)=0),"",IF(COUNTIFS('Leave log'!$A$7:$A$306,Employees!$A$9,'Leave log'!$B$7:$B$306,"&lt;="&amp;DATE($B$3,12,4),'Leave log'!$C$7:$C$306,"&gt;="&amp;DATE($B$3,12,4),'Leave log'!$F$7:$F$306,"Pending")&gt;0,"P",""))))</f>
        <v/>
      </c>
      <c r="F384" s="23" t="str">
        <f>IF(A384="","",IF(IF(OR(DATE($B$3,12,5)&gt;EOMONTH(DATE($B$3,12,1),0),NETWORKDAYS.INTL(DATE($B$3,12,5),DATE($B$3,12,5),1,'Non-working days'!$A$6:$A$45)=0),"",IF(COUNTIFS('Leave log'!$A$7:$A$306,Employees!$A$9,'Leave log'!$B$7:$B$306,"&lt;="&amp;DATE($B$3,12,5),'Leave log'!$C$7:$C$306,"&gt;="&amp;DATE($B$3,12,5),'Leave log'!$F$7:$F$306,"Approved")&gt;0,"A",""))="A","A",IF(OR(DATE($B$3,12,5)&gt;EOMONTH(DATE($B$3,12,1),0),NETWORKDAYS.INTL(DATE($B$3,12,5),DATE($B$3,12,5),1,'Non-working days'!$A$6:$A$45)=0),"",IF(COUNTIFS('Leave log'!$A$7:$A$306,Employees!$A$9,'Leave log'!$B$7:$B$306,"&lt;="&amp;DATE($B$3,12,5),'Leave log'!$C$7:$C$306,"&gt;="&amp;DATE($B$3,12,5),'Leave log'!$F$7:$F$306,"Pending")&gt;0,"P",""))))</f>
        <v/>
      </c>
      <c r="G384" s="23" t="str">
        <f>IF(A384="","",IF(IF(OR(DATE($B$3,12,6)&gt;EOMONTH(DATE($B$3,12,1),0),NETWORKDAYS.INTL(DATE($B$3,12,6),DATE($B$3,12,6),1,'Non-working days'!$A$6:$A$45)=0),"",IF(COUNTIFS('Leave log'!$A$7:$A$306,Employees!$A$9,'Leave log'!$B$7:$B$306,"&lt;="&amp;DATE($B$3,12,6),'Leave log'!$C$7:$C$306,"&gt;="&amp;DATE($B$3,12,6),'Leave log'!$F$7:$F$306,"Approved")&gt;0,"A",""))="A","A",IF(OR(DATE($B$3,12,6)&gt;EOMONTH(DATE($B$3,12,1),0),NETWORKDAYS.INTL(DATE($B$3,12,6),DATE($B$3,12,6),1,'Non-working days'!$A$6:$A$45)=0),"",IF(COUNTIFS('Leave log'!$A$7:$A$306,Employees!$A$9,'Leave log'!$B$7:$B$306,"&lt;="&amp;DATE($B$3,12,6),'Leave log'!$C$7:$C$306,"&gt;="&amp;DATE($B$3,12,6),'Leave log'!$F$7:$F$306,"Pending")&gt;0,"P",""))))</f>
        <v/>
      </c>
      <c r="H384" s="23" t="str">
        <f>IF(A384="","",IF(IF(OR(DATE($B$3,12,7)&gt;EOMONTH(DATE($B$3,12,1),0),NETWORKDAYS.INTL(DATE($B$3,12,7),DATE($B$3,12,7),1,'Non-working days'!$A$6:$A$45)=0),"",IF(COUNTIFS('Leave log'!$A$7:$A$306,Employees!$A$9,'Leave log'!$B$7:$B$306,"&lt;="&amp;DATE($B$3,12,7),'Leave log'!$C$7:$C$306,"&gt;="&amp;DATE($B$3,12,7),'Leave log'!$F$7:$F$306,"Approved")&gt;0,"A",""))="A","A",IF(OR(DATE($B$3,12,7)&gt;EOMONTH(DATE($B$3,12,1),0),NETWORKDAYS.INTL(DATE($B$3,12,7),DATE($B$3,12,7),1,'Non-working days'!$A$6:$A$45)=0),"",IF(COUNTIFS('Leave log'!$A$7:$A$306,Employees!$A$9,'Leave log'!$B$7:$B$306,"&lt;="&amp;DATE($B$3,12,7),'Leave log'!$C$7:$C$306,"&gt;="&amp;DATE($B$3,12,7),'Leave log'!$F$7:$F$306,"Pending")&gt;0,"P",""))))</f>
        <v/>
      </c>
      <c r="I384" s="23" t="str">
        <f>IF(A384="","",IF(IF(OR(DATE($B$3,12,8)&gt;EOMONTH(DATE($B$3,12,1),0),NETWORKDAYS.INTL(DATE($B$3,12,8),DATE($B$3,12,8),1,'Non-working days'!$A$6:$A$45)=0),"",IF(COUNTIFS('Leave log'!$A$7:$A$306,Employees!$A$9,'Leave log'!$B$7:$B$306,"&lt;="&amp;DATE($B$3,12,8),'Leave log'!$C$7:$C$306,"&gt;="&amp;DATE($B$3,12,8),'Leave log'!$F$7:$F$306,"Approved")&gt;0,"A",""))="A","A",IF(OR(DATE($B$3,12,8)&gt;EOMONTH(DATE($B$3,12,1),0),NETWORKDAYS.INTL(DATE($B$3,12,8),DATE($B$3,12,8),1,'Non-working days'!$A$6:$A$45)=0),"",IF(COUNTIFS('Leave log'!$A$7:$A$306,Employees!$A$9,'Leave log'!$B$7:$B$306,"&lt;="&amp;DATE($B$3,12,8),'Leave log'!$C$7:$C$306,"&gt;="&amp;DATE($B$3,12,8),'Leave log'!$F$7:$F$306,"Pending")&gt;0,"P",""))))</f>
        <v/>
      </c>
      <c r="J384" s="23" t="str">
        <f>IF(A384="","",IF(IF(OR(DATE($B$3,12,9)&gt;EOMONTH(DATE($B$3,12,1),0),NETWORKDAYS.INTL(DATE($B$3,12,9),DATE($B$3,12,9),1,'Non-working days'!$A$6:$A$45)=0),"",IF(COUNTIFS('Leave log'!$A$7:$A$306,Employees!$A$9,'Leave log'!$B$7:$B$306,"&lt;="&amp;DATE($B$3,12,9),'Leave log'!$C$7:$C$306,"&gt;="&amp;DATE($B$3,12,9),'Leave log'!$F$7:$F$306,"Approved")&gt;0,"A",""))="A","A",IF(OR(DATE($B$3,12,9)&gt;EOMONTH(DATE($B$3,12,1),0),NETWORKDAYS.INTL(DATE($B$3,12,9),DATE($B$3,12,9),1,'Non-working days'!$A$6:$A$45)=0),"",IF(COUNTIFS('Leave log'!$A$7:$A$306,Employees!$A$9,'Leave log'!$B$7:$B$306,"&lt;="&amp;DATE($B$3,12,9),'Leave log'!$C$7:$C$306,"&gt;="&amp;DATE($B$3,12,9),'Leave log'!$F$7:$F$306,"Pending")&gt;0,"P",""))))</f>
        <v/>
      </c>
      <c r="K384" s="23" t="str">
        <f>IF(A384="","",IF(IF(OR(DATE($B$3,12,10)&gt;EOMONTH(DATE($B$3,12,1),0),NETWORKDAYS.INTL(DATE($B$3,12,10),DATE($B$3,12,10),1,'Non-working days'!$A$6:$A$45)=0),"",IF(COUNTIFS('Leave log'!$A$7:$A$306,Employees!$A$9,'Leave log'!$B$7:$B$306,"&lt;="&amp;DATE($B$3,12,10),'Leave log'!$C$7:$C$306,"&gt;="&amp;DATE($B$3,12,10),'Leave log'!$F$7:$F$306,"Approved")&gt;0,"A",""))="A","A",IF(OR(DATE($B$3,12,10)&gt;EOMONTH(DATE($B$3,12,1),0),NETWORKDAYS.INTL(DATE($B$3,12,10),DATE($B$3,12,10),1,'Non-working days'!$A$6:$A$45)=0),"",IF(COUNTIFS('Leave log'!$A$7:$A$306,Employees!$A$9,'Leave log'!$B$7:$B$306,"&lt;="&amp;DATE($B$3,12,10),'Leave log'!$C$7:$C$306,"&gt;="&amp;DATE($B$3,12,10),'Leave log'!$F$7:$F$306,"Pending")&gt;0,"P",""))))</f>
        <v/>
      </c>
      <c r="L384" s="23" t="str">
        <f>IF(A384="","",IF(IF(OR(DATE($B$3,12,11)&gt;EOMONTH(DATE($B$3,12,1),0),NETWORKDAYS.INTL(DATE($B$3,12,11),DATE($B$3,12,11),1,'Non-working days'!$A$6:$A$45)=0),"",IF(COUNTIFS('Leave log'!$A$7:$A$306,Employees!$A$9,'Leave log'!$B$7:$B$306,"&lt;="&amp;DATE($B$3,12,11),'Leave log'!$C$7:$C$306,"&gt;="&amp;DATE($B$3,12,11),'Leave log'!$F$7:$F$306,"Approved")&gt;0,"A",""))="A","A",IF(OR(DATE($B$3,12,11)&gt;EOMONTH(DATE($B$3,12,1),0),NETWORKDAYS.INTL(DATE($B$3,12,11),DATE($B$3,12,11),1,'Non-working days'!$A$6:$A$45)=0),"",IF(COUNTIFS('Leave log'!$A$7:$A$306,Employees!$A$9,'Leave log'!$B$7:$B$306,"&lt;="&amp;DATE($B$3,12,11),'Leave log'!$C$7:$C$306,"&gt;="&amp;DATE($B$3,12,11),'Leave log'!$F$7:$F$306,"Pending")&gt;0,"P",""))))</f>
        <v/>
      </c>
      <c r="M384" s="23" t="str">
        <f>IF(A384="","",IF(IF(OR(DATE($B$3,12,12)&gt;EOMONTH(DATE($B$3,12,1),0),NETWORKDAYS.INTL(DATE($B$3,12,12),DATE($B$3,12,12),1,'Non-working days'!$A$6:$A$45)=0),"",IF(COUNTIFS('Leave log'!$A$7:$A$306,Employees!$A$9,'Leave log'!$B$7:$B$306,"&lt;="&amp;DATE($B$3,12,12),'Leave log'!$C$7:$C$306,"&gt;="&amp;DATE($B$3,12,12),'Leave log'!$F$7:$F$306,"Approved")&gt;0,"A",""))="A","A",IF(OR(DATE($B$3,12,12)&gt;EOMONTH(DATE($B$3,12,1),0),NETWORKDAYS.INTL(DATE($B$3,12,12),DATE($B$3,12,12),1,'Non-working days'!$A$6:$A$45)=0),"",IF(COUNTIFS('Leave log'!$A$7:$A$306,Employees!$A$9,'Leave log'!$B$7:$B$306,"&lt;="&amp;DATE($B$3,12,12),'Leave log'!$C$7:$C$306,"&gt;="&amp;DATE($B$3,12,12),'Leave log'!$F$7:$F$306,"Pending")&gt;0,"P",""))))</f>
        <v/>
      </c>
      <c r="N384" s="23" t="str">
        <f>IF(A384="","",IF(IF(OR(DATE($B$3,12,13)&gt;EOMONTH(DATE($B$3,12,1),0),NETWORKDAYS.INTL(DATE($B$3,12,13),DATE($B$3,12,13),1,'Non-working days'!$A$6:$A$45)=0),"",IF(COUNTIFS('Leave log'!$A$7:$A$306,Employees!$A$9,'Leave log'!$B$7:$B$306,"&lt;="&amp;DATE($B$3,12,13),'Leave log'!$C$7:$C$306,"&gt;="&amp;DATE($B$3,12,13),'Leave log'!$F$7:$F$306,"Approved")&gt;0,"A",""))="A","A",IF(OR(DATE($B$3,12,13)&gt;EOMONTH(DATE($B$3,12,1),0),NETWORKDAYS.INTL(DATE($B$3,12,13),DATE($B$3,12,13),1,'Non-working days'!$A$6:$A$45)=0),"",IF(COUNTIFS('Leave log'!$A$7:$A$306,Employees!$A$9,'Leave log'!$B$7:$B$306,"&lt;="&amp;DATE($B$3,12,13),'Leave log'!$C$7:$C$306,"&gt;="&amp;DATE($B$3,12,13),'Leave log'!$F$7:$F$306,"Pending")&gt;0,"P",""))))</f>
        <v/>
      </c>
      <c r="O384" s="23" t="str">
        <f>IF(A384="","",IF(IF(OR(DATE($B$3,12,14)&gt;EOMONTH(DATE($B$3,12,1),0),NETWORKDAYS.INTL(DATE($B$3,12,14),DATE($B$3,12,14),1,'Non-working days'!$A$6:$A$45)=0),"",IF(COUNTIFS('Leave log'!$A$7:$A$306,Employees!$A$9,'Leave log'!$B$7:$B$306,"&lt;="&amp;DATE($B$3,12,14),'Leave log'!$C$7:$C$306,"&gt;="&amp;DATE($B$3,12,14),'Leave log'!$F$7:$F$306,"Approved")&gt;0,"A",""))="A","A",IF(OR(DATE($B$3,12,14)&gt;EOMONTH(DATE($B$3,12,1),0),NETWORKDAYS.INTL(DATE($B$3,12,14),DATE($B$3,12,14),1,'Non-working days'!$A$6:$A$45)=0),"",IF(COUNTIFS('Leave log'!$A$7:$A$306,Employees!$A$9,'Leave log'!$B$7:$B$306,"&lt;="&amp;DATE($B$3,12,14),'Leave log'!$C$7:$C$306,"&gt;="&amp;DATE($B$3,12,14),'Leave log'!$F$7:$F$306,"Pending")&gt;0,"P",""))))</f>
        <v/>
      </c>
      <c r="P384" s="23" t="str">
        <f>IF(A384="","",IF(IF(OR(DATE($B$3,12,15)&gt;EOMONTH(DATE($B$3,12,1),0),NETWORKDAYS.INTL(DATE($B$3,12,15),DATE($B$3,12,15),1,'Non-working days'!$A$6:$A$45)=0),"",IF(COUNTIFS('Leave log'!$A$7:$A$306,Employees!$A$9,'Leave log'!$B$7:$B$306,"&lt;="&amp;DATE($B$3,12,15),'Leave log'!$C$7:$C$306,"&gt;="&amp;DATE($B$3,12,15),'Leave log'!$F$7:$F$306,"Approved")&gt;0,"A",""))="A","A",IF(OR(DATE($B$3,12,15)&gt;EOMONTH(DATE($B$3,12,1),0),NETWORKDAYS.INTL(DATE($B$3,12,15),DATE($B$3,12,15),1,'Non-working days'!$A$6:$A$45)=0),"",IF(COUNTIFS('Leave log'!$A$7:$A$306,Employees!$A$9,'Leave log'!$B$7:$B$306,"&lt;="&amp;DATE($B$3,12,15),'Leave log'!$C$7:$C$306,"&gt;="&amp;DATE($B$3,12,15),'Leave log'!$F$7:$F$306,"Pending")&gt;0,"P",""))))</f>
        <v/>
      </c>
      <c r="Q384" s="23" t="str">
        <f>IF(A384="","",IF(IF(OR(DATE($B$3,12,16)&gt;EOMONTH(DATE($B$3,12,1),0),NETWORKDAYS.INTL(DATE($B$3,12,16),DATE($B$3,12,16),1,'Non-working days'!$A$6:$A$45)=0),"",IF(COUNTIFS('Leave log'!$A$7:$A$306,Employees!$A$9,'Leave log'!$B$7:$B$306,"&lt;="&amp;DATE($B$3,12,16),'Leave log'!$C$7:$C$306,"&gt;="&amp;DATE($B$3,12,16),'Leave log'!$F$7:$F$306,"Approved")&gt;0,"A",""))="A","A",IF(OR(DATE($B$3,12,16)&gt;EOMONTH(DATE($B$3,12,1),0),NETWORKDAYS.INTL(DATE($B$3,12,16),DATE($B$3,12,16),1,'Non-working days'!$A$6:$A$45)=0),"",IF(COUNTIFS('Leave log'!$A$7:$A$306,Employees!$A$9,'Leave log'!$B$7:$B$306,"&lt;="&amp;DATE($B$3,12,16),'Leave log'!$C$7:$C$306,"&gt;="&amp;DATE($B$3,12,16),'Leave log'!$F$7:$F$306,"Pending")&gt;0,"P",""))))</f>
        <v/>
      </c>
      <c r="R384" s="23" t="str">
        <f>IF(A384="","",IF(IF(OR(DATE($B$3,12,17)&gt;EOMONTH(DATE($B$3,12,1),0),NETWORKDAYS.INTL(DATE($B$3,12,17),DATE($B$3,12,17),1,'Non-working days'!$A$6:$A$45)=0),"",IF(COUNTIFS('Leave log'!$A$7:$A$306,Employees!$A$9,'Leave log'!$B$7:$B$306,"&lt;="&amp;DATE($B$3,12,17),'Leave log'!$C$7:$C$306,"&gt;="&amp;DATE($B$3,12,17),'Leave log'!$F$7:$F$306,"Approved")&gt;0,"A",""))="A","A",IF(OR(DATE($B$3,12,17)&gt;EOMONTH(DATE($B$3,12,1),0),NETWORKDAYS.INTL(DATE($B$3,12,17),DATE($B$3,12,17),1,'Non-working days'!$A$6:$A$45)=0),"",IF(COUNTIFS('Leave log'!$A$7:$A$306,Employees!$A$9,'Leave log'!$B$7:$B$306,"&lt;="&amp;DATE($B$3,12,17),'Leave log'!$C$7:$C$306,"&gt;="&amp;DATE($B$3,12,17),'Leave log'!$F$7:$F$306,"Pending")&gt;0,"P",""))))</f>
        <v/>
      </c>
      <c r="S384" s="23" t="str">
        <f>IF(A384="","",IF(IF(OR(DATE($B$3,12,18)&gt;EOMONTH(DATE($B$3,12,1),0),NETWORKDAYS.INTL(DATE($B$3,12,18),DATE($B$3,12,18),1,'Non-working days'!$A$6:$A$45)=0),"",IF(COUNTIFS('Leave log'!$A$7:$A$306,Employees!$A$9,'Leave log'!$B$7:$B$306,"&lt;="&amp;DATE($B$3,12,18),'Leave log'!$C$7:$C$306,"&gt;="&amp;DATE($B$3,12,18),'Leave log'!$F$7:$F$306,"Approved")&gt;0,"A",""))="A","A",IF(OR(DATE($B$3,12,18)&gt;EOMONTH(DATE($B$3,12,1),0),NETWORKDAYS.INTL(DATE($B$3,12,18),DATE($B$3,12,18),1,'Non-working days'!$A$6:$A$45)=0),"",IF(COUNTIFS('Leave log'!$A$7:$A$306,Employees!$A$9,'Leave log'!$B$7:$B$306,"&lt;="&amp;DATE($B$3,12,18),'Leave log'!$C$7:$C$306,"&gt;="&amp;DATE($B$3,12,18),'Leave log'!$F$7:$F$306,"Pending")&gt;0,"P",""))))</f>
        <v/>
      </c>
      <c r="T384" s="23" t="str">
        <f>IF(A384="","",IF(IF(OR(DATE($B$3,12,19)&gt;EOMONTH(DATE($B$3,12,1),0),NETWORKDAYS.INTL(DATE($B$3,12,19),DATE($B$3,12,19),1,'Non-working days'!$A$6:$A$45)=0),"",IF(COUNTIFS('Leave log'!$A$7:$A$306,Employees!$A$9,'Leave log'!$B$7:$B$306,"&lt;="&amp;DATE($B$3,12,19),'Leave log'!$C$7:$C$306,"&gt;="&amp;DATE($B$3,12,19),'Leave log'!$F$7:$F$306,"Approved")&gt;0,"A",""))="A","A",IF(OR(DATE($B$3,12,19)&gt;EOMONTH(DATE($B$3,12,1),0),NETWORKDAYS.INTL(DATE($B$3,12,19),DATE($B$3,12,19),1,'Non-working days'!$A$6:$A$45)=0),"",IF(COUNTIFS('Leave log'!$A$7:$A$306,Employees!$A$9,'Leave log'!$B$7:$B$306,"&lt;="&amp;DATE($B$3,12,19),'Leave log'!$C$7:$C$306,"&gt;="&amp;DATE($B$3,12,19),'Leave log'!$F$7:$F$306,"Pending")&gt;0,"P",""))))</f>
        <v/>
      </c>
      <c r="U384" s="23" t="str">
        <f>IF(A384="","",IF(IF(OR(DATE($B$3,12,20)&gt;EOMONTH(DATE($B$3,12,1),0),NETWORKDAYS.INTL(DATE($B$3,12,20),DATE($B$3,12,20),1,'Non-working days'!$A$6:$A$45)=0),"",IF(COUNTIFS('Leave log'!$A$7:$A$306,Employees!$A$9,'Leave log'!$B$7:$B$306,"&lt;="&amp;DATE($B$3,12,20),'Leave log'!$C$7:$C$306,"&gt;="&amp;DATE($B$3,12,20),'Leave log'!$F$7:$F$306,"Approved")&gt;0,"A",""))="A","A",IF(OR(DATE($B$3,12,20)&gt;EOMONTH(DATE($B$3,12,1),0),NETWORKDAYS.INTL(DATE($B$3,12,20),DATE($B$3,12,20),1,'Non-working days'!$A$6:$A$45)=0),"",IF(COUNTIFS('Leave log'!$A$7:$A$306,Employees!$A$9,'Leave log'!$B$7:$B$306,"&lt;="&amp;DATE($B$3,12,20),'Leave log'!$C$7:$C$306,"&gt;="&amp;DATE($B$3,12,20),'Leave log'!$F$7:$F$306,"Pending")&gt;0,"P",""))))</f>
        <v/>
      </c>
      <c r="V384" s="23" t="str">
        <f>IF(A384="","",IF(IF(OR(DATE($B$3,12,21)&gt;EOMONTH(DATE($B$3,12,1),0),NETWORKDAYS.INTL(DATE($B$3,12,21),DATE($B$3,12,21),1,'Non-working days'!$A$6:$A$45)=0),"",IF(COUNTIFS('Leave log'!$A$7:$A$306,Employees!$A$9,'Leave log'!$B$7:$B$306,"&lt;="&amp;DATE($B$3,12,21),'Leave log'!$C$7:$C$306,"&gt;="&amp;DATE($B$3,12,21),'Leave log'!$F$7:$F$306,"Approved")&gt;0,"A",""))="A","A",IF(OR(DATE($B$3,12,21)&gt;EOMONTH(DATE($B$3,12,1),0),NETWORKDAYS.INTL(DATE($B$3,12,21),DATE($B$3,12,21),1,'Non-working days'!$A$6:$A$45)=0),"",IF(COUNTIFS('Leave log'!$A$7:$A$306,Employees!$A$9,'Leave log'!$B$7:$B$306,"&lt;="&amp;DATE($B$3,12,21),'Leave log'!$C$7:$C$306,"&gt;="&amp;DATE($B$3,12,21),'Leave log'!$F$7:$F$306,"Pending")&gt;0,"P",""))))</f>
        <v/>
      </c>
      <c r="W384" s="23" t="str">
        <f>IF(A384="","",IF(IF(OR(DATE($B$3,12,22)&gt;EOMONTH(DATE($B$3,12,1),0),NETWORKDAYS.INTL(DATE($B$3,12,22),DATE($B$3,12,22),1,'Non-working days'!$A$6:$A$45)=0),"",IF(COUNTIFS('Leave log'!$A$7:$A$306,Employees!$A$9,'Leave log'!$B$7:$B$306,"&lt;="&amp;DATE($B$3,12,22),'Leave log'!$C$7:$C$306,"&gt;="&amp;DATE($B$3,12,22),'Leave log'!$F$7:$F$306,"Approved")&gt;0,"A",""))="A","A",IF(OR(DATE($B$3,12,22)&gt;EOMONTH(DATE($B$3,12,1),0),NETWORKDAYS.INTL(DATE($B$3,12,22),DATE($B$3,12,22),1,'Non-working days'!$A$6:$A$45)=0),"",IF(COUNTIFS('Leave log'!$A$7:$A$306,Employees!$A$9,'Leave log'!$B$7:$B$306,"&lt;="&amp;DATE($B$3,12,22),'Leave log'!$C$7:$C$306,"&gt;="&amp;DATE($B$3,12,22),'Leave log'!$F$7:$F$306,"Pending")&gt;0,"P",""))))</f>
        <v/>
      </c>
      <c r="X384" s="23" t="str">
        <f>IF(A384="","",IF(IF(OR(DATE($B$3,12,23)&gt;EOMONTH(DATE($B$3,12,1),0),NETWORKDAYS.INTL(DATE($B$3,12,23),DATE($B$3,12,23),1,'Non-working days'!$A$6:$A$45)=0),"",IF(COUNTIFS('Leave log'!$A$7:$A$306,Employees!$A$9,'Leave log'!$B$7:$B$306,"&lt;="&amp;DATE($B$3,12,23),'Leave log'!$C$7:$C$306,"&gt;="&amp;DATE($B$3,12,23),'Leave log'!$F$7:$F$306,"Approved")&gt;0,"A",""))="A","A",IF(OR(DATE($B$3,12,23)&gt;EOMONTH(DATE($B$3,12,1),0),NETWORKDAYS.INTL(DATE($B$3,12,23),DATE($B$3,12,23),1,'Non-working days'!$A$6:$A$45)=0),"",IF(COUNTIFS('Leave log'!$A$7:$A$306,Employees!$A$9,'Leave log'!$B$7:$B$306,"&lt;="&amp;DATE($B$3,12,23),'Leave log'!$C$7:$C$306,"&gt;="&amp;DATE($B$3,12,23),'Leave log'!$F$7:$F$306,"Pending")&gt;0,"P",""))))</f>
        <v/>
      </c>
      <c r="Y384" s="23" t="str">
        <f>IF(A384="","",IF(IF(OR(DATE($B$3,12,24)&gt;EOMONTH(DATE($B$3,12,1),0),NETWORKDAYS.INTL(DATE($B$3,12,24),DATE($B$3,12,24),1,'Non-working days'!$A$6:$A$45)=0),"",IF(COUNTIFS('Leave log'!$A$7:$A$306,Employees!$A$9,'Leave log'!$B$7:$B$306,"&lt;="&amp;DATE($B$3,12,24),'Leave log'!$C$7:$C$306,"&gt;="&amp;DATE($B$3,12,24),'Leave log'!$F$7:$F$306,"Approved")&gt;0,"A",""))="A","A",IF(OR(DATE($B$3,12,24)&gt;EOMONTH(DATE($B$3,12,1),0),NETWORKDAYS.INTL(DATE($B$3,12,24),DATE($B$3,12,24),1,'Non-working days'!$A$6:$A$45)=0),"",IF(COUNTIFS('Leave log'!$A$7:$A$306,Employees!$A$9,'Leave log'!$B$7:$B$306,"&lt;="&amp;DATE($B$3,12,24),'Leave log'!$C$7:$C$306,"&gt;="&amp;DATE($B$3,12,24),'Leave log'!$F$7:$F$306,"Pending")&gt;0,"P",""))))</f>
        <v/>
      </c>
      <c r="Z384" s="23" t="str">
        <f>IF(A384="","",IF(IF(OR(DATE($B$3,12,25)&gt;EOMONTH(DATE($B$3,12,1),0),NETWORKDAYS.INTL(DATE($B$3,12,25),DATE($B$3,12,25),1,'Non-working days'!$A$6:$A$45)=0),"",IF(COUNTIFS('Leave log'!$A$7:$A$306,Employees!$A$9,'Leave log'!$B$7:$B$306,"&lt;="&amp;DATE($B$3,12,25),'Leave log'!$C$7:$C$306,"&gt;="&amp;DATE($B$3,12,25),'Leave log'!$F$7:$F$306,"Approved")&gt;0,"A",""))="A","A",IF(OR(DATE($B$3,12,25)&gt;EOMONTH(DATE($B$3,12,1),0),NETWORKDAYS.INTL(DATE($B$3,12,25),DATE($B$3,12,25),1,'Non-working days'!$A$6:$A$45)=0),"",IF(COUNTIFS('Leave log'!$A$7:$A$306,Employees!$A$9,'Leave log'!$B$7:$B$306,"&lt;="&amp;DATE($B$3,12,25),'Leave log'!$C$7:$C$306,"&gt;="&amp;DATE($B$3,12,25),'Leave log'!$F$7:$F$306,"Pending")&gt;0,"P",""))))</f>
        <v/>
      </c>
      <c r="AA384" s="23" t="str">
        <f>IF(A384="","",IF(IF(OR(DATE($B$3,12,26)&gt;EOMONTH(DATE($B$3,12,1),0),NETWORKDAYS.INTL(DATE($B$3,12,26),DATE($B$3,12,26),1,'Non-working days'!$A$6:$A$45)=0),"",IF(COUNTIFS('Leave log'!$A$7:$A$306,Employees!$A$9,'Leave log'!$B$7:$B$306,"&lt;="&amp;DATE($B$3,12,26),'Leave log'!$C$7:$C$306,"&gt;="&amp;DATE($B$3,12,26),'Leave log'!$F$7:$F$306,"Approved")&gt;0,"A",""))="A","A",IF(OR(DATE($B$3,12,26)&gt;EOMONTH(DATE($B$3,12,1),0),NETWORKDAYS.INTL(DATE($B$3,12,26),DATE($B$3,12,26),1,'Non-working days'!$A$6:$A$45)=0),"",IF(COUNTIFS('Leave log'!$A$7:$A$306,Employees!$A$9,'Leave log'!$B$7:$B$306,"&lt;="&amp;DATE($B$3,12,26),'Leave log'!$C$7:$C$306,"&gt;="&amp;DATE($B$3,12,26),'Leave log'!$F$7:$F$306,"Pending")&gt;0,"P",""))))</f>
        <v/>
      </c>
      <c r="AB384" s="23" t="str">
        <f>IF(A384="","",IF(IF(OR(DATE($B$3,12,27)&gt;EOMONTH(DATE($B$3,12,1),0),NETWORKDAYS.INTL(DATE($B$3,12,27),DATE($B$3,12,27),1,'Non-working days'!$A$6:$A$45)=0),"",IF(COUNTIFS('Leave log'!$A$7:$A$306,Employees!$A$9,'Leave log'!$B$7:$B$306,"&lt;="&amp;DATE($B$3,12,27),'Leave log'!$C$7:$C$306,"&gt;="&amp;DATE($B$3,12,27),'Leave log'!$F$7:$F$306,"Approved")&gt;0,"A",""))="A","A",IF(OR(DATE($B$3,12,27)&gt;EOMONTH(DATE($B$3,12,1),0),NETWORKDAYS.INTL(DATE($B$3,12,27),DATE($B$3,12,27),1,'Non-working days'!$A$6:$A$45)=0),"",IF(COUNTIFS('Leave log'!$A$7:$A$306,Employees!$A$9,'Leave log'!$B$7:$B$306,"&lt;="&amp;DATE($B$3,12,27),'Leave log'!$C$7:$C$306,"&gt;="&amp;DATE($B$3,12,27),'Leave log'!$F$7:$F$306,"Pending")&gt;0,"P",""))))</f>
        <v/>
      </c>
      <c r="AC384" s="23" t="str">
        <f>IF(A384="","",IF(IF(OR(DATE($B$3,12,28)&gt;EOMONTH(DATE($B$3,12,1),0),NETWORKDAYS.INTL(DATE($B$3,12,28),DATE($B$3,12,28),1,'Non-working days'!$A$6:$A$45)=0),"",IF(COUNTIFS('Leave log'!$A$7:$A$306,Employees!$A$9,'Leave log'!$B$7:$B$306,"&lt;="&amp;DATE($B$3,12,28),'Leave log'!$C$7:$C$306,"&gt;="&amp;DATE($B$3,12,28),'Leave log'!$F$7:$F$306,"Approved")&gt;0,"A",""))="A","A",IF(OR(DATE($B$3,12,28)&gt;EOMONTH(DATE($B$3,12,1),0),NETWORKDAYS.INTL(DATE($B$3,12,28),DATE($B$3,12,28),1,'Non-working days'!$A$6:$A$45)=0),"",IF(COUNTIFS('Leave log'!$A$7:$A$306,Employees!$A$9,'Leave log'!$B$7:$B$306,"&lt;="&amp;DATE($B$3,12,28),'Leave log'!$C$7:$C$306,"&gt;="&amp;DATE($B$3,12,28),'Leave log'!$F$7:$F$306,"Pending")&gt;0,"P",""))))</f>
        <v/>
      </c>
      <c r="AD384" s="23" t="str">
        <f>IF(A384="","",IF(IF(OR(DATE($B$3,12,29)&gt;EOMONTH(DATE($B$3,12,1),0),NETWORKDAYS.INTL(DATE($B$3,12,29),DATE($B$3,12,29),1,'Non-working days'!$A$6:$A$45)=0),"",IF(COUNTIFS('Leave log'!$A$7:$A$306,Employees!$A$9,'Leave log'!$B$7:$B$306,"&lt;="&amp;DATE($B$3,12,29),'Leave log'!$C$7:$C$306,"&gt;="&amp;DATE($B$3,12,29),'Leave log'!$F$7:$F$306,"Approved")&gt;0,"A",""))="A","A",IF(OR(DATE($B$3,12,29)&gt;EOMONTH(DATE($B$3,12,1),0),NETWORKDAYS.INTL(DATE($B$3,12,29),DATE($B$3,12,29),1,'Non-working days'!$A$6:$A$45)=0),"",IF(COUNTIFS('Leave log'!$A$7:$A$306,Employees!$A$9,'Leave log'!$B$7:$B$306,"&lt;="&amp;DATE($B$3,12,29),'Leave log'!$C$7:$C$306,"&gt;="&amp;DATE($B$3,12,29),'Leave log'!$F$7:$F$306,"Pending")&gt;0,"P",""))))</f>
        <v/>
      </c>
      <c r="AE384" s="23" t="str">
        <f>IF(A384="","",IF(IF(OR(DATE($B$3,12,30)&gt;EOMONTH(DATE($B$3,12,1),0),NETWORKDAYS.INTL(DATE($B$3,12,30),DATE($B$3,12,30),1,'Non-working days'!$A$6:$A$45)=0),"",IF(COUNTIFS('Leave log'!$A$7:$A$306,Employees!$A$9,'Leave log'!$B$7:$B$306,"&lt;="&amp;DATE($B$3,12,30),'Leave log'!$C$7:$C$306,"&gt;="&amp;DATE($B$3,12,30),'Leave log'!$F$7:$F$306,"Approved")&gt;0,"A",""))="A","A",IF(OR(DATE($B$3,12,30)&gt;EOMONTH(DATE($B$3,12,1),0),NETWORKDAYS.INTL(DATE($B$3,12,30),DATE($B$3,12,30),1,'Non-working days'!$A$6:$A$45)=0),"",IF(COUNTIFS('Leave log'!$A$7:$A$306,Employees!$A$9,'Leave log'!$B$7:$B$306,"&lt;="&amp;DATE($B$3,12,30),'Leave log'!$C$7:$C$306,"&gt;="&amp;DATE($B$3,12,30),'Leave log'!$F$7:$F$306,"Pending")&gt;0,"P",""))))</f>
        <v/>
      </c>
      <c r="AF384" s="23" t="str">
        <f>IF(A384="","",IF(IF(OR(DATE($B$3,12,31)&gt;EOMONTH(DATE($B$3,12,1),0),NETWORKDAYS.INTL(DATE($B$3,12,31),DATE($B$3,12,31),1,'Non-working days'!$A$6:$A$45)=0),"",IF(COUNTIFS('Leave log'!$A$7:$A$306,Employees!$A$9,'Leave log'!$B$7:$B$306,"&lt;="&amp;DATE($B$3,12,31),'Leave log'!$C$7:$C$306,"&gt;="&amp;DATE($B$3,12,31),'Leave log'!$F$7:$F$306,"Approved")&gt;0,"A",""))="A","A",IF(OR(DATE($B$3,12,31)&gt;EOMONTH(DATE($B$3,12,1),0),NETWORKDAYS.INTL(DATE($B$3,12,31),DATE($B$3,12,31),1,'Non-working days'!$A$6:$A$45)=0),"",IF(COUNTIFS('Leave log'!$A$7:$A$306,Employees!$A$9,'Leave log'!$B$7:$B$306,"&lt;="&amp;DATE($B$3,12,31),'Leave log'!$C$7:$C$306,"&gt;="&amp;DATE($B$3,12,31),'Leave log'!$F$7:$F$306,"Pending")&gt;0,"P",""))))</f>
        <v/>
      </c>
    </row>
    <row r="385" spans="1:32" ht="18" customHeight="1" x14ac:dyDescent="0.3">
      <c r="A385" s="22" t="str">
        <f>IF(Employees!F10="Yes",Employees!B10,"")</f>
        <v/>
      </c>
      <c r="B385" s="23" t="str">
        <f>IF(A385="","",IF(IF(OR(DATE($B$3,12,1)&gt;EOMONTH(DATE($B$3,12,1),0),NETWORKDAYS.INTL(DATE($B$3,12,1),DATE($B$3,12,1),1,'Non-working days'!$A$6:$A$45)=0),"",IF(COUNTIFS('Leave log'!$A$7:$A$306,Employees!$A$10,'Leave log'!$B$7:$B$306,"&lt;="&amp;DATE($B$3,12,1),'Leave log'!$C$7:$C$306,"&gt;="&amp;DATE($B$3,12,1),'Leave log'!$F$7:$F$306,"Approved")&gt;0,"A",""))="A","A",IF(OR(DATE($B$3,12,1)&gt;EOMONTH(DATE($B$3,12,1),0),NETWORKDAYS.INTL(DATE($B$3,12,1),DATE($B$3,12,1),1,'Non-working days'!$A$6:$A$45)=0),"",IF(COUNTIFS('Leave log'!$A$7:$A$306,Employees!$A$10,'Leave log'!$B$7:$B$306,"&lt;="&amp;DATE($B$3,12,1),'Leave log'!$C$7:$C$306,"&gt;="&amp;DATE($B$3,12,1),'Leave log'!$F$7:$F$306,"Pending")&gt;0,"P",""))))</f>
        <v/>
      </c>
      <c r="C385" s="23" t="str">
        <f>IF(A385="","",IF(IF(OR(DATE($B$3,12,2)&gt;EOMONTH(DATE($B$3,12,1),0),NETWORKDAYS.INTL(DATE($B$3,12,2),DATE($B$3,12,2),1,'Non-working days'!$A$6:$A$45)=0),"",IF(COUNTIFS('Leave log'!$A$7:$A$306,Employees!$A$10,'Leave log'!$B$7:$B$306,"&lt;="&amp;DATE($B$3,12,2),'Leave log'!$C$7:$C$306,"&gt;="&amp;DATE($B$3,12,2),'Leave log'!$F$7:$F$306,"Approved")&gt;0,"A",""))="A","A",IF(OR(DATE($B$3,12,2)&gt;EOMONTH(DATE($B$3,12,1),0),NETWORKDAYS.INTL(DATE($B$3,12,2),DATE($B$3,12,2),1,'Non-working days'!$A$6:$A$45)=0),"",IF(COUNTIFS('Leave log'!$A$7:$A$306,Employees!$A$10,'Leave log'!$B$7:$B$306,"&lt;="&amp;DATE($B$3,12,2),'Leave log'!$C$7:$C$306,"&gt;="&amp;DATE($B$3,12,2),'Leave log'!$F$7:$F$306,"Pending")&gt;0,"P",""))))</f>
        <v/>
      </c>
      <c r="D385" s="23" t="str">
        <f>IF(A385="","",IF(IF(OR(DATE($B$3,12,3)&gt;EOMONTH(DATE($B$3,12,1),0),NETWORKDAYS.INTL(DATE($B$3,12,3),DATE($B$3,12,3),1,'Non-working days'!$A$6:$A$45)=0),"",IF(COUNTIFS('Leave log'!$A$7:$A$306,Employees!$A$10,'Leave log'!$B$7:$B$306,"&lt;="&amp;DATE($B$3,12,3),'Leave log'!$C$7:$C$306,"&gt;="&amp;DATE($B$3,12,3),'Leave log'!$F$7:$F$306,"Approved")&gt;0,"A",""))="A","A",IF(OR(DATE($B$3,12,3)&gt;EOMONTH(DATE($B$3,12,1),0),NETWORKDAYS.INTL(DATE($B$3,12,3),DATE($B$3,12,3),1,'Non-working days'!$A$6:$A$45)=0),"",IF(COUNTIFS('Leave log'!$A$7:$A$306,Employees!$A$10,'Leave log'!$B$7:$B$306,"&lt;="&amp;DATE($B$3,12,3),'Leave log'!$C$7:$C$306,"&gt;="&amp;DATE($B$3,12,3),'Leave log'!$F$7:$F$306,"Pending")&gt;0,"P",""))))</f>
        <v/>
      </c>
      <c r="E385" s="23" t="str">
        <f>IF(A385="","",IF(IF(OR(DATE($B$3,12,4)&gt;EOMONTH(DATE($B$3,12,1),0),NETWORKDAYS.INTL(DATE($B$3,12,4),DATE($B$3,12,4),1,'Non-working days'!$A$6:$A$45)=0),"",IF(COUNTIFS('Leave log'!$A$7:$A$306,Employees!$A$10,'Leave log'!$B$7:$B$306,"&lt;="&amp;DATE($B$3,12,4),'Leave log'!$C$7:$C$306,"&gt;="&amp;DATE($B$3,12,4),'Leave log'!$F$7:$F$306,"Approved")&gt;0,"A",""))="A","A",IF(OR(DATE($B$3,12,4)&gt;EOMONTH(DATE($B$3,12,1),0),NETWORKDAYS.INTL(DATE($B$3,12,4),DATE($B$3,12,4),1,'Non-working days'!$A$6:$A$45)=0),"",IF(COUNTIFS('Leave log'!$A$7:$A$306,Employees!$A$10,'Leave log'!$B$7:$B$306,"&lt;="&amp;DATE($B$3,12,4),'Leave log'!$C$7:$C$306,"&gt;="&amp;DATE($B$3,12,4),'Leave log'!$F$7:$F$306,"Pending")&gt;0,"P",""))))</f>
        <v/>
      </c>
      <c r="F385" s="23" t="str">
        <f>IF(A385="","",IF(IF(OR(DATE($B$3,12,5)&gt;EOMONTH(DATE($B$3,12,1),0),NETWORKDAYS.INTL(DATE($B$3,12,5),DATE($B$3,12,5),1,'Non-working days'!$A$6:$A$45)=0),"",IF(COUNTIFS('Leave log'!$A$7:$A$306,Employees!$A$10,'Leave log'!$B$7:$B$306,"&lt;="&amp;DATE($B$3,12,5),'Leave log'!$C$7:$C$306,"&gt;="&amp;DATE($B$3,12,5),'Leave log'!$F$7:$F$306,"Approved")&gt;0,"A",""))="A","A",IF(OR(DATE($B$3,12,5)&gt;EOMONTH(DATE($B$3,12,1),0),NETWORKDAYS.INTL(DATE($B$3,12,5),DATE($B$3,12,5),1,'Non-working days'!$A$6:$A$45)=0),"",IF(COUNTIFS('Leave log'!$A$7:$A$306,Employees!$A$10,'Leave log'!$B$7:$B$306,"&lt;="&amp;DATE($B$3,12,5),'Leave log'!$C$7:$C$306,"&gt;="&amp;DATE($B$3,12,5),'Leave log'!$F$7:$F$306,"Pending")&gt;0,"P",""))))</f>
        <v/>
      </c>
      <c r="G385" s="23" t="str">
        <f>IF(A385="","",IF(IF(OR(DATE($B$3,12,6)&gt;EOMONTH(DATE($B$3,12,1),0),NETWORKDAYS.INTL(DATE($B$3,12,6),DATE($B$3,12,6),1,'Non-working days'!$A$6:$A$45)=0),"",IF(COUNTIFS('Leave log'!$A$7:$A$306,Employees!$A$10,'Leave log'!$B$7:$B$306,"&lt;="&amp;DATE($B$3,12,6),'Leave log'!$C$7:$C$306,"&gt;="&amp;DATE($B$3,12,6),'Leave log'!$F$7:$F$306,"Approved")&gt;0,"A",""))="A","A",IF(OR(DATE($B$3,12,6)&gt;EOMONTH(DATE($B$3,12,1),0),NETWORKDAYS.INTL(DATE($B$3,12,6),DATE($B$3,12,6),1,'Non-working days'!$A$6:$A$45)=0),"",IF(COUNTIFS('Leave log'!$A$7:$A$306,Employees!$A$10,'Leave log'!$B$7:$B$306,"&lt;="&amp;DATE($B$3,12,6),'Leave log'!$C$7:$C$306,"&gt;="&amp;DATE($B$3,12,6),'Leave log'!$F$7:$F$306,"Pending")&gt;0,"P",""))))</f>
        <v/>
      </c>
      <c r="H385" s="23" t="str">
        <f>IF(A385="","",IF(IF(OR(DATE($B$3,12,7)&gt;EOMONTH(DATE($B$3,12,1),0),NETWORKDAYS.INTL(DATE($B$3,12,7),DATE($B$3,12,7),1,'Non-working days'!$A$6:$A$45)=0),"",IF(COUNTIFS('Leave log'!$A$7:$A$306,Employees!$A$10,'Leave log'!$B$7:$B$306,"&lt;="&amp;DATE($B$3,12,7),'Leave log'!$C$7:$C$306,"&gt;="&amp;DATE($B$3,12,7),'Leave log'!$F$7:$F$306,"Approved")&gt;0,"A",""))="A","A",IF(OR(DATE($B$3,12,7)&gt;EOMONTH(DATE($B$3,12,1),0),NETWORKDAYS.INTL(DATE($B$3,12,7),DATE($B$3,12,7),1,'Non-working days'!$A$6:$A$45)=0),"",IF(COUNTIFS('Leave log'!$A$7:$A$306,Employees!$A$10,'Leave log'!$B$7:$B$306,"&lt;="&amp;DATE($B$3,12,7),'Leave log'!$C$7:$C$306,"&gt;="&amp;DATE($B$3,12,7),'Leave log'!$F$7:$F$306,"Pending")&gt;0,"P",""))))</f>
        <v/>
      </c>
      <c r="I385" s="23" t="str">
        <f>IF(A385="","",IF(IF(OR(DATE($B$3,12,8)&gt;EOMONTH(DATE($B$3,12,1),0),NETWORKDAYS.INTL(DATE($B$3,12,8),DATE($B$3,12,8),1,'Non-working days'!$A$6:$A$45)=0),"",IF(COUNTIFS('Leave log'!$A$7:$A$306,Employees!$A$10,'Leave log'!$B$7:$B$306,"&lt;="&amp;DATE($B$3,12,8),'Leave log'!$C$7:$C$306,"&gt;="&amp;DATE($B$3,12,8),'Leave log'!$F$7:$F$306,"Approved")&gt;0,"A",""))="A","A",IF(OR(DATE($B$3,12,8)&gt;EOMONTH(DATE($B$3,12,1),0),NETWORKDAYS.INTL(DATE($B$3,12,8),DATE($B$3,12,8),1,'Non-working days'!$A$6:$A$45)=0),"",IF(COUNTIFS('Leave log'!$A$7:$A$306,Employees!$A$10,'Leave log'!$B$7:$B$306,"&lt;="&amp;DATE($B$3,12,8),'Leave log'!$C$7:$C$306,"&gt;="&amp;DATE($B$3,12,8),'Leave log'!$F$7:$F$306,"Pending")&gt;0,"P",""))))</f>
        <v/>
      </c>
      <c r="J385" s="23" t="str">
        <f>IF(A385="","",IF(IF(OR(DATE($B$3,12,9)&gt;EOMONTH(DATE($B$3,12,1),0),NETWORKDAYS.INTL(DATE($B$3,12,9),DATE($B$3,12,9),1,'Non-working days'!$A$6:$A$45)=0),"",IF(COUNTIFS('Leave log'!$A$7:$A$306,Employees!$A$10,'Leave log'!$B$7:$B$306,"&lt;="&amp;DATE($B$3,12,9),'Leave log'!$C$7:$C$306,"&gt;="&amp;DATE($B$3,12,9),'Leave log'!$F$7:$F$306,"Approved")&gt;0,"A",""))="A","A",IF(OR(DATE($B$3,12,9)&gt;EOMONTH(DATE($B$3,12,1),0),NETWORKDAYS.INTL(DATE($B$3,12,9),DATE($B$3,12,9),1,'Non-working days'!$A$6:$A$45)=0),"",IF(COUNTIFS('Leave log'!$A$7:$A$306,Employees!$A$10,'Leave log'!$B$7:$B$306,"&lt;="&amp;DATE($B$3,12,9),'Leave log'!$C$7:$C$306,"&gt;="&amp;DATE($B$3,12,9),'Leave log'!$F$7:$F$306,"Pending")&gt;0,"P",""))))</f>
        <v/>
      </c>
      <c r="K385" s="23" t="str">
        <f>IF(A385="","",IF(IF(OR(DATE($B$3,12,10)&gt;EOMONTH(DATE($B$3,12,1),0),NETWORKDAYS.INTL(DATE($B$3,12,10),DATE($B$3,12,10),1,'Non-working days'!$A$6:$A$45)=0),"",IF(COUNTIFS('Leave log'!$A$7:$A$306,Employees!$A$10,'Leave log'!$B$7:$B$306,"&lt;="&amp;DATE($B$3,12,10),'Leave log'!$C$7:$C$306,"&gt;="&amp;DATE($B$3,12,10),'Leave log'!$F$7:$F$306,"Approved")&gt;0,"A",""))="A","A",IF(OR(DATE($B$3,12,10)&gt;EOMONTH(DATE($B$3,12,1),0),NETWORKDAYS.INTL(DATE($B$3,12,10),DATE($B$3,12,10),1,'Non-working days'!$A$6:$A$45)=0),"",IF(COUNTIFS('Leave log'!$A$7:$A$306,Employees!$A$10,'Leave log'!$B$7:$B$306,"&lt;="&amp;DATE($B$3,12,10),'Leave log'!$C$7:$C$306,"&gt;="&amp;DATE($B$3,12,10),'Leave log'!$F$7:$F$306,"Pending")&gt;0,"P",""))))</f>
        <v/>
      </c>
      <c r="L385" s="23" t="str">
        <f>IF(A385="","",IF(IF(OR(DATE($B$3,12,11)&gt;EOMONTH(DATE($B$3,12,1),0),NETWORKDAYS.INTL(DATE($B$3,12,11),DATE($B$3,12,11),1,'Non-working days'!$A$6:$A$45)=0),"",IF(COUNTIFS('Leave log'!$A$7:$A$306,Employees!$A$10,'Leave log'!$B$7:$B$306,"&lt;="&amp;DATE($B$3,12,11),'Leave log'!$C$7:$C$306,"&gt;="&amp;DATE($B$3,12,11),'Leave log'!$F$7:$F$306,"Approved")&gt;0,"A",""))="A","A",IF(OR(DATE($B$3,12,11)&gt;EOMONTH(DATE($B$3,12,1),0),NETWORKDAYS.INTL(DATE($B$3,12,11),DATE($B$3,12,11),1,'Non-working days'!$A$6:$A$45)=0),"",IF(COUNTIFS('Leave log'!$A$7:$A$306,Employees!$A$10,'Leave log'!$B$7:$B$306,"&lt;="&amp;DATE($B$3,12,11),'Leave log'!$C$7:$C$306,"&gt;="&amp;DATE($B$3,12,11),'Leave log'!$F$7:$F$306,"Pending")&gt;0,"P",""))))</f>
        <v/>
      </c>
      <c r="M385" s="23" t="str">
        <f>IF(A385="","",IF(IF(OR(DATE($B$3,12,12)&gt;EOMONTH(DATE($B$3,12,1),0),NETWORKDAYS.INTL(DATE($B$3,12,12),DATE($B$3,12,12),1,'Non-working days'!$A$6:$A$45)=0),"",IF(COUNTIFS('Leave log'!$A$7:$A$306,Employees!$A$10,'Leave log'!$B$7:$B$306,"&lt;="&amp;DATE($B$3,12,12),'Leave log'!$C$7:$C$306,"&gt;="&amp;DATE($B$3,12,12),'Leave log'!$F$7:$F$306,"Approved")&gt;0,"A",""))="A","A",IF(OR(DATE($B$3,12,12)&gt;EOMONTH(DATE($B$3,12,1),0),NETWORKDAYS.INTL(DATE($B$3,12,12),DATE($B$3,12,12),1,'Non-working days'!$A$6:$A$45)=0),"",IF(COUNTIFS('Leave log'!$A$7:$A$306,Employees!$A$10,'Leave log'!$B$7:$B$306,"&lt;="&amp;DATE($B$3,12,12),'Leave log'!$C$7:$C$306,"&gt;="&amp;DATE($B$3,12,12),'Leave log'!$F$7:$F$306,"Pending")&gt;0,"P",""))))</f>
        <v/>
      </c>
      <c r="N385" s="23" t="str">
        <f>IF(A385="","",IF(IF(OR(DATE($B$3,12,13)&gt;EOMONTH(DATE($B$3,12,1),0),NETWORKDAYS.INTL(DATE($B$3,12,13),DATE($B$3,12,13),1,'Non-working days'!$A$6:$A$45)=0),"",IF(COUNTIFS('Leave log'!$A$7:$A$306,Employees!$A$10,'Leave log'!$B$7:$B$306,"&lt;="&amp;DATE($B$3,12,13),'Leave log'!$C$7:$C$306,"&gt;="&amp;DATE($B$3,12,13),'Leave log'!$F$7:$F$306,"Approved")&gt;0,"A",""))="A","A",IF(OR(DATE($B$3,12,13)&gt;EOMONTH(DATE($B$3,12,1),0),NETWORKDAYS.INTL(DATE($B$3,12,13),DATE($B$3,12,13),1,'Non-working days'!$A$6:$A$45)=0),"",IF(COUNTIFS('Leave log'!$A$7:$A$306,Employees!$A$10,'Leave log'!$B$7:$B$306,"&lt;="&amp;DATE($B$3,12,13),'Leave log'!$C$7:$C$306,"&gt;="&amp;DATE($B$3,12,13),'Leave log'!$F$7:$F$306,"Pending")&gt;0,"P",""))))</f>
        <v/>
      </c>
      <c r="O385" s="23" t="str">
        <f>IF(A385="","",IF(IF(OR(DATE($B$3,12,14)&gt;EOMONTH(DATE($B$3,12,1),0),NETWORKDAYS.INTL(DATE($B$3,12,14),DATE($B$3,12,14),1,'Non-working days'!$A$6:$A$45)=0),"",IF(COUNTIFS('Leave log'!$A$7:$A$306,Employees!$A$10,'Leave log'!$B$7:$B$306,"&lt;="&amp;DATE($B$3,12,14),'Leave log'!$C$7:$C$306,"&gt;="&amp;DATE($B$3,12,14),'Leave log'!$F$7:$F$306,"Approved")&gt;0,"A",""))="A","A",IF(OR(DATE($B$3,12,14)&gt;EOMONTH(DATE($B$3,12,1),0),NETWORKDAYS.INTL(DATE($B$3,12,14),DATE($B$3,12,14),1,'Non-working days'!$A$6:$A$45)=0),"",IF(COUNTIFS('Leave log'!$A$7:$A$306,Employees!$A$10,'Leave log'!$B$7:$B$306,"&lt;="&amp;DATE($B$3,12,14),'Leave log'!$C$7:$C$306,"&gt;="&amp;DATE($B$3,12,14),'Leave log'!$F$7:$F$306,"Pending")&gt;0,"P",""))))</f>
        <v/>
      </c>
      <c r="P385" s="23" t="str">
        <f>IF(A385="","",IF(IF(OR(DATE($B$3,12,15)&gt;EOMONTH(DATE($B$3,12,1),0),NETWORKDAYS.INTL(DATE($B$3,12,15),DATE($B$3,12,15),1,'Non-working days'!$A$6:$A$45)=0),"",IF(COUNTIFS('Leave log'!$A$7:$A$306,Employees!$A$10,'Leave log'!$B$7:$B$306,"&lt;="&amp;DATE($B$3,12,15),'Leave log'!$C$7:$C$306,"&gt;="&amp;DATE($B$3,12,15),'Leave log'!$F$7:$F$306,"Approved")&gt;0,"A",""))="A","A",IF(OR(DATE($B$3,12,15)&gt;EOMONTH(DATE($B$3,12,1),0),NETWORKDAYS.INTL(DATE($B$3,12,15),DATE($B$3,12,15),1,'Non-working days'!$A$6:$A$45)=0),"",IF(COUNTIFS('Leave log'!$A$7:$A$306,Employees!$A$10,'Leave log'!$B$7:$B$306,"&lt;="&amp;DATE($B$3,12,15),'Leave log'!$C$7:$C$306,"&gt;="&amp;DATE($B$3,12,15),'Leave log'!$F$7:$F$306,"Pending")&gt;0,"P",""))))</f>
        <v/>
      </c>
      <c r="Q385" s="23" t="str">
        <f>IF(A385="","",IF(IF(OR(DATE($B$3,12,16)&gt;EOMONTH(DATE($B$3,12,1),0),NETWORKDAYS.INTL(DATE($B$3,12,16),DATE($B$3,12,16),1,'Non-working days'!$A$6:$A$45)=0),"",IF(COUNTIFS('Leave log'!$A$7:$A$306,Employees!$A$10,'Leave log'!$B$7:$B$306,"&lt;="&amp;DATE($B$3,12,16),'Leave log'!$C$7:$C$306,"&gt;="&amp;DATE($B$3,12,16),'Leave log'!$F$7:$F$306,"Approved")&gt;0,"A",""))="A","A",IF(OR(DATE($B$3,12,16)&gt;EOMONTH(DATE($B$3,12,1),0),NETWORKDAYS.INTL(DATE($B$3,12,16),DATE($B$3,12,16),1,'Non-working days'!$A$6:$A$45)=0),"",IF(COUNTIFS('Leave log'!$A$7:$A$306,Employees!$A$10,'Leave log'!$B$7:$B$306,"&lt;="&amp;DATE($B$3,12,16),'Leave log'!$C$7:$C$306,"&gt;="&amp;DATE($B$3,12,16),'Leave log'!$F$7:$F$306,"Pending")&gt;0,"P",""))))</f>
        <v/>
      </c>
      <c r="R385" s="23" t="str">
        <f>IF(A385="","",IF(IF(OR(DATE($B$3,12,17)&gt;EOMONTH(DATE($B$3,12,1),0),NETWORKDAYS.INTL(DATE($B$3,12,17),DATE($B$3,12,17),1,'Non-working days'!$A$6:$A$45)=0),"",IF(COUNTIFS('Leave log'!$A$7:$A$306,Employees!$A$10,'Leave log'!$B$7:$B$306,"&lt;="&amp;DATE($B$3,12,17),'Leave log'!$C$7:$C$306,"&gt;="&amp;DATE($B$3,12,17),'Leave log'!$F$7:$F$306,"Approved")&gt;0,"A",""))="A","A",IF(OR(DATE($B$3,12,17)&gt;EOMONTH(DATE($B$3,12,1),0),NETWORKDAYS.INTL(DATE($B$3,12,17),DATE($B$3,12,17),1,'Non-working days'!$A$6:$A$45)=0),"",IF(COUNTIFS('Leave log'!$A$7:$A$306,Employees!$A$10,'Leave log'!$B$7:$B$306,"&lt;="&amp;DATE($B$3,12,17),'Leave log'!$C$7:$C$306,"&gt;="&amp;DATE($B$3,12,17),'Leave log'!$F$7:$F$306,"Pending")&gt;0,"P",""))))</f>
        <v/>
      </c>
      <c r="S385" s="23" t="str">
        <f>IF(A385="","",IF(IF(OR(DATE($B$3,12,18)&gt;EOMONTH(DATE($B$3,12,1),0),NETWORKDAYS.INTL(DATE($B$3,12,18),DATE($B$3,12,18),1,'Non-working days'!$A$6:$A$45)=0),"",IF(COUNTIFS('Leave log'!$A$7:$A$306,Employees!$A$10,'Leave log'!$B$7:$B$306,"&lt;="&amp;DATE($B$3,12,18),'Leave log'!$C$7:$C$306,"&gt;="&amp;DATE($B$3,12,18),'Leave log'!$F$7:$F$306,"Approved")&gt;0,"A",""))="A","A",IF(OR(DATE($B$3,12,18)&gt;EOMONTH(DATE($B$3,12,1),0),NETWORKDAYS.INTL(DATE($B$3,12,18),DATE($B$3,12,18),1,'Non-working days'!$A$6:$A$45)=0),"",IF(COUNTIFS('Leave log'!$A$7:$A$306,Employees!$A$10,'Leave log'!$B$7:$B$306,"&lt;="&amp;DATE($B$3,12,18),'Leave log'!$C$7:$C$306,"&gt;="&amp;DATE($B$3,12,18),'Leave log'!$F$7:$F$306,"Pending")&gt;0,"P",""))))</f>
        <v/>
      </c>
      <c r="T385" s="23" t="str">
        <f>IF(A385="","",IF(IF(OR(DATE($B$3,12,19)&gt;EOMONTH(DATE($B$3,12,1),0),NETWORKDAYS.INTL(DATE($B$3,12,19),DATE($B$3,12,19),1,'Non-working days'!$A$6:$A$45)=0),"",IF(COUNTIFS('Leave log'!$A$7:$A$306,Employees!$A$10,'Leave log'!$B$7:$B$306,"&lt;="&amp;DATE($B$3,12,19),'Leave log'!$C$7:$C$306,"&gt;="&amp;DATE($B$3,12,19),'Leave log'!$F$7:$F$306,"Approved")&gt;0,"A",""))="A","A",IF(OR(DATE($B$3,12,19)&gt;EOMONTH(DATE($B$3,12,1),0),NETWORKDAYS.INTL(DATE($B$3,12,19),DATE($B$3,12,19),1,'Non-working days'!$A$6:$A$45)=0),"",IF(COUNTIFS('Leave log'!$A$7:$A$306,Employees!$A$10,'Leave log'!$B$7:$B$306,"&lt;="&amp;DATE($B$3,12,19),'Leave log'!$C$7:$C$306,"&gt;="&amp;DATE($B$3,12,19),'Leave log'!$F$7:$F$306,"Pending")&gt;0,"P",""))))</f>
        <v/>
      </c>
      <c r="U385" s="23" t="str">
        <f>IF(A385="","",IF(IF(OR(DATE($B$3,12,20)&gt;EOMONTH(DATE($B$3,12,1),0),NETWORKDAYS.INTL(DATE($B$3,12,20),DATE($B$3,12,20),1,'Non-working days'!$A$6:$A$45)=0),"",IF(COUNTIFS('Leave log'!$A$7:$A$306,Employees!$A$10,'Leave log'!$B$7:$B$306,"&lt;="&amp;DATE($B$3,12,20),'Leave log'!$C$7:$C$306,"&gt;="&amp;DATE($B$3,12,20),'Leave log'!$F$7:$F$306,"Approved")&gt;0,"A",""))="A","A",IF(OR(DATE($B$3,12,20)&gt;EOMONTH(DATE($B$3,12,1),0),NETWORKDAYS.INTL(DATE($B$3,12,20),DATE($B$3,12,20),1,'Non-working days'!$A$6:$A$45)=0),"",IF(COUNTIFS('Leave log'!$A$7:$A$306,Employees!$A$10,'Leave log'!$B$7:$B$306,"&lt;="&amp;DATE($B$3,12,20),'Leave log'!$C$7:$C$306,"&gt;="&amp;DATE($B$3,12,20),'Leave log'!$F$7:$F$306,"Pending")&gt;0,"P",""))))</f>
        <v/>
      </c>
      <c r="V385" s="23" t="str">
        <f>IF(A385="","",IF(IF(OR(DATE($B$3,12,21)&gt;EOMONTH(DATE($B$3,12,1),0),NETWORKDAYS.INTL(DATE($B$3,12,21),DATE($B$3,12,21),1,'Non-working days'!$A$6:$A$45)=0),"",IF(COUNTIFS('Leave log'!$A$7:$A$306,Employees!$A$10,'Leave log'!$B$7:$B$306,"&lt;="&amp;DATE($B$3,12,21),'Leave log'!$C$7:$C$306,"&gt;="&amp;DATE($B$3,12,21),'Leave log'!$F$7:$F$306,"Approved")&gt;0,"A",""))="A","A",IF(OR(DATE($B$3,12,21)&gt;EOMONTH(DATE($B$3,12,1),0),NETWORKDAYS.INTL(DATE($B$3,12,21),DATE($B$3,12,21),1,'Non-working days'!$A$6:$A$45)=0),"",IF(COUNTIFS('Leave log'!$A$7:$A$306,Employees!$A$10,'Leave log'!$B$7:$B$306,"&lt;="&amp;DATE($B$3,12,21),'Leave log'!$C$7:$C$306,"&gt;="&amp;DATE($B$3,12,21),'Leave log'!$F$7:$F$306,"Pending")&gt;0,"P",""))))</f>
        <v/>
      </c>
      <c r="W385" s="23" t="str">
        <f>IF(A385="","",IF(IF(OR(DATE($B$3,12,22)&gt;EOMONTH(DATE($B$3,12,1),0),NETWORKDAYS.INTL(DATE($B$3,12,22),DATE($B$3,12,22),1,'Non-working days'!$A$6:$A$45)=0),"",IF(COUNTIFS('Leave log'!$A$7:$A$306,Employees!$A$10,'Leave log'!$B$7:$B$306,"&lt;="&amp;DATE($B$3,12,22),'Leave log'!$C$7:$C$306,"&gt;="&amp;DATE($B$3,12,22),'Leave log'!$F$7:$F$306,"Approved")&gt;0,"A",""))="A","A",IF(OR(DATE($B$3,12,22)&gt;EOMONTH(DATE($B$3,12,1),0),NETWORKDAYS.INTL(DATE($B$3,12,22),DATE($B$3,12,22),1,'Non-working days'!$A$6:$A$45)=0),"",IF(COUNTIFS('Leave log'!$A$7:$A$306,Employees!$A$10,'Leave log'!$B$7:$B$306,"&lt;="&amp;DATE($B$3,12,22),'Leave log'!$C$7:$C$306,"&gt;="&amp;DATE($B$3,12,22),'Leave log'!$F$7:$F$306,"Pending")&gt;0,"P",""))))</f>
        <v/>
      </c>
      <c r="X385" s="23" t="str">
        <f>IF(A385="","",IF(IF(OR(DATE($B$3,12,23)&gt;EOMONTH(DATE($B$3,12,1),0),NETWORKDAYS.INTL(DATE($B$3,12,23),DATE($B$3,12,23),1,'Non-working days'!$A$6:$A$45)=0),"",IF(COUNTIFS('Leave log'!$A$7:$A$306,Employees!$A$10,'Leave log'!$B$7:$B$306,"&lt;="&amp;DATE($B$3,12,23),'Leave log'!$C$7:$C$306,"&gt;="&amp;DATE($B$3,12,23),'Leave log'!$F$7:$F$306,"Approved")&gt;0,"A",""))="A","A",IF(OR(DATE($B$3,12,23)&gt;EOMONTH(DATE($B$3,12,1),0),NETWORKDAYS.INTL(DATE($B$3,12,23),DATE($B$3,12,23),1,'Non-working days'!$A$6:$A$45)=0),"",IF(COUNTIFS('Leave log'!$A$7:$A$306,Employees!$A$10,'Leave log'!$B$7:$B$306,"&lt;="&amp;DATE($B$3,12,23),'Leave log'!$C$7:$C$306,"&gt;="&amp;DATE($B$3,12,23),'Leave log'!$F$7:$F$306,"Pending")&gt;0,"P",""))))</f>
        <v/>
      </c>
      <c r="Y385" s="23" t="str">
        <f>IF(A385="","",IF(IF(OR(DATE($B$3,12,24)&gt;EOMONTH(DATE($B$3,12,1),0),NETWORKDAYS.INTL(DATE($B$3,12,24),DATE($B$3,12,24),1,'Non-working days'!$A$6:$A$45)=0),"",IF(COUNTIFS('Leave log'!$A$7:$A$306,Employees!$A$10,'Leave log'!$B$7:$B$306,"&lt;="&amp;DATE($B$3,12,24),'Leave log'!$C$7:$C$306,"&gt;="&amp;DATE($B$3,12,24),'Leave log'!$F$7:$F$306,"Approved")&gt;0,"A",""))="A","A",IF(OR(DATE($B$3,12,24)&gt;EOMONTH(DATE($B$3,12,1),0),NETWORKDAYS.INTL(DATE($B$3,12,24),DATE($B$3,12,24),1,'Non-working days'!$A$6:$A$45)=0),"",IF(COUNTIFS('Leave log'!$A$7:$A$306,Employees!$A$10,'Leave log'!$B$7:$B$306,"&lt;="&amp;DATE($B$3,12,24),'Leave log'!$C$7:$C$306,"&gt;="&amp;DATE($B$3,12,24),'Leave log'!$F$7:$F$306,"Pending")&gt;0,"P",""))))</f>
        <v/>
      </c>
      <c r="Z385" s="23" t="str">
        <f>IF(A385="","",IF(IF(OR(DATE($B$3,12,25)&gt;EOMONTH(DATE($B$3,12,1),0),NETWORKDAYS.INTL(DATE($B$3,12,25),DATE($B$3,12,25),1,'Non-working days'!$A$6:$A$45)=0),"",IF(COUNTIFS('Leave log'!$A$7:$A$306,Employees!$A$10,'Leave log'!$B$7:$B$306,"&lt;="&amp;DATE($B$3,12,25),'Leave log'!$C$7:$C$306,"&gt;="&amp;DATE($B$3,12,25),'Leave log'!$F$7:$F$306,"Approved")&gt;0,"A",""))="A","A",IF(OR(DATE($B$3,12,25)&gt;EOMONTH(DATE($B$3,12,1),0),NETWORKDAYS.INTL(DATE($B$3,12,25),DATE($B$3,12,25),1,'Non-working days'!$A$6:$A$45)=0),"",IF(COUNTIFS('Leave log'!$A$7:$A$306,Employees!$A$10,'Leave log'!$B$7:$B$306,"&lt;="&amp;DATE($B$3,12,25),'Leave log'!$C$7:$C$306,"&gt;="&amp;DATE($B$3,12,25),'Leave log'!$F$7:$F$306,"Pending")&gt;0,"P",""))))</f>
        <v/>
      </c>
      <c r="AA385" s="23" t="str">
        <f>IF(A385="","",IF(IF(OR(DATE($B$3,12,26)&gt;EOMONTH(DATE($B$3,12,1),0),NETWORKDAYS.INTL(DATE($B$3,12,26),DATE($B$3,12,26),1,'Non-working days'!$A$6:$A$45)=0),"",IF(COUNTIFS('Leave log'!$A$7:$A$306,Employees!$A$10,'Leave log'!$B$7:$B$306,"&lt;="&amp;DATE($B$3,12,26),'Leave log'!$C$7:$C$306,"&gt;="&amp;DATE($B$3,12,26),'Leave log'!$F$7:$F$306,"Approved")&gt;0,"A",""))="A","A",IF(OR(DATE($B$3,12,26)&gt;EOMONTH(DATE($B$3,12,1),0),NETWORKDAYS.INTL(DATE($B$3,12,26),DATE($B$3,12,26),1,'Non-working days'!$A$6:$A$45)=0),"",IF(COUNTIFS('Leave log'!$A$7:$A$306,Employees!$A$10,'Leave log'!$B$7:$B$306,"&lt;="&amp;DATE($B$3,12,26),'Leave log'!$C$7:$C$306,"&gt;="&amp;DATE($B$3,12,26),'Leave log'!$F$7:$F$306,"Pending")&gt;0,"P",""))))</f>
        <v/>
      </c>
      <c r="AB385" s="23" t="str">
        <f>IF(A385="","",IF(IF(OR(DATE($B$3,12,27)&gt;EOMONTH(DATE($B$3,12,1),0),NETWORKDAYS.INTL(DATE($B$3,12,27),DATE($B$3,12,27),1,'Non-working days'!$A$6:$A$45)=0),"",IF(COUNTIFS('Leave log'!$A$7:$A$306,Employees!$A$10,'Leave log'!$B$7:$B$306,"&lt;="&amp;DATE($B$3,12,27),'Leave log'!$C$7:$C$306,"&gt;="&amp;DATE($B$3,12,27),'Leave log'!$F$7:$F$306,"Approved")&gt;0,"A",""))="A","A",IF(OR(DATE($B$3,12,27)&gt;EOMONTH(DATE($B$3,12,1),0),NETWORKDAYS.INTL(DATE($B$3,12,27),DATE($B$3,12,27),1,'Non-working days'!$A$6:$A$45)=0),"",IF(COUNTIFS('Leave log'!$A$7:$A$306,Employees!$A$10,'Leave log'!$B$7:$B$306,"&lt;="&amp;DATE($B$3,12,27),'Leave log'!$C$7:$C$306,"&gt;="&amp;DATE($B$3,12,27),'Leave log'!$F$7:$F$306,"Pending")&gt;0,"P",""))))</f>
        <v/>
      </c>
      <c r="AC385" s="23" t="str">
        <f>IF(A385="","",IF(IF(OR(DATE($B$3,12,28)&gt;EOMONTH(DATE($B$3,12,1),0),NETWORKDAYS.INTL(DATE($B$3,12,28),DATE($B$3,12,28),1,'Non-working days'!$A$6:$A$45)=0),"",IF(COUNTIFS('Leave log'!$A$7:$A$306,Employees!$A$10,'Leave log'!$B$7:$B$306,"&lt;="&amp;DATE($B$3,12,28),'Leave log'!$C$7:$C$306,"&gt;="&amp;DATE($B$3,12,28),'Leave log'!$F$7:$F$306,"Approved")&gt;0,"A",""))="A","A",IF(OR(DATE($B$3,12,28)&gt;EOMONTH(DATE($B$3,12,1),0),NETWORKDAYS.INTL(DATE($B$3,12,28),DATE($B$3,12,28),1,'Non-working days'!$A$6:$A$45)=0),"",IF(COUNTIFS('Leave log'!$A$7:$A$306,Employees!$A$10,'Leave log'!$B$7:$B$306,"&lt;="&amp;DATE($B$3,12,28),'Leave log'!$C$7:$C$306,"&gt;="&amp;DATE($B$3,12,28),'Leave log'!$F$7:$F$306,"Pending")&gt;0,"P",""))))</f>
        <v/>
      </c>
      <c r="AD385" s="23" t="str">
        <f>IF(A385="","",IF(IF(OR(DATE($B$3,12,29)&gt;EOMONTH(DATE($B$3,12,1),0),NETWORKDAYS.INTL(DATE($B$3,12,29),DATE($B$3,12,29),1,'Non-working days'!$A$6:$A$45)=0),"",IF(COUNTIFS('Leave log'!$A$7:$A$306,Employees!$A$10,'Leave log'!$B$7:$B$306,"&lt;="&amp;DATE($B$3,12,29),'Leave log'!$C$7:$C$306,"&gt;="&amp;DATE($B$3,12,29),'Leave log'!$F$7:$F$306,"Approved")&gt;0,"A",""))="A","A",IF(OR(DATE($B$3,12,29)&gt;EOMONTH(DATE($B$3,12,1),0),NETWORKDAYS.INTL(DATE($B$3,12,29),DATE($B$3,12,29),1,'Non-working days'!$A$6:$A$45)=0),"",IF(COUNTIFS('Leave log'!$A$7:$A$306,Employees!$A$10,'Leave log'!$B$7:$B$306,"&lt;="&amp;DATE($B$3,12,29),'Leave log'!$C$7:$C$306,"&gt;="&amp;DATE($B$3,12,29),'Leave log'!$F$7:$F$306,"Pending")&gt;0,"P",""))))</f>
        <v/>
      </c>
      <c r="AE385" s="23" t="str">
        <f>IF(A385="","",IF(IF(OR(DATE($B$3,12,30)&gt;EOMONTH(DATE($B$3,12,1),0),NETWORKDAYS.INTL(DATE($B$3,12,30),DATE($B$3,12,30),1,'Non-working days'!$A$6:$A$45)=0),"",IF(COUNTIFS('Leave log'!$A$7:$A$306,Employees!$A$10,'Leave log'!$B$7:$B$306,"&lt;="&amp;DATE($B$3,12,30),'Leave log'!$C$7:$C$306,"&gt;="&amp;DATE($B$3,12,30),'Leave log'!$F$7:$F$306,"Approved")&gt;0,"A",""))="A","A",IF(OR(DATE($B$3,12,30)&gt;EOMONTH(DATE($B$3,12,1),0),NETWORKDAYS.INTL(DATE($B$3,12,30),DATE($B$3,12,30),1,'Non-working days'!$A$6:$A$45)=0),"",IF(COUNTIFS('Leave log'!$A$7:$A$306,Employees!$A$10,'Leave log'!$B$7:$B$306,"&lt;="&amp;DATE($B$3,12,30),'Leave log'!$C$7:$C$306,"&gt;="&amp;DATE($B$3,12,30),'Leave log'!$F$7:$F$306,"Pending")&gt;0,"P",""))))</f>
        <v/>
      </c>
      <c r="AF385" s="23" t="str">
        <f>IF(A385="","",IF(IF(OR(DATE($B$3,12,31)&gt;EOMONTH(DATE($B$3,12,1),0),NETWORKDAYS.INTL(DATE($B$3,12,31),DATE($B$3,12,31),1,'Non-working days'!$A$6:$A$45)=0),"",IF(COUNTIFS('Leave log'!$A$7:$A$306,Employees!$A$10,'Leave log'!$B$7:$B$306,"&lt;="&amp;DATE($B$3,12,31),'Leave log'!$C$7:$C$306,"&gt;="&amp;DATE($B$3,12,31),'Leave log'!$F$7:$F$306,"Approved")&gt;0,"A",""))="A","A",IF(OR(DATE($B$3,12,31)&gt;EOMONTH(DATE($B$3,12,1),0),NETWORKDAYS.INTL(DATE($B$3,12,31),DATE($B$3,12,31),1,'Non-working days'!$A$6:$A$45)=0),"",IF(COUNTIFS('Leave log'!$A$7:$A$306,Employees!$A$10,'Leave log'!$B$7:$B$306,"&lt;="&amp;DATE($B$3,12,31),'Leave log'!$C$7:$C$306,"&gt;="&amp;DATE($B$3,12,31),'Leave log'!$F$7:$F$306,"Pending")&gt;0,"P",""))))</f>
        <v/>
      </c>
    </row>
    <row r="386" spans="1:32" ht="18" customHeight="1" x14ac:dyDescent="0.3">
      <c r="A386" s="22" t="str">
        <f>IF(Employees!F11="Yes",Employees!B11,"")</f>
        <v/>
      </c>
      <c r="B386" s="23" t="str">
        <f>IF(A386="","",IF(IF(OR(DATE($B$3,12,1)&gt;EOMONTH(DATE($B$3,12,1),0),NETWORKDAYS.INTL(DATE($B$3,12,1),DATE($B$3,12,1),1,'Non-working days'!$A$6:$A$45)=0),"",IF(COUNTIFS('Leave log'!$A$7:$A$306,Employees!$A$11,'Leave log'!$B$7:$B$306,"&lt;="&amp;DATE($B$3,12,1),'Leave log'!$C$7:$C$306,"&gt;="&amp;DATE($B$3,12,1),'Leave log'!$F$7:$F$306,"Approved")&gt;0,"A",""))="A","A",IF(OR(DATE($B$3,12,1)&gt;EOMONTH(DATE($B$3,12,1),0),NETWORKDAYS.INTL(DATE($B$3,12,1),DATE($B$3,12,1),1,'Non-working days'!$A$6:$A$45)=0),"",IF(COUNTIFS('Leave log'!$A$7:$A$306,Employees!$A$11,'Leave log'!$B$7:$B$306,"&lt;="&amp;DATE($B$3,12,1),'Leave log'!$C$7:$C$306,"&gt;="&amp;DATE($B$3,12,1),'Leave log'!$F$7:$F$306,"Pending")&gt;0,"P",""))))</f>
        <v/>
      </c>
      <c r="C386" s="23" t="str">
        <f>IF(A386="","",IF(IF(OR(DATE($B$3,12,2)&gt;EOMONTH(DATE($B$3,12,1),0),NETWORKDAYS.INTL(DATE($B$3,12,2),DATE($B$3,12,2),1,'Non-working days'!$A$6:$A$45)=0),"",IF(COUNTIFS('Leave log'!$A$7:$A$306,Employees!$A$11,'Leave log'!$B$7:$B$306,"&lt;="&amp;DATE($B$3,12,2),'Leave log'!$C$7:$C$306,"&gt;="&amp;DATE($B$3,12,2),'Leave log'!$F$7:$F$306,"Approved")&gt;0,"A",""))="A","A",IF(OR(DATE($B$3,12,2)&gt;EOMONTH(DATE($B$3,12,1),0),NETWORKDAYS.INTL(DATE($B$3,12,2),DATE($B$3,12,2),1,'Non-working days'!$A$6:$A$45)=0),"",IF(COUNTIFS('Leave log'!$A$7:$A$306,Employees!$A$11,'Leave log'!$B$7:$B$306,"&lt;="&amp;DATE($B$3,12,2),'Leave log'!$C$7:$C$306,"&gt;="&amp;DATE($B$3,12,2),'Leave log'!$F$7:$F$306,"Pending")&gt;0,"P",""))))</f>
        <v/>
      </c>
      <c r="D386" s="23" t="str">
        <f>IF(A386="","",IF(IF(OR(DATE($B$3,12,3)&gt;EOMONTH(DATE($B$3,12,1),0),NETWORKDAYS.INTL(DATE($B$3,12,3),DATE($B$3,12,3),1,'Non-working days'!$A$6:$A$45)=0),"",IF(COUNTIFS('Leave log'!$A$7:$A$306,Employees!$A$11,'Leave log'!$B$7:$B$306,"&lt;="&amp;DATE($B$3,12,3),'Leave log'!$C$7:$C$306,"&gt;="&amp;DATE($B$3,12,3),'Leave log'!$F$7:$F$306,"Approved")&gt;0,"A",""))="A","A",IF(OR(DATE($B$3,12,3)&gt;EOMONTH(DATE($B$3,12,1),0),NETWORKDAYS.INTL(DATE($B$3,12,3),DATE($B$3,12,3),1,'Non-working days'!$A$6:$A$45)=0),"",IF(COUNTIFS('Leave log'!$A$7:$A$306,Employees!$A$11,'Leave log'!$B$7:$B$306,"&lt;="&amp;DATE($B$3,12,3),'Leave log'!$C$7:$C$306,"&gt;="&amp;DATE($B$3,12,3),'Leave log'!$F$7:$F$306,"Pending")&gt;0,"P",""))))</f>
        <v/>
      </c>
      <c r="E386" s="23" t="str">
        <f>IF(A386="","",IF(IF(OR(DATE($B$3,12,4)&gt;EOMONTH(DATE($B$3,12,1),0),NETWORKDAYS.INTL(DATE($B$3,12,4),DATE($B$3,12,4),1,'Non-working days'!$A$6:$A$45)=0),"",IF(COUNTIFS('Leave log'!$A$7:$A$306,Employees!$A$11,'Leave log'!$B$7:$B$306,"&lt;="&amp;DATE($B$3,12,4),'Leave log'!$C$7:$C$306,"&gt;="&amp;DATE($B$3,12,4),'Leave log'!$F$7:$F$306,"Approved")&gt;0,"A",""))="A","A",IF(OR(DATE($B$3,12,4)&gt;EOMONTH(DATE($B$3,12,1),0),NETWORKDAYS.INTL(DATE($B$3,12,4),DATE($B$3,12,4),1,'Non-working days'!$A$6:$A$45)=0),"",IF(COUNTIFS('Leave log'!$A$7:$A$306,Employees!$A$11,'Leave log'!$B$7:$B$306,"&lt;="&amp;DATE($B$3,12,4),'Leave log'!$C$7:$C$306,"&gt;="&amp;DATE($B$3,12,4),'Leave log'!$F$7:$F$306,"Pending")&gt;0,"P",""))))</f>
        <v/>
      </c>
      <c r="F386" s="23" t="str">
        <f>IF(A386="","",IF(IF(OR(DATE($B$3,12,5)&gt;EOMONTH(DATE($B$3,12,1),0),NETWORKDAYS.INTL(DATE($B$3,12,5),DATE($B$3,12,5),1,'Non-working days'!$A$6:$A$45)=0),"",IF(COUNTIFS('Leave log'!$A$7:$A$306,Employees!$A$11,'Leave log'!$B$7:$B$306,"&lt;="&amp;DATE($B$3,12,5),'Leave log'!$C$7:$C$306,"&gt;="&amp;DATE($B$3,12,5),'Leave log'!$F$7:$F$306,"Approved")&gt;0,"A",""))="A","A",IF(OR(DATE($B$3,12,5)&gt;EOMONTH(DATE($B$3,12,1),0),NETWORKDAYS.INTL(DATE($B$3,12,5),DATE($B$3,12,5),1,'Non-working days'!$A$6:$A$45)=0),"",IF(COUNTIFS('Leave log'!$A$7:$A$306,Employees!$A$11,'Leave log'!$B$7:$B$306,"&lt;="&amp;DATE($B$3,12,5),'Leave log'!$C$7:$C$306,"&gt;="&amp;DATE($B$3,12,5),'Leave log'!$F$7:$F$306,"Pending")&gt;0,"P",""))))</f>
        <v/>
      </c>
      <c r="G386" s="23" t="str">
        <f>IF(A386="","",IF(IF(OR(DATE($B$3,12,6)&gt;EOMONTH(DATE($B$3,12,1),0),NETWORKDAYS.INTL(DATE($B$3,12,6),DATE($B$3,12,6),1,'Non-working days'!$A$6:$A$45)=0),"",IF(COUNTIFS('Leave log'!$A$7:$A$306,Employees!$A$11,'Leave log'!$B$7:$B$306,"&lt;="&amp;DATE($B$3,12,6),'Leave log'!$C$7:$C$306,"&gt;="&amp;DATE($B$3,12,6),'Leave log'!$F$7:$F$306,"Approved")&gt;0,"A",""))="A","A",IF(OR(DATE($B$3,12,6)&gt;EOMONTH(DATE($B$3,12,1),0),NETWORKDAYS.INTL(DATE($B$3,12,6),DATE($B$3,12,6),1,'Non-working days'!$A$6:$A$45)=0),"",IF(COUNTIFS('Leave log'!$A$7:$A$306,Employees!$A$11,'Leave log'!$B$7:$B$306,"&lt;="&amp;DATE($B$3,12,6),'Leave log'!$C$7:$C$306,"&gt;="&amp;DATE($B$3,12,6),'Leave log'!$F$7:$F$306,"Pending")&gt;0,"P",""))))</f>
        <v/>
      </c>
      <c r="H386" s="23" t="str">
        <f>IF(A386="","",IF(IF(OR(DATE($B$3,12,7)&gt;EOMONTH(DATE($B$3,12,1),0),NETWORKDAYS.INTL(DATE($B$3,12,7),DATE($B$3,12,7),1,'Non-working days'!$A$6:$A$45)=0),"",IF(COUNTIFS('Leave log'!$A$7:$A$306,Employees!$A$11,'Leave log'!$B$7:$B$306,"&lt;="&amp;DATE($B$3,12,7),'Leave log'!$C$7:$C$306,"&gt;="&amp;DATE($B$3,12,7),'Leave log'!$F$7:$F$306,"Approved")&gt;0,"A",""))="A","A",IF(OR(DATE($B$3,12,7)&gt;EOMONTH(DATE($B$3,12,1),0),NETWORKDAYS.INTL(DATE($B$3,12,7),DATE($B$3,12,7),1,'Non-working days'!$A$6:$A$45)=0),"",IF(COUNTIFS('Leave log'!$A$7:$A$306,Employees!$A$11,'Leave log'!$B$7:$B$306,"&lt;="&amp;DATE($B$3,12,7),'Leave log'!$C$7:$C$306,"&gt;="&amp;DATE($B$3,12,7),'Leave log'!$F$7:$F$306,"Pending")&gt;0,"P",""))))</f>
        <v/>
      </c>
      <c r="I386" s="23" t="str">
        <f>IF(A386="","",IF(IF(OR(DATE($B$3,12,8)&gt;EOMONTH(DATE($B$3,12,1),0),NETWORKDAYS.INTL(DATE($B$3,12,8),DATE($B$3,12,8),1,'Non-working days'!$A$6:$A$45)=0),"",IF(COUNTIFS('Leave log'!$A$7:$A$306,Employees!$A$11,'Leave log'!$B$7:$B$306,"&lt;="&amp;DATE($B$3,12,8),'Leave log'!$C$7:$C$306,"&gt;="&amp;DATE($B$3,12,8),'Leave log'!$F$7:$F$306,"Approved")&gt;0,"A",""))="A","A",IF(OR(DATE($B$3,12,8)&gt;EOMONTH(DATE($B$3,12,1),0),NETWORKDAYS.INTL(DATE($B$3,12,8),DATE($B$3,12,8),1,'Non-working days'!$A$6:$A$45)=0),"",IF(COUNTIFS('Leave log'!$A$7:$A$306,Employees!$A$11,'Leave log'!$B$7:$B$306,"&lt;="&amp;DATE($B$3,12,8),'Leave log'!$C$7:$C$306,"&gt;="&amp;DATE($B$3,12,8),'Leave log'!$F$7:$F$306,"Pending")&gt;0,"P",""))))</f>
        <v/>
      </c>
      <c r="J386" s="23" t="str">
        <f>IF(A386="","",IF(IF(OR(DATE($B$3,12,9)&gt;EOMONTH(DATE($B$3,12,1),0),NETWORKDAYS.INTL(DATE($B$3,12,9),DATE($B$3,12,9),1,'Non-working days'!$A$6:$A$45)=0),"",IF(COUNTIFS('Leave log'!$A$7:$A$306,Employees!$A$11,'Leave log'!$B$7:$B$306,"&lt;="&amp;DATE($B$3,12,9),'Leave log'!$C$7:$C$306,"&gt;="&amp;DATE($B$3,12,9),'Leave log'!$F$7:$F$306,"Approved")&gt;0,"A",""))="A","A",IF(OR(DATE($B$3,12,9)&gt;EOMONTH(DATE($B$3,12,1),0),NETWORKDAYS.INTL(DATE($B$3,12,9),DATE($B$3,12,9),1,'Non-working days'!$A$6:$A$45)=0),"",IF(COUNTIFS('Leave log'!$A$7:$A$306,Employees!$A$11,'Leave log'!$B$7:$B$306,"&lt;="&amp;DATE($B$3,12,9),'Leave log'!$C$7:$C$306,"&gt;="&amp;DATE($B$3,12,9),'Leave log'!$F$7:$F$306,"Pending")&gt;0,"P",""))))</f>
        <v/>
      </c>
      <c r="K386" s="23" t="str">
        <f>IF(A386="","",IF(IF(OR(DATE($B$3,12,10)&gt;EOMONTH(DATE($B$3,12,1),0),NETWORKDAYS.INTL(DATE($B$3,12,10),DATE($B$3,12,10),1,'Non-working days'!$A$6:$A$45)=0),"",IF(COUNTIFS('Leave log'!$A$7:$A$306,Employees!$A$11,'Leave log'!$B$7:$B$306,"&lt;="&amp;DATE($B$3,12,10),'Leave log'!$C$7:$C$306,"&gt;="&amp;DATE($B$3,12,10),'Leave log'!$F$7:$F$306,"Approved")&gt;0,"A",""))="A","A",IF(OR(DATE($B$3,12,10)&gt;EOMONTH(DATE($B$3,12,1),0),NETWORKDAYS.INTL(DATE($B$3,12,10),DATE($B$3,12,10),1,'Non-working days'!$A$6:$A$45)=0),"",IF(COUNTIFS('Leave log'!$A$7:$A$306,Employees!$A$11,'Leave log'!$B$7:$B$306,"&lt;="&amp;DATE($B$3,12,10),'Leave log'!$C$7:$C$306,"&gt;="&amp;DATE($B$3,12,10),'Leave log'!$F$7:$F$306,"Pending")&gt;0,"P",""))))</f>
        <v/>
      </c>
      <c r="L386" s="23" t="str">
        <f>IF(A386="","",IF(IF(OR(DATE($B$3,12,11)&gt;EOMONTH(DATE($B$3,12,1),0),NETWORKDAYS.INTL(DATE($B$3,12,11),DATE($B$3,12,11),1,'Non-working days'!$A$6:$A$45)=0),"",IF(COUNTIFS('Leave log'!$A$7:$A$306,Employees!$A$11,'Leave log'!$B$7:$B$306,"&lt;="&amp;DATE($B$3,12,11),'Leave log'!$C$7:$C$306,"&gt;="&amp;DATE($B$3,12,11),'Leave log'!$F$7:$F$306,"Approved")&gt;0,"A",""))="A","A",IF(OR(DATE($B$3,12,11)&gt;EOMONTH(DATE($B$3,12,1),0),NETWORKDAYS.INTL(DATE($B$3,12,11),DATE($B$3,12,11),1,'Non-working days'!$A$6:$A$45)=0),"",IF(COUNTIFS('Leave log'!$A$7:$A$306,Employees!$A$11,'Leave log'!$B$7:$B$306,"&lt;="&amp;DATE($B$3,12,11),'Leave log'!$C$7:$C$306,"&gt;="&amp;DATE($B$3,12,11),'Leave log'!$F$7:$F$306,"Pending")&gt;0,"P",""))))</f>
        <v/>
      </c>
      <c r="M386" s="23" t="str">
        <f>IF(A386="","",IF(IF(OR(DATE($B$3,12,12)&gt;EOMONTH(DATE($B$3,12,1),0),NETWORKDAYS.INTL(DATE($B$3,12,12),DATE($B$3,12,12),1,'Non-working days'!$A$6:$A$45)=0),"",IF(COUNTIFS('Leave log'!$A$7:$A$306,Employees!$A$11,'Leave log'!$B$7:$B$306,"&lt;="&amp;DATE($B$3,12,12),'Leave log'!$C$7:$C$306,"&gt;="&amp;DATE($B$3,12,12),'Leave log'!$F$7:$F$306,"Approved")&gt;0,"A",""))="A","A",IF(OR(DATE($B$3,12,12)&gt;EOMONTH(DATE($B$3,12,1),0),NETWORKDAYS.INTL(DATE($B$3,12,12),DATE($B$3,12,12),1,'Non-working days'!$A$6:$A$45)=0),"",IF(COUNTIFS('Leave log'!$A$7:$A$306,Employees!$A$11,'Leave log'!$B$7:$B$306,"&lt;="&amp;DATE($B$3,12,12),'Leave log'!$C$7:$C$306,"&gt;="&amp;DATE($B$3,12,12),'Leave log'!$F$7:$F$306,"Pending")&gt;0,"P",""))))</f>
        <v/>
      </c>
      <c r="N386" s="23" t="str">
        <f>IF(A386="","",IF(IF(OR(DATE($B$3,12,13)&gt;EOMONTH(DATE($B$3,12,1),0),NETWORKDAYS.INTL(DATE($B$3,12,13),DATE($B$3,12,13),1,'Non-working days'!$A$6:$A$45)=0),"",IF(COUNTIFS('Leave log'!$A$7:$A$306,Employees!$A$11,'Leave log'!$B$7:$B$306,"&lt;="&amp;DATE($B$3,12,13),'Leave log'!$C$7:$C$306,"&gt;="&amp;DATE($B$3,12,13),'Leave log'!$F$7:$F$306,"Approved")&gt;0,"A",""))="A","A",IF(OR(DATE($B$3,12,13)&gt;EOMONTH(DATE($B$3,12,1),0),NETWORKDAYS.INTL(DATE($B$3,12,13),DATE($B$3,12,13),1,'Non-working days'!$A$6:$A$45)=0),"",IF(COUNTIFS('Leave log'!$A$7:$A$306,Employees!$A$11,'Leave log'!$B$7:$B$306,"&lt;="&amp;DATE($B$3,12,13),'Leave log'!$C$7:$C$306,"&gt;="&amp;DATE($B$3,12,13),'Leave log'!$F$7:$F$306,"Pending")&gt;0,"P",""))))</f>
        <v/>
      </c>
      <c r="O386" s="23" t="str">
        <f>IF(A386="","",IF(IF(OR(DATE($B$3,12,14)&gt;EOMONTH(DATE($B$3,12,1),0),NETWORKDAYS.INTL(DATE($B$3,12,14),DATE($B$3,12,14),1,'Non-working days'!$A$6:$A$45)=0),"",IF(COUNTIFS('Leave log'!$A$7:$A$306,Employees!$A$11,'Leave log'!$B$7:$B$306,"&lt;="&amp;DATE($B$3,12,14),'Leave log'!$C$7:$C$306,"&gt;="&amp;DATE($B$3,12,14),'Leave log'!$F$7:$F$306,"Approved")&gt;0,"A",""))="A","A",IF(OR(DATE($B$3,12,14)&gt;EOMONTH(DATE($B$3,12,1),0),NETWORKDAYS.INTL(DATE($B$3,12,14),DATE($B$3,12,14),1,'Non-working days'!$A$6:$A$45)=0),"",IF(COUNTIFS('Leave log'!$A$7:$A$306,Employees!$A$11,'Leave log'!$B$7:$B$306,"&lt;="&amp;DATE($B$3,12,14),'Leave log'!$C$7:$C$306,"&gt;="&amp;DATE($B$3,12,14),'Leave log'!$F$7:$F$306,"Pending")&gt;0,"P",""))))</f>
        <v/>
      </c>
      <c r="P386" s="23" t="str">
        <f>IF(A386="","",IF(IF(OR(DATE($B$3,12,15)&gt;EOMONTH(DATE($B$3,12,1),0),NETWORKDAYS.INTL(DATE($B$3,12,15),DATE($B$3,12,15),1,'Non-working days'!$A$6:$A$45)=0),"",IF(COUNTIFS('Leave log'!$A$7:$A$306,Employees!$A$11,'Leave log'!$B$7:$B$306,"&lt;="&amp;DATE($B$3,12,15),'Leave log'!$C$7:$C$306,"&gt;="&amp;DATE($B$3,12,15),'Leave log'!$F$7:$F$306,"Approved")&gt;0,"A",""))="A","A",IF(OR(DATE($B$3,12,15)&gt;EOMONTH(DATE($B$3,12,1),0),NETWORKDAYS.INTL(DATE($B$3,12,15),DATE($B$3,12,15),1,'Non-working days'!$A$6:$A$45)=0),"",IF(COUNTIFS('Leave log'!$A$7:$A$306,Employees!$A$11,'Leave log'!$B$7:$B$306,"&lt;="&amp;DATE($B$3,12,15),'Leave log'!$C$7:$C$306,"&gt;="&amp;DATE($B$3,12,15),'Leave log'!$F$7:$F$306,"Pending")&gt;0,"P",""))))</f>
        <v/>
      </c>
      <c r="Q386" s="23" t="str">
        <f>IF(A386="","",IF(IF(OR(DATE($B$3,12,16)&gt;EOMONTH(DATE($B$3,12,1),0),NETWORKDAYS.INTL(DATE($B$3,12,16),DATE($B$3,12,16),1,'Non-working days'!$A$6:$A$45)=0),"",IF(COUNTIFS('Leave log'!$A$7:$A$306,Employees!$A$11,'Leave log'!$B$7:$B$306,"&lt;="&amp;DATE($B$3,12,16),'Leave log'!$C$7:$C$306,"&gt;="&amp;DATE($B$3,12,16),'Leave log'!$F$7:$F$306,"Approved")&gt;0,"A",""))="A","A",IF(OR(DATE($B$3,12,16)&gt;EOMONTH(DATE($B$3,12,1),0),NETWORKDAYS.INTL(DATE($B$3,12,16),DATE($B$3,12,16),1,'Non-working days'!$A$6:$A$45)=0),"",IF(COUNTIFS('Leave log'!$A$7:$A$306,Employees!$A$11,'Leave log'!$B$7:$B$306,"&lt;="&amp;DATE($B$3,12,16),'Leave log'!$C$7:$C$306,"&gt;="&amp;DATE($B$3,12,16),'Leave log'!$F$7:$F$306,"Pending")&gt;0,"P",""))))</f>
        <v/>
      </c>
      <c r="R386" s="23" t="str">
        <f>IF(A386="","",IF(IF(OR(DATE($B$3,12,17)&gt;EOMONTH(DATE($B$3,12,1),0),NETWORKDAYS.INTL(DATE($B$3,12,17),DATE($B$3,12,17),1,'Non-working days'!$A$6:$A$45)=0),"",IF(COUNTIFS('Leave log'!$A$7:$A$306,Employees!$A$11,'Leave log'!$B$7:$B$306,"&lt;="&amp;DATE($B$3,12,17),'Leave log'!$C$7:$C$306,"&gt;="&amp;DATE($B$3,12,17),'Leave log'!$F$7:$F$306,"Approved")&gt;0,"A",""))="A","A",IF(OR(DATE($B$3,12,17)&gt;EOMONTH(DATE($B$3,12,1),0),NETWORKDAYS.INTL(DATE($B$3,12,17),DATE($B$3,12,17),1,'Non-working days'!$A$6:$A$45)=0),"",IF(COUNTIFS('Leave log'!$A$7:$A$306,Employees!$A$11,'Leave log'!$B$7:$B$306,"&lt;="&amp;DATE($B$3,12,17),'Leave log'!$C$7:$C$306,"&gt;="&amp;DATE($B$3,12,17),'Leave log'!$F$7:$F$306,"Pending")&gt;0,"P",""))))</f>
        <v/>
      </c>
      <c r="S386" s="23" t="str">
        <f>IF(A386="","",IF(IF(OR(DATE($B$3,12,18)&gt;EOMONTH(DATE($B$3,12,1),0),NETWORKDAYS.INTL(DATE($B$3,12,18),DATE($B$3,12,18),1,'Non-working days'!$A$6:$A$45)=0),"",IF(COUNTIFS('Leave log'!$A$7:$A$306,Employees!$A$11,'Leave log'!$B$7:$B$306,"&lt;="&amp;DATE($B$3,12,18),'Leave log'!$C$7:$C$306,"&gt;="&amp;DATE($B$3,12,18),'Leave log'!$F$7:$F$306,"Approved")&gt;0,"A",""))="A","A",IF(OR(DATE($B$3,12,18)&gt;EOMONTH(DATE($B$3,12,1),0),NETWORKDAYS.INTL(DATE($B$3,12,18),DATE($B$3,12,18),1,'Non-working days'!$A$6:$A$45)=0),"",IF(COUNTIFS('Leave log'!$A$7:$A$306,Employees!$A$11,'Leave log'!$B$7:$B$306,"&lt;="&amp;DATE($B$3,12,18),'Leave log'!$C$7:$C$306,"&gt;="&amp;DATE($B$3,12,18),'Leave log'!$F$7:$F$306,"Pending")&gt;0,"P",""))))</f>
        <v/>
      </c>
      <c r="T386" s="23" t="str">
        <f>IF(A386="","",IF(IF(OR(DATE($B$3,12,19)&gt;EOMONTH(DATE($B$3,12,1),0),NETWORKDAYS.INTL(DATE($B$3,12,19),DATE($B$3,12,19),1,'Non-working days'!$A$6:$A$45)=0),"",IF(COUNTIFS('Leave log'!$A$7:$A$306,Employees!$A$11,'Leave log'!$B$7:$B$306,"&lt;="&amp;DATE($B$3,12,19),'Leave log'!$C$7:$C$306,"&gt;="&amp;DATE($B$3,12,19),'Leave log'!$F$7:$F$306,"Approved")&gt;0,"A",""))="A","A",IF(OR(DATE($B$3,12,19)&gt;EOMONTH(DATE($B$3,12,1),0),NETWORKDAYS.INTL(DATE($B$3,12,19),DATE($B$3,12,19),1,'Non-working days'!$A$6:$A$45)=0),"",IF(COUNTIFS('Leave log'!$A$7:$A$306,Employees!$A$11,'Leave log'!$B$7:$B$306,"&lt;="&amp;DATE($B$3,12,19),'Leave log'!$C$7:$C$306,"&gt;="&amp;DATE($B$3,12,19),'Leave log'!$F$7:$F$306,"Pending")&gt;0,"P",""))))</f>
        <v/>
      </c>
      <c r="U386" s="23" t="str">
        <f>IF(A386="","",IF(IF(OR(DATE($B$3,12,20)&gt;EOMONTH(DATE($B$3,12,1),0),NETWORKDAYS.INTL(DATE($B$3,12,20),DATE($B$3,12,20),1,'Non-working days'!$A$6:$A$45)=0),"",IF(COUNTIFS('Leave log'!$A$7:$A$306,Employees!$A$11,'Leave log'!$B$7:$B$306,"&lt;="&amp;DATE($B$3,12,20),'Leave log'!$C$7:$C$306,"&gt;="&amp;DATE($B$3,12,20),'Leave log'!$F$7:$F$306,"Approved")&gt;0,"A",""))="A","A",IF(OR(DATE($B$3,12,20)&gt;EOMONTH(DATE($B$3,12,1),0),NETWORKDAYS.INTL(DATE($B$3,12,20),DATE($B$3,12,20),1,'Non-working days'!$A$6:$A$45)=0),"",IF(COUNTIFS('Leave log'!$A$7:$A$306,Employees!$A$11,'Leave log'!$B$7:$B$306,"&lt;="&amp;DATE($B$3,12,20),'Leave log'!$C$7:$C$306,"&gt;="&amp;DATE($B$3,12,20),'Leave log'!$F$7:$F$306,"Pending")&gt;0,"P",""))))</f>
        <v/>
      </c>
      <c r="V386" s="23" t="str">
        <f>IF(A386="","",IF(IF(OR(DATE($B$3,12,21)&gt;EOMONTH(DATE($B$3,12,1),0),NETWORKDAYS.INTL(DATE($B$3,12,21),DATE($B$3,12,21),1,'Non-working days'!$A$6:$A$45)=0),"",IF(COUNTIFS('Leave log'!$A$7:$A$306,Employees!$A$11,'Leave log'!$B$7:$B$306,"&lt;="&amp;DATE($B$3,12,21),'Leave log'!$C$7:$C$306,"&gt;="&amp;DATE($B$3,12,21),'Leave log'!$F$7:$F$306,"Approved")&gt;0,"A",""))="A","A",IF(OR(DATE($B$3,12,21)&gt;EOMONTH(DATE($B$3,12,1),0),NETWORKDAYS.INTL(DATE($B$3,12,21),DATE($B$3,12,21),1,'Non-working days'!$A$6:$A$45)=0),"",IF(COUNTIFS('Leave log'!$A$7:$A$306,Employees!$A$11,'Leave log'!$B$7:$B$306,"&lt;="&amp;DATE($B$3,12,21),'Leave log'!$C$7:$C$306,"&gt;="&amp;DATE($B$3,12,21),'Leave log'!$F$7:$F$306,"Pending")&gt;0,"P",""))))</f>
        <v/>
      </c>
      <c r="W386" s="23" t="str">
        <f>IF(A386="","",IF(IF(OR(DATE($B$3,12,22)&gt;EOMONTH(DATE($B$3,12,1),0),NETWORKDAYS.INTL(DATE($B$3,12,22),DATE($B$3,12,22),1,'Non-working days'!$A$6:$A$45)=0),"",IF(COUNTIFS('Leave log'!$A$7:$A$306,Employees!$A$11,'Leave log'!$B$7:$B$306,"&lt;="&amp;DATE($B$3,12,22),'Leave log'!$C$7:$C$306,"&gt;="&amp;DATE($B$3,12,22),'Leave log'!$F$7:$F$306,"Approved")&gt;0,"A",""))="A","A",IF(OR(DATE($B$3,12,22)&gt;EOMONTH(DATE($B$3,12,1),0),NETWORKDAYS.INTL(DATE($B$3,12,22),DATE($B$3,12,22),1,'Non-working days'!$A$6:$A$45)=0),"",IF(COUNTIFS('Leave log'!$A$7:$A$306,Employees!$A$11,'Leave log'!$B$7:$B$306,"&lt;="&amp;DATE($B$3,12,22),'Leave log'!$C$7:$C$306,"&gt;="&amp;DATE($B$3,12,22),'Leave log'!$F$7:$F$306,"Pending")&gt;0,"P",""))))</f>
        <v/>
      </c>
      <c r="X386" s="23" t="str">
        <f>IF(A386="","",IF(IF(OR(DATE($B$3,12,23)&gt;EOMONTH(DATE($B$3,12,1),0),NETWORKDAYS.INTL(DATE($B$3,12,23),DATE($B$3,12,23),1,'Non-working days'!$A$6:$A$45)=0),"",IF(COUNTIFS('Leave log'!$A$7:$A$306,Employees!$A$11,'Leave log'!$B$7:$B$306,"&lt;="&amp;DATE($B$3,12,23),'Leave log'!$C$7:$C$306,"&gt;="&amp;DATE($B$3,12,23),'Leave log'!$F$7:$F$306,"Approved")&gt;0,"A",""))="A","A",IF(OR(DATE($B$3,12,23)&gt;EOMONTH(DATE($B$3,12,1),0),NETWORKDAYS.INTL(DATE($B$3,12,23),DATE($B$3,12,23),1,'Non-working days'!$A$6:$A$45)=0),"",IF(COUNTIFS('Leave log'!$A$7:$A$306,Employees!$A$11,'Leave log'!$B$7:$B$306,"&lt;="&amp;DATE($B$3,12,23),'Leave log'!$C$7:$C$306,"&gt;="&amp;DATE($B$3,12,23),'Leave log'!$F$7:$F$306,"Pending")&gt;0,"P",""))))</f>
        <v/>
      </c>
      <c r="Y386" s="23" t="str">
        <f>IF(A386="","",IF(IF(OR(DATE($B$3,12,24)&gt;EOMONTH(DATE($B$3,12,1),0),NETWORKDAYS.INTL(DATE($B$3,12,24),DATE($B$3,12,24),1,'Non-working days'!$A$6:$A$45)=0),"",IF(COUNTIFS('Leave log'!$A$7:$A$306,Employees!$A$11,'Leave log'!$B$7:$B$306,"&lt;="&amp;DATE($B$3,12,24),'Leave log'!$C$7:$C$306,"&gt;="&amp;DATE($B$3,12,24),'Leave log'!$F$7:$F$306,"Approved")&gt;0,"A",""))="A","A",IF(OR(DATE($B$3,12,24)&gt;EOMONTH(DATE($B$3,12,1),0),NETWORKDAYS.INTL(DATE($B$3,12,24),DATE($B$3,12,24),1,'Non-working days'!$A$6:$A$45)=0),"",IF(COUNTIFS('Leave log'!$A$7:$A$306,Employees!$A$11,'Leave log'!$B$7:$B$306,"&lt;="&amp;DATE($B$3,12,24),'Leave log'!$C$7:$C$306,"&gt;="&amp;DATE($B$3,12,24),'Leave log'!$F$7:$F$306,"Pending")&gt;0,"P",""))))</f>
        <v/>
      </c>
      <c r="Z386" s="23" t="str">
        <f>IF(A386="","",IF(IF(OR(DATE($B$3,12,25)&gt;EOMONTH(DATE($B$3,12,1),0),NETWORKDAYS.INTL(DATE($B$3,12,25),DATE($B$3,12,25),1,'Non-working days'!$A$6:$A$45)=0),"",IF(COUNTIFS('Leave log'!$A$7:$A$306,Employees!$A$11,'Leave log'!$B$7:$B$306,"&lt;="&amp;DATE($B$3,12,25),'Leave log'!$C$7:$C$306,"&gt;="&amp;DATE($B$3,12,25),'Leave log'!$F$7:$F$306,"Approved")&gt;0,"A",""))="A","A",IF(OR(DATE($B$3,12,25)&gt;EOMONTH(DATE($B$3,12,1),0),NETWORKDAYS.INTL(DATE($B$3,12,25),DATE($B$3,12,25),1,'Non-working days'!$A$6:$A$45)=0),"",IF(COUNTIFS('Leave log'!$A$7:$A$306,Employees!$A$11,'Leave log'!$B$7:$B$306,"&lt;="&amp;DATE($B$3,12,25),'Leave log'!$C$7:$C$306,"&gt;="&amp;DATE($B$3,12,25),'Leave log'!$F$7:$F$306,"Pending")&gt;0,"P",""))))</f>
        <v/>
      </c>
      <c r="AA386" s="23" t="str">
        <f>IF(A386="","",IF(IF(OR(DATE($B$3,12,26)&gt;EOMONTH(DATE($B$3,12,1),0),NETWORKDAYS.INTL(DATE($B$3,12,26),DATE($B$3,12,26),1,'Non-working days'!$A$6:$A$45)=0),"",IF(COUNTIFS('Leave log'!$A$7:$A$306,Employees!$A$11,'Leave log'!$B$7:$B$306,"&lt;="&amp;DATE($B$3,12,26),'Leave log'!$C$7:$C$306,"&gt;="&amp;DATE($B$3,12,26),'Leave log'!$F$7:$F$306,"Approved")&gt;0,"A",""))="A","A",IF(OR(DATE($B$3,12,26)&gt;EOMONTH(DATE($B$3,12,1),0),NETWORKDAYS.INTL(DATE($B$3,12,26),DATE($B$3,12,26),1,'Non-working days'!$A$6:$A$45)=0),"",IF(COUNTIFS('Leave log'!$A$7:$A$306,Employees!$A$11,'Leave log'!$B$7:$B$306,"&lt;="&amp;DATE($B$3,12,26),'Leave log'!$C$7:$C$306,"&gt;="&amp;DATE($B$3,12,26),'Leave log'!$F$7:$F$306,"Pending")&gt;0,"P",""))))</f>
        <v/>
      </c>
      <c r="AB386" s="23" t="str">
        <f>IF(A386="","",IF(IF(OR(DATE($B$3,12,27)&gt;EOMONTH(DATE($B$3,12,1),0),NETWORKDAYS.INTL(DATE($B$3,12,27),DATE($B$3,12,27),1,'Non-working days'!$A$6:$A$45)=0),"",IF(COUNTIFS('Leave log'!$A$7:$A$306,Employees!$A$11,'Leave log'!$B$7:$B$306,"&lt;="&amp;DATE($B$3,12,27),'Leave log'!$C$7:$C$306,"&gt;="&amp;DATE($B$3,12,27),'Leave log'!$F$7:$F$306,"Approved")&gt;0,"A",""))="A","A",IF(OR(DATE($B$3,12,27)&gt;EOMONTH(DATE($B$3,12,1),0),NETWORKDAYS.INTL(DATE($B$3,12,27),DATE($B$3,12,27),1,'Non-working days'!$A$6:$A$45)=0),"",IF(COUNTIFS('Leave log'!$A$7:$A$306,Employees!$A$11,'Leave log'!$B$7:$B$306,"&lt;="&amp;DATE($B$3,12,27),'Leave log'!$C$7:$C$306,"&gt;="&amp;DATE($B$3,12,27),'Leave log'!$F$7:$F$306,"Pending")&gt;0,"P",""))))</f>
        <v/>
      </c>
      <c r="AC386" s="23" t="str">
        <f>IF(A386="","",IF(IF(OR(DATE($B$3,12,28)&gt;EOMONTH(DATE($B$3,12,1),0),NETWORKDAYS.INTL(DATE($B$3,12,28),DATE($B$3,12,28),1,'Non-working days'!$A$6:$A$45)=0),"",IF(COUNTIFS('Leave log'!$A$7:$A$306,Employees!$A$11,'Leave log'!$B$7:$B$306,"&lt;="&amp;DATE($B$3,12,28),'Leave log'!$C$7:$C$306,"&gt;="&amp;DATE($B$3,12,28),'Leave log'!$F$7:$F$306,"Approved")&gt;0,"A",""))="A","A",IF(OR(DATE($B$3,12,28)&gt;EOMONTH(DATE($B$3,12,1),0),NETWORKDAYS.INTL(DATE($B$3,12,28),DATE($B$3,12,28),1,'Non-working days'!$A$6:$A$45)=0),"",IF(COUNTIFS('Leave log'!$A$7:$A$306,Employees!$A$11,'Leave log'!$B$7:$B$306,"&lt;="&amp;DATE($B$3,12,28),'Leave log'!$C$7:$C$306,"&gt;="&amp;DATE($B$3,12,28),'Leave log'!$F$7:$F$306,"Pending")&gt;0,"P",""))))</f>
        <v/>
      </c>
      <c r="AD386" s="23" t="str">
        <f>IF(A386="","",IF(IF(OR(DATE($B$3,12,29)&gt;EOMONTH(DATE($B$3,12,1),0),NETWORKDAYS.INTL(DATE($B$3,12,29),DATE($B$3,12,29),1,'Non-working days'!$A$6:$A$45)=0),"",IF(COUNTIFS('Leave log'!$A$7:$A$306,Employees!$A$11,'Leave log'!$B$7:$B$306,"&lt;="&amp;DATE($B$3,12,29),'Leave log'!$C$7:$C$306,"&gt;="&amp;DATE($B$3,12,29),'Leave log'!$F$7:$F$306,"Approved")&gt;0,"A",""))="A","A",IF(OR(DATE($B$3,12,29)&gt;EOMONTH(DATE($B$3,12,1),0),NETWORKDAYS.INTL(DATE($B$3,12,29),DATE($B$3,12,29),1,'Non-working days'!$A$6:$A$45)=0),"",IF(COUNTIFS('Leave log'!$A$7:$A$306,Employees!$A$11,'Leave log'!$B$7:$B$306,"&lt;="&amp;DATE($B$3,12,29),'Leave log'!$C$7:$C$306,"&gt;="&amp;DATE($B$3,12,29),'Leave log'!$F$7:$F$306,"Pending")&gt;0,"P",""))))</f>
        <v/>
      </c>
      <c r="AE386" s="23" t="str">
        <f>IF(A386="","",IF(IF(OR(DATE($B$3,12,30)&gt;EOMONTH(DATE($B$3,12,1),0),NETWORKDAYS.INTL(DATE($B$3,12,30),DATE($B$3,12,30),1,'Non-working days'!$A$6:$A$45)=0),"",IF(COUNTIFS('Leave log'!$A$7:$A$306,Employees!$A$11,'Leave log'!$B$7:$B$306,"&lt;="&amp;DATE($B$3,12,30),'Leave log'!$C$7:$C$306,"&gt;="&amp;DATE($B$3,12,30),'Leave log'!$F$7:$F$306,"Approved")&gt;0,"A",""))="A","A",IF(OR(DATE($B$3,12,30)&gt;EOMONTH(DATE($B$3,12,1),0),NETWORKDAYS.INTL(DATE($B$3,12,30),DATE($B$3,12,30),1,'Non-working days'!$A$6:$A$45)=0),"",IF(COUNTIFS('Leave log'!$A$7:$A$306,Employees!$A$11,'Leave log'!$B$7:$B$306,"&lt;="&amp;DATE($B$3,12,30),'Leave log'!$C$7:$C$306,"&gt;="&amp;DATE($B$3,12,30),'Leave log'!$F$7:$F$306,"Pending")&gt;0,"P",""))))</f>
        <v/>
      </c>
      <c r="AF386" s="23" t="str">
        <f>IF(A386="","",IF(IF(OR(DATE($B$3,12,31)&gt;EOMONTH(DATE($B$3,12,1),0),NETWORKDAYS.INTL(DATE($B$3,12,31),DATE($B$3,12,31),1,'Non-working days'!$A$6:$A$45)=0),"",IF(COUNTIFS('Leave log'!$A$7:$A$306,Employees!$A$11,'Leave log'!$B$7:$B$306,"&lt;="&amp;DATE($B$3,12,31),'Leave log'!$C$7:$C$306,"&gt;="&amp;DATE($B$3,12,31),'Leave log'!$F$7:$F$306,"Approved")&gt;0,"A",""))="A","A",IF(OR(DATE($B$3,12,31)&gt;EOMONTH(DATE($B$3,12,1),0),NETWORKDAYS.INTL(DATE($B$3,12,31),DATE($B$3,12,31),1,'Non-working days'!$A$6:$A$45)=0),"",IF(COUNTIFS('Leave log'!$A$7:$A$306,Employees!$A$11,'Leave log'!$B$7:$B$306,"&lt;="&amp;DATE($B$3,12,31),'Leave log'!$C$7:$C$306,"&gt;="&amp;DATE($B$3,12,31),'Leave log'!$F$7:$F$306,"Pending")&gt;0,"P",""))))</f>
        <v/>
      </c>
    </row>
    <row r="387" spans="1:32" ht="18" customHeight="1" x14ac:dyDescent="0.3">
      <c r="A387" s="22" t="str">
        <f>IF(Employees!F12="Yes",Employees!B12,"")</f>
        <v/>
      </c>
      <c r="B387" s="23" t="str">
        <f>IF(A387="","",IF(IF(OR(DATE($B$3,12,1)&gt;EOMONTH(DATE($B$3,12,1),0),NETWORKDAYS.INTL(DATE($B$3,12,1),DATE($B$3,12,1),1,'Non-working days'!$A$6:$A$45)=0),"",IF(COUNTIFS('Leave log'!$A$7:$A$306,Employees!$A$12,'Leave log'!$B$7:$B$306,"&lt;="&amp;DATE($B$3,12,1),'Leave log'!$C$7:$C$306,"&gt;="&amp;DATE($B$3,12,1),'Leave log'!$F$7:$F$306,"Approved")&gt;0,"A",""))="A","A",IF(OR(DATE($B$3,12,1)&gt;EOMONTH(DATE($B$3,12,1),0),NETWORKDAYS.INTL(DATE($B$3,12,1),DATE($B$3,12,1),1,'Non-working days'!$A$6:$A$45)=0),"",IF(COUNTIFS('Leave log'!$A$7:$A$306,Employees!$A$12,'Leave log'!$B$7:$B$306,"&lt;="&amp;DATE($B$3,12,1),'Leave log'!$C$7:$C$306,"&gt;="&amp;DATE($B$3,12,1),'Leave log'!$F$7:$F$306,"Pending")&gt;0,"P",""))))</f>
        <v/>
      </c>
      <c r="C387" s="23" t="str">
        <f>IF(A387="","",IF(IF(OR(DATE($B$3,12,2)&gt;EOMONTH(DATE($B$3,12,1),0),NETWORKDAYS.INTL(DATE($B$3,12,2),DATE($B$3,12,2),1,'Non-working days'!$A$6:$A$45)=0),"",IF(COUNTIFS('Leave log'!$A$7:$A$306,Employees!$A$12,'Leave log'!$B$7:$B$306,"&lt;="&amp;DATE($B$3,12,2),'Leave log'!$C$7:$C$306,"&gt;="&amp;DATE($B$3,12,2),'Leave log'!$F$7:$F$306,"Approved")&gt;0,"A",""))="A","A",IF(OR(DATE($B$3,12,2)&gt;EOMONTH(DATE($B$3,12,1),0),NETWORKDAYS.INTL(DATE($B$3,12,2),DATE($B$3,12,2),1,'Non-working days'!$A$6:$A$45)=0),"",IF(COUNTIFS('Leave log'!$A$7:$A$306,Employees!$A$12,'Leave log'!$B$7:$B$306,"&lt;="&amp;DATE($B$3,12,2),'Leave log'!$C$7:$C$306,"&gt;="&amp;DATE($B$3,12,2),'Leave log'!$F$7:$F$306,"Pending")&gt;0,"P",""))))</f>
        <v/>
      </c>
      <c r="D387" s="23" t="str">
        <f>IF(A387="","",IF(IF(OR(DATE($B$3,12,3)&gt;EOMONTH(DATE($B$3,12,1),0),NETWORKDAYS.INTL(DATE($B$3,12,3),DATE($B$3,12,3),1,'Non-working days'!$A$6:$A$45)=0),"",IF(COUNTIFS('Leave log'!$A$7:$A$306,Employees!$A$12,'Leave log'!$B$7:$B$306,"&lt;="&amp;DATE($B$3,12,3),'Leave log'!$C$7:$C$306,"&gt;="&amp;DATE($B$3,12,3),'Leave log'!$F$7:$F$306,"Approved")&gt;0,"A",""))="A","A",IF(OR(DATE($B$3,12,3)&gt;EOMONTH(DATE($B$3,12,1),0),NETWORKDAYS.INTL(DATE($B$3,12,3),DATE($B$3,12,3),1,'Non-working days'!$A$6:$A$45)=0),"",IF(COUNTIFS('Leave log'!$A$7:$A$306,Employees!$A$12,'Leave log'!$B$7:$B$306,"&lt;="&amp;DATE($B$3,12,3),'Leave log'!$C$7:$C$306,"&gt;="&amp;DATE($B$3,12,3),'Leave log'!$F$7:$F$306,"Pending")&gt;0,"P",""))))</f>
        <v/>
      </c>
      <c r="E387" s="23" t="str">
        <f>IF(A387="","",IF(IF(OR(DATE($B$3,12,4)&gt;EOMONTH(DATE($B$3,12,1),0),NETWORKDAYS.INTL(DATE($B$3,12,4),DATE($B$3,12,4),1,'Non-working days'!$A$6:$A$45)=0),"",IF(COUNTIFS('Leave log'!$A$7:$A$306,Employees!$A$12,'Leave log'!$B$7:$B$306,"&lt;="&amp;DATE($B$3,12,4),'Leave log'!$C$7:$C$306,"&gt;="&amp;DATE($B$3,12,4),'Leave log'!$F$7:$F$306,"Approved")&gt;0,"A",""))="A","A",IF(OR(DATE($B$3,12,4)&gt;EOMONTH(DATE($B$3,12,1),0),NETWORKDAYS.INTL(DATE($B$3,12,4),DATE($B$3,12,4),1,'Non-working days'!$A$6:$A$45)=0),"",IF(COUNTIFS('Leave log'!$A$7:$A$306,Employees!$A$12,'Leave log'!$B$7:$B$306,"&lt;="&amp;DATE($B$3,12,4),'Leave log'!$C$7:$C$306,"&gt;="&amp;DATE($B$3,12,4),'Leave log'!$F$7:$F$306,"Pending")&gt;0,"P",""))))</f>
        <v/>
      </c>
      <c r="F387" s="23" t="str">
        <f>IF(A387="","",IF(IF(OR(DATE($B$3,12,5)&gt;EOMONTH(DATE($B$3,12,1),0),NETWORKDAYS.INTL(DATE($B$3,12,5),DATE($B$3,12,5),1,'Non-working days'!$A$6:$A$45)=0),"",IF(COUNTIFS('Leave log'!$A$7:$A$306,Employees!$A$12,'Leave log'!$B$7:$B$306,"&lt;="&amp;DATE($B$3,12,5),'Leave log'!$C$7:$C$306,"&gt;="&amp;DATE($B$3,12,5),'Leave log'!$F$7:$F$306,"Approved")&gt;0,"A",""))="A","A",IF(OR(DATE($B$3,12,5)&gt;EOMONTH(DATE($B$3,12,1),0),NETWORKDAYS.INTL(DATE($B$3,12,5),DATE($B$3,12,5),1,'Non-working days'!$A$6:$A$45)=0),"",IF(COUNTIFS('Leave log'!$A$7:$A$306,Employees!$A$12,'Leave log'!$B$7:$B$306,"&lt;="&amp;DATE($B$3,12,5),'Leave log'!$C$7:$C$306,"&gt;="&amp;DATE($B$3,12,5),'Leave log'!$F$7:$F$306,"Pending")&gt;0,"P",""))))</f>
        <v/>
      </c>
      <c r="G387" s="23" t="str">
        <f>IF(A387="","",IF(IF(OR(DATE($B$3,12,6)&gt;EOMONTH(DATE($B$3,12,1),0),NETWORKDAYS.INTL(DATE($B$3,12,6),DATE($B$3,12,6),1,'Non-working days'!$A$6:$A$45)=0),"",IF(COUNTIFS('Leave log'!$A$7:$A$306,Employees!$A$12,'Leave log'!$B$7:$B$306,"&lt;="&amp;DATE($B$3,12,6),'Leave log'!$C$7:$C$306,"&gt;="&amp;DATE($B$3,12,6),'Leave log'!$F$7:$F$306,"Approved")&gt;0,"A",""))="A","A",IF(OR(DATE($B$3,12,6)&gt;EOMONTH(DATE($B$3,12,1),0),NETWORKDAYS.INTL(DATE($B$3,12,6),DATE($B$3,12,6),1,'Non-working days'!$A$6:$A$45)=0),"",IF(COUNTIFS('Leave log'!$A$7:$A$306,Employees!$A$12,'Leave log'!$B$7:$B$306,"&lt;="&amp;DATE($B$3,12,6),'Leave log'!$C$7:$C$306,"&gt;="&amp;DATE($B$3,12,6),'Leave log'!$F$7:$F$306,"Pending")&gt;0,"P",""))))</f>
        <v/>
      </c>
      <c r="H387" s="23" t="str">
        <f>IF(A387="","",IF(IF(OR(DATE($B$3,12,7)&gt;EOMONTH(DATE($B$3,12,1),0),NETWORKDAYS.INTL(DATE($B$3,12,7),DATE($B$3,12,7),1,'Non-working days'!$A$6:$A$45)=0),"",IF(COUNTIFS('Leave log'!$A$7:$A$306,Employees!$A$12,'Leave log'!$B$7:$B$306,"&lt;="&amp;DATE($B$3,12,7),'Leave log'!$C$7:$C$306,"&gt;="&amp;DATE($B$3,12,7),'Leave log'!$F$7:$F$306,"Approved")&gt;0,"A",""))="A","A",IF(OR(DATE($B$3,12,7)&gt;EOMONTH(DATE($B$3,12,1),0),NETWORKDAYS.INTL(DATE($B$3,12,7),DATE($B$3,12,7),1,'Non-working days'!$A$6:$A$45)=0),"",IF(COUNTIFS('Leave log'!$A$7:$A$306,Employees!$A$12,'Leave log'!$B$7:$B$306,"&lt;="&amp;DATE($B$3,12,7),'Leave log'!$C$7:$C$306,"&gt;="&amp;DATE($B$3,12,7),'Leave log'!$F$7:$F$306,"Pending")&gt;0,"P",""))))</f>
        <v/>
      </c>
      <c r="I387" s="23" t="str">
        <f>IF(A387="","",IF(IF(OR(DATE($B$3,12,8)&gt;EOMONTH(DATE($B$3,12,1),0),NETWORKDAYS.INTL(DATE($B$3,12,8),DATE($B$3,12,8),1,'Non-working days'!$A$6:$A$45)=0),"",IF(COUNTIFS('Leave log'!$A$7:$A$306,Employees!$A$12,'Leave log'!$B$7:$B$306,"&lt;="&amp;DATE($B$3,12,8),'Leave log'!$C$7:$C$306,"&gt;="&amp;DATE($B$3,12,8),'Leave log'!$F$7:$F$306,"Approved")&gt;0,"A",""))="A","A",IF(OR(DATE($B$3,12,8)&gt;EOMONTH(DATE($B$3,12,1),0),NETWORKDAYS.INTL(DATE($B$3,12,8),DATE($B$3,12,8),1,'Non-working days'!$A$6:$A$45)=0),"",IF(COUNTIFS('Leave log'!$A$7:$A$306,Employees!$A$12,'Leave log'!$B$7:$B$306,"&lt;="&amp;DATE($B$3,12,8),'Leave log'!$C$7:$C$306,"&gt;="&amp;DATE($B$3,12,8),'Leave log'!$F$7:$F$306,"Pending")&gt;0,"P",""))))</f>
        <v/>
      </c>
      <c r="J387" s="23" t="str">
        <f>IF(A387="","",IF(IF(OR(DATE($B$3,12,9)&gt;EOMONTH(DATE($B$3,12,1),0),NETWORKDAYS.INTL(DATE($B$3,12,9),DATE($B$3,12,9),1,'Non-working days'!$A$6:$A$45)=0),"",IF(COUNTIFS('Leave log'!$A$7:$A$306,Employees!$A$12,'Leave log'!$B$7:$B$306,"&lt;="&amp;DATE($B$3,12,9),'Leave log'!$C$7:$C$306,"&gt;="&amp;DATE($B$3,12,9),'Leave log'!$F$7:$F$306,"Approved")&gt;0,"A",""))="A","A",IF(OR(DATE($B$3,12,9)&gt;EOMONTH(DATE($B$3,12,1),0),NETWORKDAYS.INTL(DATE($B$3,12,9),DATE($B$3,12,9),1,'Non-working days'!$A$6:$A$45)=0),"",IF(COUNTIFS('Leave log'!$A$7:$A$306,Employees!$A$12,'Leave log'!$B$7:$B$306,"&lt;="&amp;DATE($B$3,12,9),'Leave log'!$C$7:$C$306,"&gt;="&amp;DATE($B$3,12,9),'Leave log'!$F$7:$F$306,"Pending")&gt;0,"P",""))))</f>
        <v/>
      </c>
      <c r="K387" s="23" t="str">
        <f>IF(A387="","",IF(IF(OR(DATE($B$3,12,10)&gt;EOMONTH(DATE($B$3,12,1),0),NETWORKDAYS.INTL(DATE($B$3,12,10),DATE($B$3,12,10),1,'Non-working days'!$A$6:$A$45)=0),"",IF(COUNTIFS('Leave log'!$A$7:$A$306,Employees!$A$12,'Leave log'!$B$7:$B$306,"&lt;="&amp;DATE($B$3,12,10),'Leave log'!$C$7:$C$306,"&gt;="&amp;DATE($B$3,12,10),'Leave log'!$F$7:$F$306,"Approved")&gt;0,"A",""))="A","A",IF(OR(DATE($B$3,12,10)&gt;EOMONTH(DATE($B$3,12,1),0),NETWORKDAYS.INTL(DATE($B$3,12,10),DATE($B$3,12,10),1,'Non-working days'!$A$6:$A$45)=0),"",IF(COUNTIFS('Leave log'!$A$7:$A$306,Employees!$A$12,'Leave log'!$B$7:$B$306,"&lt;="&amp;DATE($B$3,12,10),'Leave log'!$C$7:$C$306,"&gt;="&amp;DATE($B$3,12,10),'Leave log'!$F$7:$F$306,"Pending")&gt;0,"P",""))))</f>
        <v/>
      </c>
      <c r="L387" s="23" t="str">
        <f>IF(A387="","",IF(IF(OR(DATE($B$3,12,11)&gt;EOMONTH(DATE($B$3,12,1),0),NETWORKDAYS.INTL(DATE($B$3,12,11),DATE($B$3,12,11),1,'Non-working days'!$A$6:$A$45)=0),"",IF(COUNTIFS('Leave log'!$A$7:$A$306,Employees!$A$12,'Leave log'!$B$7:$B$306,"&lt;="&amp;DATE($B$3,12,11),'Leave log'!$C$7:$C$306,"&gt;="&amp;DATE($B$3,12,11),'Leave log'!$F$7:$F$306,"Approved")&gt;0,"A",""))="A","A",IF(OR(DATE($B$3,12,11)&gt;EOMONTH(DATE($B$3,12,1),0),NETWORKDAYS.INTL(DATE($B$3,12,11),DATE($B$3,12,11),1,'Non-working days'!$A$6:$A$45)=0),"",IF(COUNTIFS('Leave log'!$A$7:$A$306,Employees!$A$12,'Leave log'!$B$7:$B$306,"&lt;="&amp;DATE($B$3,12,11),'Leave log'!$C$7:$C$306,"&gt;="&amp;DATE($B$3,12,11),'Leave log'!$F$7:$F$306,"Pending")&gt;0,"P",""))))</f>
        <v/>
      </c>
      <c r="M387" s="23" t="str">
        <f>IF(A387="","",IF(IF(OR(DATE($B$3,12,12)&gt;EOMONTH(DATE($B$3,12,1),0),NETWORKDAYS.INTL(DATE($B$3,12,12),DATE($B$3,12,12),1,'Non-working days'!$A$6:$A$45)=0),"",IF(COUNTIFS('Leave log'!$A$7:$A$306,Employees!$A$12,'Leave log'!$B$7:$B$306,"&lt;="&amp;DATE($B$3,12,12),'Leave log'!$C$7:$C$306,"&gt;="&amp;DATE($B$3,12,12),'Leave log'!$F$7:$F$306,"Approved")&gt;0,"A",""))="A","A",IF(OR(DATE($B$3,12,12)&gt;EOMONTH(DATE($B$3,12,1),0),NETWORKDAYS.INTL(DATE($B$3,12,12),DATE($B$3,12,12),1,'Non-working days'!$A$6:$A$45)=0),"",IF(COUNTIFS('Leave log'!$A$7:$A$306,Employees!$A$12,'Leave log'!$B$7:$B$306,"&lt;="&amp;DATE($B$3,12,12),'Leave log'!$C$7:$C$306,"&gt;="&amp;DATE($B$3,12,12),'Leave log'!$F$7:$F$306,"Pending")&gt;0,"P",""))))</f>
        <v/>
      </c>
      <c r="N387" s="23" t="str">
        <f>IF(A387="","",IF(IF(OR(DATE($B$3,12,13)&gt;EOMONTH(DATE($B$3,12,1),0),NETWORKDAYS.INTL(DATE($B$3,12,13),DATE($B$3,12,13),1,'Non-working days'!$A$6:$A$45)=0),"",IF(COUNTIFS('Leave log'!$A$7:$A$306,Employees!$A$12,'Leave log'!$B$7:$B$306,"&lt;="&amp;DATE($B$3,12,13),'Leave log'!$C$7:$C$306,"&gt;="&amp;DATE($B$3,12,13),'Leave log'!$F$7:$F$306,"Approved")&gt;0,"A",""))="A","A",IF(OR(DATE($B$3,12,13)&gt;EOMONTH(DATE($B$3,12,1),0),NETWORKDAYS.INTL(DATE($B$3,12,13),DATE($B$3,12,13),1,'Non-working days'!$A$6:$A$45)=0),"",IF(COUNTIFS('Leave log'!$A$7:$A$306,Employees!$A$12,'Leave log'!$B$7:$B$306,"&lt;="&amp;DATE($B$3,12,13),'Leave log'!$C$7:$C$306,"&gt;="&amp;DATE($B$3,12,13),'Leave log'!$F$7:$F$306,"Pending")&gt;0,"P",""))))</f>
        <v/>
      </c>
      <c r="O387" s="23" t="str">
        <f>IF(A387="","",IF(IF(OR(DATE($B$3,12,14)&gt;EOMONTH(DATE($B$3,12,1),0),NETWORKDAYS.INTL(DATE($B$3,12,14),DATE($B$3,12,14),1,'Non-working days'!$A$6:$A$45)=0),"",IF(COUNTIFS('Leave log'!$A$7:$A$306,Employees!$A$12,'Leave log'!$B$7:$B$306,"&lt;="&amp;DATE($B$3,12,14),'Leave log'!$C$7:$C$306,"&gt;="&amp;DATE($B$3,12,14),'Leave log'!$F$7:$F$306,"Approved")&gt;0,"A",""))="A","A",IF(OR(DATE($B$3,12,14)&gt;EOMONTH(DATE($B$3,12,1),0),NETWORKDAYS.INTL(DATE($B$3,12,14),DATE($B$3,12,14),1,'Non-working days'!$A$6:$A$45)=0),"",IF(COUNTIFS('Leave log'!$A$7:$A$306,Employees!$A$12,'Leave log'!$B$7:$B$306,"&lt;="&amp;DATE($B$3,12,14),'Leave log'!$C$7:$C$306,"&gt;="&amp;DATE($B$3,12,14),'Leave log'!$F$7:$F$306,"Pending")&gt;0,"P",""))))</f>
        <v/>
      </c>
      <c r="P387" s="23" t="str">
        <f>IF(A387="","",IF(IF(OR(DATE($B$3,12,15)&gt;EOMONTH(DATE($B$3,12,1),0),NETWORKDAYS.INTL(DATE($B$3,12,15),DATE($B$3,12,15),1,'Non-working days'!$A$6:$A$45)=0),"",IF(COUNTIFS('Leave log'!$A$7:$A$306,Employees!$A$12,'Leave log'!$B$7:$B$306,"&lt;="&amp;DATE($B$3,12,15),'Leave log'!$C$7:$C$306,"&gt;="&amp;DATE($B$3,12,15),'Leave log'!$F$7:$F$306,"Approved")&gt;0,"A",""))="A","A",IF(OR(DATE($B$3,12,15)&gt;EOMONTH(DATE($B$3,12,1),0),NETWORKDAYS.INTL(DATE($B$3,12,15),DATE($B$3,12,15),1,'Non-working days'!$A$6:$A$45)=0),"",IF(COUNTIFS('Leave log'!$A$7:$A$306,Employees!$A$12,'Leave log'!$B$7:$B$306,"&lt;="&amp;DATE($B$3,12,15),'Leave log'!$C$7:$C$306,"&gt;="&amp;DATE($B$3,12,15),'Leave log'!$F$7:$F$306,"Pending")&gt;0,"P",""))))</f>
        <v/>
      </c>
      <c r="Q387" s="23" t="str">
        <f>IF(A387="","",IF(IF(OR(DATE($B$3,12,16)&gt;EOMONTH(DATE($B$3,12,1),0),NETWORKDAYS.INTL(DATE($B$3,12,16),DATE($B$3,12,16),1,'Non-working days'!$A$6:$A$45)=0),"",IF(COUNTIFS('Leave log'!$A$7:$A$306,Employees!$A$12,'Leave log'!$B$7:$B$306,"&lt;="&amp;DATE($B$3,12,16),'Leave log'!$C$7:$C$306,"&gt;="&amp;DATE($B$3,12,16),'Leave log'!$F$7:$F$306,"Approved")&gt;0,"A",""))="A","A",IF(OR(DATE($B$3,12,16)&gt;EOMONTH(DATE($B$3,12,1),0),NETWORKDAYS.INTL(DATE($B$3,12,16),DATE($B$3,12,16),1,'Non-working days'!$A$6:$A$45)=0),"",IF(COUNTIFS('Leave log'!$A$7:$A$306,Employees!$A$12,'Leave log'!$B$7:$B$306,"&lt;="&amp;DATE($B$3,12,16),'Leave log'!$C$7:$C$306,"&gt;="&amp;DATE($B$3,12,16),'Leave log'!$F$7:$F$306,"Pending")&gt;0,"P",""))))</f>
        <v/>
      </c>
      <c r="R387" s="23" t="str">
        <f>IF(A387="","",IF(IF(OR(DATE($B$3,12,17)&gt;EOMONTH(DATE($B$3,12,1),0),NETWORKDAYS.INTL(DATE($B$3,12,17),DATE($B$3,12,17),1,'Non-working days'!$A$6:$A$45)=0),"",IF(COUNTIFS('Leave log'!$A$7:$A$306,Employees!$A$12,'Leave log'!$B$7:$B$306,"&lt;="&amp;DATE($B$3,12,17),'Leave log'!$C$7:$C$306,"&gt;="&amp;DATE($B$3,12,17),'Leave log'!$F$7:$F$306,"Approved")&gt;0,"A",""))="A","A",IF(OR(DATE($B$3,12,17)&gt;EOMONTH(DATE($B$3,12,1),0),NETWORKDAYS.INTL(DATE($B$3,12,17),DATE($B$3,12,17),1,'Non-working days'!$A$6:$A$45)=0),"",IF(COUNTIFS('Leave log'!$A$7:$A$306,Employees!$A$12,'Leave log'!$B$7:$B$306,"&lt;="&amp;DATE($B$3,12,17),'Leave log'!$C$7:$C$306,"&gt;="&amp;DATE($B$3,12,17),'Leave log'!$F$7:$F$306,"Pending")&gt;0,"P",""))))</f>
        <v/>
      </c>
      <c r="S387" s="23" t="str">
        <f>IF(A387="","",IF(IF(OR(DATE($B$3,12,18)&gt;EOMONTH(DATE($B$3,12,1),0),NETWORKDAYS.INTL(DATE($B$3,12,18),DATE($B$3,12,18),1,'Non-working days'!$A$6:$A$45)=0),"",IF(COUNTIFS('Leave log'!$A$7:$A$306,Employees!$A$12,'Leave log'!$B$7:$B$306,"&lt;="&amp;DATE($B$3,12,18),'Leave log'!$C$7:$C$306,"&gt;="&amp;DATE($B$3,12,18),'Leave log'!$F$7:$F$306,"Approved")&gt;0,"A",""))="A","A",IF(OR(DATE($B$3,12,18)&gt;EOMONTH(DATE($B$3,12,1),0),NETWORKDAYS.INTL(DATE($B$3,12,18),DATE($B$3,12,18),1,'Non-working days'!$A$6:$A$45)=0),"",IF(COUNTIFS('Leave log'!$A$7:$A$306,Employees!$A$12,'Leave log'!$B$7:$B$306,"&lt;="&amp;DATE($B$3,12,18),'Leave log'!$C$7:$C$306,"&gt;="&amp;DATE($B$3,12,18),'Leave log'!$F$7:$F$306,"Pending")&gt;0,"P",""))))</f>
        <v/>
      </c>
      <c r="T387" s="23" t="str">
        <f>IF(A387="","",IF(IF(OR(DATE($B$3,12,19)&gt;EOMONTH(DATE($B$3,12,1),0),NETWORKDAYS.INTL(DATE($B$3,12,19),DATE($B$3,12,19),1,'Non-working days'!$A$6:$A$45)=0),"",IF(COUNTIFS('Leave log'!$A$7:$A$306,Employees!$A$12,'Leave log'!$B$7:$B$306,"&lt;="&amp;DATE($B$3,12,19),'Leave log'!$C$7:$C$306,"&gt;="&amp;DATE($B$3,12,19),'Leave log'!$F$7:$F$306,"Approved")&gt;0,"A",""))="A","A",IF(OR(DATE($B$3,12,19)&gt;EOMONTH(DATE($B$3,12,1),0),NETWORKDAYS.INTL(DATE($B$3,12,19),DATE($B$3,12,19),1,'Non-working days'!$A$6:$A$45)=0),"",IF(COUNTIFS('Leave log'!$A$7:$A$306,Employees!$A$12,'Leave log'!$B$7:$B$306,"&lt;="&amp;DATE($B$3,12,19),'Leave log'!$C$7:$C$306,"&gt;="&amp;DATE($B$3,12,19),'Leave log'!$F$7:$F$306,"Pending")&gt;0,"P",""))))</f>
        <v/>
      </c>
      <c r="U387" s="23" t="str">
        <f>IF(A387="","",IF(IF(OR(DATE($B$3,12,20)&gt;EOMONTH(DATE($B$3,12,1),0),NETWORKDAYS.INTL(DATE($B$3,12,20),DATE($B$3,12,20),1,'Non-working days'!$A$6:$A$45)=0),"",IF(COUNTIFS('Leave log'!$A$7:$A$306,Employees!$A$12,'Leave log'!$B$7:$B$306,"&lt;="&amp;DATE($B$3,12,20),'Leave log'!$C$7:$C$306,"&gt;="&amp;DATE($B$3,12,20),'Leave log'!$F$7:$F$306,"Approved")&gt;0,"A",""))="A","A",IF(OR(DATE($B$3,12,20)&gt;EOMONTH(DATE($B$3,12,1),0),NETWORKDAYS.INTL(DATE($B$3,12,20),DATE($B$3,12,20),1,'Non-working days'!$A$6:$A$45)=0),"",IF(COUNTIFS('Leave log'!$A$7:$A$306,Employees!$A$12,'Leave log'!$B$7:$B$306,"&lt;="&amp;DATE($B$3,12,20),'Leave log'!$C$7:$C$306,"&gt;="&amp;DATE($B$3,12,20),'Leave log'!$F$7:$F$306,"Pending")&gt;0,"P",""))))</f>
        <v/>
      </c>
      <c r="V387" s="23" t="str">
        <f>IF(A387="","",IF(IF(OR(DATE($B$3,12,21)&gt;EOMONTH(DATE($B$3,12,1),0),NETWORKDAYS.INTL(DATE($B$3,12,21),DATE($B$3,12,21),1,'Non-working days'!$A$6:$A$45)=0),"",IF(COUNTIFS('Leave log'!$A$7:$A$306,Employees!$A$12,'Leave log'!$B$7:$B$306,"&lt;="&amp;DATE($B$3,12,21),'Leave log'!$C$7:$C$306,"&gt;="&amp;DATE($B$3,12,21),'Leave log'!$F$7:$F$306,"Approved")&gt;0,"A",""))="A","A",IF(OR(DATE($B$3,12,21)&gt;EOMONTH(DATE($B$3,12,1),0),NETWORKDAYS.INTL(DATE($B$3,12,21),DATE($B$3,12,21),1,'Non-working days'!$A$6:$A$45)=0),"",IF(COUNTIFS('Leave log'!$A$7:$A$306,Employees!$A$12,'Leave log'!$B$7:$B$306,"&lt;="&amp;DATE($B$3,12,21),'Leave log'!$C$7:$C$306,"&gt;="&amp;DATE($B$3,12,21),'Leave log'!$F$7:$F$306,"Pending")&gt;0,"P",""))))</f>
        <v/>
      </c>
      <c r="W387" s="23" t="str">
        <f>IF(A387="","",IF(IF(OR(DATE($B$3,12,22)&gt;EOMONTH(DATE($B$3,12,1),0),NETWORKDAYS.INTL(DATE($B$3,12,22),DATE($B$3,12,22),1,'Non-working days'!$A$6:$A$45)=0),"",IF(COUNTIFS('Leave log'!$A$7:$A$306,Employees!$A$12,'Leave log'!$B$7:$B$306,"&lt;="&amp;DATE($B$3,12,22),'Leave log'!$C$7:$C$306,"&gt;="&amp;DATE($B$3,12,22),'Leave log'!$F$7:$F$306,"Approved")&gt;0,"A",""))="A","A",IF(OR(DATE($B$3,12,22)&gt;EOMONTH(DATE($B$3,12,1),0),NETWORKDAYS.INTL(DATE($B$3,12,22),DATE($B$3,12,22),1,'Non-working days'!$A$6:$A$45)=0),"",IF(COUNTIFS('Leave log'!$A$7:$A$306,Employees!$A$12,'Leave log'!$B$7:$B$306,"&lt;="&amp;DATE($B$3,12,22),'Leave log'!$C$7:$C$306,"&gt;="&amp;DATE($B$3,12,22),'Leave log'!$F$7:$F$306,"Pending")&gt;0,"P",""))))</f>
        <v/>
      </c>
      <c r="X387" s="23" t="str">
        <f>IF(A387="","",IF(IF(OR(DATE($B$3,12,23)&gt;EOMONTH(DATE($B$3,12,1),0),NETWORKDAYS.INTL(DATE($B$3,12,23),DATE($B$3,12,23),1,'Non-working days'!$A$6:$A$45)=0),"",IF(COUNTIFS('Leave log'!$A$7:$A$306,Employees!$A$12,'Leave log'!$B$7:$B$306,"&lt;="&amp;DATE($B$3,12,23),'Leave log'!$C$7:$C$306,"&gt;="&amp;DATE($B$3,12,23),'Leave log'!$F$7:$F$306,"Approved")&gt;0,"A",""))="A","A",IF(OR(DATE($B$3,12,23)&gt;EOMONTH(DATE($B$3,12,1),0),NETWORKDAYS.INTL(DATE($B$3,12,23),DATE($B$3,12,23),1,'Non-working days'!$A$6:$A$45)=0),"",IF(COUNTIFS('Leave log'!$A$7:$A$306,Employees!$A$12,'Leave log'!$B$7:$B$306,"&lt;="&amp;DATE($B$3,12,23),'Leave log'!$C$7:$C$306,"&gt;="&amp;DATE($B$3,12,23),'Leave log'!$F$7:$F$306,"Pending")&gt;0,"P",""))))</f>
        <v/>
      </c>
      <c r="Y387" s="23" t="str">
        <f>IF(A387="","",IF(IF(OR(DATE($B$3,12,24)&gt;EOMONTH(DATE($B$3,12,1),0),NETWORKDAYS.INTL(DATE($B$3,12,24),DATE($B$3,12,24),1,'Non-working days'!$A$6:$A$45)=0),"",IF(COUNTIFS('Leave log'!$A$7:$A$306,Employees!$A$12,'Leave log'!$B$7:$B$306,"&lt;="&amp;DATE($B$3,12,24),'Leave log'!$C$7:$C$306,"&gt;="&amp;DATE($B$3,12,24),'Leave log'!$F$7:$F$306,"Approved")&gt;0,"A",""))="A","A",IF(OR(DATE($B$3,12,24)&gt;EOMONTH(DATE($B$3,12,1),0),NETWORKDAYS.INTL(DATE($B$3,12,24),DATE($B$3,12,24),1,'Non-working days'!$A$6:$A$45)=0),"",IF(COUNTIFS('Leave log'!$A$7:$A$306,Employees!$A$12,'Leave log'!$B$7:$B$306,"&lt;="&amp;DATE($B$3,12,24),'Leave log'!$C$7:$C$306,"&gt;="&amp;DATE($B$3,12,24),'Leave log'!$F$7:$F$306,"Pending")&gt;0,"P",""))))</f>
        <v/>
      </c>
      <c r="Z387" s="23" t="str">
        <f>IF(A387="","",IF(IF(OR(DATE($B$3,12,25)&gt;EOMONTH(DATE($B$3,12,1),0),NETWORKDAYS.INTL(DATE($B$3,12,25),DATE($B$3,12,25),1,'Non-working days'!$A$6:$A$45)=0),"",IF(COUNTIFS('Leave log'!$A$7:$A$306,Employees!$A$12,'Leave log'!$B$7:$B$306,"&lt;="&amp;DATE($B$3,12,25),'Leave log'!$C$7:$C$306,"&gt;="&amp;DATE($B$3,12,25),'Leave log'!$F$7:$F$306,"Approved")&gt;0,"A",""))="A","A",IF(OR(DATE($B$3,12,25)&gt;EOMONTH(DATE($B$3,12,1),0),NETWORKDAYS.INTL(DATE($B$3,12,25),DATE($B$3,12,25),1,'Non-working days'!$A$6:$A$45)=0),"",IF(COUNTIFS('Leave log'!$A$7:$A$306,Employees!$A$12,'Leave log'!$B$7:$B$306,"&lt;="&amp;DATE($B$3,12,25),'Leave log'!$C$7:$C$306,"&gt;="&amp;DATE($B$3,12,25),'Leave log'!$F$7:$F$306,"Pending")&gt;0,"P",""))))</f>
        <v/>
      </c>
      <c r="AA387" s="23" t="str">
        <f>IF(A387="","",IF(IF(OR(DATE($B$3,12,26)&gt;EOMONTH(DATE($B$3,12,1),0),NETWORKDAYS.INTL(DATE($B$3,12,26),DATE($B$3,12,26),1,'Non-working days'!$A$6:$A$45)=0),"",IF(COUNTIFS('Leave log'!$A$7:$A$306,Employees!$A$12,'Leave log'!$B$7:$B$306,"&lt;="&amp;DATE($B$3,12,26),'Leave log'!$C$7:$C$306,"&gt;="&amp;DATE($B$3,12,26),'Leave log'!$F$7:$F$306,"Approved")&gt;0,"A",""))="A","A",IF(OR(DATE($B$3,12,26)&gt;EOMONTH(DATE($B$3,12,1),0),NETWORKDAYS.INTL(DATE($B$3,12,26),DATE($B$3,12,26),1,'Non-working days'!$A$6:$A$45)=0),"",IF(COUNTIFS('Leave log'!$A$7:$A$306,Employees!$A$12,'Leave log'!$B$7:$B$306,"&lt;="&amp;DATE($B$3,12,26),'Leave log'!$C$7:$C$306,"&gt;="&amp;DATE($B$3,12,26),'Leave log'!$F$7:$F$306,"Pending")&gt;0,"P",""))))</f>
        <v/>
      </c>
      <c r="AB387" s="23" t="str">
        <f>IF(A387="","",IF(IF(OR(DATE($B$3,12,27)&gt;EOMONTH(DATE($B$3,12,1),0),NETWORKDAYS.INTL(DATE($B$3,12,27),DATE($B$3,12,27),1,'Non-working days'!$A$6:$A$45)=0),"",IF(COUNTIFS('Leave log'!$A$7:$A$306,Employees!$A$12,'Leave log'!$B$7:$B$306,"&lt;="&amp;DATE($B$3,12,27),'Leave log'!$C$7:$C$306,"&gt;="&amp;DATE($B$3,12,27),'Leave log'!$F$7:$F$306,"Approved")&gt;0,"A",""))="A","A",IF(OR(DATE($B$3,12,27)&gt;EOMONTH(DATE($B$3,12,1),0),NETWORKDAYS.INTL(DATE($B$3,12,27),DATE($B$3,12,27),1,'Non-working days'!$A$6:$A$45)=0),"",IF(COUNTIFS('Leave log'!$A$7:$A$306,Employees!$A$12,'Leave log'!$B$7:$B$306,"&lt;="&amp;DATE($B$3,12,27),'Leave log'!$C$7:$C$306,"&gt;="&amp;DATE($B$3,12,27),'Leave log'!$F$7:$F$306,"Pending")&gt;0,"P",""))))</f>
        <v/>
      </c>
      <c r="AC387" s="23" t="str">
        <f>IF(A387="","",IF(IF(OR(DATE($B$3,12,28)&gt;EOMONTH(DATE($B$3,12,1),0),NETWORKDAYS.INTL(DATE($B$3,12,28),DATE($B$3,12,28),1,'Non-working days'!$A$6:$A$45)=0),"",IF(COUNTIFS('Leave log'!$A$7:$A$306,Employees!$A$12,'Leave log'!$B$7:$B$306,"&lt;="&amp;DATE($B$3,12,28),'Leave log'!$C$7:$C$306,"&gt;="&amp;DATE($B$3,12,28),'Leave log'!$F$7:$F$306,"Approved")&gt;0,"A",""))="A","A",IF(OR(DATE($B$3,12,28)&gt;EOMONTH(DATE($B$3,12,1),0),NETWORKDAYS.INTL(DATE($B$3,12,28),DATE($B$3,12,28),1,'Non-working days'!$A$6:$A$45)=0),"",IF(COUNTIFS('Leave log'!$A$7:$A$306,Employees!$A$12,'Leave log'!$B$7:$B$306,"&lt;="&amp;DATE($B$3,12,28),'Leave log'!$C$7:$C$306,"&gt;="&amp;DATE($B$3,12,28),'Leave log'!$F$7:$F$306,"Pending")&gt;0,"P",""))))</f>
        <v/>
      </c>
      <c r="AD387" s="23" t="str">
        <f>IF(A387="","",IF(IF(OR(DATE($B$3,12,29)&gt;EOMONTH(DATE($B$3,12,1),0),NETWORKDAYS.INTL(DATE($B$3,12,29),DATE($B$3,12,29),1,'Non-working days'!$A$6:$A$45)=0),"",IF(COUNTIFS('Leave log'!$A$7:$A$306,Employees!$A$12,'Leave log'!$B$7:$B$306,"&lt;="&amp;DATE($B$3,12,29),'Leave log'!$C$7:$C$306,"&gt;="&amp;DATE($B$3,12,29),'Leave log'!$F$7:$F$306,"Approved")&gt;0,"A",""))="A","A",IF(OR(DATE($B$3,12,29)&gt;EOMONTH(DATE($B$3,12,1),0),NETWORKDAYS.INTL(DATE($B$3,12,29),DATE($B$3,12,29),1,'Non-working days'!$A$6:$A$45)=0),"",IF(COUNTIFS('Leave log'!$A$7:$A$306,Employees!$A$12,'Leave log'!$B$7:$B$306,"&lt;="&amp;DATE($B$3,12,29),'Leave log'!$C$7:$C$306,"&gt;="&amp;DATE($B$3,12,29),'Leave log'!$F$7:$F$306,"Pending")&gt;0,"P",""))))</f>
        <v/>
      </c>
      <c r="AE387" s="23" t="str">
        <f>IF(A387="","",IF(IF(OR(DATE($B$3,12,30)&gt;EOMONTH(DATE($B$3,12,1),0),NETWORKDAYS.INTL(DATE($B$3,12,30),DATE($B$3,12,30),1,'Non-working days'!$A$6:$A$45)=0),"",IF(COUNTIFS('Leave log'!$A$7:$A$306,Employees!$A$12,'Leave log'!$B$7:$B$306,"&lt;="&amp;DATE($B$3,12,30),'Leave log'!$C$7:$C$306,"&gt;="&amp;DATE($B$3,12,30),'Leave log'!$F$7:$F$306,"Approved")&gt;0,"A",""))="A","A",IF(OR(DATE($B$3,12,30)&gt;EOMONTH(DATE($B$3,12,1),0),NETWORKDAYS.INTL(DATE($B$3,12,30),DATE($B$3,12,30),1,'Non-working days'!$A$6:$A$45)=0),"",IF(COUNTIFS('Leave log'!$A$7:$A$306,Employees!$A$12,'Leave log'!$B$7:$B$306,"&lt;="&amp;DATE($B$3,12,30),'Leave log'!$C$7:$C$306,"&gt;="&amp;DATE($B$3,12,30),'Leave log'!$F$7:$F$306,"Pending")&gt;0,"P",""))))</f>
        <v/>
      </c>
      <c r="AF387" s="23" t="str">
        <f>IF(A387="","",IF(IF(OR(DATE($B$3,12,31)&gt;EOMONTH(DATE($B$3,12,1),0),NETWORKDAYS.INTL(DATE($B$3,12,31),DATE($B$3,12,31),1,'Non-working days'!$A$6:$A$45)=0),"",IF(COUNTIFS('Leave log'!$A$7:$A$306,Employees!$A$12,'Leave log'!$B$7:$B$306,"&lt;="&amp;DATE($B$3,12,31),'Leave log'!$C$7:$C$306,"&gt;="&amp;DATE($B$3,12,31),'Leave log'!$F$7:$F$306,"Approved")&gt;0,"A",""))="A","A",IF(OR(DATE($B$3,12,31)&gt;EOMONTH(DATE($B$3,12,1),0),NETWORKDAYS.INTL(DATE($B$3,12,31),DATE($B$3,12,31),1,'Non-working days'!$A$6:$A$45)=0),"",IF(COUNTIFS('Leave log'!$A$7:$A$306,Employees!$A$12,'Leave log'!$B$7:$B$306,"&lt;="&amp;DATE($B$3,12,31),'Leave log'!$C$7:$C$306,"&gt;="&amp;DATE($B$3,12,31),'Leave log'!$F$7:$F$306,"Pending")&gt;0,"P",""))))</f>
        <v/>
      </c>
    </row>
    <row r="388" spans="1:32" ht="18" customHeight="1" x14ac:dyDescent="0.3">
      <c r="A388" s="22" t="str">
        <f>IF(Employees!F13="Yes",Employees!B13,"")</f>
        <v/>
      </c>
      <c r="B388" s="23" t="str">
        <f>IF(A388="","",IF(IF(OR(DATE($B$3,12,1)&gt;EOMONTH(DATE($B$3,12,1),0),NETWORKDAYS.INTL(DATE($B$3,12,1),DATE($B$3,12,1),1,'Non-working days'!$A$6:$A$45)=0),"",IF(COUNTIFS('Leave log'!$A$7:$A$306,Employees!$A$13,'Leave log'!$B$7:$B$306,"&lt;="&amp;DATE($B$3,12,1),'Leave log'!$C$7:$C$306,"&gt;="&amp;DATE($B$3,12,1),'Leave log'!$F$7:$F$306,"Approved")&gt;0,"A",""))="A","A",IF(OR(DATE($B$3,12,1)&gt;EOMONTH(DATE($B$3,12,1),0),NETWORKDAYS.INTL(DATE($B$3,12,1),DATE($B$3,12,1),1,'Non-working days'!$A$6:$A$45)=0),"",IF(COUNTIFS('Leave log'!$A$7:$A$306,Employees!$A$13,'Leave log'!$B$7:$B$306,"&lt;="&amp;DATE($B$3,12,1),'Leave log'!$C$7:$C$306,"&gt;="&amp;DATE($B$3,12,1),'Leave log'!$F$7:$F$306,"Pending")&gt;0,"P",""))))</f>
        <v/>
      </c>
      <c r="C388" s="23" t="str">
        <f>IF(A388="","",IF(IF(OR(DATE($B$3,12,2)&gt;EOMONTH(DATE($B$3,12,1),0),NETWORKDAYS.INTL(DATE($B$3,12,2),DATE($B$3,12,2),1,'Non-working days'!$A$6:$A$45)=0),"",IF(COUNTIFS('Leave log'!$A$7:$A$306,Employees!$A$13,'Leave log'!$B$7:$B$306,"&lt;="&amp;DATE($B$3,12,2),'Leave log'!$C$7:$C$306,"&gt;="&amp;DATE($B$3,12,2),'Leave log'!$F$7:$F$306,"Approved")&gt;0,"A",""))="A","A",IF(OR(DATE($B$3,12,2)&gt;EOMONTH(DATE($B$3,12,1),0),NETWORKDAYS.INTL(DATE($B$3,12,2),DATE($B$3,12,2),1,'Non-working days'!$A$6:$A$45)=0),"",IF(COUNTIFS('Leave log'!$A$7:$A$306,Employees!$A$13,'Leave log'!$B$7:$B$306,"&lt;="&amp;DATE($B$3,12,2),'Leave log'!$C$7:$C$306,"&gt;="&amp;DATE($B$3,12,2),'Leave log'!$F$7:$F$306,"Pending")&gt;0,"P",""))))</f>
        <v/>
      </c>
      <c r="D388" s="23" t="str">
        <f>IF(A388="","",IF(IF(OR(DATE($B$3,12,3)&gt;EOMONTH(DATE($B$3,12,1),0),NETWORKDAYS.INTL(DATE($B$3,12,3),DATE($B$3,12,3),1,'Non-working days'!$A$6:$A$45)=0),"",IF(COUNTIFS('Leave log'!$A$7:$A$306,Employees!$A$13,'Leave log'!$B$7:$B$306,"&lt;="&amp;DATE($B$3,12,3),'Leave log'!$C$7:$C$306,"&gt;="&amp;DATE($B$3,12,3),'Leave log'!$F$7:$F$306,"Approved")&gt;0,"A",""))="A","A",IF(OR(DATE($B$3,12,3)&gt;EOMONTH(DATE($B$3,12,1),0),NETWORKDAYS.INTL(DATE($B$3,12,3),DATE($B$3,12,3),1,'Non-working days'!$A$6:$A$45)=0),"",IF(COUNTIFS('Leave log'!$A$7:$A$306,Employees!$A$13,'Leave log'!$B$7:$B$306,"&lt;="&amp;DATE($B$3,12,3),'Leave log'!$C$7:$C$306,"&gt;="&amp;DATE($B$3,12,3),'Leave log'!$F$7:$F$306,"Pending")&gt;0,"P",""))))</f>
        <v/>
      </c>
      <c r="E388" s="23" t="str">
        <f>IF(A388="","",IF(IF(OR(DATE($B$3,12,4)&gt;EOMONTH(DATE($B$3,12,1),0),NETWORKDAYS.INTL(DATE($B$3,12,4),DATE($B$3,12,4),1,'Non-working days'!$A$6:$A$45)=0),"",IF(COUNTIFS('Leave log'!$A$7:$A$306,Employees!$A$13,'Leave log'!$B$7:$B$306,"&lt;="&amp;DATE($B$3,12,4),'Leave log'!$C$7:$C$306,"&gt;="&amp;DATE($B$3,12,4),'Leave log'!$F$7:$F$306,"Approved")&gt;0,"A",""))="A","A",IF(OR(DATE($B$3,12,4)&gt;EOMONTH(DATE($B$3,12,1),0),NETWORKDAYS.INTL(DATE($B$3,12,4),DATE($B$3,12,4),1,'Non-working days'!$A$6:$A$45)=0),"",IF(COUNTIFS('Leave log'!$A$7:$A$306,Employees!$A$13,'Leave log'!$B$7:$B$306,"&lt;="&amp;DATE($B$3,12,4),'Leave log'!$C$7:$C$306,"&gt;="&amp;DATE($B$3,12,4),'Leave log'!$F$7:$F$306,"Pending")&gt;0,"P",""))))</f>
        <v/>
      </c>
      <c r="F388" s="23" t="str">
        <f>IF(A388="","",IF(IF(OR(DATE($B$3,12,5)&gt;EOMONTH(DATE($B$3,12,1),0),NETWORKDAYS.INTL(DATE($B$3,12,5),DATE($B$3,12,5),1,'Non-working days'!$A$6:$A$45)=0),"",IF(COUNTIFS('Leave log'!$A$7:$A$306,Employees!$A$13,'Leave log'!$B$7:$B$306,"&lt;="&amp;DATE($B$3,12,5),'Leave log'!$C$7:$C$306,"&gt;="&amp;DATE($B$3,12,5),'Leave log'!$F$7:$F$306,"Approved")&gt;0,"A",""))="A","A",IF(OR(DATE($B$3,12,5)&gt;EOMONTH(DATE($B$3,12,1),0),NETWORKDAYS.INTL(DATE($B$3,12,5),DATE($B$3,12,5),1,'Non-working days'!$A$6:$A$45)=0),"",IF(COUNTIFS('Leave log'!$A$7:$A$306,Employees!$A$13,'Leave log'!$B$7:$B$306,"&lt;="&amp;DATE($B$3,12,5),'Leave log'!$C$7:$C$306,"&gt;="&amp;DATE($B$3,12,5),'Leave log'!$F$7:$F$306,"Pending")&gt;0,"P",""))))</f>
        <v/>
      </c>
      <c r="G388" s="23" t="str">
        <f>IF(A388="","",IF(IF(OR(DATE($B$3,12,6)&gt;EOMONTH(DATE($B$3,12,1),0),NETWORKDAYS.INTL(DATE($B$3,12,6),DATE($B$3,12,6),1,'Non-working days'!$A$6:$A$45)=0),"",IF(COUNTIFS('Leave log'!$A$7:$A$306,Employees!$A$13,'Leave log'!$B$7:$B$306,"&lt;="&amp;DATE($B$3,12,6),'Leave log'!$C$7:$C$306,"&gt;="&amp;DATE($B$3,12,6),'Leave log'!$F$7:$F$306,"Approved")&gt;0,"A",""))="A","A",IF(OR(DATE($B$3,12,6)&gt;EOMONTH(DATE($B$3,12,1),0),NETWORKDAYS.INTL(DATE($B$3,12,6),DATE($B$3,12,6),1,'Non-working days'!$A$6:$A$45)=0),"",IF(COUNTIFS('Leave log'!$A$7:$A$306,Employees!$A$13,'Leave log'!$B$7:$B$306,"&lt;="&amp;DATE($B$3,12,6),'Leave log'!$C$7:$C$306,"&gt;="&amp;DATE($B$3,12,6),'Leave log'!$F$7:$F$306,"Pending")&gt;0,"P",""))))</f>
        <v/>
      </c>
      <c r="H388" s="23" t="str">
        <f>IF(A388="","",IF(IF(OR(DATE($B$3,12,7)&gt;EOMONTH(DATE($B$3,12,1),0),NETWORKDAYS.INTL(DATE($B$3,12,7),DATE($B$3,12,7),1,'Non-working days'!$A$6:$A$45)=0),"",IF(COUNTIFS('Leave log'!$A$7:$A$306,Employees!$A$13,'Leave log'!$B$7:$B$306,"&lt;="&amp;DATE($B$3,12,7),'Leave log'!$C$7:$C$306,"&gt;="&amp;DATE($B$3,12,7),'Leave log'!$F$7:$F$306,"Approved")&gt;0,"A",""))="A","A",IF(OR(DATE($B$3,12,7)&gt;EOMONTH(DATE($B$3,12,1),0),NETWORKDAYS.INTL(DATE($B$3,12,7),DATE($B$3,12,7),1,'Non-working days'!$A$6:$A$45)=0),"",IF(COUNTIFS('Leave log'!$A$7:$A$306,Employees!$A$13,'Leave log'!$B$7:$B$306,"&lt;="&amp;DATE($B$3,12,7),'Leave log'!$C$7:$C$306,"&gt;="&amp;DATE($B$3,12,7),'Leave log'!$F$7:$F$306,"Pending")&gt;0,"P",""))))</f>
        <v/>
      </c>
      <c r="I388" s="23" t="str">
        <f>IF(A388="","",IF(IF(OR(DATE($B$3,12,8)&gt;EOMONTH(DATE($B$3,12,1),0),NETWORKDAYS.INTL(DATE($B$3,12,8),DATE($B$3,12,8),1,'Non-working days'!$A$6:$A$45)=0),"",IF(COUNTIFS('Leave log'!$A$7:$A$306,Employees!$A$13,'Leave log'!$B$7:$B$306,"&lt;="&amp;DATE($B$3,12,8),'Leave log'!$C$7:$C$306,"&gt;="&amp;DATE($B$3,12,8),'Leave log'!$F$7:$F$306,"Approved")&gt;0,"A",""))="A","A",IF(OR(DATE($B$3,12,8)&gt;EOMONTH(DATE($B$3,12,1),0),NETWORKDAYS.INTL(DATE($B$3,12,8),DATE($B$3,12,8),1,'Non-working days'!$A$6:$A$45)=0),"",IF(COUNTIFS('Leave log'!$A$7:$A$306,Employees!$A$13,'Leave log'!$B$7:$B$306,"&lt;="&amp;DATE($B$3,12,8),'Leave log'!$C$7:$C$306,"&gt;="&amp;DATE($B$3,12,8),'Leave log'!$F$7:$F$306,"Pending")&gt;0,"P",""))))</f>
        <v/>
      </c>
      <c r="J388" s="23" t="str">
        <f>IF(A388="","",IF(IF(OR(DATE($B$3,12,9)&gt;EOMONTH(DATE($B$3,12,1),0),NETWORKDAYS.INTL(DATE($B$3,12,9),DATE($B$3,12,9),1,'Non-working days'!$A$6:$A$45)=0),"",IF(COUNTIFS('Leave log'!$A$7:$A$306,Employees!$A$13,'Leave log'!$B$7:$B$306,"&lt;="&amp;DATE($B$3,12,9),'Leave log'!$C$7:$C$306,"&gt;="&amp;DATE($B$3,12,9),'Leave log'!$F$7:$F$306,"Approved")&gt;0,"A",""))="A","A",IF(OR(DATE($B$3,12,9)&gt;EOMONTH(DATE($B$3,12,1),0),NETWORKDAYS.INTL(DATE($B$3,12,9),DATE($B$3,12,9),1,'Non-working days'!$A$6:$A$45)=0),"",IF(COUNTIFS('Leave log'!$A$7:$A$306,Employees!$A$13,'Leave log'!$B$7:$B$306,"&lt;="&amp;DATE($B$3,12,9),'Leave log'!$C$7:$C$306,"&gt;="&amp;DATE($B$3,12,9),'Leave log'!$F$7:$F$306,"Pending")&gt;0,"P",""))))</f>
        <v/>
      </c>
      <c r="K388" s="23" t="str">
        <f>IF(A388="","",IF(IF(OR(DATE($B$3,12,10)&gt;EOMONTH(DATE($B$3,12,1),0),NETWORKDAYS.INTL(DATE($B$3,12,10),DATE($B$3,12,10),1,'Non-working days'!$A$6:$A$45)=0),"",IF(COUNTIFS('Leave log'!$A$7:$A$306,Employees!$A$13,'Leave log'!$B$7:$B$306,"&lt;="&amp;DATE($B$3,12,10),'Leave log'!$C$7:$C$306,"&gt;="&amp;DATE($B$3,12,10),'Leave log'!$F$7:$F$306,"Approved")&gt;0,"A",""))="A","A",IF(OR(DATE($B$3,12,10)&gt;EOMONTH(DATE($B$3,12,1),0),NETWORKDAYS.INTL(DATE($B$3,12,10),DATE($B$3,12,10),1,'Non-working days'!$A$6:$A$45)=0),"",IF(COUNTIFS('Leave log'!$A$7:$A$306,Employees!$A$13,'Leave log'!$B$7:$B$306,"&lt;="&amp;DATE($B$3,12,10),'Leave log'!$C$7:$C$306,"&gt;="&amp;DATE($B$3,12,10),'Leave log'!$F$7:$F$306,"Pending")&gt;0,"P",""))))</f>
        <v/>
      </c>
      <c r="L388" s="23" t="str">
        <f>IF(A388="","",IF(IF(OR(DATE($B$3,12,11)&gt;EOMONTH(DATE($B$3,12,1),0),NETWORKDAYS.INTL(DATE($B$3,12,11),DATE($B$3,12,11),1,'Non-working days'!$A$6:$A$45)=0),"",IF(COUNTIFS('Leave log'!$A$7:$A$306,Employees!$A$13,'Leave log'!$B$7:$B$306,"&lt;="&amp;DATE($B$3,12,11),'Leave log'!$C$7:$C$306,"&gt;="&amp;DATE($B$3,12,11),'Leave log'!$F$7:$F$306,"Approved")&gt;0,"A",""))="A","A",IF(OR(DATE($B$3,12,11)&gt;EOMONTH(DATE($B$3,12,1),0),NETWORKDAYS.INTL(DATE($B$3,12,11),DATE($B$3,12,11),1,'Non-working days'!$A$6:$A$45)=0),"",IF(COUNTIFS('Leave log'!$A$7:$A$306,Employees!$A$13,'Leave log'!$B$7:$B$306,"&lt;="&amp;DATE($B$3,12,11),'Leave log'!$C$7:$C$306,"&gt;="&amp;DATE($B$3,12,11),'Leave log'!$F$7:$F$306,"Pending")&gt;0,"P",""))))</f>
        <v/>
      </c>
      <c r="M388" s="23" t="str">
        <f>IF(A388="","",IF(IF(OR(DATE($B$3,12,12)&gt;EOMONTH(DATE($B$3,12,1),0),NETWORKDAYS.INTL(DATE($B$3,12,12),DATE($B$3,12,12),1,'Non-working days'!$A$6:$A$45)=0),"",IF(COUNTIFS('Leave log'!$A$7:$A$306,Employees!$A$13,'Leave log'!$B$7:$B$306,"&lt;="&amp;DATE($B$3,12,12),'Leave log'!$C$7:$C$306,"&gt;="&amp;DATE($B$3,12,12),'Leave log'!$F$7:$F$306,"Approved")&gt;0,"A",""))="A","A",IF(OR(DATE($B$3,12,12)&gt;EOMONTH(DATE($B$3,12,1),0),NETWORKDAYS.INTL(DATE($B$3,12,12),DATE($B$3,12,12),1,'Non-working days'!$A$6:$A$45)=0),"",IF(COUNTIFS('Leave log'!$A$7:$A$306,Employees!$A$13,'Leave log'!$B$7:$B$306,"&lt;="&amp;DATE($B$3,12,12),'Leave log'!$C$7:$C$306,"&gt;="&amp;DATE($B$3,12,12),'Leave log'!$F$7:$F$306,"Pending")&gt;0,"P",""))))</f>
        <v/>
      </c>
      <c r="N388" s="23" t="str">
        <f>IF(A388="","",IF(IF(OR(DATE($B$3,12,13)&gt;EOMONTH(DATE($B$3,12,1),0),NETWORKDAYS.INTL(DATE($B$3,12,13),DATE($B$3,12,13),1,'Non-working days'!$A$6:$A$45)=0),"",IF(COUNTIFS('Leave log'!$A$7:$A$306,Employees!$A$13,'Leave log'!$B$7:$B$306,"&lt;="&amp;DATE($B$3,12,13),'Leave log'!$C$7:$C$306,"&gt;="&amp;DATE($B$3,12,13),'Leave log'!$F$7:$F$306,"Approved")&gt;0,"A",""))="A","A",IF(OR(DATE($B$3,12,13)&gt;EOMONTH(DATE($B$3,12,1),0),NETWORKDAYS.INTL(DATE($B$3,12,13),DATE($B$3,12,13),1,'Non-working days'!$A$6:$A$45)=0),"",IF(COUNTIFS('Leave log'!$A$7:$A$306,Employees!$A$13,'Leave log'!$B$7:$B$306,"&lt;="&amp;DATE($B$3,12,13),'Leave log'!$C$7:$C$306,"&gt;="&amp;DATE($B$3,12,13),'Leave log'!$F$7:$F$306,"Pending")&gt;0,"P",""))))</f>
        <v/>
      </c>
      <c r="O388" s="23" t="str">
        <f>IF(A388="","",IF(IF(OR(DATE($B$3,12,14)&gt;EOMONTH(DATE($B$3,12,1),0),NETWORKDAYS.INTL(DATE($B$3,12,14),DATE($B$3,12,14),1,'Non-working days'!$A$6:$A$45)=0),"",IF(COUNTIFS('Leave log'!$A$7:$A$306,Employees!$A$13,'Leave log'!$B$7:$B$306,"&lt;="&amp;DATE($B$3,12,14),'Leave log'!$C$7:$C$306,"&gt;="&amp;DATE($B$3,12,14),'Leave log'!$F$7:$F$306,"Approved")&gt;0,"A",""))="A","A",IF(OR(DATE($B$3,12,14)&gt;EOMONTH(DATE($B$3,12,1),0),NETWORKDAYS.INTL(DATE($B$3,12,14),DATE($B$3,12,14),1,'Non-working days'!$A$6:$A$45)=0),"",IF(COUNTIFS('Leave log'!$A$7:$A$306,Employees!$A$13,'Leave log'!$B$7:$B$306,"&lt;="&amp;DATE($B$3,12,14),'Leave log'!$C$7:$C$306,"&gt;="&amp;DATE($B$3,12,14),'Leave log'!$F$7:$F$306,"Pending")&gt;0,"P",""))))</f>
        <v/>
      </c>
      <c r="P388" s="23" t="str">
        <f>IF(A388="","",IF(IF(OR(DATE($B$3,12,15)&gt;EOMONTH(DATE($B$3,12,1),0),NETWORKDAYS.INTL(DATE($B$3,12,15),DATE($B$3,12,15),1,'Non-working days'!$A$6:$A$45)=0),"",IF(COUNTIFS('Leave log'!$A$7:$A$306,Employees!$A$13,'Leave log'!$B$7:$B$306,"&lt;="&amp;DATE($B$3,12,15),'Leave log'!$C$7:$C$306,"&gt;="&amp;DATE($B$3,12,15),'Leave log'!$F$7:$F$306,"Approved")&gt;0,"A",""))="A","A",IF(OR(DATE($B$3,12,15)&gt;EOMONTH(DATE($B$3,12,1),0),NETWORKDAYS.INTL(DATE($B$3,12,15),DATE($B$3,12,15),1,'Non-working days'!$A$6:$A$45)=0),"",IF(COUNTIFS('Leave log'!$A$7:$A$306,Employees!$A$13,'Leave log'!$B$7:$B$306,"&lt;="&amp;DATE($B$3,12,15),'Leave log'!$C$7:$C$306,"&gt;="&amp;DATE($B$3,12,15),'Leave log'!$F$7:$F$306,"Pending")&gt;0,"P",""))))</f>
        <v/>
      </c>
      <c r="Q388" s="23" t="str">
        <f>IF(A388="","",IF(IF(OR(DATE($B$3,12,16)&gt;EOMONTH(DATE($B$3,12,1),0),NETWORKDAYS.INTL(DATE($B$3,12,16),DATE($B$3,12,16),1,'Non-working days'!$A$6:$A$45)=0),"",IF(COUNTIFS('Leave log'!$A$7:$A$306,Employees!$A$13,'Leave log'!$B$7:$B$306,"&lt;="&amp;DATE($B$3,12,16),'Leave log'!$C$7:$C$306,"&gt;="&amp;DATE($B$3,12,16),'Leave log'!$F$7:$F$306,"Approved")&gt;0,"A",""))="A","A",IF(OR(DATE($B$3,12,16)&gt;EOMONTH(DATE($B$3,12,1),0),NETWORKDAYS.INTL(DATE($B$3,12,16),DATE($B$3,12,16),1,'Non-working days'!$A$6:$A$45)=0),"",IF(COUNTIFS('Leave log'!$A$7:$A$306,Employees!$A$13,'Leave log'!$B$7:$B$306,"&lt;="&amp;DATE($B$3,12,16),'Leave log'!$C$7:$C$306,"&gt;="&amp;DATE($B$3,12,16),'Leave log'!$F$7:$F$306,"Pending")&gt;0,"P",""))))</f>
        <v/>
      </c>
      <c r="R388" s="23" t="str">
        <f>IF(A388="","",IF(IF(OR(DATE($B$3,12,17)&gt;EOMONTH(DATE($B$3,12,1),0),NETWORKDAYS.INTL(DATE($B$3,12,17),DATE($B$3,12,17),1,'Non-working days'!$A$6:$A$45)=0),"",IF(COUNTIFS('Leave log'!$A$7:$A$306,Employees!$A$13,'Leave log'!$B$7:$B$306,"&lt;="&amp;DATE($B$3,12,17),'Leave log'!$C$7:$C$306,"&gt;="&amp;DATE($B$3,12,17),'Leave log'!$F$7:$F$306,"Approved")&gt;0,"A",""))="A","A",IF(OR(DATE($B$3,12,17)&gt;EOMONTH(DATE($B$3,12,1),0),NETWORKDAYS.INTL(DATE($B$3,12,17),DATE($B$3,12,17),1,'Non-working days'!$A$6:$A$45)=0),"",IF(COUNTIFS('Leave log'!$A$7:$A$306,Employees!$A$13,'Leave log'!$B$7:$B$306,"&lt;="&amp;DATE($B$3,12,17),'Leave log'!$C$7:$C$306,"&gt;="&amp;DATE($B$3,12,17),'Leave log'!$F$7:$F$306,"Pending")&gt;0,"P",""))))</f>
        <v/>
      </c>
      <c r="S388" s="23" t="str">
        <f>IF(A388="","",IF(IF(OR(DATE($B$3,12,18)&gt;EOMONTH(DATE($B$3,12,1),0),NETWORKDAYS.INTL(DATE($B$3,12,18),DATE($B$3,12,18),1,'Non-working days'!$A$6:$A$45)=0),"",IF(COUNTIFS('Leave log'!$A$7:$A$306,Employees!$A$13,'Leave log'!$B$7:$B$306,"&lt;="&amp;DATE($B$3,12,18),'Leave log'!$C$7:$C$306,"&gt;="&amp;DATE($B$3,12,18),'Leave log'!$F$7:$F$306,"Approved")&gt;0,"A",""))="A","A",IF(OR(DATE($B$3,12,18)&gt;EOMONTH(DATE($B$3,12,1),0),NETWORKDAYS.INTL(DATE($B$3,12,18),DATE($B$3,12,18),1,'Non-working days'!$A$6:$A$45)=0),"",IF(COUNTIFS('Leave log'!$A$7:$A$306,Employees!$A$13,'Leave log'!$B$7:$B$306,"&lt;="&amp;DATE($B$3,12,18),'Leave log'!$C$7:$C$306,"&gt;="&amp;DATE($B$3,12,18),'Leave log'!$F$7:$F$306,"Pending")&gt;0,"P",""))))</f>
        <v/>
      </c>
      <c r="T388" s="23" t="str">
        <f>IF(A388="","",IF(IF(OR(DATE($B$3,12,19)&gt;EOMONTH(DATE($B$3,12,1),0),NETWORKDAYS.INTL(DATE($B$3,12,19),DATE($B$3,12,19),1,'Non-working days'!$A$6:$A$45)=0),"",IF(COUNTIFS('Leave log'!$A$7:$A$306,Employees!$A$13,'Leave log'!$B$7:$B$306,"&lt;="&amp;DATE($B$3,12,19),'Leave log'!$C$7:$C$306,"&gt;="&amp;DATE($B$3,12,19),'Leave log'!$F$7:$F$306,"Approved")&gt;0,"A",""))="A","A",IF(OR(DATE($B$3,12,19)&gt;EOMONTH(DATE($B$3,12,1),0),NETWORKDAYS.INTL(DATE($B$3,12,19),DATE($B$3,12,19),1,'Non-working days'!$A$6:$A$45)=0),"",IF(COUNTIFS('Leave log'!$A$7:$A$306,Employees!$A$13,'Leave log'!$B$7:$B$306,"&lt;="&amp;DATE($B$3,12,19),'Leave log'!$C$7:$C$306,"&gt;="&amp;DATE($B$3,12,19),'Leave log'!$F$7:$F$306,"Pending")&gt;0,"P",""))))</f>
        <v/>
      </c>
      <c r="U388" s="23" t="str">
        <f>IF(A388="","",IF(IF(OR(DATE($B$3,12,20)&gt;EOMONTH(DATE($B$3,12,1),0),NETWORKDAYS.INTL(DATE($B$3,12,20),DATE($B$3,12,20),1,'Non-working days'!$A$6:$A$45)=0),"",IF(COUNTIFS('Leave log'!$A$7:$A$306,Employees!$A$13,'Leave log'!$B$7:$B$306,"&lt;="&amp;DATE($B$3,12,20),'Leave log'!$C$7:$C$306,"&gt;="&amp;DATE($B$3,12,20),'Leave log'!$F$7:$F$306,"Approved")&gt;0,"A",""))="A","A",IF(OR(DATE($B$3,12,20)&gt;EOMONTH(DATE($B$3,12,1),0),NETWORKDAYS.INTL(DATE($B$3,12,20),DATE($B$3,12,20),1,'Non-working days'!$A$6:$A$45)=0),"",IF(COUNTIFS('Leave log'!$A$7:$A$306,Employees!$A$13,'Leave log'!$B$7:$B$306,"&lt;="&amp;DATE($B$3,12,20),'Leave log'!$C$7:$C$306,"&gt;="&amp;DATE($B$3,12,20),'Leave log'!$F$7:$F$306,"Pending")&gt;0,"P",""))))</f>
        <v/>
      </c>
      <c r="V388" s="23" t="str">
        <f>IF(A388="","",IF(IF(OR(DATE($B$3,12,21)&gt;EOMONTH(DATE($B$3,12,1),0),NETWORKDAYS.INTL(DATE($B$3,12,21),DATE($B$3,12,21),1,'Non-working days'!$A$6:$A$45)=0),"",IF(COUNTIFS('Leave log'!$A$7:$A$306,Employees!$A$13,'Leave log'!$B$7:$B$306,"&lt;="&amp;DATE($B$3,12,21),'Leave log'!$C$7:$C$306,"&gt;="&amp;DATE($B$3,12,21),'Leave log'!$F$7:$F$306,"Approved")&gt;0,"A",""))="A","A",IF(OR(DATE($B$3,12,21)&gt;EOMONTH(DATE($B$3,12,1),0),NETWORKDAYS.INTL(DATE($B$3,12,21),DATE($B$3,12,21),1,'Non-working days'!$A$6:$A$45)=0),"",IF(COUNTIFS('Leave log'!$A$7:$A$306,Employees!$A$13,'Leave log'!$B$7:$B$306,"&lt;="&amp;DATE($B$3,12,21),'Leave log'!$C$7:$C$306,"&gt;="&amp;DATE($B$3,12,21),'Leave log'!$F$7:$F$306,"Pending")&gt;0,"P",""))))</f>
        <v/>
      </c>
      <c r="W388" s="23" t="str">
        <f>IF(A388="","",IF(IF(OR(DATE($B$3,12,22)&gt;EOMONTH(DATE($B$3,12,1),0),NETWORKDAYS.INTL(DATE($B$3,12,22),DATE($B$3,12,22),1,'Non-working days'!$A$6:$A$45)=0),"",IF(COUNTIFS('Leave log'!$A$7:$A$306,Employees!$A$13,'Leave log'!$B$7:$B$306,"&lt;="&amp;DATE($B$3,12,22),'Leave log'!$C$7:$C$306,"&gt;="&amp;DATE($B$3,12,22),'Leave log'!$F$7:$F$306,"Approved")&gt;0,"A",""))="A","A",IF(OR(DATE($B$3,12,22)&gt;EOMONTH(DATE($B$3,12,1),0),NETWORKDAYS.INTL(DATE($B$3,12,22),DATE($B$3,12,22),1,'Non-working days'!$A$6:$A$45)=0),"",IF(COUNTIFS('Leave log'!$A$7:$A$306,Employees!$A$13,'Leave log'!$B$7:$B$306,"&lt;="&amp;DATE($B$3,12,22),'Leave log'!$C$7:$C$306,"&gt;="&amp;DATE($B$3,12,22),'Leave log'!$F$7:$F$306,"Pending")&gt;0,"P",""))))</f>
        <v/>
      </c>
      <c r="X388" s="23" t="str">
        <f>IF(A388="","",IF(IF(OR(DATE($B$3,12,23)&gt;EOMONTH(DATE($B$3,12,1),0),NETWORKDAYS.INTL(DATE($B$3,12,23),DATE($B$3,12,23),1,'Non-working days'!$A$6:$A$45)=0),"",IF(COUNTIFS('Leave log'!$A$7:$A$306,Employees!$A$13,'Leave log'!$B$7:$B$306,"&lt;="&amp;DATE($B$3,12,23),'Leave log'!$C$7:$C$306,"&gt;="&amp;DATE($B$3,12,23),'Leave log'!$F$7:$F$306,"Approved")&gt;0,"A",""))="A","A",IF(OR(DATE($B$3,12,23)&gt;EOMONTH(DATE($B$3,12,1),0),NETWORKDAYS.INTL(DATE($B$3,12,23),DATE($B$3,12,23),1,'Non-working days'!$A$6:$A$45)=0),"",IF(COUNTIFS('Leave log'!$A$7:$A$306,Employees!$A$13,'Leave log'!$B$7:$B$306,"&lt;="&amp;DATE($B$3,12,23),'Leave log'!$C$7:$C$306,"&gt;="&amp;DATE($B$3,12,23),'Leave log'!$F$7:$F$306,"Pending")&gt;0,"P",""))))</f>
        <v/>
      </c>
      <c r="Y388" s="23" t="str">
        <f>IF(A388="","",IF(IF(OR(DATE($B$3,12,24)&gt;EOMONTH(DATE($B$3,12,1),0),NETWORKDAYS.INTL(DATE($B$3,12,24),DATE($B$3,12,24),1,'Non-working days'!$A$6:$A$45)=0),"",IF(COUNTIFS('Leave log'!$A$7:$A$306,Employees!$A$13,'Leave log'!$B$7:$B$306,"&lt;="&amp;DATE($B$3,12,24),'Leave log'!$C$7:$C$306,"&gt;="&amp;DATE($B$3,12,24),'Leave log'!$F$7:$F$306,"Approved")&gt;0,"A",""))="A","A",IF(OR(DATE($B$3,12,24)&gt;EOMONTH(DATE($B$3,12,1),0),NETWORKDAYS.INTL(DATE($B$3,12,24),DATE($B$3,12,24),1,'Non-working days'!$A$6:$A$45)=0),"",IF(COUNTIFS('Leave log'!$A$7:$A$306,Employees!$A$13,'Leave log'!$B$7:$B$306,"&lt;="&amp;DATE($B$3,12,24),'Leave log'!$C$7:$C$306,"&gt;="&amp;DATE($B$3,12,24),'Leave log'!$F$7:$F$306,"Pending")&gt;0,"P",""))))</f>
        <v/>
      </c>
      <c r="Z388" s="23" t="str">
        <f>IF(A388="","",IF(IF(OR(DATE($B$3,12,25)&gt;EOMONTH(DATE($B$3,12,1),0),NETWORKDAYS.INTL(DATE($B$3,12,25),DATE($B$3,12,25),1,'Non-working days'!$A$6:$A$45)=0),"",IF(COUNTIFS('Leave log'!$A$7:$A$306,Employees!$A$13,'Leave log'!$B$7:$B$306,"&lt;="&amp;DATE($B$3,12,25),'Leave log'!$C$7:$C$306,"&gt;="&amp;DATE($B$3,12,25),'Leave log'!$F$7:$F$306,"Approved")&gt;0,"A",""))="A","A",IF(OR(DATE($B$3,12,25)&gt;EOMONTH(DATE($B$3,12,1),0),NETWORKDAYS.INTL(DATE($B$3,12,25),DATE($B$3,12,25),1,'Non-working days'!$A$6:$A$45)=0),"",IF(COUNTIFS('Leave log'!$A$7:$A$306,Employees!$A$13,'Leave log'!$B$7:$B$306,"&lt;="&amp;DATE($B$3,12,25),'Leave log'!$C$7:$C$306,"&gt;="&amp;DATE($B$3,12,25),'Leave log'!$F$7:$F$306,"Pending")&gt;0,"P",""))))</f>
        <v/>
      </c>
      <c r="AA388" s="23" t="str">
        <f>IF(A388="","",IF(IF(OR(DATE($B$3,12,26)&gt;EOMONTH(DATE($B$3,12,1),0),NETWORKDAYS.INTL(DATE($B$3,12,26),DATE($B$3,12,26),1,'Non-working days'!$A$6:$A$45)=0),"",IF(COUNTIFS('Leave log'!$A$7:$A$306,Employees!$A$13,'Leave log'!$B$7:$B$306,"&lt;="&amp;DATE($B$3,12,26),'Leave log'!$C$7:$C$306,"&gt;="&amp;DATE($B$3,12,26),'Leave log'!$F$7:$F$306,"Approved")&gt;0,"A",""))="A","A",IF(OR(DATE($B$3,12,26)&gt;EOMONTH(DATE($B$3,12,1),0),NETWORKDAYS.INTL(DATE($B$3,12,26),DATE($B$3,12,26),1,'Non-working days'!$A$6:$A$45)=0),"",IF(COUNTIFS('Leave log'!$A$7:$A$306,Employees!$A$13,'Leave log'!$B$7:$B$306,"&lt;="&amp;DATE($B$3,12,26),'Leave log'!$C$7:$C$306,"&gt;="&amp;DATE($B$3,12,26),'Leave log'!$F$7:$F$306,"Pending")&gt;0,"P",""))))</f>
        <v/>
      </c>
      <c r="AB388" s="23" t="str">
        <f>IF(A388="","",IF(IF(OR(DATE($B$3,12,27)&gt;EOMONTH(DATE($B$3,12,1),0),NETWORKDAYS.INTL(DATE($B$3,12,27),DATE($B$3,12,27),1,'Non-working days'!$A$6:$A$45)=0),"",IF(COUNTIFS('Leave log'!$A$7:$A$306,Employees!$A$13,'Leave log'!$B$7:$B$306,"&lt;="&amp;DATE($B$3,12,27),'Leave log'!$C$7:$C$306,"&gt;="&amp;DATE($B$3,12,27),'Leave log'!$F$7:$F$306,"Approved")&gt;0,"A",""))="A","A",IF(OR(DATE($B$3,12,27)&gt;EOMONTH(DATE($B$3,12,1),0),NETWORKDAYS.INTL(DATE($B$3,12,27),DATE($B$3,12,27),1,'Non-working days'!$A$6:$A$45)=0),"",IF(COUNTIFS('Leave log'!$A$7:$A$306,Employees!$A$13,'Leave log'!$B$7:$B$306,"&lt;="&amp;DATE($B$3,12,27),'Leave log'!$C$7:$C$306,"&gt;="&amp;DATE($B$3,12,27),'Leave log'!$F$7:$F$306,"Pending")&gt;0,"P",""))))</f>
        <v/>
      </c>
      <c r="AC388" s="23" t="str">
        <f>IF(A388="","",IF(IF(OR(DATE($B$3,12,28)&gt;EOMONTH(DATE($B$3,12,1),0),NETWORKDAYS.INTL(DATE($B$3,12,28),DATE($B$3,12,28),1,'Non-working days'!$A$6:$A$45)=0),"",IF(COUNTIFS('Leave log'!$A$7:$A$306,Employees!$A$13,'Leave log'!$B$7:$B$306,"&lt;="&amp;DATE($B$3,12,28),'Leave log'!$C$7:$C$306,"&gt;="&amp;DATE($B$3,12,28),'Leave log'!$F$7:$F$306,"Approved")&gt;0,"A",""))="A","A",IF(OR(DATE($B$3,12,28)&gt;EOMONTH(DATE($B$3,12,1),0),NETWORKDAYS.INTL(DATE($B$3,12,28),DATE($B$3,12,28),1,'Non-working days'!$A$6:$A$45)=0),"",IF(COUNTIFS('Leave log'!$A$7:$A$306,Employees!$A$13,'Leave log'!$B$7:$B$306,"&lt;="&amp;DATE($B$3,12,28),'Leave log'!$C$7:$C$306,"&gt;="&amp;DATE($B$3,12,28),'Leave log'!$F$7:$F$306,"Pending")&gt;0,"P",""))))</f>
        <v/>
      </c>
      <c r="AD388" s="23" t="str">
        <f>IF(A388="","",IF(IF(OR(DATE($B$3,12,29)&gt;EOMONTH(DATE($B$3,12,1),0),NETWORKDAYS.INTL(DATE($B$3,12,29),DATE($B$3,12,29),1,'Non-working days'!$A$6:$A$45)=0),"",IF(COUNTIFS('Leave log'!$A$7:$A$306,Employees!$A$13,'Leave log'!$B$7:$B$306,"&lt;="&amp;DATE($B$3,12,29),'Leave log'!$C$7:$C$306,"&gt;="&amp;DATE($B$3,12,29),'Leave log'!$F$7:$F$306,"Approved")&gt;0,"A",""))="A","A",IF(OR(DATE($B$3,12,29)&gt;EOMONTH(DATE($B$3,12,1),0),NETWORKDAYS.INTL(DATE($B$3,12,29),DATE($B$3,12,29),1,'Non-working days'!$A$6:$A$45)=0),"",IF(COUNTIFS('Leave log'!$A$7:$A$306,Employees!$A$13,'Leave log'!$B$7:$B$306,"&lt;="&amp;DATE($B$3,12,29),'Leave log'!$C$7:$C$306,"&gt;="&amp;DATE($B$3,12,29),'Leave log'!$F$7:$F$306,"Pending")&gt;0,"P",""))))</f>
        <v/>
      </c>
      <c r="AE388" s="23" t="str">
        <f>IF(A388="","",IF(IF(OR(DATE($B$3,12,30)&gt;EOMONTH(DATE($B$3,12,1),0),NETWORKDAYS.INTL(DATE($B$3,12,30),DATE($B$3,12,30),1,'Non-working days'!$A$6:$A$45)=0),"",IF(COUNTIFS('Leave log'!$A$7:$A$306,Employees!$A$13,'Leave log'!$B$7:$B$306,"&lt;="&amp;DATE($B$3,12,30),'Leave log'!$C$7:$C$306,"&gt;="&amp;DATE($B$3,12,30),'Leave log'!$F$7:$F$306,"Approved")&gt;0,"A",""))="A","A",IF(OR(DATE($B$3,12,30)&gt;EOMONTH(DATE($B$3,12,1),0),NETWORKDAYS.INTL(DATE($B$3,12,30),DATE($B$3,12,30),1,'Non-working days'!$A$6:$A$45)=0),"",IF(COUNTIFS('Leave log'!$A$7:$A$306,Employees!$A$13,'Leave log'!$B$7:$B$306,"&lt;="&amp;DATE($B$3,12,30),'Leave log'!$C$7:$C$306,"&gt;="&amp;DATE($B$3,12,30),'Leave log'!$F$7:$F$306,"Pending")&gt;0,"P",""))))</f>
        <v/>
      </c>
      <c r="AF388" s="23" t="str">
        <f>IF(A388="","",IF(IF(OR(DATE($B$3,12,31)&gt;EOMONTH(DATE($B$3,12,1),0),NETWORKDAYS.INTL(DATE($B$3,12,31),DATE($B$3,12,31),1,'Non-working days'!$A$6:$A$45)=0),"",IF(COUNTIFS('Leave log'!$A$7:$A$306,Employees!$A$13,'Leave log'!$B$7:$B$306,"&lt;="&amp;DATE($B$3,12,31),'Leave log'!$C$7:$C$306,"&gt;="&amp;DATE($B$3,12,31),'Leave log'!$F$7:$F$306,"Approved")&gt;0,"A",""))="A","A",IF(OR(DATE($B$3,12,31)&gt;EOMONTH(DATE($B$3,12,1),0),NETWORKDAYS.INTL(DATE($B$3,12,31),DATE($B$3,12,31),1,'Non-working days'!$A$6:$A$45)=0),"",IF(COUNTIFS('Leave log'!$A$7:$A$306,Employees!$A$13,'Leave log'!$B$7:$B$306,"&lt;="&amp;DATE($B$3,12,31),'Leave log'!$C$7:$C$306,"&gt;="&amp;DATE($B$3,12,31),'Leave log'!$F$7:$F$306,"Pending")&gt;0,"P",""))))</f>
        <v/>
      </c>
    </row>
    <row r="389" spans="1:32" ht="18" customHeight="1" x14ac:dyDescent="0.3">
      <c r="A389" s="22" t="str">
        <f>IF(Employees!F14="Yes",Employees!B14,"")</f>
        <v/>
      </c>
      <c r="B389" s="23" t="str">
        <f>IF(A389="","",IF(IF(OR(DATE($B$3,12,1)&gt;EOMONTH(DATE($B$3,12,1),0),NETWORKDAYS.INTL(DATE($B$3,12,1),DATE($B$3,12,1),1,'Non-working days'!$A$6:$A$45)=0),"",IF(COUNTIFS('Leave log'!$A$7:$A$306,Employees!$A$14,'Leave log'!$B$7:$B$306,"&lt;="&amp;DATE($B$3,12,1),'Leave log'!$C$7:$C$306,"&gt;="&amp;DATE($B$3,12,1),'Leave log'!$F$7:$F$306,"Approved")&gt;0,"A",""))="A","A",IF(OR(DATE($B$3,12,1)&gt;EOMONTH(DATE($B$3,12,1),0),NETWORKDAYS.INTL(DATE($B$3,12,1),DATE($B$3,12,1),1,'Non-working days'!$A$6:$A$45)=0),"",IF(COUNTIFS('Leave log'!$A$7:$A$306,Employees!$A$14,'Leave log'!$B$7:$B$306,"&lt;="&amp;DATE($B$3,12,1),'Leave log'!$C$7:$C$306,"&gt;="&amp;DATE($B$3,12,1),'Leave log'!$F$7:$F$306,"Pending")&gt;0,"P",""))))</f>
        <v/>
      </c>
      <c r="C389" s="23" t="str">
        <f>IF(A389="","",IF(IF(OR(DATE($B$3,12,2)&gt;EOMONTH(DATE($B$3,12,1),0),NETWORKDAYS.INTL(DATE($B$3,12,2),DATE($B$3,12,2),1,'Non-working days'!$A$6:$A$45)=0),"",IF(COUNTIFS('Leave log'!$A$7:$A$306,Employees!$A$14,'Leave log'!$B$7:$B$306,"&lt;="&amp;DATE($B$3,12,2),'Leave log'!$C$7:$C$306,"&gt;="&amp;DATE($B$3,12,2),'Leave log'!$F$7:$F$306,"Approved")&gt;0,"A",""))="A","A",IF(OR(DATE($B$3,12,2)&gt;EOMONTH(DATE($B$3,12,1),0),NETWORKDAYS.INTL(DATE($B$3,12,2),DATE($B$3,12,2),1,'Non-working days'!$A$6:$A$45)=0),"",IF(COUNTIFS('Leave log'!$A$7:$A$306,Employees!$A$14,'Leave log'!$B$7:$B$306,"&lt;="&amp;DATE($B$3,12,2),'Leave log'!$C$7:$C$306,"&gt;="&amp;DATE($B$3,12,2),'Leave log'!$F$7:$F$306,"Pending")&gt;0,"P",""))))</f>
        <v/>
      </c>
      <c r="D389" s="23" t="str">
        <f>IF(A389="","",IF(IF(OR(DATE($B$3,12,3)&gt;EOMONTH(DATE($B$3,12,1),0),NETWORKDAYS.INTL(DATE($B$3,12,3),DATE($B$3,12,3),1,'Non-working days'!$A$6:$A$45)=0),"",IF(COUNTIFS('Leave log'!$A$7:$A$306,Employees!$A$14,'Leave log'!$B$7:$B$306,"&lt;="&amp;DATE($B$3,12,3),'Leave log'!$C$7:$C$306,"&gt;="&amp;DATE($B$3,12,3),'Leave log'!$F$7:$F$306,"Approved")&gt;0,"A",""))="A","A",IF(OR(DATE($B$3,12,3)&gt;EOMONTH(DATE($B$3,12,1),0),NETWORKDAYS.INTL(DATE($B$3,12,3),DATE($B$3,12,3),1,'Non-working days'!$A$6:$A$45)=0),"",IF(COUNTIFS('Leave log'!$A$7:$A$306,Employees!$A$14,'Leave log'!$B$7:$B$306,"&lt;="&amp;DATE($B$3,12,3),'Leave log'!$C$7:$C$306,"&gt;="&amp;DATE($B$3,12,3),'Leave log'!$F$7:$F$306,"Pending")&gt;0,"P",""))))</f>
        <v/>
      </c>
      <c r="E389" s="23" t="str">
        <f>IF(A389="","",IF(IF(OR(DATE($B$3,12,4)&gt;EOMONTH(DATE($B$3,12,1),0),NETWORKDAYS.INTL(DATE($B$3,12,4),DATE($B$3,12,4),1,'Non-working days'!$A$6:$A$45)=0),"",IF(COUNTIFS('Leave log'!$A$7:$A$306,Employees!$A$14,'Leave log'!$B$7:$B$306,"&lt;="&amp;DATE($B$3,12,4),'Leave log'!$C$7:$C$306,"&gt;="&amp;DATE($B$3,12,4),'Leave log'!$F$7:$F$306,"Approved")&gt;0,"A",""))="A","A",IF(OR(DATE($B$3,12,4)&gt;EOMONTH(DATE($B$3,12,1),0),NETWORKDAYS.INTL(DATE($B$3,12,4),DATE($B$3,12,4),1,'Non-working days'!$A$6:$A$45)=0),"",IF(COUNTIFS('Leave log'!$A$7:$A$306,Employees!$A$14,'Leave log'!$B$7:$B$306,"&lt;="&amp;DATE($B$3,12,4),'Leave log'!$C$7:$C$306,"&gt;="&amp;DATE($B$3,12,4),'Leave log'!$F$7:$F$306,"Pending")&gt;0,"P",""))))</f>
        <v/>
      </c>
      <c r="F389" s="23" t="str">
        <f>IF(A389="","",IF(IF(OR(DATE($B$3,12,5)&gt;EOMONTH(DATE($B$3,12,1),0),NETWORKDAYS.INTL(DATE($B$3,12,5),DATE($B$3,12,5),1,'Non-working days'!$A$6:$A$45)=0),"",IF(COUNTIFS('Leave log'!$A$7:$A$306,Employees!$A$14,'Leave log'!$B$7:$B$306,"&lt;="&amp;DATE($B$3,12,5),'Leave log'!$C$7:$C$306,"&gt;="&amp;DATE($B$3,12,5),'Leave log'!$F$7:$F$306,"Approved")&gt;0,"A",""))="A","A",IF(OR(DATE($B$3,12,5)&gt;EOMONTH(DATE($B$3,12,1),0),NETWORKDAYS.INTL(DATE($B$3,12,5),DATE($B$3,12,5),1,'Non-working days'!$A$6:$A$45)=0),"",IF(COUNTIFS('Leave log'!$A$7:$A$306,Employees!$A$14,'Leave log'!$B$7:$B$306,"&lt;="&amp;DATE($B$3,12,5),'Leave log'!$C$7:$C$306,"&gt;="&amp;DATE($B$3,12,5),'Leave log'!$F$7:$F$306,"Pending")&gt;0,"P",""))))</f>
        <v/>
      </c>
      <c r="G389" s="23" t="str">
        <f>IF(A389="","",IF(IF(OR(DATE($B$3,12,6)&gt;EOMONTH(DATE($B$3,12,1),0),NETWORKDAYS.INTL(DATE($B$3,12,6),DATE($B$3,12,6),1,'Non-working days'!$A$6:$A$45)=0),"",IF(COUNTIFS('Leave log'!$A$7:$A$306,Employees!$A$14,'Leave log'!$B$7:$B$306,"&lt;="&amp;DATE($B$3,12,6),'Leave log'!$C$7:$C$306,"&gt;="&amp;DATE($B$3,12,6),'Leave log'!$F$7:$F$306,"Approved")&gt;0,"A",""))="A","A",IF(OR(DATE($B$3,12,6)&gt;EOMONTH(DATE($B$3,12,1),0),NETWORKDAYS.INTL(DATE($B$3,12,6),DATE($B$3,12,6),1,'Non-working days'!$A$6:$A$45)=0),"",IF(COUNTIFS('Leave log'!$A$7:$A$306,Employees!$A$14,'Leave log'!$B$7:$B$306,"&lt;="&amp;DATE($B$3,12,6),'Leave log'!$C$7:$C$306,"&gt;="&amp;DATE($B$3,12,6),'Leave log'!$F$7:$F$306,"Pending")&gt;0,"P",""))))</f>
        <v/>
      </c>
      <c r="H389" s="23" t="str">
        <f>IF(A389="","",IF(IF(OR(DATE($B$3,12,7)&gt;EOMONTH(DATE($B$3,12,1),0),NETWORKDAYS.INTL(DATE($B$3,12,7),DATE($B$3,12,7),1,'Non-working days'!$A$6:$A$45)=0),"",IF(COUNTIFS('Leave log'!$A$7:$A$306,Employees!$A$14,'Leave log'!$B$7:$B$306,"&lt;="&amp;DATE($B$3,12,7),'Leave log'!$C$7:$C$306,"&gt;="&amp;DATE($B$3,12,7),'Leave log'!$F$7:$F$306,"Approved")&gt;0,"A",""))="A","A",IF(OR(DATE($B$3,12,7)&gt;EOMONTH(DATE($B$3,12,1),0),NETWORKDAYS.INTL(DATE($B$3,12,7),DATE($B$3,12,7),1,'Non-working days'!$A$6:$A$45)=0),"",IF(COUNTIFS('Leave log'!$A$7:$A$306,Employees!$A$14,'Leave log'!$B$7:$B$306,"&lt;="&amp;DATE($B$3,12,7),'Leave log'!$C$7:$C$306,"&gt;="&amp;DATE($B$3,12,7),'Leave log'!$F$7:$F$306,"Pending")&gt;0,"P",""))))</f>
        <v/>
      </c>
      <c r="I389" s="23" t="str">
        <f>IF(A389="","",IF(IF(OR(DATE($B$3,12,8)&gt;EOMONTH(DATE($B$3,12,1),0),NETWORKDAYS.INTL(DATE($B$3,12,8),DATE($B$3,12,8),1,'Non-working days'!$A$6:$A$45)=0),"",IF(COUNTIFS('Leave log'!$A$7:$A$306,Employees!$A$14,'Leave log'!$B$7:$B$306,"&lt;="&amp;DATE($B$3,12,8),'Leave log'!$C$7:$C$306,"&gt;="&amp;DATE($B$3,12,8),'Leave log'!$F$7:$F$306,"Approved")&gt;0,"A",""))="A","A",IF(OR(DATE($B$3,12,8)&gt;EOMONTH(DATE($B$3,12,1),0),NETWORKDAYS.INTL(DATE($B$3,12,8),DATE($B$3,12,8),1,'Non-working days'!$A$6:$A$45)=0),"",IF(COUNTIFS('Leave log'!$A$7:$A$306,Employees!$A$14,'Leave log'!$B$7:$B$306,"&lt;="&amp;DATE($B$3,12,8),'Leave log'!$C$7:$C$306,"&gt;="&amp;DATE($B$3,12,8),'Leave log'!$F$7:$F$306,"Pending")&gt;0,"P",""))))</f>
        <v/>
      </c>
      <c r="J389" s="23" t="str">
        <f>IF(A389="","",IF(IF(OR(DATE($B$3,12,9)&gt;EOMONTH(DATE($B$3,12,1),0),NETWORKDAYS.INTL(DATE($B$3,12,9),DATE($B$3,12,9),1,'Non-working days'!$A$6:$A$45)=0),"",IF(COUNTIFS('Leave log'!$A$7:$A$306,Employees!$A$14,'Leave log'!$B$7:$B$306,"&lt;="&amp;DATE($B$3,12,9),'Leave log'!$C$7:$C$306,"&gt;="&amp;DATE($B$3,12,9),'Leave log'!$F$7:$F$306,"Approved")&gt;0,"A",""))="A","A",IF(OR(DATE($B$3,12,9)&gt;EOMONTH(DATE($B$3,12,1),0),NETWORKDAYS.INTL(DATE($B$3,12,9),DATE($B$3,12,9),1,'Non-working days'!$A$6:$A$45)=0),"",IF(COUNTIFS('Leave log'!$A$7:$A$306,Employees!$A$14,'Leave log'!$B$7:$B$306,"&lt;="&amp;DATE($B$3,12,9),'Leave log'!$C$7:$C$306,"&gt;="&amp;DATE($B$3,12,9),'Leave log'!$F$7:$F$306,"Pending")&gt;0,"P",""))))</f>
        <v/>
      </c>
      <c r="K389" s="23" t="str">
        <f>IF(A389="","",IF(IF(OR(DATE($B$3,12,10)&gt;EOMONTH(DATE($B$3,12,1),0),NETWORKDAYS.INTL(DATE($B$3,12,10),DATE($B$3,12,10),1,'Non-working days'!$A$6:$A$45)=0),"",IF(COUNTIFS('Leave log'!$A$7:$A$306,Employees!$A$14,'Leave log'!$B$7:$B$306,"&lt;="&amp;DATE($B$3,12,10),'Leave log'!$C$7:$C$306,"&gt;="&amp;DATE($B$3,12,10),'Leave log'!$F$7:$F$306,"Approved")&gt;0,"A",""))="A","A",IF(OR(DATE($B$3,12,10)&gt;EOMONTH(DATE($B$3,12,1),0),NETWORKDAYS.INTL(DATE($B$3,12,10),DATE($B$3,12,10),1,'Non-working days'!$A$6:$A$45)=0),"",IF(COUNTIFS('Leave log'!$A$7:$A$306,Employees!$A$14,'Leave log'!$B$7:$B$306,"&lt;="&amp;DATE($B$3,12,10),'Leave log'!$C$7:$C$306,"&gt;="&amp;DATE($B$3,12,10),'Leave log'!$F$7:$F$306,"Pending")&gt;0,"P",""))))</f>
        <v/>
      </c>
      <c r="L389" s="23" t="str">
        <f>IF(A389="","",IF(IF(OR(DATE($B$3,12,11)&gt;EOMONTH(DATE($B$3,12,1),0),NETWORKDAYS.INTL(DATE($B$3,12,11),DATE($B$3,12,11),1,'Non-working days'!$A$6:$A$45)=0),"",IF(COUNTIFS('Leave log'!$A$7:$A$306,Employees!$A$14,'Leave log'!$B$7:$B$306,"&lt;="&amp;DATE($B$3,12,11),'Leave log'!$C$7:$C$306,"&gt;="&amp;DATE($B$3,12,11),'Leave log'!$F$7:$F$306,"Approved")&gt;0,"A",""))="A","A",IF(OR(DATE($B$3,12,11)&gt;EOMONTH(DATE($B$3,12,1),0),NETWORKDAYS.INTL(DATE($B$3,12,11),DATE($B$3,12,11),1,'Non-working days'!$A$6:$A$45)=0),"",IF(COUNTIFS('Leave log'!$A$7:$A$306,Employees!$A$14,'Leave log'!$B$7:$B$306,"&lt;="&amp;DATE($B$3,12,11),'Leave log'!$C$7:$C$306,"&gt;="&amp;DATE($B$3,12,11),'Leave log'!$F$7:$F$306,"Pending")&gt;0,"P",""))))</f>
        <v/>
      </c>
      <c r="M389" s="23" t="str">
        <f>IF(A389="","",IF(IF(OR(DATE($B$3,12,12)&gt;EOMONTH(DATE($B$3,12,1),0),NETWORKDAYS.INTL(DATE($B$3,12,12),DATE($B$3,12,12),1,'Non-working days'!$A$6:$A$45)=0),"",IF(COUNTIFS('Leave log'!$A$7:$A$306,Employees!$A$14,'Leave log'!$B$7:$B$306,"&lt;="&amp;DATE($B$3,12,12),'Leave log'!$C$7:$C$306,"&gt;="&amp;DATE($B$3,12,12),'Leave log'!$F$7:$F$306,"Approved")&gt;0,"A",""))="A","A",IF(OR(DATE($B$3,12,12)&gt;EOMONTH(DATE($B$3,12,1),0),NETWORKDAYS.INTL(DATE($B$3,12,12),DATE($B$3,12,12),1,'Non-working days'!$A$6:$A$45)=0),"",IF(COUNTIFS('Leave log'!$A$7:$A$306,Employees!$A$14,'Leave log'!$B$7:$B$306,"&lt;="&amp;DATE($B$3,12,12),'Leave log'!$C$7:$C$306,"&gt;="&amp;DATE($B$3,12,12),'Leave log'!$F$7:$F$306,"Pending")&gt;0,"P",""))))</f>
        <v/>
      </c>
      <c r="N389" s="23" t="str">
        <f>IF(A389="","",IF(IF(OR(DATE($B$3,12,13)&gt;EOMONTH(DATE($B$3,12,1),0),NETWORKDAYS.INTL(DATE($B$3,12,13),DATE($B$3,12,13),1,'Non-working days'!$A$6:$A$45)=0),"",IF(COUNTIFS('Leave log'!$A$7:$A$306,Employees!$A$14,'Leave log'!$B$7:$B$306,"&lt;="&amp;DATE($B$3,12,13),'Leave log'!$C$7:$C$306,"&gt;="&amp;DATE($B$3,12,13),'Leave log'!$F$7:$F$306,"Approved")&gt;0,"A",""))="A","A",IF(OR(DATE($B$3,12,13)&gt;EOMONTH(DATE($B$3,12,1),0),NETWORKDAYS.INTL(DATE($B$3,12,13),DATE($B$3,12,13),1,'Non-working days'!$A$6:$A$45)=0),"",IF(COUNTIFS('Leave log'!$A$7:$A$306,Employees!$A$14,'Leave log'!$B$7:$B$306,"&lt;="&amp;DATE($B$3,12,13),'Leave log'!$C$7:$C$306,"&gt;="&amp;DATE($B$3,12,13),'Leave log'!$F$7:$F$306,"Pending")&gt;0,"P",""))))</f>
        <v/>
      </c>
      <c r="O389" s="23" t="str">
        <f>IF(A389="","",IF(IF(OR(DATE($B$3,12,14)&gt;EOMONTH(DATE($B$3,12,1),0),NETWORKDAYS.INTL(DATE($B$3,12,14),DATE($B$3,12,14),1,'Non-working days'!$A$6:$A$45)=0),"",IF(COUNTIFS('Leave log'!$A$7:$A$306,Employees!$A$14,'Leave log'!$B$7:$B$306,"&lt;="&amp;DATE($B$3,12,14),'Leave log'!$C$7:$C$306,"&gt;="&amp;DATE($B$3,12,14),'Leave log'!$F$7:$F$306,"Approved")&gt;0,"A",""))="A","A",IF(OR(DATE($B$3,12,14)&gt;EOMONTH(DATE($B$3,12,1),0),NETWORKDAYS.INTL(DATE($B$3,12,14),DATE($B$3,12,14),1,'Non-working days'!$A$6:$A$45)=0),"",IF(COUNTIFS('Leave log'!$A$7:$A$306,Employees!$A$14,'Leave log'!$B$7:$B$306,"&lt;="&amp;DATE($B$3,12,14),'Leave log'!$C$7:$C$306,"&gt;="&amp;DATE($B$3,12,14),'Leave log'!$F$7:$F$306,"Pending")&gt;0,"P",""))))</f>
        <v/>
      </c>
      <c r="P389" s="23" t="str">
        <f>IF(A389="","",IF(IF(OR(DATE($B$3,12,15)&gt;EOMONTH(DATE($B$3,12,1),0),NETWORKDAYS.INTL(DATE($B$3,12,15),DATE($B$3,12,15),1,'Non-working days'!$A$6:$A$45)=0),"",IF(COUNTIFS('Leave log'!$A$7:$A$306,Employees!$A$14,'Leave log'!$B$7:$B$306,"&lt;="&amp;DATE($B$3,12,15),'Leave log'!$C$7:$C$306,"&gt;="&amp;DATE($B$3,12,15),'Leave log'!$F$7:$F$306,"Approved")&gt;0,"A",""))="A","A",IF(OR(DATE($B$3,12,15)&gt;EOMONTH(DATE($B$3,12,1),0),NETWORKDAYS.INTL(DATE($B$3,12,15),DATE($B$3,12,15),1,'Non-working days'!$A$6:$A$45)=0),"",IF(COUNTIFS('Leave log'!$A$7:$A$306,Employees!$A$14,'Leave log'!$B$7:$B$306,"&lt;="&amp;DATE($B$3,12,15),'Leave log'!$C$7:$C$306,"&gt;="&amp;DATE($B$3,12,15),'Leave log'!$F$7:$F$306,"Pending")&gt;0,"P",""))))</f>
        <v/>
      </c>
      <c r="Q389" s="23" t="str">
        <f>IF(A389="","",IF(IF(OR(DATE($B$3,12,16)&gt;EOMONTH(DATE($B$3,12,1),0),NETWORKDAYS.INTL(DATE($B$3,12,16),DATE($B$3,12,16),1,'Non-working days'!$A$6:$A$45)=0),"",IF(COUNTIFS('Leave log'!$A$7:$A$306,Employees!$A$14,'Leave log'!$B$7:$B$306,"&lt;="&amp;DATE($B$3,12,16),'Leave log'!$C$7:$C$306,"&gt;="&amp;DATE($B$3,12,16),'Leave log'!$F$7:$F$306,"Approved")&gt;0,"A",""))="A","A",IF(OR(DATE($B$3,12,16)&gt;EOMONTH(DATE($B$3,12,1),0),NETWORKDAYS.INTL(DATE($B$3,12,16),DATE($B$3,12,16),1,'Non-working days'!$A$6:$A$45)=0),"",IF(COUNTIFS('Leave log'!$A$7:$A$306,Employees!$A$14,'Leave log'!$B$7:$B$306,"&lt;="&amp;DATE($B$3,12,16),'Leave log'!$C$7:$C$306,"&gt;="&amp;DATE($B$3,12,16),'Leave log'!$F$7:$F$306,"Pending")&gt;0,"P",""))))</f>
        <v/>
      </c>
      <c r="R389" s="23" t="str">
        <f>IF(A389="","",IF(IF(OR(DATE($B$3,12,17)&gt;EOMONTH(DATE($B$3,12,1),0),NETWORKDAYS.INTL(DATE($B$3,12,17),DATE($B$3,12,17),1,'Non-working days'!$A$6:$A$45)=0),"",IF(COUNTIFS('Leave log'!$A$7:$A$306,Employees!$A$14,'Leave log'!$B$7:$B$306,"&lt;="&amp;DATE($B$3,12,17),'Leave log'!$C$7:$C$306,"&gt;="&amp;DATE($B$3,12,17),'Leave log'!$F$7:$F$306,"Approved")&gt;0,"A",""))="A","A",IF(OR(DATE($B$3,12,17)&gt;EOMONTH(DATE($B$3,12,1),0),NETWORKDAYS.INTL(DATE($B$3,12,17),DATE($B$3,12,17),1,'Non-working days'!$A$6:$A$45)=0),"",IF(COUNTIFS('Leave log'!$A$7:$A$306,Employees!$A$14,'Leave log'!$B$7:$B$306,"&lt;="&amp;DATE($B$3,12,17),'Leave log'!$C$7:$C$306,"&gt;="&amp;DATE($B$3,12,17),'Leave log'!$F$7:$F$306,"Pending")&gt;0,"P",""))))</f>
        <v/>
      </c>
      <c r="S389" s="23" t="str">
        <f>IF(A389="","",IF(IF(OR(DATE($B$3,12,18)&gt;EOMONTH(DATE($B$3,12,1),0),NETWORKDAYS.INTL(DATE($B$3,12,18),DATE($B$3,12,18),1,'Non-working days'!$A$6:$A$45)=0),"",IF(COUNTIFS('Leave log'!$A$7:$A$306,Employees!$A$14,'Leave log'!$B$7:$B$306,"&lt;="&amp;DATE($B$3,12,18),'Leave log'!$C$7:$C$306,"&gt;="&amp;DATE($B$3,12,18),'Leave log'!$F$7:$F$306,"Approved")&gt;0,"A",""))="A","A",IF(OR(DATE($B$3,12,18)&gt;EOMONTH(DATE($B$3,12,1),0),NETWORKDAYS.INTL(DATE($B$3,12,18),DATE($B$3,12,18),1,'Non-working days'!$A$6:$A$45)=0),"",IF(COUNTIFS('Leave log'!$A$7:$A$306,Employees!$A$14,'Leave log'!$B$7:$B$306,"&lt;="&amp;DATE($B$3,12,18),'Leave log'!$C$7:$C$306,"&gt;="&amp;DATE($B$3,12,18),'Leave log'!$F$7:$F$306,"Pending")&gt;0,"P",""))))</f>
        <v/>
      </c>
      <c r="T389" s="23" t="str">
        <f>IF(A389="","",IF(IF(OR(DATE($B$3,12,19)&gt;EOMONTH(DATE($B$3,12,1),0),NETWORKDAYS.INTL(DATE($B$3,12,19),DATE($B$3,12,19),1,'Non-working days'!$A$6:$A$45)=0),"",IF(COUNTIFS('Leave log'!$A$7:$A$306,Employees!$A$14,'Leave log'!$B$7:$B$306,"&lt;="&amp;DATE($B$3,12,19),'Leave log'!$C$7:$C$306,"&gt;="&amp;DATE($B$3,12,19),'Leave log'!$F$7:$F$306,"Approved")&gt;0,"A",""))="A","A",IF(OR(DATE($B$3,12,19)&gt;EOMONTH(DATE($B$3,12,1),0),NETWORKDAYS.INTL(DATE($B$3,12,19),DATE($B$3,12,19),1,'Non-working days'!$A$6:$A$45)=0),"",IF(COUNTIFS('Leave log'!$A$7:$A$306,Employees!$A$14,'Leave log'!$B$7:$B$306,"&lt;="&amp;DATE($B$3,12,19),'Leave log'!$C$7:$C$306,"&gt;="&amp;DATE($B$3,12,19),'Leave log'!$F$7:$F$306,"Pending")&gt;0,"P",""))))</f>
        <v/>
      </c>
      <c r="U389" s="23" t="str">
        <f>IF(A389="","",IF(IF(OR(DATE($B$3,12,20)&gt;EOMONTH(DATE($B$3,12,1),0),NETWORKDAYS.INTL(DATE($B$3,12,20),DATE($B$3,12,20),1,'Non-working days'!$A$6:$A$45)=0),"",IF(COUNTIFS('Leave log'!$A$7:$A$306,Employees!$A$14,'Leave log'!$B$7:$B$306,"&lt;="&amp;DATE($B$3,12,20),'Leave log'!$C$7:$C$306,"&gt;="&amp;DATE($B$3,12,20),'Leave log'!$F$7:$F$306,"Approved")&gt;0,"A",""))="A","A",IF(OR(DATE($B$3,12,20)&gt;EOMONTH(DATE($B$3,12,1),0),NETWORKDAYS.INTL(DATE($B$3,12,20),DATE($B$3,12,20),1,'Non-working days'!$A$6:$A$45)=0),"",IF(COUNTIFS('Leave log'!$A$7:$A$306,Employees!$A$14,'Leave log'!$B$7:$B$306,"&lt;="&amp;DATE($B$3,12,20),'Leave log'!$C$7:$C$306,"&gt;="&amp;DATE($B$3,12,20),'Leave log'!$F$7:$F$306,"Pending")&gt;0,"P",""))))</f>
        <v/>
      </c>
      <c r="V389" s="23" t="str">
        <f>IF(A389="","",IF(IF(OR(DATE($B$3,12,21)&gt;EOMONTH(DATE($B$3,12,1),0),NETWORKDAYS.INTL(DATE($B$3,12,21),DATE($B$3,12,21),1,'Non-working days'!$A$6:$A$45)=0),"",IF(COUNTIFS('Leave log'!$A$7:$A$306,Employees!$A$14,'Leave log'!$B$7:$B$306,"&lt;="&amp;DATE($B$3,12,21),'Leave log'!$C$7:$C$306,"&gt;="&amp;DATE($B$3,12,21),'Leave log'!$F$7:$F$306,"Approved")&gt;0,"A",""))="A","A",IF(OR(DATE($B$3,12,21)&gt;EOMONTH(DATE($B$3,12,1),0),NETWORKDAYS.INTL(DATE($B$3,12,21),DATE($B$3,12,21),1,'Non-working days'!$A$6:$A$45)=0),"",IF(COUNTIFS('Leave log'!$A$7:$A$306,Employees!$A$14,'Leave log'!$B$7:$B$306,"&lt;="&amp;DATE($B$3,12,21),'Leave log'!$C$7:$C$306,"&gt;="&amp;DATE($B$3,12,21),'Leave log'!$F$7:$F$306,"Pending")&gt;0,"P",""))))</f>
        <v/>
      </c>
      <c r="W389" s="23" t="str">
        <f>IF(A389="","",IF(IF(OR(DATE($B$3,12,22)&gt;EOMONTH(DATE($B$3,12,1),0),NETWORKDAYS.INTL(DATE($B$3,12,22),DATE($B$3,12,22),1,'Non-working days'!$A$6:$A$45)=0),"",IF(COUNTIFS('Leave log'!$A$7:$A$306,Employees!$A$14,'Leave log'!$B$7:$B$306,"&lt;="&amp;DATE($B$3,12,22),'Leave log'!$C$7:$C$306,"&gt;="&amp;DATE($B$3,12,22),'Leave log'!$F$7:$F$306,"Approved")&gt;0,"A",""))="A","A",IF(OR(DATE($B$3,12,22)&gt;EOMONTH(DATE($B$3,12,1),0),NETWORKDAYS.INTL(DATE($B$3,12,22),DATE($B$3,12,22),1,'Non-working days'!$A$6:$A$45)=0),"",IF(COUNTIFS('Leave log'!$A$7:$A$306,Employees!$A$14,'Leave log'!$B$7:$B$306,"&lt;="&amp;DATE($B$3,12,22),'Leave log'!$C$7:$C$306,"&gt;="&amp;DATE($B$3,12,22),'Leave log'!$F$7:$F$306,"Pending")&gt;0,"P",""))))</f>
        <v/>
      </c>
      <c r="X389" s="23" t="str">
        <f>IF(A389="","",IF(IF(OR(DATE($B$3,12,23)&gt;EOMONTH(DATE($B$3,12,1),0),NETWORKDAYS.INTL(DATE($B$3,12,23),DATE($B$3,12,23),1,'Non-working days'!$A$6:$A$45)=0),"",IF(COUNTIFS('Leave log'!$A$7:$A$306,Employees!$A$14,'Leave log'!$B$7:$B$306,"&lt;="&amp;DATE($B$3,12,23),'Leave log'!$C$7:$C$306,"&gt;="&amp;DATE($B$3,12,23),'Leave log'!$F$7:$F$306,"Approved")&gt;0,"A",""))="A","A",IF(OR(DATE($B$3,12,23)&gt;EOMONTH(DATE($B$3,12,1),0),NETWORKDAYS.INTL(DATE($B$3,12,23),DATE($B$3,12,23),1,'Non-working days'!$A$6:$A$45)=0),"",IF(COUNTIFS('Leave log'!$A$7:$A$306,Employees!$A$14,'Leave log'!$B$7:$B$306,"&lt;="&amp;DATE($B$3,12,23),'Leave log'!$C$7:$C$306,"&gt;="&amp;DATE($B$3,12,23),'Leave log'!$F$7:$F$306,"Pending")&gt;0,"P",""))))</f>
        <v/>
      </c>
      <c r="Y389" s="23" t="str">
        <f>IF(A389="","",IF(IF(OR(DATE($B$3,12,24)&gt;EOMONTH(DATE($B$3,12,1),0),NETWORKDAYS.INTL(DATE($B$3,12,24),DATE($B$3,12,24),1,'Non-working days'!$A$6:$A$45)=0),"",IF(COUNTIFS('Leave log'!$A$7:$A$306,Employees!$A$14,'Leave log'!$B$7:$B$306,"&lt;="&amp;DATE($B$3,12,24),'Leave log'!$C$7:$C$306,"&gt;="&amp;DATE($B$3,12,24),'Leave log'!$F$7:$F$306,"Approved")&gt;0,"A",""))="A","A",IF(OR(DATE($B$3,12,24)&gt;EOMONTH(DATE($B$3,12,1),0),NETWORKDAYS.INTL(DATE($B$3,12,24),DATE($B$3,12,24),1,'Non-working days'!$A$6:$A$45)=0),"",IF(COUNTIFS('Leave log'!$A$7:$A$306,Employees!$A$14,'Leave log'!$B$7:$B$306,"&lt;="&amp;DATE($B$3,12,24),'Leave log'!$C$7:$C$306,"&gt;="&amp;DATE($B$3,12,24),'Leave log'!$F$7:$F$306,"Pending")&gt;0,"P",""))))</f>
        <v/>
      </c>
      <c r="Z389" s="23" t="str">
        <f>IF(A389="","",IF(IF(OR(DATE($B$3,12,25)&gt;EOMONTH(DATE($B$3,12,1),0),NETWORKDAYS.INTL(DATE($B$3,12,25),DATE($B$3,12,25),1,'Non-working days'!$A$6:$A$45)=0),"",IF(COUNTIFS('Leave log'!$A$7:$A$306,Employees!$A$14,'Leave log'!$B$7:$B$306,"&lt;="&amp;DATE($B$3,12,25),'Leave log'!$C$7:$C$306,"&gt;="&amp;DATE($B$3,12,25),'Leave log'!$F$7:$F$306,"Approved")&gt;0,"A",""))="A","A",IF(OR(DATE($B$3,12,25)&gt;EOMONTH(DATE($B$3,12,1),0),NETWORKDAYS.INTL(DATE($B$3,12,25),DATE($B$3,12,25),1,'Non-working days'!$A$6:$A$45)=0),"",IF(COUNTIFS('Leave log'!$A$7:$A$306,Employees!$A$14,'Leave log'!$B$7:$B$306,"&lt;="&amp;DATE($B$3,12,25),'Leave log'!$C$7:$C$306,"&gt;="&amp;DATE($B$3,12,25),'Leave log'!$F$7:$F$306,"Pending")&gt;0,"P",""))))</f>
        <v/>
      </c>
      <c r="AA389" s="23" t="str">
        <f>IF(A389="","",IF(IF(OR(DATE($B$3,12,26)&gt;EOMONTH(DATE($B$3,12,1),0),NETWORKDAYS.INTL(DATE($B$3,12,26),DATE($B$3,12,26),1,'Non-working days'!$A$6:$A$45)=0),"",IF(COUNTIFS('Leave log'!$A$7:$A$306,Employees!$A$14,'Leave log'!$B$7:$B$306,"&lt;="&amp;DATE($B$3,12,26),'Leave log'!$C$7:$C$306,"&gt;="&amp;DATE($B$3,12,26),'Leave log'!$F$7:$F$306,"Approved")&gt;0,"A",""))="A","A",IF(OR(DATE($B$3,12,26)&gt;EOMONTH(DATE($B$3,12,1),0),NETWORKDAYS.INTL(DATE($B$3,12,26),DATE($B$3,12,26),1,'Non-working days'!$A$6:$A$45)=0),"",IF(COUNTIFS('Leave log'!$A$7:$A$306,Employees!$A$14,'Leave log'!$B$7:$B$306,"&lt;="&amp;DATE($B$3,12,26),'Leave log'!$C$7:$C$306,"&gt;="&amp;DATE($B$3,12,26),'Leave log'!$F$7:$F$306,"Pending")&gt;0,"P",""))))</f>
        <v/>
      </c>
      <c r="AB389" s="23" t="str">
        <f>IF(A389="","",IF(IF(OR(DATE($B$3,12,27)&gt;EOMONTH(DATE($B$3,12,1),0),NETWORKDAYS.INTL(DATE($B$3,12,27),DATE($B$3,12,27),1,'Non-working days'!$A$6:$A$45)=0),"",IF(COUNTIFS('Leave log'!$A$7:$A$306,Employees!$A$14,'Leave log'!$B$7:$B$306,"&lt;="&amp;DATE($B$3,12,27),'Leave log'!$C$7:$C$306,"&gt;="&amp;DATE($B$3,12,27),'Leave log'!$F$7:$F$306,"Approved")&gt;0,"A",""))="A","A",IF(OR(DATE($B$3,12,27)&gt;EOMONTH(DATE($B$3,12,1),0),NETWORKDAYS.INTL(DATE($B$3,12,27),DATE($B$3,12,27),1,'Non-working days'!$A$6:$A$45)=0),"",IF(COUNTIFS('Leave log'!$A$7:$A$306,Employees!$A$14,'Leave log'!$B$7:$B$306,"&lt;="&amp;DATE($B$3,12,27),'Leave log'!$C$7:$C$306,"&gt;="&amp;DATE($B$3,12,27),'Leave log'!$F$7:$F$306,"Pending")&gt;0,"P",""))))</f>
        <v/>
      </c>
      <c r="AC389" s="23" t="str">
        <f>IF(A389="","",IF(IF(OR(DATE($B$3,12,28)&gt;EOMONTH(DATE($B$3,12,1),0),NETWORKDAYS.INTL(DATE($B$3,12,28),DATE($B$3,12,28),1,'Non-working days'!$A$6:$A$45)=0),"",IF(COUNTIFS('Leave log'!$A$7:$A$306,Employees!$A$14,'Leave log'!$B$7:$B$306,"&lt;="&amp;DATE($B$3,12,28),'Leave log'!$C$7:$C$306,"&gt;="&amp;DATE($B$3,12,28),'Leave log'!$F$7:$F$306,"Approved")&gt;0,"A",""))="A","A",IF(OR(DATE($B$3,12,28)&gt;EOMONTH(DATE($B$3,12,1),0),NETWORKDAYS.INTL(DATE($B$3,12,28),DATE($B$3,12,28),1,'Non-working days'!$A$6:$A$45)=0),"",IF(COUNTIFS('Leave log'!$A$7:$A$306,Employees!$A$14,'Leave log'!$B$7:$B$306,"&lt;="&amp;DATE($B$3,12,28),'Leave log'!$C$7:$C$306,"&gt;="&amp;DATE($B$3,12,28),'Leave log'!$F$7:$F$306,"Pending")&gt;0,"P",""))))</f>
        <v/>
      </c>
      <c r="AD389" s="23" t="str">
        <f>IF(A389="","",IF(IF(OR(DATE($B$3,12,29)&gt;EOMONTH(DATE($B$3,12,1),0),NETWORKDAYS.INTL(DATE($B$3,12,29),DATE($B$3,12,29),1,'Non-working days'!$A$6:$A$45)=0),"",IF(COUNTIFS('Leave log'!$A$7:$A$306,Employees!$A$14,'Leave log'!$B$7:$B$306,"&lt;="&amp;DATE($B$3,12,29),'Leave log'!$C$7:$C$306,"&gt;="&amp;DATE($B$3,12,29),'Leave log'!$F$7:$F$306,"Approved")&gt;0,"A",""))="A","A",IF(OR(DATE($B$3,12,29)&gt;EOMONTH(DATE($B$3,12,1),0),NETWORKDAYS.INTL(DATE($B$3,12,29),DATE($B$3,12,29),1,'Non-working days'!$A$6:$A$45)=0),"",IF(COUNTIFS('Leave log'!$A$7:$A$306,Employees!$A$14,'Leave log'!$B$7:$B$306,"&lt;="&amp;DATE($B$3,12,29),'Leave log'!$C$7:$C$306,"&gt;="&amp;DATE($B$3,12,29),'Leave log'!$F$7:$F$306,"Pending")&gt;0,"P",""))))</f>
        <v/>
      </c>
      <c r="AE389" s="23" t="str">
        <f>IF(A389="","",IF(IF(OR(DATE($B$3,12,30)&gt;EOMONTH(DATE($B$3,12,1),0),NETWORKDAYS.INTL(DATE($B$3,12,30),DATE($B$3,12,30),1,'Non-working days'!$A$6:$A$45)=0),"",IF(COUNTIFS('Leave log'!$A$7:$A$306,Employees!$A$14,'Leave log'!$B$7:$B$306,"&lt;="&amp;DATE($B$3,12,30),'Leave log'!$C$7:$C$306,"&gt;="&amp;DATE($B$3,12,30),'Leave log'!$F$7:$F$306,"Approved")&gt;0,"A",""))="A","A",IF(OR(DATE($B$3,12,30)&gt;EOMONTH(DATE($B$3,12,1),0),NETWORKDAYS.INTL(DATE($B$3,12,30),DATE($B$3,12,30),1,'Non-working days'!$A$6:$A$45)=0),"",IF(COUNTIFS('Leave log'!$A$7:$A$306,Employees!$A$14,'Leave log'!$B$7:$B$306,"&lt;="&amp;DATE($B$3,12,30),'Leave log'!$C$7:$C$306,"&gt;="&amp;DATE($B$3,12,30),'Leave log'!$F$7:$F$306,"Pending")&gt;0,"P",""))))</f>
        <v/>
      </c>
      <c r="AF389" s="23" t="str">
        <f>IF(A389="","",IF(IF(OR(DATE($B$3,12,31)&gt;EOMONTH(DATE($B$3,12,1),0),NETWORKDAYS.INTL(DATE($B$3,12,31),DATE($B$3,12,31),1,'Non-working days'!$A$6:$A$45)=0),"",IF(COUNTIFS('Leave log'!$A$7:$A$306,Employees!$A$14,'Leave log'!$B$7:$B$306,"&lt;="&amp;DATE($B$3,12,31),'Leave log'!$C$7:$C$306,"&gt;="&amp;DATE($B$3,12,31),'Leave log'!$F$7:$F$306,"Approved")&gt;0,"A",""))="A","A",IF(OR(DATE($B$3,12,31)&gt;EOMONTH(DATE($B$3,12,1),0),NETWORKDAYS.INTL(DATE($B$3,12,31),DATE($B$3,12,31),1,'Non-working days'!$A$6:$A$45)=0),"",IF(COUNTIFS('Leave log'!$A$7:$A$306,Employees!$A$14,'Leave log'!$B$7:$B$306,"&lt;="&amp;DATE($B$3,12,31),'Leave log'!$C$7:$C$306,"&gt;="&amp;DATE($B$3,12,31),'Leave log'!$F$7:$F$306,"Pending")&gt;0,"P",""))))</f>
        <v/>
      </c>
    </row>
    <row r="390" spans="1:32" ht="18" customHeight="1" x14ac:dyDescent="0.3">
      <c r="A390" s="22" t="str">
        <f>IF(Employees!F15="Yes",Employees!B15,"")</f>
        <v/>
      </c>
      <c r="B390" s="23" t="str">
        <f>IF(A390="","",IF(IF(OR(DATE($B$3,12,1)&gt;EOMONTH(DATE($B$3,12,1),0),NETWORKDAYS.INTL(DATE($B$3,12,1),DATE($B$3,12,1),1,'Non-working days'!$A$6:$A$45)=0),"",IF(COUNTIFS('Leave log'!$A$7:$A$306,Employees!$A$15,'Leave log'!$B$7:$B$306,"&lt;="&amp;DATE($B$3,12,1),'Leave log'!$C$7:$C$306,"&gt;="&amp;DATE($B$3,12,1),'Leave log'!$F$7:$F$306,"Approved")&gt;0,"A",""))="A","A",IF(OR(DATE($B$3,12,1)&gt;EOMONTH(DATE($B$3,12,1),0),NETWORKDAYS.INTL(DATE($B$3,12,1),DATE($B$3,12,1),1,'Non-working days'!$A$6:$A$45)=0),"",IF(COUNTIFS('Leave log'!$A$7:$A$306,Employees!$A$15,'Leave log'!$B$7:$B$306,"&lt;="&amp;DATE($B$3,12,1),'Leave log'!$C$7:$C$306,"&gt;="&amp;DATE($B$3,12,1),'Leave log'!$F$7:$F$306,"Pending")&gt;0,"P",""))))</f>
        <v/>
      </c>
      <c r="C390" s="23" t="str">
        <f>IF(A390="","",IF(IF(OR(DATE($B$3,12,2)&gt;EOMONTH(DATE($B$3,12,1),0),NETWORKDAYS.INTL(DATE($B$3,12,2),DATE($B$3,12,2),1,'Non-working days'!$A$6:$A$45)=0),"",IF(COUNTIFS('Leave log'!$A$7:$A$306,Employees!$A$15,'Leave log'!$B$7:$B$306,"&lt;="&amp;DATE($B$3,12,2),'Leave log'!$C$7:$C$306,"&gt;="&amp;DATE($B$3,12,2),'Leave log'!$F$7:$F$306,"Approved")&gt;0,"A",""))="A","A",IF(OR(DATE($B$3,12,2)&gt;EOMONTH(DATE($B$3,12,1),0),NETWORKDAYS.INTL(DATE($B$3,12,2),DATE($B$3,12,2),1,'Non-working days'!$A$6:$A$45)=0),"",IF(COUNTIFS('Leave log'!$A$7:$A$306,Employees!$A$15,'Leave log'!$B$7:$B$306,"&lt;="&amp;DATE($B$3,12,2),'Leave log'!$C$7:$C$306,"&gt;="&amp;DATE($B$3,12,2),'Leave log'!$F$7:$F$306,"Pending")&gt;0,"P",""))))</f>
        <v/>
      </c>
      <c r="D390" s="23" t="str">
        <f>IF(A390="","",IF(IF(OR(DATE($B$3,12,3)&gt;EOMONTH(DATE($B$3,12,1),0),NETWORKDAYS.INTL(DATE($B$3,12,3),DATE($B$3,12,3),1,'Non-working days'!$A$6:$A$45)=0),"",IF(COUNTIFS('Leave log'!$A$7:$A$306,Employees!$A$15,'Leave log'!$B$7:$B$306,"&lt;="&amp;DATE($B$3,12,3),'Leave log'!$C$7:$C$306,"&gt;="&amp;DATE($B$3,12,3),'Leave log'!$F$7:$F$306,"Approved")&gt;0,"A",""))="A","A",IF(OR(DATE($B$3,12,3)&gt;EOMONTH(DATE($B$3,12,1),0),NETWORKDAYS.INTL(DATE($B$3,12,3),DATE($B$3,12,3),1,'Non-working days'!$A$6:$A$45)=0),"",IF(COUNTIFS('Leave log'!$A$7:$A$306,Employees!$A$15,'Leave log'!$B$7:$B$306,"&lt;="&amp;DATE($B$3,12,3),'Leave log'!$C$7:$C$306,"&gt;="&amp;DATE($B$3,12,3),'Leave log'!$F$7:$F$306,"Pending")&gt;0,"P",""))))</f>
        <v/>
      </c>
      <c r="E390" s="23" t="str">
        <f>IF(A390="","",IF(IF(OR(DATE($B$3,12,4)&gt;EOMONTH(DATE($B$3,12,1),0),NETWORKDAYS.INTL(DATE($B$3,12,4),DATE($B$3,12,4),1,'Non-working days'!$A$6:$A$45)=0),"",IF(COUNTIFS('Leave log'!$A$7:$A$306,Employees!$A$15,'Leave log'!$B$7:$B$306,"&lt;="&amp;DATE($B$3,12,4),'Leave log'!$C$7:$C$306,"&gt;="&amp;DATE($B$3,12,4),'Leave log'!$F$7:$F$306,"Approved")&gt;0,"A",""))="A","A",IF(OR(DATE($B$3,12,4)&gt;EOMONTH(DATE($B$3,12,1),0),NETWORKDAYS.INTL(DATE($B$3,12,4),DATE($B$3,12,4),1,'Non-working days'!$A$6:$A$45)=0),"",IF(COUNTIFS('Leave log'!$A$7:$A$306,Employees!$A$15,'Leave log'!$B$7:$B$306,"&lt;="&amp;DATE($B$3,12,4),'Leave log'!$C$7:$C$306,"&gt;="&amp;DATE($B$3,12,4),'Leave log'!$F$7:$F$306,"Pending")&gt;0,"P",""))))</f>
        <v/>
      </c>
      <c r="F390" s="23" t="str">
        <f>IF(A390="","",IF(IF(OR(DATE($B$3,12,5)&gt;EOMONTH(DATE($B$3,12,1),0),NETWORKDAYS.INTL(DATE($B$3,12,5),DATE($B$3,12,5),1,'Non-working days'!$A$6:$A$45)=0),"",IF(COUNTIFS('Leave log'!$A$7:$A$306,Employees!$A$15,'Leave log'!$B$7:$B$306,"&lt;="&amp;DATE($B$3,12,5),'Leave log'!$C$7:$C$306,"&gt;="&amp;DATE($B$3,12,5),'Leave log'!$F$7:$F$306,"Approved")&gt;0,"A",""))="A","A",IF(OR(DATE($B$3,12,5)&gt;EOMONTH(DATE($B$3,12,1),0),NETWORKDAYS.INTL(DATE($B$3,12,5),DATE($B$3,12,5),1,'Non-working days'!$A$6:$A$45)=0),"",IF(COUNTIFS('Leave log'!$A$7:$A$306,Employees!$A$15,'Leave log'!$B$7:$B$306,"&lt;="&amp;DATE($B$3,12,5),'Leave log'!$C$7:$C$306,"&gt;="&amp;DATE($B$3,12,5),'Leave log'!$F$7:$F$306,"Pending")&gt;0,"P",""))))</f>
        <v/>
      </c>
      <c r="G390" s="23" t="str">
        <f>IF(A390="","",IF(IF(OR(DATE($B$3,12,6)&gt;EOMONTH(DATE($B$3,12,1),0),NETWORKDAYS.INTL(DATE($B$3,12,6),DATE($B$3,12,6),1,'Non-working days'!$A$6:$A$45)=0),"",IF(COUNTIFS('Leave log'!$A$7:$A$306,Employees!$A$15,'Leave log'!$B$7:$B$306,"&lt;="&amp;DATE($B$3,12,6),'Leave log'!$C$7:$C$306,"&gt;="&amp;DATE($B$3,12,6),'Leave log'!$F$7:$F$306,"Approved")&gt;0,"A",""))="A","A",IF(OR(DATE($B$3,12,6)&gt;EOMONTH(DATE($B$3,12,1),0),NETWORKDAYS.INTL(DATE($B$3,12,6),DATE($B$3,12,6),1,'Non-working days'!$A$6:$A$45)=0),"",IF(COUNTIFS('Leave log'!$A$7:$A$306,Employees!$A$15,'Leave log'!$B$7:$B$306,"&lt;="&amp;DATE($B$3,12,6),'Leave log'!$C$7:$C$306,"&gt;="&amp;DATE($B$3,12,6),'Leave log'!$F$7:$F$306,"Pending")&gt;0,"P",""))))</f>
        <v/>
      </c>
      <c r="H390" s="23" t="str">
        <f>IF(A390="","",IF(IF(OR(DATE($B$3,12,7)&gt;EOMONTH(DATE($B$3,12,1),0),NETWORKDAYS.INTL(DATE($B$3,12,7),DATE($B$3,12,7),1,'Non-working days'!$A$6:$A$45)=0),"",IF(COUNTIFS('Leave log'!$A$7:$A$306,Employees!$A$15,'Leave log'!$B$7:$B$306,"&lt;="&amp;DATE($B$3,12,7),'Leave log'!$C$7:$C$306,"&gt;="&amp;DATE($B$3,12,7),'Leave log'!$F$7:$F$306,"Approved")&gt;0,"A",""))="A","A",IF(OR(DATE($B$3,12,7)&gt;EOMONTH(DATE($B$3,12,1),0),NETWORKDAYS.INTL(DATE($B$3,12,7),DATE($B$3,12,7),1,'Non-working days'!$A$6:$A$45)=0),"",IF(COUNTIFS('Leave log'!$A$7:$A$306,Employees!$A$15,'Leave log'!$B$7:$B$306,"&lt;="&amp;DATE($B$3,12,7),'Leave log'!$C$7:$C$306,"&gt;="&amp;DATE($B$3,12,7),'Leave log'!$F$7:$F$306,"Pending")&gt;0,"P",""))))</f>
        <v/>
      </c>
      <c r="I390" s="23" t="str">
        <f>IF(A390="","",IF(IF(OR(DATE($B$3,12,8)&gt;EOMONTH(DATE($B$3,12,1),0),NETWORKDAYS.INTL(DATE($B$3,12,8),DATE($B$3,12,8),1,'Non-working days'!$A$6:$A$45)=0),"",IF(COUNTIFS('Leave log'!$A$7:$A$306,Employees!$A$15,'Leave log'!$B$7:$B$306,"&lt;="&amp;DATE($B$3,12,8),'Leave log'!$C$7:$C$306,"&gt;="&amp;DATE($B$3,12,8),'Leave log'!$F$7:$F$306,"Approved")&gt;0,"A",""))="A","A",IF(OR(DATE($B$3,12,8)&gt;EOMONTH(DATE($B$3,12,1),0),NETWORKDAYS.INTL(DATE($B$3,12,8),DATE($B$3,12,8),1,'Non-working days'!$A$6:$A$45)=0),"",IF(COUNTIFS('Leave log'!$A$7:$A$306,Employees!$A$15,'Leave log'!$B$7:$B$306,"&lt;="&amp;DATE($B$3,12,8),'Leave log'!$C$7:$C$306,"&gt;="&amp;DATE($B$3,12,8),'Leave log'!$F$7:$F$306,"Pending")&gt;0,"P",""))))</f>
        <v/>
      </c>
      <c r="J390" s="23" t="str">
        <f>IF(A390="","",IF(IF(OR(DATE($B$3,12,9)&gt;EOMONTH(DATE($B$3,12,1),0),NETWORKDAYS.INTL(DATE($B$3,12,9),DATE($B$3,12,9),1,'Non-working days'!$A$6:$A$45)=0),"",IF(COUNTIFS('Leave log'!$A$7:$A$306,Employees!$A$15,'Leave log'!$B$7:$B$306,"&lt;="&amp;DATE($B$3,12,9),'Leave log'!$C$7:$C$306,"&gt;="&amp;DATE($B$3,12,9),'Leave log'!$F$7:$F$306,"Approved")&gt;0,"A",""))="A","A",IF(OR(DATE($B$3,12,9)&gt;EOMONTH(DATE($B$3,12,1),0),NETWORKDAYS.INTL(DATE($B$3,12,9),DATE($B$3,12,9),1,'Non-working days'!$A$6:$A$45)=0),"",IF(COUNTIFS('Leave log'!$A$7:$A$306,Employees!$A$15,'Leave log'!$B$7:$B$306,"&lt;="&amp;DATE($B$3,12,9),'Leave log'!$C$7:$C$306,"&gt;="&amp;DATE($B$3,12,9),'Leave log'!$F$7:$F$306,"Pending")&gt;0,"P",""))))</f>
        <v/>
      </c>
      <c r="K390" s="23" t="str">
        <f>IF(A390="","",IF(IF(OR(DATE($B$3,12,10)&gt;EOMONTH(DATE($B$3,12,1),0),NETWORKDAYS.INTL(DATE($B$3,12,10),DATE($B$3,12,10),1,'Non-working days'!$A$6:$A$45)=0),"",IF(COUNTIFS('Leave log'!$A$7:$A$306,Employees!$A$15,'Leave log'!$B$7:$B$306,"&lt;="&amp;DATE($B$3,12,10),'Leave log'!$C$7:$C$306,"&gt;="&amp;DATE($B$3,12,10),'Leave log'!$F$7:$F$306,"Approved")&gt;0,"A",""))="A","A",IF(OR(DATE($B$3,12,10)&gt;EOMONTH(DATE($B$3,12,1),0),NETWORKDAYS.INTL(DATE($B$3,12,10),DATE($B$3,12,10),1,'Non-working days'!$A$6:$A$45)=0),"",IF(COUNTIFS('Leave log'!$A$7:$A$306,Employees!$A$15,'Leave log'!$B$7:$B$306,"&lt;="&amp;DATE($B$3,12,10),'Leave log'!$C$7:$C$306,"&gt;="&amp;DATE($B$3,12,10),'Leave log'!$F$7:$F$306,"Pending")&gt;0,"P",""))))</f>
        <v/>
      </c>
      <c r="L390" s="23" t="str">
        <f>IF(A390="","",IF(IF(OR(DATE($B$3,12,11)&gt;EOMONTH(DATE($B$3,12,1),0),NETWORKDAYS.INTL(DATE($B$3,12,11),DATE($B$3,12,11),1,'Non-working days'!$A$6:$A$45)=0),"",IF(COUNTIFS('Leave log'!$A$7:$A$306,Employees!$A$15,'Leave log'!$B$7:$B$306,"&lt;="&amp;DATE($B$3,12,11),'Leave log'!$C$7:$C$306,"&gt;="&amp;DATE($B$3,12,11),'Leave log'!$F$7:$F$306,"Approved")&gt;0,"A",""))="A","A",IF(OR(DATE($B$3,12,11)&gt;EOMONTH(DATE($B$3,12,1),0),NETWORKDAYS.INTL(DATE($B$3,12,11),DATE($B$3,12,11),1,'Non-working days'!$A$6:$A$45)=0),"",IF(COUNTIFS('Leave log'!$A$7:$A$306,Employees!$A$15,'Leave log'!$B$7:$B$306,"&lt;="&amp;DATE($B$3,12,11),'Leave log'!$C$7:$C$306,"&gt;="&amp;DATE($B$3,12,11),'Leave log'!$F$7:$F$306,"Pending")&gt;0,"P",""))))</f>
        <v/>
      </c>
      <c r="M390" s="23" t="str">
        <f>IF(A390="","",IF(IF(OR(DATE($B$3,12,12)&gt;EOMONTH(DATE($B$3,12,1),0),NETWORKDAYS.INTL(DATE($B$3,12,12),DATE($B$3,12,12),1,'Non-working days'!$A$6:$A$45)=0),"",IF(COUNTIFS('Leave log'!$A$7:$A$306,Employees!$A$15,'Leave log'!$B$7:$B$306,"&lt;="&amp;DATE($B$3,12,12),'Leave log'!$C$7:$C$306,"&gt;="&amp;DATE($B$3,12,12),'Leave log'!$F$7:$F$306,"Approved")&gt;0,"A",""))="A","A",IF(OR(DATE($B$3,12,12)&gt;EOMONTH(DATE($B$3,12,1),0),NETWORKDAYS.INTL(DATE($B$3,12,12),DATE($B$3,12,12),1,'Non-working days'!$A$6:$A$45)=0),"",IF(COUNTIFS('Leave log'!$A$7:$A$306,Employees!$A$15,'Leave log'!$B$7:$B$306,"&lt;="&amp;DATE($B$3,12,12),'Leave log'!$C$7:$C$306,"&gt;="&amp;DATE($B$3,12,12),'Leave log'!$F$7:$F$306,"Pending")&gt;0,"P",""))))</f>
        <v/>
      </c>
      <c r="N390" s="23" t="str">
        <f>IF(A390="","",IF(IF(OR(DATE($B$3,12,13)&gt;EOMONTH(DATE($B$3,12,1),0),NETWORKDAYS.INTL(DATE($B$3,12,13),DATE($B$3,12,13),1,'Non-working days'!$A$6:$A$45)=0),"",IF(COUNTIFS('Leave log'!$A$7:$A$306,Employees!$A$15,'Leave log'!$B$7:$B$306,"&lt;="&amp;DATE($B$3,12,13),'Leave log'!$C$7:$C$306,"&gt;="&amp;DATE($B$3,12,13),'Leave log'!$F$7:$F$306,"Approved")&gt;0,"A",""))="A","A",IF(OR(DATE($B$3,12,13)&gt;EOMONTH(DATE($B$3,12,1),0),NETWORKDAYS.INTL(DATE($B$3,12,13),DATE($B$3,12,13),1,'Non-working days'!$A$6:$A$45)=0),"",IF(COUNTIFS('Leave log'!$A$7:$A$306,Employees!$A$15,'Leave log'!$B$7:$B$306,"&lt;="&amp;DATE($B$3,12,13),'Leave log'!$C$7:$C$306,"&gt;="&amp;DATE($B$3,12,13),'Leave log'!$F$7:$F$306,"Pending")&gt;0,"P",""))))</f>
        <v/>
      </c>
      <c r="O390" s="23" t="str">
        <f>IF(A390="","",IF(IF(OR(DATE($B$3,12,14)&gt;EOMONTH(DATE($B$3,12,1),0),NETWORKDAYS.INTL(DATE($B$3,12,14),DATE($B$3,12,14),1,'Non-working days'!$A$6:$A$45)=0),"",IF(COUNTIFS('Leave log'!$A$7:$A$306,Employees!$A$15,'Leave log'!$B$7:$B$306,"&lt;="&amp;DATE($B$3,12,14),'Leave log'!$C$7:$C$306,"&gt;="&amp;DATE($B$3,12,14),'Leave log'!$F$7:$F$306,"Approved")&gt;0,"A",""))="A","A",IF(OR(DATE($B$3,12,14)&gt;EOMONTH(DATE($B$3,12,1),0),NETWORKDAYS.INTL(DATE($B$3,12,14),DATE($B$3,12,14),1,'Non-working days'!$A$6:$A$45)=0),"",IF(COUNTIFS('Leave log'!$A$7:$A$306,Employees!$A$15,'Leave log'!$B$7:$B$306,"&lt;="&amp;DATE($B$3,12,14),'Leave log'!$C$7:$C$306,"&gt;="&amp;DATE($B$3,12,14),'Leave log'!$F$7:$F$306,"Pending")&gt;0,"P",""))))</f>
        <v/>
      </c>
      <c r="P390" s="23" t="str">
        <f>IF(A390="","",IF(IF(OR(DATE($B$3,12,15)&gt;EOMONTH(DATE($B$3,12,1),0),NETWORKDAYS.INTL(DATE($B$3,12,15),DATE($B$3,12,15),1,'Non-working days'!$A$6:$A$45)=0),"",IF(COUNTIFS('Leave log'!$A$7:$A$306,Employees!$A$15,'Leave log'!$B$7:$B$306,"&lt;="&amp;DATE($B$3,12,15),'Leave log'!$C$7:$C$306,"&gt;="&amp;DATE($B$3,12,15),'Leave log'!$F$7:$F$306,"Approved")&gt;0,"A",""))="A","A",IF(OR(DATE($B$3,12,15)&gt;EOMONTH(DATE($B$3,12,1),0),NETWORKDAYS.INTL(DATE($B$3,12,15),DATE($B$3,12,15),1,'Non-working days'!$A$6:$A$45)=0),"",IF(COUNTIFS('Leave log'!$A$7:$A$306,Employees!$A$15,'Leave log'!$B$7:$B$306,"&lt;="&amp;DATE($B$3,12,15),'Leave log'!$C$7:$C$306,"&gt;="&amp;DATE($B$3,12,15),'Leave log'!$F$7:$F$306,"Pending")&gt;0,"P",""))))</f>
        <v/>
      </c>
      <c r="Q390" s="23" t="str">
        <f>IF(A390="","",IF(IF(OR(DATE($B$3,12,16)&gt;EOMONTH(DATE($B$3,12,1),0),NETWORKDAYS.INTL(DATE($B$3,12,16),DATE($B$3,12,16),1,'Non-working days'!$A$6:$A$45)=0),"",IF(COUNTIFS('Leave log'!$A$7:$A$306,Employees!$A$15,'Leave log'!$B$7:$B$306,"&lt;="&amp;DATE($B$3,12,16),'Leave log'!$C$7:$C$306,"&gt;="&amp;DATE($B$3,12,16),'Leave log'!$F$7:$F$306,"Approved")&gt;0,"A",""))="A","A",IF(OR(DATE($B$3,12,16)&gt;EOMONTH(DATE($B$3,12,1),0),NETWORKDAYS.INTL(DATE($B$3,12,16),DATE($B$3,12,16),1,'Non-working days'!$A$6:$A$45)=0),"",IF(COUNTIFS('Leave log'!$A$7:$A$306,Employees!$A$15,'Leave log'!$B$7:$B$306,"&lt;="&amp;DATE($B$3,12,16),'Leave log'!$C$7:$C$306,"&gt;="&amp;DATE($B$3,12,16),'Leave log'!$F$7:$F$306,"Pending")&gt;0,"P",""))))</f>
        <v/>
      </c>
      <c r="R390" s="23" t="str">
        <f>IF(A390="","",IF(IF(OR(DATE($B$3,12,17)&gt;EOMONTH(DATE($B$3,12,1),0),NETWORKDAYS.INTL(DATE($B$3,12,17),DATE($B$3,12,17),1,'Non-working days'!$A$6:$A$45)=0),"",IF(COUNTIFS('Leave log'!$A$7:$A$306,Employees!$A$15,'Leave log'!$B$7:$B$306,"&lt;="&amp;DATE($B$3,12,17),'Leave log'!$C$7:$C$306,"&gt;="&amp;DATE($B$3,12,17),'Leave log'!$F$7:$F$306,"Approved")&gt;0,"A",""))="A","A",IF(OR(DATE($B$3,12,17)&gt;EOMONTH(DATE($B$3,12,1),0),NETWORKDAYS.INTL(DATE($B$3,12,17),DATE($B$3,12,17),1,'Non-working days'!$A$6:$A$45)=0),"",IF(COUNTIFS('Leave log'!$A$7:$A$306,Employees!$A$15,'Leave log'!$B$7:$B$306,"&lt;="&amp;DATE($B$3,12,17),'Leave log'!$C$7:$C$306,"&gt;="&amp;DATE($B$3,12,17),'Leave log'!$F$7:$F$306,"Pending")&gt;0,"P",""))))</f>
        <v/>
      </c>
      <c r="S390" s="23" t="str">
        <f>IF(A390="","",IF(IF(OR(DATE($B$3,12,18)&gt;EOMONTH(DATE($B$3,12,1),0),NETWORKDAYS.INTL(DATE($B$3,12,18),DATE($B$3,12,18),1,'Non-working days'!$A$6:$A$45)=0),"",IF(COUNTIFS('Leave log'!$A$7:$A$306,Employees!$A$15,'Leave log'!$B$7:$B$306,"&lt;="&amp;DATE($B$3,12,18),'Leave log'!$C$7:$C$306,"&gt;="&amp;DATE($B$3,12,18),'Leave log'!$F$7:$F$306,"Approved")&gt;0,"A",""))="A","A",IF(OR(DATE($B$3,12,18)&gt;EOMONTH(DATE($B$3,12,1),0),NETWORKDAYS.INTL(DATE($B$3,12,18),DATE($B$3,12,18),1,'Non-working days'!$A$6:$A$45)=0),"",IF(COUNTIFS('Leave log'!$A$7:$A$306,Employees!$A$15,'Leave log'!$B$7:$B$306,"&lt;="&amp;DATE($B$3,12,18),'Leave log'!$C$7:$C$306,"&gt;="&amp;DATE($B$3,12,18),'Leave log'!$F$7:$F$306,"Pending")&gt;0,"P",""))))</f>
        <v/>
      </c>
      <c r="T390" s="23" t="str">
        <f>IF(A390="","",IF(IF(OR(DATE($B$3,12,19)&gt;EOMONTH(DATE($B$3,12,1),0),NETWORKDAYS.INTL(DATE($B$3,12,19),DATE($B$3,12,19),1,'Non-working days'!$A$6:$A$45)=0),"",IF(COUNTIFS('Leave log'!$A$7:$A$306,Employees!$A$15,'Leave log'!$B$7:$B$306,"&lt;="&amp;DATE($B$3,12,19),'Leave log'!$C$7:$C$306,"&gt;="&amp;DATE($B$3,12,19),'Leave log'!$F$7:$F$306,"Approved")&gt;0,"A",""))="A","A",IF(OR(DATE($B$3,12,19)&gt;EOMONTH(DATE($B$3,12,1),0),NETWORKDAYS.INTL(DATE($B$3,12,19),DATE($B$3,12,19),1,'Non-working days'!$A$6:$A$45)=0),"",IF(COUNTIFS('Leave log'!$A$7:$A$306,Employees!$A$15,'Leave log'!$B$7:$B$306,"&lt;="&amp;DATE($B$3,12,19),'Leave log'!$C$7:$C$306,"&gt;="&amp;DATE($B$3,12,19),'Leave log'!$F$7:$F$306,"Pending")&gt;0,"P",""))))</f>
        <v/>
      </c>
      <c r="U390" s="23" t="str">
        <f>IF(A390="","",IF(IF(OR(DATE($B$3,12,20)&gt;EOMONTH(DATE($B$3,12,1),0),NETWORKDAYS.INTL(DATE($B$3,12,20),DATE($B$3,12,20),1,'Non-working days'!$A$6:$A$45)=0),"",IF(COUNTIFS('Leave log'!$A$7:$A$306,Employees!$A$15,'Leave log'!$B$7:$B$306,"&lt;="&amp;DATE($B$3,12,20),'Leave log'!$C$7:$C$306,"&gt;="&amp;DATE($B$3,12,20),'Leave log'!$F$7:$F$306,"Approved")&gt;0,"A",""))="A","A",IF(OR(DATE($B$3,12,20)&gt;EOMONTH(DATE($B$3,12,1),0),NETWORKDAYS.INTL(DATE($B$3,12,20),DATE($B$3,12,20),1,'Non-working days'!$A$6:$A$45)=0),"",IF(COUNTIFS('Leave log'!$A$7:$A$306,Employees!$A$15,'Leave log'!$B$7:$B$306,"&lt;="&amp;DATE($B$3,12,20),'Leave log'!$C$7:$C$306,"&gt;="&amp;DATE($B$3,12,20),'Leave log'!$F$7:$F$306,"Pending")&gt;0,"P",""))))</f>
        <v/>
      </c>
      <c r="V390" s="23" t="str">
        <f>IF(A390="","",IF(IF(OR(DATE($B$3,12,21)&gt;EOMONTH(DATE($B$3,12,1),0),NETWORKDAYS.INTL(DATE($B$3,12,21),DATE($B$3,12,21),1,'Non-working days'!$A$6:$A$45)=0),"",IF(COUNTIFS('Leave log'!$A$7:$A$306,Employees!$A$15,'Leave log'!$B$7:$B$306,"&lt;="&amp;DATE($B$3,12,21),'Leave log'!$C$7:$C$306,"&gt;="&amp;DATE($B$3,12,21),'Leave log'!$F$7:$F$306,"Approved")&gt;0,"A",""))="A","A",IF(OR(DATE($B$3,12,21)&gt;EOMONTH(DATE($B$3,12,1),0),NETWORKDAYS.INTL(DATE($B$3,12,21),DATE($B$3,12,21),1,'Non-working days'!$A$6:$A$45)=0),"",IF(COUNTIFS('Leave log'!$A$7:$A$306,Employees!$A$15,'Leave log'!$B$7:$B$306,"&lt;="&amp;DATE($B$3,12,21),'Leave log'!$C$7:$C$306,"&gt;="&amp;DATE($B$3,12,21),'Leave log'!$F$7:$F$306,"Pending")&gt;0,"P",""))))</f>
        <v/>
      </c>
      <c r="W390" s="23" t="str">
        <f>IF(A390="","",IF(IF(OR(DATE($B$3,12,22)&gt;EOMONTH(DATE($B$3,12,1),0),NETWORKDAYS.INTL(DATE($B$3,12,22),DATE($B$3,12,22),1,'Non-working days'!$A$6:$A$45)=0),"",IF(COUNTIFS('Leave log'!$A$7:$A$306,Employees!$A$15,'Leave log'!$B$7:$B$306,"&lt;="&amp;DATE($B$3,12,22),'Leave log'!$C$7:$C$306,"&gt;="&amp;DATE($B$3,12,22),'Leave log'!$F$7:$F$306,"Approved")&gt;0,"A",""))="A","A",IF(OR(DATE($B$3,12,22)&gt;EOMONTH(DATE($B$3,12,1),0),NETWORKDAYS.INTL(DATE($B$3,12,22),DATE($B$3,12,22),1,'Non-working days'!$A$6:$A$45)=0),"",IF(COUNTIFS('Leave log'!$A$7:$A$306,Employees!$A$15,'Leave log'!$B$7:$B$306,"&lt;="&amp;DATE($B$3,12,22),'Leave log'!$C$7:$C$306,"&gt;="&amp;DATE($B$3,12,22),'Leave log'!$F$7:$F$306,"Pending")&gt;0,"P",""))))</f>
        <v/>
      </c>
      <c r="X390" s="23" t="str">
        <f>IF(A390="","",IF(IF(OR(DATE($B$3,12,23)&gt;EOMONTH(DATE($B$3,12,1),0),NETWORKDAYS.INTL(DATE($B$3,12,23),DATE($B$3,12,23),1,'Non-working days'!$A$6:$A$45)=0),"",IF(COUNTIFS('Leave log'!$A$7:$A$306,Employees!$A$15,'Leave log'!$B$7:$B$306,"&lt;="&amp;DATE($B$3,12,23),'Leave log'!$C$7:$C$306,"&gt;="&amp;DATE($B$3,12,23),'Leave log'!$F$7:$F$306,"Approved")&gt;0,"A",""))="A","A",IF(OR(DATE($B$3,12,23)&gt;EOMONTH(DATE($B$3,12,1),0),NETWORKDAYS.INTL(DATE($B$3,12,23),DATE($B$3,12,23),1,'Non-working days'!$A$6:$A$45)=0),"",IF(COUNTIFS('Leave log'!$A$7:$A$306,Employees!$A$15,'Leave log'!$B$7:$B$306,"&lt;="&amp;DATE($B$3,12,23),'Leave log'!$C$7:$C$306,"&gt;="&amp;DATE($B$3,12,23),'Leave log'!$F$7:$F$306,"Pending")&gt;0,"P",""))))</f>
        <v/>
      </c>
      <c r="Y390" s="23" t="str">
        <f>IF(A390="","",IF(IF(OR(DATE($B$3,12,24)&gt;EOMONTH(DATE($B$3,12,1),0),NETWORKDAYS.INTL(DATE($B$3,12,24),DATE($B$3,12,24),1,'Non-working days'!$A$6:$A$45)=0),"",IF(COUNTIFS('Leave log'!$A$7:$A$306,Employees!$A$15,'Leave log'!$B$7:$B$306,"&lt;="&amp;DATE($B$3,12,24),'Leave log'!$C$7:$C$306,"&gt;="&amp;DATE($B$3,12,24),'Leave log'!$F$7:$F$306,"Approved")&gt;0,"A",""))="A","A",IF(OR(DATE($B$3,12,24)&gt;EOMONTH(DATE($B$3,12,1),0),NETWORKDAYS.INTL(DATE($B$3,12,24),DATE($B$3,12,24),1,'Non-working days'!$A$6:$A$45)=0),"",IF(COUNTIFS('Leave log'!$A$7:$A$306,Employees!$A$15,'Leave log'!$B$7:$B$306,"&lt;="&amp;DATE($B$3,12,24),'Leave log'!$C$7:$C$306,"&gt;="&amp;DATE($B$3,12,24),'Leave log'!$F$7:$F$306,"Pending")&gt;0,"P",""))))</f>
        <v/>
      </c>
      <c r="Z390" s="23" t="str">
        <f>IF(A390="","",IF(IF(OR(DATE($B$3,12,25)&gt;EOMONTH(DATE($B$3,12,1),0),NETWORKDAYS.INTL(DATE($B$3,12,25),DATE($B$3,12,25),1,'Non-working days'!$A$6:$A$45)=0),"",IF(COUNTIFS('Leave log'!$A$7:$A$306,Employees!$A$15,'Leave log'!$B$7:$B$306,"&lt;="&amp;DATE($B$3,12,25),'Leave log'!$C$7:$C$306,"&gt;="&amp;DATE($B$3,12,25),'Leave log'!$F$7:$F$306,"Approved")&gt;0,"A",""))="A","A",IF(OR(DATE($B$3,12,25)&gt;EOMONTH(DATE($B$3,12,1),0),NETWORKDAYS.INTL(DATE($B$3,12,25),DATE($B$3,12,25),1,'Non-working days'!$A$6:$A$45)=0),"",IF(COUNTIFS('Leave log'!$A$7:$A$306,Employees!$A$15,'Leave log'!$B$7:$B$306,"&lt;="&amp;DATE($B$3,12,25),'Leave log'!$C$7:$C$306,"&gt;="&amp;DATE($B$3,12,25),'Leave log'!$F$7:$F$306,"Pending")&gt;0,"P",""))))</f>
        <v/>
      </c>
      <c r="AA390" s="23" t="str">
        <f>IF(A390="","",IF(IF(OR(DATE($B$3,12,26)&gt;EOMONTH(DATE($B$3,12,1),0),NETWORKDAYS.INTL(DATE($B$3,12,26),DATE($B$3,12,26),1,'Non-working days'!$A$6:$A$45)=0),"",IF(COUNTIFS('Leave log'!$A$7:$A$306,Employees!$A$15,'Leave log'!$B$7:$B$306,"&lt;="&amp;DATE($B$3,12,26),'Leave log'!$C$7:$C$306,"&gt;="&amp;DATE($B$3,12,26),'Leave log'!$F$7:$F$306,"Approved")&gt;0,"A",""))="A","A",IF(OR(DATE($B$3,12,26)&gt;EOMONTH(DATE($B$3,12,1),0),NETWORKDAYS.INTL(DATE($B$3,12,26),DATE($B$3,12,26),1,'Non-working days'!$A$6:$A$45)=0),"",IF(COUNTIFS('Leave log'!$A$7:$A$306,Employees!$A$15,'Leave log'!$B$7:$B$306,"&lt;="&amp;DATE($B$3,12,26),'Leave log'!$C$7:$C$306,"&gt;="&amp;DATE($B$3,12,26),'Leave log'!$F$7:$F$306,"Pending")&gt;0,"P",""))))</f>
        <v/>
      </c>
      <c r="AB390" s="23" t="str">
        <f>IF(A390="","",IF(IF(OR(DATE($B$3,12,27)&gt;EOMONTH(DATE($B$3,12,1),0),NETWORKDAYS.INTL(DATE($B$3,12,27),DATE($B$3,12,27),1,'Non-working days'!$A$6:$A$45)=0),"",IF(COUNTIFS('Leave log'!$A$7:$A$306,Employees!$A$15,'Leave log'!$B$7:$B$306,"&lt;="&amp;DATE($B$3,12,27),'Leave log'!$C$7:$C$306,"&gt;="&amp;DATE($B$3,12,27),'Leave log'!$F$7:$F$306,"Approved")&gt;0,"A",""))="A","A",IF(OR(DATE($B$3,12,27)&gt;EOMONTH(DATE($B$3,12,1),0),NETWORKDAYS.INTL(DATE($B$3,12,27),DATE($B$3,12,27),1,'Non-working days'!$A$6:$A$45)=0),"",IF(COUNTIFS('Leave log'!$A$7:$A$306,Employees!$A$15,'Leave log'!$B$7:$B$306,"&lt;="&amp;DATE($B$3,12,27),'Leave log'!$C$7:$C$306,"&gt;="&amp;DATE($B$3,12,27),'Leave log'!$F$7:$F$306,"Pending")&gt;0,"P",""))))</f>
        <v/>
      </c>
      <c r="AC390" s="23" t="str">
        <f>IF(A390="","",IF(IF(OR(DATE($B$3,12,28)&gt;EOMONTH(DATE($B$3,12,1),0),NETWORKDAYS.INTL(DATE($B$3,12,28),DATE($B$3,12,28),1,'Non-working days'!$A$6:$A$45)=0),"",IF(COUNTIFS('Leave log'!$A$7:$A$306,Employees!$A$15,'Leave log'!$B$7:$B$306,"&lt;="&amp;DATE($B$3,12,28),'Leave log'!$C$7:$C$306,"&gt;="&amp;DATE($B$3,12,28),'Leave log'!$F$7:$F$306,"Approved")&gt;0,"A",""))="A","A",IF(OR(DATE($B$3,12,28)&gt;EOMONTH(DATE($B$3,12,1),0),NETWORKDAYS.INTL(DATE($B$3,12,28),DATE($B$3,12,28),1,'Non-working days'!$A$6:$A$45)=0),"",IF(COUNTIFS('Leave log'!$A$7:$A$306,Employees!$A$15,'Leave log'!$B$7:$B$306,"&lt;="&amp;DATE($B$3,12,28),'Leave log'!$C$7:$C$306,"&gt;="&amp;DATE($B$3,12,28),'Leave log'!$F$7:$F$306,"Pending")&gt;0,"P",""))))</f>
        <v/>
      </c>
      <c r="AD390" s="23" t="str">
        <f>IF(A390="","",IF(IF(OR(DATE($B$3,12,29)&gt;EOMONTH(DATE($B$3,12,1),0),NETWORKDAYS.INTL(DATE($B$3,12,29),DATE($B$3,12,29),1,'Non-working days'!$A$6:$A$45)=0),"",IF(COUNTIFS('Leave log'!$A$7:$A$306,Employees!$A$15,'Leave log'!$B$7:$B$306,"&lt;="&amp;DATE($B$3,12,29),'Leave log'!$C$7:$C$306,"&gt;="&amp;DATE($B$3,12,29),'Leave log'!$F$7:$F$306,"Approved")&gt;0,"A",""))="A","A",IF(OR(DATE($B$3,12,29)&gt;EOMONTH(DATE($B$3,12,1),0),NETWORKDAYS.INTL(DATE($B$3,12,29),DATE($B$3,12,29),1,'Non-working days'!$A$6:$A$45)=0),"",IF(COUNTIFS('Leave log'!$A$7:$A$306,Employees!$A$15,'Leave log'!$B$7:$B$306,"&lt;="&amp;DATE($B$3,12,29),'Leave log'!$C$7:$C$306,"&gt;="&amp;DATE($B$3,12,29),'Leave log'!$F$7:$F$306,"Pending")&gt;0,"P",""))))</f>
        <v/>
      </c>
      <c r="AE390" s="23" t="str">
        <f>IF(A390="","",IF(IF(OR(DATE($B$3,12,30)&gt;EOMONTH(DATE($B$3,12,1),0),NETWORKDAYS.INTL(DATE($B$3,12,30),DATE($B$3,12,30),1,'Non-working days'!$A$6:$A$45)=0),"",IF(COUNTIFS('Leave log'!$A$7:$A$306,Employees!$A$15,'Leave log'!$B$7:$B$306,"&lt;="&amp;DATE($B$3,12,30),'Leave log'!$C$7:$C$306,"&gt;="&amp;DATE($B$3,12,30),'Leave log'!$F$7:$F$306,"Approved")&gt;0,"A",""))="A","A",IF(OR(DATE($B$3,12,30)&gt;EOMONTH(DATE($B$3,12,1),0),NETWORKDAYS.INTL(DATE($B$3,12,30),DATE($B$3,12,30),1,'Non-working days'!$A$6:$A$45)=0),"",IF(COUNTIFS('Leave log'!$A$7:$A$306,Employees!$A$15,'Leave log'!$B$7:$B$306,"&lt;="&amp;DATE($B$3,12,30),'Leave log'!$C$7:$C$306,"&gt;="&amp;DATE($B$3,12,30),'Leave log'!$F$7:$F$306,"Pending")&gt;0,"P",""))))</f>
        <v/>
      </c>
      <c r="AF390" s="23" t="str">
        <f>IF(A390="","",IF(IF(OR(DATE($B$3,12,31)&gt;EOMONTH(DATE($B$3,12,1),0),NETWORKDAYS.INTL(DATE($B$3,12,31),DATE($B$3,12,31),1,'Non-working days'!$A$6:$A$45)=0),"",IF(COUNTIFS('Leave log'!$A$7:$A$306,Employees!$A$15,'Leave log'!$B$7:$B$306,"&lt;="&amp;DATE($B$3,12,31),'Leave log'!$C$7:$C$306,"&gt;="&amp;DATE($B$3,12,31),'Leave log'!$F$7:$F$306,"Approved")&gt;0,"A",""))="A","A",IF(OR(DATE($B$3,12,31)&gt;EOMONTH(DATE($B$3,12,1),0),NETWORKDAYS.INTL(DATE($B$3,12,31),DATE($B$3,12,31),1,'Non-working days'!$A$6:$A$45)=0),"",IF(COUNTIFS('Leave log'!$A$7:$A$306,Employees!$A$15,'Leave log'!$B$7:$B$306,"&lt;="&amp;DATE($B$3,12,31),'Leave log'!$C$7:$C$306,"&gt;="&amp;DATE($B$3,12,31),'Leave log'!$F$7:$F$306,"Pending")&gt;0,"P",""))))</f>
        <v/>
      </c>
    </row>
    <row r="391" spans="1:32" ht="18" customHeight="1" x14ac:dyDescent="0.3">
      <c r="A391" s="22" t="str">
        <f>IF(Employees!F16="Yes",Employees!B16,"")</f>
        <v/>
      </c>
      <c r="B391" s="23" t="str">
        <f>IF(A391="","",IF(IF(OR(DATE($B$3,12,1)&gt;EOMONTH(DATE($B$3,12,1),0),NETWORKDAYS.INTL(DATE($B$3,12,1),DATE($B$3,12,1),1,'Non-working days'!$A$6:$A$45)=0),"",IF(COUNTIFS('Leave log'!$A$7:$A$306,Employees!$A$16,'Leave log'!$B$7:$B$306,"&lt;="&amp;DATE($B$3,12,1),'Leave log'!$C$7:$C$306,"&gt;="&amp;DATE($B$3,12,1),'Leave log'!$F$7:$F$306,"Approved")&gt;0,"A",""))="A","A",IF(OR(DATE($B$3,12,1)&gt;EOMONTH(DATE($B$3,12,1),0),NETWORKDAYS.INTL(DATE($B$3,12,1),DATE($B$3,12,1),1,'Non-working days'!$A$6:$A$45)=0),"",IF(COUNTIFS('Leave log'!$A$7:$A$306,Employees!$A$16,'Leave log'!$B$7:$B$306,"&lt;="&amp;DATE($B$3,12,1),'Leave log'!$C$7:$C$306,"&gt;="&amp;DATE($B$3,12,1),'Leave log'!$F$7:$F$306,"Pending")&gt;0,"P",""))))</f>
        <v/>
      </c>
      <c r="C391" s="23" t="str">
        <f>IF(A391="","",IF(IF(OR(DATE($B$3,12,2)&gt;EOMONTH(DATE($B$3,12,1),0),NETWORKDAYS.INTL(DATE($B$3,12,2),DATE($B$3,12,2),1,'Non-working days'!$A$6:$A$45)=0),"",IF(COUNTIFS('Leave log'!$A$7:$A$306,Employees!$A$16,'Leave log'!$B$7:$B$306,"&lt;="&amp;DATE($B$3,12,2),'Leave log'!$C$7:$C$306,"&gt;="&amp;DATE($B$3,12,2),'Leave log'!$F$7:$F$306,"Approved")&gt;0,"A",""))="A","A",IF(OR(DATE($B$3,12,2)&gt;EOMONTH(DATE($B$3,12,1),0),NETWORKDAYS.INTL(DATE($B$3,12,2),DATE($B$3,12,2),1,'Non-working days'!$A$6:$A$45)=0),"",IF(COUNTIFS('Leave log'!$A$7:$A$306,Employees!$A$16,'Leave log'!$B$7:$B$306,"&lt;="&amp;DATE($B$3,12,2),'Leave log'!$C$7:$C$306,"&gt;="&amp;DATE($B$3,12,2),'Leave log'!$F$7:$F$306,"Pending")&gt;0,"P",""))))</f>
        <v/>
      </c>
      <c r="D391" s="23" t="str">
        <f>IF(A391="","",IF(IF(OR(DATE($B$3,12,3)&gt;EOMONTH(DATE($B$3,12,1),0),NETWORKDAYS.INTL(DATE($B$3,12,3),DATE($B$3,12,3),1,'Non-working days'!$A$6:$A$45)=0),"",IF(COUNTIFS('Leave log'!$A$7:$A$306,Employees!$A$16,'Leave log'!$B$7:$B$306,"&lt;="&amp;DATE($B$3,12,3),'Leave log'!$C$7:$C$306,"&gt;="&amp;DATE($B$3,12,3),'Leave log'!$F$7:$F$306,"Approved")&gt;0,"A",""))="A","A",IF(OR(DATE($B$3,12,3)&gt;EOMONTH(DATE($B$3,12,1),0),NETWORKDAYS.INTL(DATE($B$3,12,3),DATE($B$3,12,3),1,'Non-working days'!$A$6:$A$45)=0),"",IF(COUNTIFS('Leave log'!$A$7:$A$306,Employees!$A$16,'Leave log'!$B$7:$B$306,"&lt;="&amp;DATE($B$3,12,3),'Leave log'!$C$7:$C$306,"&gt;="&amp;DATE($B$3,12,3),'Leave log'!$F$7:$F$306,"Pending")&gt;0,"P",""))))</f>
        <v/>
      </c>
      <c r="E391" s="23" t="str">
        <f>IF(A391="","",IF(IF(OR(DATE($B$3,12,4)&gt;EOMONTH(DATE($B$3,12,1),0),NETWORKDAYS.INTL(DATE($B$3,12,4),DATE($B$3,12,4),1,'Non-working days'!$A$6:$A$45)=0),"",IF(COUNTIFS('Leave log'!$A$7:$A$306,Employees!$A$16,'Leave log'!$B$7:$B$306,"&lt;="&amp;DATE($B$3,12,4),'Leave log'!$C$7:$C$306,"&gt;="&amp;DATE($B$3,12,4),'Leave log'!$F$7:$F$306,"Approved")&gt;0,"A",""))="A","A",IF(OR(DATE($B$3,12,4)&gt;EOMONTH(DATE($B$3,12,1),0),NETWORKDAYS.INTL(DATE($B$3,12,4),DATE($B$3,12,4),1,'Non-working days'!$A$6:$A$45)=0),"",IF(COUNTIFS('Leave log'!$A$7:$A$306,Employees!$A$16,'Leave log'!$B$7:$B$306,"&lt;="&amp;DATE($B$3,12,4),'Leave log'!$C$7:$C$306,"&gt;="&amp;DATE($B$3,12,4),'Leave log'!$F$7:$F$306,"Pending")&gt;0,"P",""))))</f>
        <v/>
      </c>
      <c r="F391" s="23" t="str">
        <f>IF(A391="","",IF(IF(OR(DATE($B$3,12,5)&gt;EOMONTH(DATE($B$3,12,1),0),NETWORKDAYS.INTL(DATE($B$3,12,5),DATE($B$3,12,5),1,'Non-working days'!$A$6:$A$45)=0),"",IF(COUNTIFS('Leave log'!$A$7:$A$306,Employees!$A$16,'Leave log'!$B$7:$B$306,"&lt;="&amp;DATE($B$3,12,5),'Leave log'!$C$7:$C$306,"&gt;="&amp;DATE($B$3,12,5),'Leave log'!$F$7:$F$306,"Approved")&gt;0,"A",""))="A","A",IF(OR(DATE($B$3,12,5)&gt;EOMONTH(DATE($B$3,12,1),0),NETWORKDAYS.INTL(DATE($B$3,12,5),DATE($B$3,12,5),1,'Non-working days'!$A$6:$A$45)=0),"",IF(COUNTIFS('Leave log'!$A$7:$A$306,Employees!$A$16,'Leave log'!$B$7:$B$306,"&lt;="&amp;DATE($B$3,12,5),'Leave log'!$C$7:$C$306,"&gt;="&amp;DATE($B$3,12,5),'Leave log'!$F$7:$F$306,"Pending")&gt;0,"P",""))))</f>
        <v/>
      </c>
      <c r="G391" s="23" t="str">
        <f>IF(A391="","",IF(IF(OR(DATE($B$3,12,6)&gt;EOMONTH(DATE($B$3,12,1),0),NETWORKDAYS.INTL(DATE($B$3,12,6),DATE($B$3,12,6),1,'Non-working days'!$A$6:$A$45)=0),"",IF(COUNTIFS('Leave log'!$A$7:$A$306,Employees!$A$16,'Leave log'!$B$7:$B$306,"&lt;="&amp;DATE($B$3,12,6),'Leave log'!$C$7:$C$306,"&gt;="&amp;DATE($B$3,12,6),'Leave log'!$F$7:$F$306,"Approved")&gt;0,"A",""))="A","A",IF(OR(DATE($B$3,12,6)&gt;EOMONTH(DATE($B$3,12,1),0),NETWORKDAYS.INTL(DATE($B$3,12,6),DATE($B$3,12,6),1,'Non-working days'!$A$6:$A$45)=0),"",IF(COUNTIFS('Leave log'!$A$7:$A$306,Employees!$A$16,'Leave log'!$B$7:$B$306,"&lt;="&amp;DATE($B$3,12,6),'Leave log'!$C$7:$C$306,"&gt;="&amp;DATE($B$3,12,6),'Leave log'!$F$7:$F$306,"Pending")&gt;0,"P",""))))</f>
        <v/>
      </c>
      <c r="H391" s="23" t="str">
        <f>IF(A391="","",IF(IF(OR(DATE($B$3,12,7)&gt;EOMONTH(DATE($B$3,12,1),0),NETWORKDAYS.INTL(DATE($B$3,12,7),DATE($B$3,12,7),1,'Non-working days'!$A$6:$A$45)=0),"",IF(COUNTIFS('Leave log'!$A$7:$A$306,Employees!$A$16,'Leave log'!$B$7:$B$306,"&lt;="&amp;DATE($B$3,12,7),'Leave log'!$C$7:$C$306,"&gt;="&amp;DATE($B$3,12,7),'Leave log'!$F$7:$F$306,"Approved")&gt;0,"A",""))="A","A",IF(OR(DATE($B$3,12,7)&gt;EOMONTH(DATE($B$3,12,1),0),NETWORKDAYS.INTL(DATE($B$3,12,7),DATE($B$3,12,7),1,'Non-working days'!$A$6:$A$45)=0),"",IF(COUNTIFS('Leave log'!$A$7:$A$306,Employees!$A$16,'Leave log'!$B$7:$B$306,"&lt;="&amp;DATE($B$3,12,7),'Leave log'!$C$7:$C$306,"&gt;="&amp;DATE($B$3,12,7),'Leave log'!$F$7:$F$306,"Pending")&gt;0,"P",""))))</f>
        <v/>
      </c>
      <c r="I391" s="23" t="str">
        <f>IF(A391="","",IF(IF(OR(DATE($B$3,12,8)&gt;EOMONTH(DATE($B$3,12,1),0),NETWORKDAYS.INTL(DATE($B$3,12,8),DATE($B$3,12,8),1,'Non-working days'!$A$6:$A$45)=0),"",IF(COUNTIFS('Leave log'!$A$7:$A$306,Employees!$A$16,'Leave log'!$B$7:$B$306,"&lt;="&amp;DATE($B$3,12,8),'Leave log'!$C$7:$C$306,"&gt;="&amp;DATE($B$3,12,8),'Leave log'!$F$7:$F$306,"Approved")&gt;0,"A",""))="A","A",IF(OR(DATE($B$3,12,8)&gt;EOMONTH(DATE($B$3,12,1),0),NETWORKDAYS.INTL(DATE($B$3,12,8),DATE($B$3,12,8),1,'Non-working days'!$A$6:$A$45)=0),"",IF(COUNTIFS('Leave log'!$A$7:$A$306,Employees!$A$16,'Leave log'!$B$7:$B$306,"&lt;="&amp;DATE($B$3,12,8),'Leave log'!$C$7:$C$306,"&gt;="&amp;DATE($B$3,12,8),'Leave log'!$F$7:$F$306,"Pending")&gt;0,"P",""))))</f>
        <v/>
      </c>
      <c r="J391" s="23" t="str">
        <f>IF(A391="","",IF(IF(OR(DATE($B$3,12,9)&gt;EOMONTH(DATE($B$3,12,1),0),NETWORKDAYS.INTL(DATE($B$3,12,9),DATE($B$3,12,9),1,'Non-working days'!$A$6:$A$45)=0),"",IF(COUNTIFS('Leave log'!$A$7:$A$306,Employees!$A$16,'Leave log'!$B$7:$B$306,"&lt;="&amp;DATE($B$3,12,9),'Leave log'!$C$7:$C$306,"&gt;="&amp;DATE($B$3,12,9),'Leave log'!$F$7:$F$306,"Approved")&gt;0,"A",""))="A","A",IF(OR(DATE($B$3,12,9)&gt;EOMONTH(DATE($B$3,12,1),0),NETWORKDAYS.INTL(DATE($B$3,12,9),DATE($B$3,12,9),1,'Non-working days'!$A$6:$A$45)=0),"",IF(COUNTIFS('Leave log'!$A$7:$A$306,Employees!$A$16,'Leave log'!$B$7:$B$306,"&lt;="&amp;DATE($B$3,12,9),'Leave log'!$C$7:$C$306,"&gt;="&amp;DATE($B$3,12,9),'Leave log'!$F$7:$F$306,"Pending")&gt;0,"P",""))))</f>
        <v/>
      </c>
      <c r="K391" s="23" t="str">
        <f>IF(A391="","",IF(IF(OR(DATE($B$3,12,10)&gt;EOMONTH(DATE($B$3,12,1),0),NETWORKDAYS.INTL(DATE($B$3,12,10),DATE($B$3,12,10),1,'Non-working days'!$A$6:$A$45)=0),"",IF(COUNTIFS('Leave log'!$A$7:$A$306,Employees!$A$16,'Leave log'!$B$7:$B$306,"&lt;="&amp;DATE($B$3,12,10),'Leave log'!$C$7:$C$306,"&gt;="&amp;DATE($B$3,12,10),'Leave log'!$F$7:$F$306,"Approved")&gt;0,"A",""))="A","A",IF(OR(DATE($B$3,12,10)&gt;EOMONTH(DATE($B$3,12,1),0),NETWORKDAYS.INTL(DATE($B$3,12,10),DATE($B$3,12,10),1,'Non-working days'!$A$6:$A$45)=0),"",IF(COUNTIFS('Leave log'!$A$7:$A$306,Employees!$A$16,'Leave log'!$B$7:$B$306,"&lt;="&amp;DATE($B$3,12,10),'Leave log'!$C$7:$C$306,"&gt;="&amp;DATE($B$3,12,10),'Leave log'!$F$7:$F$306,"Pending")&gt;0,"P",""))))</f>
        <v/>
      </c>
      <c r="L391" s="23" t="str">
        <f>IF(A391="","",IF(IF(OR(DATE($B$3,12,11)&gt;EOMONTH(DATE($B$3,12,1),0),NETWORKDAYS.INTL(DATE($B$3,12,11),DATE($B$3,12,11),1,'Non-working days'!$A$6:$A$45)=0),"",IF(COUNTIFS('Leave log'!$A$7:$A$306,Employees!$A$16,'Leave log'!$B$7:$B$306,"&lt;="&amp;DATE($B$3,12,11),'Leave log'!$C$7:$C$306,"&gt;="&amp;DATE($B$3,12,11),'Leave log'!$F$7:$F$306,"Approved")&gt;0,"A",""))="A","A",IF(OR(DATE($B$3,12,11)&gt;EOMONTH(DATE($B$3,12,1),0),NETWORKDAYS.INTL(DATE($B$3,12,11),DATE($B$3,12,11),1,'Non-working days'!$A$6:$A$45)=0),"",IF(COUNTIFS('Leave log'!$A$7:$A$306,Employees!$A$16,'Leave log'!$B$7:$B$306,"&lt;="&amp;DATE($B$3,12,11),'Leave log'!$C$7:$C$306,"&gt;="&amp;DATE($B$3,12,11),'Leave log'!$F$7:$F$306,"Pending")&gt;0,"P",""))))</f>
        <v/>
      </c>
      <c r="M391" s="23" t="str">
        <f>IF(A391="","",IF(IF(OR(DATE($B$3,12,12)&gt;EOMONTH(DATE($B$3,12,1),0),NETWORKDAYS.INTL(DATE($B$3,12,12),DATE($B$3,12,12),1,'Non-working days'!$A$6:$A$45)=0),"",IF(COUNTIFS('Leave log'!$A$7:$A$306,Employees!$A$16,'Leave log'!$B$7:$B$306,"&lt;="&amp;DATE($B$3,12,12),'Leave log'!$C$7:$C$306,"&gt;="&amp;DATE($B$3,12,12),'Leave log'!$F$7:$F$306,"Approved")&gt;0,"A",""))="A","A",IF(OR(DATE($B$3,12,12)&gt;EOMONTH(DATE($B$3,12,1),0),NETWORKDAYS.INTL(DATE($B$3,12,12),DATE($B$3,12,12),1,'Non-working days'!$A$6:$A$45)=0),"",IF(COUNTIFS('Leave log'!$A$7:$A$306,Employees!$A$16,'Leave log'!$B$7:$B$306,"&lt;="&amp;DATE($B$3,12,12),'Leave log'!$C$7:$C$306,"&gt;="&amp;DATE($B$3,12,12),'Leave log'!$F$7:$F$306,"Pending")&gt;0,"P",""))))</f>
        <v/>
      </c>
      <c r="N391" s="23" t="str">
        <f>IF(A391="","",IF(IF(OR(DATE($B$3,12,13)&gt;EOMONTH(DATE($B$3,12,1),0),NETWORKDAYS.INTL(DATE($B$3,12,13),DATE($B$3,12,13),1,'Non-working days'!$A$6:$A$45)=0),"",IF(COUNTIFS('Leave log'!$A$7:$A$306,Employees!$A$16,'Leave log'!$B$7:$B$306,"&lt;="&amp;DATE($B$3,12,13),'Leave log'!$C$7:$C$306,"&gt;="&amp;DATE($B$3,12,13),'Leave log'!$F$7:$F$306,"Approved")&gt;0,"A",""))="A","A",IF(OR(DATE($B$3,12,13)&gt;EOMONTH(DATE($B$3,12,1),0),NETWORKDAYS.INTL(DATE($B$3,12,13),DATE($B$3,12,13),1,'Non-working days'!$A$6:$A$45)=0),"",IF(COUNTIFS('Leave log'!$A$7:$A$306,Employees!$A$16,'Leave log'!$B$7:$B$306,"&lt;="&amp;DATE($B$3,12,13),'Leave log'!$C$7:$C$306,"&gt;="&amp;DATE($B$3,12,13),'Leave log'!$F$7:$F$306,"Pending")&gt;0,"P",""))))</f>
        <v/>
      </c>
      <c r="O391" s="23" t="str">
        <f>IF(A391="","",IF(IF(OR(DATE($B$3,12,14)&gt;EOMONTH(DATE($B$3,12,1),0),NETWORKDAYS.INTL(DATE($B$3,12,14),DATE($B$3,12,14),1,'Non-working days'!$A$6:$A$45)=0),"",IF(COUNTIFS('Leave log'!$A$7:$A$306,Employees!$A$16,'Leave log'!$B$7:$B$306,"&lt;="&amp;DATE($B$3,12,14),'Leave log'!$C$7:$C$306,"&gt;="&amp;DATE($B$3,12,14),'Leave log'!$F$7:$F$306,"Approved")&gt;0,"A",""))="A","A",IF(OR(DATE($B$3,12,14)&gt;EOMONTH(DATE($B$3,12,1),0),NETWORKDAYS.INTL(DATE($B$3,12,14),DATE($B$3,12,14),1,'Non-working days'!$A$6:$A$45)=0),"",IF(COUNTIFS('Leave log'!$A$7:$A$306,Employees!$A$16,'Leave log'!$B$7:$B$306,"&lt;="&amp;DATE($B$3,12,14),'Leave log'!$C$7:$C$306,"&gt;="&amp;DATE($B$3,12,14),'Leave log'!$F$7:$F$306,"Pending")&gt;0,"P",""))))</f>
        <v/>
      </c>
      <c r="P391" s="23" t="str">
        <f>IF(A391="","",IF(IF(OR(DATE($B$3,12,15)&gt;EOMONTH(DATE($B$3,12,1),0),NETWORKDAYS.INTL(DATE($B$3,12,15),DATE($B$3,12,15),1,'Non-working days'!$A$6:$A$45)=0),"",IF(COUNTIFS('Leave log'!$A$7:$A$306,Employees!$A$16,'Leave log'!$B$7:$B$306,"&lt;="&amp;DATE($B$3,12,15),'Leave log'!$C$7:$C$306,"&gt;="&amp;DATE($B$3,12,15),'Leave log'!$F$7:$F$306,"Approved")&gt;0,"A",""))="A","A",IF(OR(DATE($B$3,12,15)&gt;EOMONTH(DATE($B$3,12,1),0),NETWORKDAYS.INTL(DATE($B$3,12,15),DATE($B$3,12,15),1,'Non-working days'!$A$6:$A$45)=0),"",IF(COUNTIFS('Leave log'!$A$7:$A$306,Employees!$A$16,'Leave log'!$B$7:$B$306,"&lt;="&amp;DATE($B$3,12,15),'Leave log'!$C$7:$C$306,"&gt;="&amp;DATE($B$3,12,15),'Leave log'!$F$7:$F$306,"Pending")&gt;0,"P",""))))</f>
        <v/>
      </c>
      <c r="Q391" s="23" t="str">
        <f>IF(A391="","",IF(IF(OR(DATE($B$3,12,16)&gt;EOMONTH(DATE($B$3,12,1),0),NETWORKDAYS.INTL(DATE($B$3,12,16),DATE($B$3,12,16),1,'Non-working days'!$A$6:$A$45)=0),"",IF(COUNTIFS('Leave log'!$A$7:$A$306,Employees!$A$16,'Leave log'!$B$7:$B$306,"&lt;="&amp;DATE($B$3,12,16),'Leave log'!$C$7:$C$306,"&gt;="&amp;DATE($B$3,12,16),'Leave log'!$F$7:$F$306,"Approved")&gt;0,"A",""))="A","A",IF(OR(DATE($B$3,12,16)&gt;EOMONTH(DATE($B$3,12,1),0),NETWORKDAYS.INTL(DATE($B$3,12,16),DATE($B$3,12,16),1,'Non-working days'!$A$6:$A$45)=0),"",IF(COUNTIFS('Leave log'!$A$7:$A$306,Employees!$A$16,'Leave log'!$B$7:$B$306,"&lt;="&amp;DATE($B$3,12,16),'Leave log'!$C$7:$C$306,"&gt;="&amp;DATE($B$3,12,16),'Leave log'!$F$7:$F$306,"Pending")&gt;0,"P",""))))</f>
        <v/>
      </c>
      <c r="R391" s="23" t="str">
        <f>IF(A391="","",IF(IF(OR(DATE($B$3,12,17)&gt;EOMONTH(DATE($B$3,12,1),0),NETWORKDAYS.INTL(DATE($B$3,12,17),DATE($B$3,12,17),1,'Non-working days'!$A$6:$A$45)=0),"",IF(COUNTIFS('Leave log'!$A$7:$A$306,Employees!$A$16,'Leave log'!$B$7:$B$306,"&lt;="&amp;DATE($B$3,12,17),'Leave log'!$C$7:$C$306,"&gt;="&amp;DATE($B$3,12,17),'Leave log'!$F$7:$F$306,"Approved")&gt;0,"A",""))="A","A",IF(OR(DATE($B$3,12,17)&gt;EOMONTH(DATE($B$3,12,1),0),NETWORKDAYS.INTL(DATE($B$3,12,17),DATE($B$3,12,17),1,'Non-working days'!$A$6:$A$45)=0),"",IF(COUNTIFS('Leave log'!$A$7:$A$306,Employees!$A$16,'Leave log'!$B$7:$B$306,"&lt;="&amp;DATE($B$3,12,17),'Leave log'!$C$7:$C$306,"&gt;="&amp;DATE($B$3,12,17),'Leave log'!$F$7:$F$306,"Pending")&gt;0,"P",""))))</f>
        <v/>
      </c>
      <c r="S391" s="23" t="str">
        <f>IF(A391="","",IF(IF(OR(DATE($B$3,12,18)&gt;EOMONTH(DATE($B$3,12,1),0),NETWORKDAYS.INTL(DATE($B$3,12,18),DATE($B$3,12,18),1,'Non-working days'!$A$6:$A$45)=0),"",IF(COUNTIFS('Leave log'!$A$7:$A$306,Employees!$A$16,'Leave log'!$B$7:$B$306,"&lt;="&amp;DATE($B$3,12,18),'Leave log'!$C$7:$C$306,"&gt;="&amp;DATE($B$3,12,18),'Leave log'!$F$7:$F$306,"Approved")&gt;0,"A",""))="A","A",IF(OR(DATE($B$3,12,18)&gt;EOMONTH(DATE($B$3,12,1),0),NETWORKDAYS.INTL(DATE($B$3,12,18),DATE($B$3,12,18),1,'Non-working days'!$A$6:$A$45)=0),"",IF(COUNTIFS('Leave log'!$A$7:$A$306,Employees!$A$16,'Leave log'!$B$7:$B$306,"&lt;="&amp;DATE($B$3,12,18),'Leave log'!$C$7:$C$306,"&gt;="&amp;DATE($B$3,12,18),'Leave log'!$F$7:$F$306,"Pending")&gt;0,"P",""))))</f>
        <v/>
      </c>
      <c r="T391" s="23" t="str">
        <f>IF(A391="","",IF(IF(OR(DATE($B$3,12,19)&gt;EOMONTH(DATE($B$3,12,1),0),NETWORKDAYS.INTL(DATE($B$3,12,19),DATE($B$3,12,19),1,'Non-working days'!$A$6:$A$45)=0),"",IF(COUNTIFS('Leave log'!$A$7:$A$306,Employees!$A$16,'Leave log'!$B$7:$B$306,"&lt;="&amp;DATE($B$3,12,19),'Leave log'!$C$7:$C$306,"&gt;="&amp;DATE($B$3,12,19),'Leave log'!$F$7:$F$306,"Approved")&gt;0,"A",""))="A","A",IF(OR(DATE($B$3,12,19)&gt;EOMONTH(DATE($B$3,12,1),0),NETWORKDAYS.INTL(DATE($B$3,12,19),DATE($B$3,12,19),1,'Non-working days'!$A$6:$A$45)=0),"",IF(COUNTIFS('Leave log'!$A$7:$A$306,Employees!$A$16,'Leave log'!$B$7:$B$306,"&lt;="&amp;DATE($B$3,12,19),'Leave log'!$C$7:$C$306,"&gt;="&amp;DATE($B$3,12,19),'Leave log'!$F$7:$F$306,"Pending")&gt;0,"P",""))))</f>
        <v/>
      </c>
      <c r="U391" s="23" t="str">
        <f>IF(A391="","",IF(IF(OR(DATE($B$3,12,20)&gt;EOMONTH(DATE($B$3,12,1),0),NETWORKDAYS.INTL(DATE($B$3,12,20),DATE($B$3,12,20),1,'Non-working days'!$A$6:$A$45)=0),"",IF(COUNTIFS('Leave log'!$A$7:$A$306,Employees!$A$16,'Leave log'!$B$7:$B$306,"&lt;="&amp;DATE($B$3,12,20),'Leave log'!$C$7:$C$306,"&gt;="&amp;DATE($B$3,12,20),'Leave log'!$F$7:$F$306,"Approved")&gt;0,"A",""))="A","A",IF(OR(DATE($B$3,12,20)&gt;EOMONTH(DATE($B$3,12,1),0),NETWORKDAYS.INTL(DATE($B$3,12,20),DATE($B$3,12,20),1,'Non-working days'!$A$6:$A$45)=0),"",IF(COUNTIFS('Leave log'!$A$7:$A$306,Employees!$A$16,'Leave log'!$B$7:$B$306,"&lt;="&amp;DATE($B$3,12,20),'Leave log'!$C$7:$C$306,"&gt;="&amp;DATE($B$3,12,20),'Leave log'!$F$7:$F$306,"Pending")&gt;0,"P",""))))</f>
        <v/>
      </c>
      <c r="V391" s="23" t="str">
        <f>IF(A391="","",IF(IF(OR(DATE($B$3,12,21)&gt;EOMONTH(DATE($B$3,12,1),0),NETWORKDAYS.INTL(DATE($B$3,12,21),DATE($B$3,12,21),1,'Non-working days'!$A$6:$A$45)=0),"",IF(COUNTIFS('Leave log'!$A$7:$A$306,Employees!$A$16,'Leave log'!$B$7:$B$306,"&lt;="&amp;DATE($B$3,12,21),'Leave log'!$C$7:$C$306,"&gt;="&amp;DATE($B$3,12,21),'Leave log'!$F$7:$F$306,"Approved")&gt;0,"A",""))="A","A",IF(OR(DATE($B$3,12,21)&gt;EOMONTH(DATE($B$3,12,1),0),NETWORKDAYS.INTL(DATE($B$3,12,21),DATE($B$3,12,21),1,'Non-working days'!$A$6:$A$45)=0),"",IF(COUNTIFS('Leave log'!$A$7:$A$306,Employees!$A$16,'Leave log'!$B$7:$B$306,"&lt;="&amp;DATE($B$3,12,21),'Leave log'!$C$7:$C$306,"&gt;="&amp;DATE($B$3,12,21),'Leave log'!$F$7:$F$306,"Pending")&gt;0,"P",""))))</f>
        <v/>
      </c>
      <c r="W391" s="23" t="str">
        <f>IF(A391="","",IF(IF(OR(DATE($B$3,12,22)&gt;EOMONTH(DATE($B$3,12,1),0),NETWORKDAYS.INTL(DATE($B$3,12,22),DATE($B$3,12,22),1,'Non-working days'!$A$6:$A$45)=0),"",IF(COUNTIFS('Leave log'!$A$7:$A$306,Employees!$A$16,'Leave log'!$B$7:$B$306,"&lt;="&amp;DATE($B$3,12,22),'Leave log'!$C$7:$C$306,"&gt;="&amp;DATE($B$3,12,22),'Leave log'!$F$7:$F$306,"Approved")&gt;0,"A",""))="A","A",IF(OR(DATE($B$3,12,22)&gt;EOMONTH(DATE($B$3,12,1),0),NETWORKDAYS.INTL(DATE($B$3,12,22),DATE($B$3,12,22),1,'Non-working days'!$A$6:$A$45)=0),"",IF(COUNTIFS('Leave log'!$A$7:$A$306,Employees!$A$16,'Leave log'!$B$7:$B$306,"&lt;="&amp;DATE($B$3,12,22),'Leave log'!$C$7:$C$306,"&gt;="&amp;DATE($B$3,12,22),'Leave log'!$F$7:$F$306,"Pending")&gt;0,"P",""))))</f>
        <v/>
      </c>
      <c r="X391" s="23" t="str">
        <f>IF(A391="","",IF(IF(OR(DATE($B$3,12,23)&gt;EOMONTH(DATE($B$3,12,1),0),NETWORKDAYS.INTL(DATE($B$3,12,23),DATE($B$3,12,23),1,'Non-working days'!$A$6:$A$45)=0),"",IF(COUNTIFS('Leave log'!$A$7:$A$306,Employees!$A$16,'Leave log'!$B$7:$B$306,"&lt;="&amp;DATE($B$3,12,23),'Leave log'!$C$7:$C$306,"&gt;="&amp;DATE($B$3,12,23),'Leave log'!$F$7:$F$306,"Approved")&gt;0,"A",""))="A","A",IF(OR(DATE($B$3,12,23)&gt;EOMONTH(DATE($B$3,12,1),0),NETWORKDAYS.INTL(DATE($B$3,12,23),DATE($B$3,12,23),1,'Non-working days'!$A$6:$A$45)=0),"",IF(COUNTIFS('Leave log'!$A$7:$A$306,Employees!$A$16,'Leave log'!$B$7:$B$306,"&lt;="&amp;DATE($B$3,12,23),'Leave log'!$C$7:$C$306,"&gt;="&amp;DATE($B$3,12,23),'Leave log'!$F$7:$F$306,"Pending")&gt;0,"P",""))))</f>
        <v/>
      </c>
      <c r="Y391" s="23" t="str">
        <f>IF(A391="","",IF(IF(OR(DATE($B$3,12,24)&gt;EOMONTH(DATE($B$3,12,1),0),NETWORKDAYS.INTL(DATE($B$3,12,24),DATE($B$3,12,24),1,'Non-working days'!$A$6:$A$45)=0),"",IF(COUNTIFS('Leave log'!$A$7:$A$306,Employees!$A$16,'Leave log'!$B$7:$B$306,"&lt;="&amp;DATE($B$3,12,24),'Leave log'!$C$7:$C$306,"&gt;="&amp;DATE($B$3,12,24),'Leave log'!$F$7:$F$306,"Approved")&gt;0,"A",""))="A","A",IF(OR(DATE($B$3,12,24)&gt;EOMONTH(DATE($B$3,12,1),0),NETWORKDAYS.INTL(DATE($B$3,12,24),DATE($B$3,12,24),1,'Non-working days'!$A$6:$A$45)=0),"",IF(COUNTIFS('Leave log'!$A$7:$A$306,Employees!$A$16,'Leave log'!$B$7:$B$306,"&lt;="&amp;DATE($B$3,12,24),'Leave log'!$C$7:$C$306,"&gt;="&amp;DATE($B$3,12,24),'Leave log'!$F$7:$F$306,"Pending")&gt;0,"P",""))))</f>
        <v/>
      </c>
      <c r="Z391" s="23" t="str">
        <f>IF(A391="","",IF(IF(OR(DATE($B$3,12,25)&gt;EOMONTH(DATE($B$3,12,1),0),NETWORKDAYS.INTL(DATE($B$3,12,25),DATE($B$3,12,25),1,'Non-working days'!$A$6:$A$45)=0),"",IF(COUNTIFS('Leave log'!$A$7:$A$306,Employees!$A$16,'Leave log'!$B$7:$B$306,"&lt;="&amp;DATE($B$3,12,25),'Leave log'!$C$7:$C$306,"&gt;="&amp;DATE($B$3,12,25),'Leave log'!$F$7:$F$306,"Approved")&gt;0,"A",""))="A","A",IF(OR(DATE($B$3,12,25)&gt;EOMONTH(DATE($B$3,12,1),0),NETWORKDAYS.INTL(DATE($B$3,12,25),DATE($B$3,12,25),1,'Non-working days'!$A$6:$A$45)=0),"",IF(COUNTIFS('Leave log'!$A$7:$A$306,Employees!$A$16,'Leave log'!$B$7:$B$306,"&lt;="&amp;DATE($B$3,12,25),'Leave log'!$C$7:$C$306,"&gt;="&amp;DATE($B$3,12,25),'Leave log'!$F$7:$F$306,"Pending")&gt;0,"P",""))))</f>
        <v/>
      </c>
      <c r="AA391" s="23" t="str">
        <f>IF(A391="","",IF(IF(OR(DATE($B$3,12,26)&gt;EOMONTH(DATE($B$3,12,1),0),NETWORKDAYS.INTL(DATE($B$3,12,26),DATE($B$3,12,26),1,'Non-working days'!$A$6:$A$45)=0),"",IF(COUNTIFS('Leave log'!$A$7:$A$306,Employees!$A$16,'Leave log'!$B$7:$B$306,"&lt;="&amp;DATE($B$3,12,26),'Leave log'!$C$7:$C$306,"&gt;="&amp;DATE($B$3,12,26),'Leave log'!$F$7:$F$306,"Approved")&gt;0,"A",""))="A","A",IF(OR(DATE($B$3,12,26)&gt;EOMONTH(DATE($B$3,12,1),0),NETWORKDAYS.INTL(DATE($B$3,12,26),DATE($B$3,12,26),1,'Non-working days'!$A$6:$A$45)=0),"",IF(COUNTIFS('Leave log'!$A$7:$A$306,Employees!$A$16,'Leave log'!$B$7:$B$306,"&lt;="&amp;DATE($B$3,12,26),'Leave log'!$C$7:$C$306,"&gt;="&amp;DATE($B$3,12,26),'Leave log'!$F$7:$F$306,"Pending")&gt;0,"P",""))))</f>
        <v/>
      </c>
      <c r="AB391" s="23" t="str">
        <f>IF(A391="","",IF(IF(OR(DATE($B$3,12,27)&gt;EOMONTH(DATE($B$3,12,1),0),NETWORKDAYS.INTL(DATE($B$3,12,27),DATE($B$3,12,27),1,'Non-working days'!$A$6:$A$45)=0),"",IF(COUNTIFS('Leave log'!$A$7:$A$306,Employees!$A$16,'Leave log'!$B$7:$B$306,"&lt;="&amp;DATE($B$3,12,27),'Leave log'!$C$7:$C$306,"&gt;="&amp;DATE($B$3,12,27),'Leave log'!$F$7:$F$306,"Approved")&gt;0,"A",""))="A","A",IF(OR(DATE($B$3,12,27)&gt;EOMONTH(DATE($B$3,12,1),0),NETWORKDAYS.INTL(DATE($B$3,12,27),DATE($B$3,12,27),1,'Non-working days'!$A$6:$A$45)=0),"",IF(COUNTIFS('Leave log'!$A$7:$A$306,Employees!$A$16,'Leave log'!$B$7:$B$306,"&lt;="&amp;DATE($B$3,12,27),'Leave log'!$C$7:$C$306,"&gt;="&amp;DATE($B$3,12,27),'Leave log'!$F$7:$F$306,"Pending")&gt;0,"P",""))))</f>
        <v/>
      </c>
      <c r="AC391" s="23" t="str">
        <f>IF(A391="","",IF(IF(OR(DATE($B$3,12,28)&gt;EOMONTH(DATE($B$3,12,1),0),NETWORKDAYS.INTL(DATE($B$3,12,28),DATE($B$3,12,28),1,'Non-working days'!$A$6:$A$45)=0),"",IF(COUNTIFS('Leave log'!$A$7:$A$306,Employees!$A$16,'Leave log'!$B$7:$B$306,"&lt;="&amp;DATE($B$3,12,28),'Leave log'!$C$7:$C$306,"&gt;="&amp;DATE($B$3,12,28),'Leave log'!$F$7:$F$306,"Approved")&gt;0,"A",""))="A","A",IF(OR(DATE($B$3,12,28)&gt;EOMONTH(DATE($B$3,12,1),0),NETWORKDAYS.INTL(DATE($B$3,12,28),DATE($B$3,12,28),1,'Non-working days'!$A$6:$A$45)=0),"",IF(COUNTIFS('Leave log'!$A$7:$A$306,Employees!$A$16,'Leave log'!$B$7:$B$306,"&lt;="&amp;DATE($B$3,12,28),'Leave log'!$C$7:$C$306,"&gt;="&amp;DATE($B$3,12,28),'Leave log'!$F$7:$F$306,"Pending")&gt;0,"P",""))))</f>
        <v/>
      </c>
      <c r="AD391" s="23" t="str">
        <f>IF(A391="","",IF(IF(OR(DATE($B$3,12,29)&gt;EOMONTH(DATE($B$3,12,1),0),NETWORKDAYS.INTL(DATE($B$3,12,29),DATE($B$3,12,29),1,'Non-working days'!$A$6:$A$45)=0),"",IF(COUNTIFS('Leave log'!$A$7:$A$306,Employees!$A$16,'Leave log'!$B$7:$B$306,"&lt;="&amp;DATE($B$3,12,29),'Leave log'!$C$7:$C$306,"&gt;="&amp;DATE($B$3,12,29),'Leave log'!$F$7:$F$306,"Approved")&gt;0,"A",""))="A","A",IF(OR(DATE($B$3,12,29)&gt;EOMONTH(DATE($B$3,12,1),0),NETWORKDAYS.INTL(DATE($B$3,12,29),DATE($B$3,12,29),1,'Non-working days'!$A$6:$A$45)=0),"",IF(COUNTIFS('Leave log'!$A$7:$A$306,Employees!$A$16,'Leave log'!$B$7:$B$306,"&lt;="&amp;DATE($B$3,12,29),'Leave log'!$C$7:$C$306,"&gt;="&amp;DATE($B$3,12,29),'Leave log'!$F$7:$F$306,"Pending")&gt;0,"P",""))))</f>
        <v/>
      </c>
      <c r="AE391" s="23" t="str">
        <f>IF(A391="","",IF(IF(OR(DATE($B$3,12,30)&gt;EOMONTH(DATE($B$3,12,1),0),NETWORKDAYS.INTL(DATE($B$3,12,30),DATE($B$3,12,30),1,'Non-working days'!$A$6:$A$45)=0),"",IF(COUNTIFS('Leave log'!$A$7:$A$306,Employees!$A$16,'Leave log'!$B$7:$B$306,"&lt;="&amp;DATE($B$3,12,30),'Leave log'!$C$7:$C$306,"&gt;="&amp;DATE($B$3,12,30),'Leave log'!$F$7:$F$306,"Approved")&gt;0,"A",""))="A","A",IF(OR(DATE($B$3,12,30)&gt;EOMONTH(DATE($B$3,12,1),0),NETWORKDAYS.INTL(DATE($B$3,12,30),DATE($B$3,12,30),1,'Non-working days'!$A$6:$A$45)=0),"",IF(COUNTIFS('Leave log'!$A$7:$A$306,Employees!$A$16,'Leave log'!$B$7:$B$306,"&lt;="&amp;DATE($B$3,12,30),'Leave log'!$C$7:$C$306,"&gt;="&amp;DATE($B$3,12,30),'Leave log'!$F$7:$F$306,"Pending")&gt;0,"P",""))))</f>
        <v/>
      </c>
      <c r="AF391" s="23" t="str">
        <f>IF(A391="","",IF(IF(OR(DATE($B$3,12,31)&gt;EOMONTH(DATE($B$3,12,1),0),NETWORKDAYS.INTL(DATE($B$3,12,31),DATE($B$3,12,31),1,'Non-working days'!$A$6:$A$45)=0),"",IF(COUNTIFS('Leave log'!$A$7:$A$306,Employees!$A$16,'Leave log'!$B$7:$B$306,"&lt;="&amp;DATE($B$3,12,31),'Leave log'!$C$7:$C$306,"&gt;="&amp;DATE($B$3,12,31),'Leave log'!$F$7:$F$306,"Approved")&gt;0,"A",""))="A","A",IF(OR(DATE($B$3,12,31)&gt;EOMONTH(DATE($B$3,12,1),0),NETWORKDAYS.INTL(DATE($B$3,12,31),DATE($B$3,12,31),1,'Non-working days'!$A$6:$A$45)=0),"",IF(COUNTIFS('Leave log'!$A$7:$A$306,Employees!$A$16,'Leave log'!$B$7:$B$306,"&lt;="&amp;DATE($B$3,12,31),'Leave log'!$C$7:$C$306,"&gt;="&amp;DATE($B$3,12,31),'Leave log'!$F$7:$F$306,"Pending")&gt;0,"P",""))))</f>
        <v/>
      </c>
    </row>
    <row r="392" spans="1:32" ht="18" customHeight="1" x14ac:dyDescent="0.3">
      <c r="A392" s="22" t="str">
        <f>IF(Employees!F17="Yes",Employees!B17,"")</f>
        <v/>
      </c>
      <c r="B392" s="23" t="str">
        <f>IF(A392="","",IF(IF(OR(DATE($B$3,12,1)&gt;EOMONTH(DATE($B$3,12,1),0),NETWORKDAYS.INTL(DATE($B$3,12,1),DATE($B$3,12,1),1,'Non-working days'!$A$6:$A$45)=0),"",IF(COUNTIFS('Leave log'!$A$7:$A$306,Employees!$A$17,'Leave log'!$B$7:$B$306,"&lt;="&amp;DATE($B$3,12,1),'Leave log'!$C$7:$C$306,"&gt;="&amp;DATE($B$3,12,1),'Leave log'!$F$7:$F$306,"Approved")&gt;0,"A",""))="A","A",IF(OR(DATE($B$3,12,1)&gt;EOMONTH(DATE($B$3,12,1),0),NETWORKDAYS.INTL(DATE($B$3,12,1),DATE($B$3,12,1),1,'Non-working days'!$A$6:$A$45)=0),"",IF(COUNTIFS('Leave log'!$A$7:$A$306,Employees!$A$17,'Leave log'!$B$7:$B$306,"&lt;="&amp;DATE($B$3,12,1),'Leave log'!$C$7:$C$306,"&gt;="&amp;DATE($B$3,12,1),'Leave log'!$F$7:$F$306,"Pending")&gt;0,"P",""))))</f>
        <v/>
      </c>
      <c r="C392" s="23" t="str">
        <f>IF(A392="","",IF(IF(OR(DATE($B$3,12,2)&gt;EOMONTH(DATE($B$3,12,1),0),NETWORKDAYS.INTL(DATE($B$3,12,2),DATE($B$3,12,2),1,'Non-working days'!$A$6:$A$45)=0),"",IF(COUNTIFS('Leave log'!$A$7:$A$306,Employees!$A$17,'Leave log'!$B$7:$B$306,"&lt;="&amp;DATE($B$3,12,2),'Leave log'!$C$7:$C$306,"&gt;="&amp;DATE($B$3,12,2),'Leave log'!$F$7:$F$306,"Approved")&gt;0,"A",""))="A","A",IF(OR(DATE($B$3,12,2)&gt;EOMONTH(DATE($B$3,12,1),0),NETWORKDAYS.INTL(DATE($B$3,12,2),DATE($B$3,12,2),1,'Non-working days'!$A$6:$A$45)=0),"",IF(COUNTIFS('Leave log'!$A$7:$A$306,Employees!$A$17,'Leave log'!$B$7:$B$306,"&lt;="&amp;DATE($B$3,12,2),'Leave log'!$C$7:$C$306,"&gt;="&amp;DATE($B$3,12,2),'Leave log'!$F$7:$F$306,"Pending")&gt;0,"P",""))))</f>
        <v/>
      </c>
      <c r="D392" s="23" t="str">
        <f>IF(A392="","",IF(IF(OR(DATE($B$3,12,3)&gt;EOMONTH(DATE($B$3,12,1),0),NETWORKDAYS.INTL(DATE($B$3,12,3),DATE($B$3,12,3),1,'Non-working days'!$A$6:$A$45)=0),"",IF(COUNTIFS('Leave log'!$A$7:$A$306,Employees!$A$17,'Leave log'!$B$7:$B$306,"&lt;="&amp;DATE($B$3,12,3),'Leave log'!$C$7:$C$306,"&gt;="&amp;DATE($B$3,12,3),'Leave log'!$F$7:$F$306,"Approved")&gt;0,"A",""))="A","A",IF(OR(DATE($B$3,12,3)&gt;EOMONTH(DATE($B$3,12,1),0),NETWORKDAYS.INTL(DATE($B$3,12,3),DATE($B$3,12,3),1,'Non-working days'!$A$6:$A$45)=0),"",IF(COUNTIFS('Leave log'!$A$7:$A$306,Employees!$A$17,'Leave log'!$B$7:$B$306,"&lt;="&amp;DATE($B$3,12,3),'Leave log'!$C$7:$C$306,"&gt;="&amp;DATE($B$3,12,3),'Leave log'!$F$7:$F$306,"Pending")&gt;0,"P",""))))</f>
        <v/>
      </c>
      <c r="E392" s="23" t="str">
        <f>IF(A392="","",IF(IF(OR(DATE($B$3,12,4)&gt;EOMONTH(DATE($B$3,12,1),0),NETWORKDAYS.INTL(DATE($B$3,12,4),DATE($B$3,12,4),1,'Non-working days'!$A$6:$A$45)=0),"",IF(COUNTIFS('Leave log'!$A$7:$A$306,Employees!$A$17,'Leave log'!$B$7:$B$306,"&lt;="&amp;DATE($B$3,12,4),'Leave log'!$C$7:$C$306,"&gt;="&amp;DATE($B$3,12,4),'Leave log'!$F$7:$F$306,"Approved")&gt;0,"A",""))="A","A",IF(OR(DATE($B$3,12,4)&gt;EOMONTH(DATE($B$3,12,1),0),NETWORKDAYS.INTL(DATE($B$3,12,4),DATE($B$3,12,4),1,'Non-working days'!$A$6:$A$45)=0),"",IF(COUNTIFS('Leave log'!$A$7:$A$306,Employees!$A$17,'Leave log'!$B$7:$B$306,"&lt;="&amp;DATE($B$3,12,4),'Leave log'!$C$7:$C$306,"&gt;="&amp;DATE($B$3,12,4),'Leave log'!$F$7:$F$306,"Pending")&gt;0,"P",""))))</f>
        <v/>
      </c>
      <c r="F392" s="23" t="str">
        <f>IF(A392="","",IF(IF(OR(DATE($B$3,12,5)&gt;EOMONTH(DATE($B$3,12,1),0),NETWORKDAYS.INTL(DATE($B$3,12,5),DATE($B$3,12,5),1,'Non-working days'!$A$6:$A$45)=0),"",IF(COUNTIFS('Leave log'!$A$7:$A$306,Employees!$A$17,'Leave log'!$B$7:$B$306,"&lt;="&amp;DATE($B$3,12,5),'Leave log'!$C$7:$C$306,"&gt;="&amp;DATE($B$3,12,5),'Leave log'!$F$7:$F$306,"Approved")&gt;0,"A",""))="A","A",IF(OR(DATE($B$3,12,5)&gt;EOMONTH(DATE($B$3,12,1),0),NETWORKDAYS.INTL(DATE($B$3,12,5),DATE($B$3,12,5),1,'Non-working days'!$A$6:$A$45)=0),"",IF(COUNTIFS('Leave log'!$A$7:$A$306,Employees!$A$17,'Leave log'!$B$7:$B$306,"&lt;="&amp;DATE($B$3,12,5),'Leave log'!$C$7:$C$306,"&gt;="&amp;DATE($B$3,12,5),'Leave log'!$F$7:$F$306,"Pending")&gt;0,"P",""))))</f>
        <v/>
      </c>
      <c r="G392" s="23" t="str">
        <f>IF(A392="","",IF(IF(OR(DATE($B$3,12,6)&gt;EOMONTH(DATE($B$3,12,1),0),NETWORKDAYS.INTL(DATE($B$3,12,6),DATE($B$3,12,6),1,'Non-working days'!$A$6:$A$45)=0),"",IF(COUNTIFS('Leave log'!$A$7:$A$306,Employees!$A$17,'Leave log'!$B$7:$B$306,"&lt;="&amp;DATE($B$3,12,6),'Leave log'!$C$7:$C$306,"&gt;="&amp;DATE($B$3,12,6),'Leave log'!$F$7:$F$306,"Approved")&gt;0,"A",""))="A","A",IF(OR(DATE($B$3,12,6)&gt;EOMONTH(DATE($B$3,12,1),0),NETWORKDAYS.INTL(DATE($B$3,12,6),DATE($B$3,12,6),1,'Non-working days'!$A$6:$A$45)=0),"",IF(COUNTIFS('Leave log'!$A$7:$A$306,Employees!$A$17,'Leave log'!$B$7:$B$306,"&lt;="&amp;DATE($B$3,12,6),'Leave log'!$C$7:$C$306,"&gt;="&amp;DATE($B$3,12,6),'Leave log'!$F$7:$F$306,"Pending")&gt;0,"P",""))))</f>
        <v/>
      </c>
      <c r="H392" s="23" t="str">
        <f>IF(A392="","",IF(IF(OR(DATE($B$3,12,7)&gt;EOMONTH(DATE($B$3,12,1),0),NETWORKDAYS.INTL(DATE($B$3,12,7),DATE($B$3,12,7),1,'Non-working days'!$A$6:$A$45)=0),"",IF(COUNTIFS('Leave log'!$A$7:$A$306,Employees!$A$17,'Leave log'!$B$7:$B$306,"&lt;="&amp;DATE($B$3,12,7),'Leave log'!$C$7:$C$306,"&gt;="&amp;DATE($B$3,12,7),'Leave log'!$F$7:$F$306,"Approved")&gt;0,"A",""))="A","A",IF(OR(DATE($B$3,12,7)&gt;EOMONTH(DATE($B$3,12,1),0),NETWORKDAYS.INTL(DATE($B$3,12,7),DATE($B$3,12,7),1,'Non-working days'!$A$6:$A$45)=0),"",IF(COUNTIFS('Leave log'!$A$7:$A$306,Employees!$A$17,'Leave log'!$B$7:$B$306,"&lt;="&amp;DATE($B$3,12,7),'Leave log'!$C$7:$C$306,"&gt;="&amp;DATE($B$3,12,7),'Leave log'!$F$7:$F$306,"Pending")&gt;0,"P",""))))</f>
        <v/>
      </c>
      <c r="I392" s="23" t="str">
        <f>IF(A392="","",IF(IF(OR(DATE($B$3,12,8)&gt;EOMONTH(DATE($B$3,12,1),0),NETWORKDAYS.INTL(DATE($B$3,12,8),DATE($B$3,12,8),1,'Non-working days'!$A$6:$A$45)=0),"",IF(COUNTIFS('Leave log'!$A$7:$A$306,Employees!$A$17,'Leave log'!$B$7:$B$306,"&lt;="&amp;DATE($B$3,12,8),'Leave log'!$C$7:$C$306,"&gt;="&amp;DATE($B$3,12,8),'Leave log'!$F$7:$F$306,"Approved")&gt;0,"A",""))="A","A",IF(OR(DATE($B$3,12,8)&gt;EOMONTH(DATE($B$3,12,1),0),NETWORKDAYS.INTL(DATE($B$3,12,8),DATE($B$3,12,8),1,'Non-working days'!$A$6:$A$45)=0),"",IF(COUNTIFS('Leave log'!$A$7:$A$306,Employees!$A$17,'Leave log'!$B$7:$B$306,"&lt;="&amp;DATE($B$3,12,8),'Leave log'!$C$7:$C$306,"&gt;="&amp;DATE($B$3,12,8),'Leave log'!$F$7:$F$306,"Pending")&gt;0,"P",""))))</f>
        <v/>
      </c>
      <c r="J392" s="23" t="str">
        <f>IF(A392="","",IF(IF(OR(DATE($B$3,12,9)&gt;EOMONTH(DATE($B$3,12,1),0),NETWORKDAYS.INTL(DATE($B$3,12,9),DATE($B$3,12,9),1,'Non-working days'!$A$6:$A$45)=0),"",IF(COUNTIFS('Leave log'!$A$7:$A$306,Employees!$A$17,'Leave log'!$B$7:$B$306,"&lt;="&amp;DATE($B$3,12,9),'Leave log'!$C$7:$C$306,"&gt;="&amp;DATE($B$3,12,9),'Leave log'!$F$7:$F$306,"Approved")&gt;0,"A",""))="A","A",IF(OR(DATE($B$3,12,9)&gt;EOMONTH(DATE($B$3,12,1),0),NETWORKDAYS.INTL(DATE($B$3,12,9),DATE($B$3,12,9),1,'Non-working days'!$A$6:$A$45)=0),"",IF(COUNTIFS('Leave log'!$A$7:$A$306,Employees!$A$17,'Leave log'!$B$7:$B$306,"&lt;="&amp;DATE($B$3,12,9),'Leave log'!$C$7:$C$306,"&gt;="&amp;DATE($B$3,12,9),'Leave log'!$F$7:$F$306,"Pending")&gt;0,"P",""))))</f>
        <v/>
      </c>
      <c r="K392" s="23" t="str">
        <f>IF(A392="","",IF(IF(OR(DATE($B$3,12,10)&gt;EOMONTH(DATE($B$3,12,1),0),NETWORKDAYS.INTL(DATE($B$3,12,10),DATE($B$3,12,10),1,'Non-working days'!$A$6:$A$45)=0),"",IF(COUNTIFS('Leave log'!$A$7:$A$306,Employees!$A$17,'Leave log'!$B$7:$B$306,"&lt;="&amp;DATE($B$3,12,10),'Leave log'!$C$7:$C$306,"&gt;="&amp;DATE($B$3,12,10),'Leave log'!$F$7:$F$306,"Approved")&gt;0,"A",""))="A","A",IF(OR(DATE($B$3,12,10)&gt;EOMONTH(DATE($B$3,12,1),0),NETWORKDAYS.INTL(DATE($B$3,12,10),DATE($B$3,12,10),1,'Non-working days'!$A$6:$A$45)=0),"",IF(COUNTIFS('Leave log'!$A$7:$A$306,Employees!$A$17,'Leave log'!$B$7:$B$306,"&lt;="&amp;DATE($B$3,12,10),'Leave log'!$C$7:$C$306,"&gt;="&amp;DATE($B$3,12,10),'Leave log'!$F$7:$F$306,"Pending")&gt;0,"P",""))))</f>
        <v/>
      </c>
      <c r="L392" s="23" t="str">
        <f>IF(A392="","",IF(IF(OR(DATE($B$3,12,11)&gt;EOMONTH(DATE($B$3,12,1),0),NETWORKDAYS.INTL(DATE($B$3,12,11),DATE($B$3,12,11),1,'Non-working days'!$A$6:$A$45)=0),"",IF(COUNTIFS('Leave log'!$A$7:$A$306,Employees!$A$17,'Leave log'!$B$7:$B$306,"&lt;="&amp;DATE($B$3,12,11),'Leave log'!$C$7:$C$306,"&gt;="&amp;DATE($B$3,12,11),'Leave log'!$F$7:$F$306,"Approved")&gt;0,"A",""))="A","A",IF(OR(DATE($B$3,12,11)&gt;EOMONTH(DATE($B$3,12,1),0),NETWORKDAYS.INTL(DATE($B$3,12,11),DATE($B$3,12,11),1,'Non-working days'!$A$6:$A$45)=0),"",IF(COUNTIFS('Leave log'!$A$7:$A$306,Employees!$A$17,'Leave log'!$B$7:$B$306,"&lt;="&amp;DATE($B$3,12,11),'Leave log'!$C$7:$C$306,"&gt;="&amp;DATE($B$3,12,11),'Leave log'!$F$7:$F$306,"Pending")&gt;0,"P",""))))</f>
        <v/>
      </c>
      <c r="M392" s="23" t="str">
        <f>IF(A392="","",IF(IF(OR(DATE($B$3,12,12)&gt;EOMONTH(DATE($B$3,12,1),0),NETWORKDAYS.INTL(DATE($B$3,12,12),DATE($B$3,12,12),1,'Non-working days'!$A$6:$A$45)=0),"",IF(COUNTIFS('Leave log'!$A$7:$A$306,Employees!$A$17,'Leave log'!$B$7:$B$306,"&lt;="&amp;DATE($B$3,12,12),'Leave log'!$C$7:$C$306,"&gt;="&amp;DATE($B$3,12,12),'Leave log'!$F$7:$F$306,"Approved")&gt;0,"A",""))="A","A",IF(OR(DATE($B$3,12,12)&gt;EOMONTH(DATE($B$3,12,1),0),NETWORKDAYS.INTL(DATE($B$3,12,12),DATE($B$3,12,12),1,'Non-working days'!$A$6:$A$45)=0),"",IF(COUNTIFS('Leave log'!$A$7:$A$306,Employees!$A$17,'Leave log'!$B$7:$B$306,"&lt;="&amp;DATE($B$3,12,12),'Leave log'!$C$7:$C$306,"&gt;="&amp;DATE($B$3,12,12),'Leave log'!$F$7:$F$306,"Pending")&gt;0,"P",""))))</f>
        <v/>
      </c>
      <c r="N392" s="23" t="str">
        <f>IF(A392="","",IF(IF(OR(DATE($B$3,12,13)&gt;EOMONTH(DATE($B$3,12,1),0),NETWORKDAYS.INTL(DATE($B$3,12,13),DATE($B$3,12,13),1,'Non-working days'!$A$6:$A$45)=0),"",IF(COUNTIFS('Leave log'!$A$7:$A$306,Employees!$A$17,'Leave log'!$B$7:$B$306,"&lt;="&amp;DATE($B$3,12,13),'Leave log'!$C$7:$C$306,"&gt;="&amp;DATE($B$3,12,13),'Leave log'!$F$7:$F$306,"Approved")&gt;0,"A",""))="A","A",IF(OR(DATE($B$3,12,13)&gt;EOMONTH(DATE($B$3,12,1),0),NETWORKDAYS.INTL(DATE($B$3,12,13),DATE($B$3,12,13),1,'Non-working days'!$A$6:$A$45)=0),"",IF(COUNTIFS('Leave log'!$A$7:$A$306,Employees!$A$17,'Leave log'!$B$7:$B$306,"&lt;="&amp;DATE($B$3,12,13),'Leave log'!$C$7:$C$306,"&gt;="&amp;DATE($B$3,12,13),'Leave log'!$F$7:$F$306,"Pending")&gt;0,"P",""))))</f>
        <v/>
      </c>
      <c r="O392" s="23" t="str">
        <f>IF(A392="","",IF(IF(OR(DATE($B$3,12,14)&gt;EOMONTH(DATE($B$3,12,1),0),NETWORKDAYS.INTL(DATE($B$3,12,14),DATE($B$3,12,14),1,'Non-working days'!$A$6:$A$45)=0),"",IF(COUNTIFS('Leave log'!$A$7:$A$306,Employees!$A$17,'Leave log'!$B$7:$B$306,"&lt;="&amp;DATE($B$3,12,14),'Leave log'!$C$7:$C$306,"&gt;="&amp;DATE($B$3,12,14),'Leave log'!$F$7:$F$306,"Approved")&gt;0,"A",""))="A","A",IF(OR(DATE($B$3,12,14)&gt;EOMONTH(DATE($B$3,12,1),0),NETWORKDAYS.INTL(DATE($B$3,12,14),DATE($B$3,12,14),1,'Non-working days'!$A$6:$A$45)=0),"",IF(COUNTIFS('Leave log'!$A$7:$A$306,Employees!$A$17,'Leave log'!$B$7:$B$306,"&lt;="&amp;DATE($B$3,12,14),'Leave log'!$C$7:$C$306,"&gt;="&amp;DATE($B$3,12,14),'Leave log'!$F$7:$F$306,"Pending")&gt;0,"P",""))))</f>
        <v/>
      </c>
      <c r="P392" s="23" t="str">
        <f>IF(A392="","",IF(IF(OR(DATE($B$3,12,15)&gt;EOMONTH(DATE($B$3,12,1),0),NETWORKDAYS.INTL(DATE($B$3,12,15),DATE($B$3,12,15),1,'Non-working days'!$A$6:$A$45)=0),"",IF(COUNTIFS('Leave log'!$A$7:$A$306,Employees!$A$17,'Leave log'!$B$7:$B$306,"&lt;="&amp;DATE($B$3,12,15),'Leave log'!$C$7:$C$306,"&gt;="&amp;DATE($B$3,12,15),'Leave log'!$F$7:$F$306,"Approved")&gt;0,"A",""))="A","A",IF(OR(DATE($B$3,12,15)&gt;EOMONTH(DATE($B$3,12,1),0),NETWORKDAYS.INTL(DATE($B$3,12,15),DATE($B$3,12,15),1,'Non-working days'!$A$6:$A$45)=0),"",IF(COUNTIFS('Leave log'!$A$7:$A$306,Employees!$A$17,'Leave log'!$B$7:$B$306,"&lt;="&amp;DATE($B$3,12,15),'Leave log'!$C$7:$C$306,"&gt;="&amp;DATE($B$3,12,15),'Leave log'!$F$7:$F$306,"Pending")&gt;0,"P",""))))</f>
        <v/>
      </c>
      <c r="Q392" s="23" t="str">
        <f>IF(A392="","",IF(IF(OR(DATE($B$3,12,16)&gt;EOMONTH(DATE($B$3,12,1),0),NETWORKDAYS.INTL(DATE($B$3,12,16),DATE($B$3,12,16),1,'Non-working days'!$A$6:$A$45)=0),"",IF(COUNTIFS('Leave log'!$A$7:$A$306,Employees!$A$17,'Leave log'!$B$7:$B$306,"&lt;="&amp;DATE($B$3,12,16),'Leave log'!$C$7:$C$306,"&gt;="&amp;DATE($B$3,12,16),'Leave log'!$F$7:$F$306,"Approved")&gt;0,"A",""))="A","A",IF(OR(DATE($B$3,12,16)&gt;EOMONTH(DATE($B$3,12,1),0),NETWORKDAYS.INTL(DATE($B$3,12,16),DATE($B$3,12,16),1,'Non-working days'!$A$6:$A$45)=0),"",IF(COUNTIFS('Leave log'!$A$7:$A$306,Employees!$A$17,'Leave log'!$B$7:$B$306,"&lt;="&amp;DATE($B$3,12,16),'Leave log'!$C$7:$C$306,"&gt;="&amp;DATE($B$3,12,16),'Leave log'!$F$7:$F$306,"Pending")&gt;0,"P",""))))</f>
        <v/>
      </c>
      <c r="R392" s="23" t="str">
        <f>IF(A392="","",IF(IF(OR(DATE($B$3,12,17)&gt;EOMONTH(DATE($B$3,12,1),0),NETWORKDAYS.INTL(DATE($B$3,12,17),DATE($B$3,12,17),1,'Non-working days'!$A$6:$A$45)=0),"",IF(COUNTIFS('Leave log'!$A$7:$A$306,Employees!$A$17,'Leave log'!$B$7:$B$306,"&lt;="&amp;DATE($B$3,12,17),'Leave log'!$C$7:$C$306,"&gt;="&amp;DATE($B$3,12,17),'Leave log'!$F$7:$F$306,"Approved")&gt;0,"A",""))="A","A",IF(OR(DATE($B$3,12,17)&gt;EOMONTH(DATE($B$3,12,1),0),NETWORKDAYS.INTL(DATE($B$3,12,17),DATE($B$3,12,17),1,'Non-working days'!$A$6:$A$45)=0),"",IF(COUNTIFS('Leave log'!$A$7:$A$306,Employees!$A$17,'Leave log'!$B$7:$B$306,"&lt;="&amp;DATE($B$3,12,17),'Leave log'!$C$7:$C$306,"&gt;="&amp;DATE($B$3,12,17),'Leave log'!$F$7:$F$306,"Pending")&gt;0,"P",""))))</f>
        <v/>
      </c>
      <c r="S392" s="23" t="str">
        <f>IF(A392="","",IF(IF(OR(DATE($B$3,12,18)&gt;EOMONTH(DATE($B$3,12,1),0),NETWORKDAYS.INTL(DATE($B$3,12,18),DATE($B$3,12,18),1,'Non-working days'!$A$6:$A$45)=0),"",IF(COUNTIFS('Leave log'!$A$7:$A$306,Employees!$A$17,'Leave log'!$B$7:$B$306,"&lt;="&amp;DATE($B$3,12,18),'Leave log'!$C$7:$C$306,"&gt;="&amp;DATE($B$3,12,18),'Leave log'!$F$7:$F$306,"Approved")&gt;0,"A",""))="A","A",IF(OR(DATE($B$3,12,18)&gt;EOMONTH(DATE($B$3,12,1),0),NETWORKDAYS.INTL(DATE($B$3,12,18),DATE($B$3,12,18),1,'Non-working days'!$A$6:$A$45)=0),"",IF(COUNTIFS('Leave log'!$A$7:$A$306,Employees!$A$17,'Leave log'!$B$7:$B$306,"&lt;="&amp;DATE($B$3,12,18),'Leave log'!$C$7:$C$306,"&gt;="&amp;DATE($B$3,12,18),'Leave log'!$F$7:$F$306,"Pending")&gt;0,"P",""))))</f>
        <v/>
      </c>
      <c r="T392" s="23" t="str">
        <f>IF(A392="","",IF(IF(OR(DATE($B$3,12,19)&gt;EOMONTH(DATE($B$3,12,1),0),NETWORKDAYS.INTL(DATE($B$3,12,19),DATE($B$3,12,19),1,'Non-working days'!$A$6:$A$45)=0),"",IF(COUNTIFS('Leave log'!$A$7:$A$306,Employees!$A$17,'Leave log'!$B$7:$B$306,"&lt;="&amp;DATE($B$3,12,19),'Leave log'!$C$7:$C$306,"&gt;="&amp;DATE($B$3,12,19),'Leave log'!$F$7:$F$306,"Approved")&gt;0,"A",""))="A","A",IF(OR(DATE($B$3,12,19)&gt;EOMONTH(DATE($B$3,12,1),0),NETWORKDAYS.INTL(DATE($B$3,12,19),DATE($B$3,12,19),1,'Non-working days'!$A$6:$A$45)=0),"",IF(COUNTIFS('Leave log'!$A$7:$A$306,Employees!$A$17,'Leave log'!$B$7:$B$306,"&lt;="&amp;DATE($B$3,12,19),'Leave log'!$C$7:$C$306,"&gt;="&amp;DATE($B$3,12,19),'Leave log'!$F$7:$F$306,"Pending")&gt;0,"P",""))))</f>
        <v/>
      </c>
      <c r="U392" s="23" t="str">
        <f>IF(A392="","",IF(IF(OR(DATE($B$3,12,20)&gt;EOMONTH(DATE($B$3,12,1),0),NETWORKDAYS.INTL(DATE($B$3,12,20),DATE($B$3,12,20),1,'Non-working days'!$A$6:$A$45)=0),"",IF(COUNTIFS('Leave log'!$A$7:$A$306,Employees!$A$17,'Leave log'!$B$7:$B$306,"&lt;="&amp;DATE($B$3,12,20),'Leave log'!$C$7:$C$306,"&gt;="&amp;DATE($B$3,12,20),'Leave log'!$F$7:$F$306,"Approved")&gt;0,"A",""))="A","A",IF(OR(DATE($B$3,12,20)&gt;EOMONTH(DATE($B$3,12,1),0),NETWORKDAYS.INTL(DATE($B$3,12,20),DATE($B$3,12,20),1,'Non-working days'!$A$6:$A$45)=0),"",IF(COUNTIFS('Leave log'!$A$7:$A$306,Employees!$A$17,'Leave log'!$B$7:$B$306,"&lt;="&amp;DATE($B$3,12,20),'Leave log'!$C$7:$C$306,"&gt;="&amp;DATE($B$3,12,20),'Leave log'!$F$7:$F$306,"Pending")&gt;0,"P",""))))</f>
        <v/>
      </c>
      <c r="V392" s="23" t="str">
        <f>IF(A392="","",IF(IF(OR(DATE($B$3,12,21)&gt;EOMONTH(DATE($B$3,12,1),0),NETWORKDAYS.INTL(DATE($B$3,12,21),DATE($B$3,12,21),1,'Non-working days'!$A$6:$A$45)=0),"",IF(COUNTIFS('Leave log'!$A$7:$A$306,Employees!$A$17,'Leave log'!$B$7:$B$306,"&lt;="&amp;DATE($B$3,12,21),'Leave log'!$C$7:$C$306,"&gt;="&amp;DATE($B$3,12,21),'Leave log'!$F$7:$F$306,"Approved")&gt;0,"A",""))="A","A",IF(OR(DATE($B$3,12,21)&gt;EOMONTH(DATE($B$3,12,1),0),NETWORKDAYS.INTL(DATE($B$3,12,21),DATE($B$3,12,21),1,'Non-working days'!$A$6:$A$45)=0),"",IF(COUNTIFS('Leave log'!$A$7:$A$306,Employees!$A$17,'Leave log'!$B$7:$B$306,"&lt;="&amp;DATE($B$3,12,21),'Leave log'!$C$7:$C$306,"&gt;="&amp;DATE($B$3,12,21),'Leave log'!$F$7:$F$306,"Pending")&gt;0,"P",""))))</f>
        <v/>
      </c>
      <c r="W392" s="23" t="str">
        <f>IF(A392="","",IF(IF(OR(DATE($B$3,12,22)&gt;EOMONTH(DATE($B$3,12,1),0),NETWORKDAYS.INTL(DATE($B$3,12,22),DATE($B$3,12,22),1,'Non-working days'!$A$6:$A$45)=0),"",IF(COUNTIFS('Leave log'!$A$7:$A$306,Employees!$A$17,'Leave log'!$B$7:$B$306,"&lt;="&amp;DATE($B$3,12,22),'Leave log'!$C$7:$C$306,"&gt;="&amp;DATE($B$3,12,22),'Leave log'!$F$7:$F$306,"Approved")&gt;0,"A",""))="A","A",IF(OR(DATE($B$3,12,22)&gt;EOMONTH(DATE($B$3,12,1),0),NETWORKDAYS.INTL(DATE($B$3,12,22),DATE($B$3,12,22),1,'Non-working days'!$A$6:$A$45)=0),"",IF(COUNTIFS('Leave log'!$A$7:$A$306,Employees!$A$17,'Leave log'!$B$7:$B$306,"&lt;="&amp;DATE($B$3,12,22),'Leave log'!$C$7:$C$306,"&gt;="&amp;DATE($B$3,12,22),'Leave log'!$F$7:$F$306,"Pending")&gt;0,"P",""))))</f>
        <v/>
      </c>
      <c r="X392" s="23" t="str">
        <f>IF(A392="","",IF(IF(OR(DATE($B$3,12,23)&gt;EOMONTH(DATE($B$3,12,1),0),NETWORKDAYS.INTL(DATE($B$3,12,23),DATE($B$3,12,23),1,'Non-working days'!$A$6:$A$45)=0),"",IF(COUNTIFS('Leave log'!$A$7:$A$306,Employees!$A$17,'Leave log'!$B$7:$B$306,"&lt;="&amp;DATE($B$3,12,23),'Leave log'!$C$7:$C$306,"&gt;="&amp;DATE($B$3,12,23),'Leave log'!$F$7:$F$306,"Approved")&gt;0,"A",""))="A","A",IF(OR(DATE($B$3,12,23)&gt;EOMONTH(DATE($B$3,12,1),0),NETWORKDAYS.INTL(DATE($B$3,12,23),DATE($B$3,12,23),1,'Non-working days'!$A$6:$A$45)=0),"",IF(COUNTIFS('Leave log'!$A$7:$A$306,Employees!$A$17,'Leave log'!$B$7:$B$306,"&lt;="&amp;DATE($B$3,12,23),'Leave log'!$C$7:$C$306,"&gt;="&amp;DATE($B$3,12,23),'Leave log'!$F$7:$F$306,"Pending")&gt;0,"P",""))))</f>
        <v/>
      </c>
      <c r="Y392" s="23" t="str">
        <f>IF(A392="","",IF(IF(OR(DATE($B$3,12,24)&gt;EOMONTH(DATE($B$3,12,1),0),NETWORKDAYS.INTL(DATE($B$3,12,24),DATE($B$3,12,24),1,'Non-working days'!$A$6:$A$45)=0),"",IF(COUNTIFS('Leave log'!$A$7:$A$306,Employees!$A$17,'Leave log'!$B$7:$B$306,"&lt;="&amp;DATE($B$3,12,24),'Leave log'!$C$7:$C$306,"&gt;="&amp;DATE($B$3,12,24),'Leave log'!$F$7:$F$306,"Approved")&gt;0,"A",""))="A","A",IF(OR(DATE($B$3,12,24)&gt;EOMONTH(DATE($B$3,12,1),0),NETWORKDAYS.INTL(DATE($B$3,12,24),DATE($B$3,12,24),1,'Non-working days'!$A$6:$A$45)=0),"",IF(COUNTIFS('Leave log'!$A$7:$A$306,Employees!$A$17,'Leave log'!$B$7:$B$306,"&lt;="&amp;DATE($B$3,12,24),'Leave log'!$C$7:$C$306,"&gt;="&amp;DATE($B$3,12,24),'Leave log'!$F$7:$F$306,"Pending")&gt;0,"P",""))))</f>
        <v/>
      </c>
      <c r="Z392" s="23" t="str">
        <f>IF(A392="","",IF(IF(OR(DATE($B$3,12,25)&gt;EOMONTH(DATE($B$3,12,1),0),NETWORKDAYS.INTL(DATE($B$3,12,25),DATE($B$3,12,25),1,'Non-working days'!$A$6:$A$45)=0),"",IF(COUNTIFS('Leave log'!$A$7:$A$306,Employees!$A$17,'Leave log'!$B$7:$B$306,"&lt;="&amp;DATE($B$3,12,25),'Leave log'!$C$7:$C$306,"&gt;="&amp;DATE($B$3,12,25),'Leave log'!$F$7:$F$306,"Approved")&gt;0,"A",""))="A","A",IF(OR(DATE($B$3,12,25)&gt;EOMONTH(DATE($B$3,12,1),0),NETWORKDAYS.INTL(DATE($B$3,12,25),DATE($B$3,12,25),1,'Non-working days'!$A$6:$A$45)=0),"",IF(COUNTIFS('Leave log'!$A$7:$A$306,Employees!$A$17,'Leave log'!$B$7:$B$306,"&lt;="&amp;DATE($B$3,12,25),'Leave log'!$C$7:$C$306,"&gt;="&amp;DATE($B$3,12,25),'Leave log'!$F$7:$F$306,"Pending")&gt;0,"P",""))))</f>
        <v/>
      </c>
      <c r="AA392" s="23" t="str">
        <f>IF(A392="","",IF(IF(OR(DATE($B$3,12,26)&gt;EOMONTH(DATE($B$3,12,1),0),NETWORKDAYS.INTL(DATE($B$3,12,26),DATE($B$3,12,26),1,'Non-working days'!$A$6:$A$45)=0),"",IF(COUNTIFS('Leave log'!$A$7:$A$306,Employees!$A$17,'Leave log'!$B$7:$B$306,"&lt;="&amp;DATE($B$3,12,26),'Leave log'!$C$7:$C$306,"&gt;="&amp;DATE($B$3,12,26),'Leave log'!$F$7:$F$306,"Approved")&gt;0,"A",""))="A","A",IF(OR(DATE($B$3,12,26)&gt;EOMONTH(DATE($B$3,12,1),0),NETWORKDAYS.INTL(DATE($B$3,12,26),DATE($B$3,12,26),1,'Non-working days'!$A$6:$A$45)=0),"",IF(COUNTIFS('Leave log'!$A$7:$A$306,Employees!$A$17,'Leave log'!$B$7:$B$306,"&lt;="&amp;DATE($B$3,12,26),'Leave log'!$C$7:$C$306,"&gt;="&amp;DATE($B$3,12,26),'Leave log'!$F$7:$F$306,"Pending")&gt;0,"P",""))))</f>
        <v/>
      </c>
      <c r="AB392" s="23" t="str">
        <f>IF(A392="","",IF(IF(OR(DATE($B$3,12,27)&gt;EOMONTH(DATE($B$3,12,1),0),NETWORKDAYS.INTL(DATE($B$3,12,27),DATE($B$3,12,27),1,'Non-working days'!$A$6:$A$45)=0),"",IF(COUNTIFS('Leave log'!$A$7:$A$306,Employees!$A$17,'Leave log'!$B$7:$B$306,"&lt;="&amp;DATE($B$3,12,27),'Leave log'!$C$7:$C$306,"&gt;="&amp;DATE($B$3,12,27),'Leave log'!$F$7:$F$306,"Approved")&gt;0,"A",""))="A","A",IF(OR(DATE($B$3,12,27)&gt;EOMONTH(DATE($B$3,12,1),0),NETWORKDAYS.INTL(DATE($B$3,12,27),DATE($B$3,12,27),1,'Non-working days'!$A$6:$A$45)=0),"",IF(COUNTIFS('Leave log'!$A$7:$A$306,Employees!$A$17,'Leave log'!$B$7:$B$306,"&lt;="&amp;DATE($B$3,12,27),'Leave log'!$C$7:$C$306,"&gt;="&amp;DATE($B$3,12,27),'Leave log'!$F$7:$F$306,"Pending")&gt;0,"P",""))))</f>
        <v/>
      </c>
      <c r="AC392" s="23" t="str">
        <f>IF(A392="","",IF(IF(OR(DATE($B$3,12,28)&gt;EOMONTH(DATE($B$3,12,1),0),NETWORKDAYS.INTL(DATE($B$3,12,28),DATE($B$3,12,28),1,'Non-working days'!$A$6:$A$45)=0),"",IF(COUNTIFS('Leave log'!$A$7:$A$306,Employees!$A$17,'Leave log'!$B$7:$B$306,"&lt;="&amp;DATE($B$3,12,28),'Leave log'!$C$7:$C$306,"&gt;="&amp;DATE($B$3,12,28),'Leave log'!$F$7:$F$306,"Approved")&gt;0,"A",""))="A","A",IF(OR(DATE($B$3,12,28)&gt;EOMONTH(DATE($B$3,12,1),0),NETWORKDAYS.INTL(DATE($B$3,12,28),DATE($B$3,12,28),1,'Non-working days'!$A$6:$A$45)=0),"",IF(COUNTIFS('Leave log'!$A$7:$A$306,Employees!$A$17,'Leave log'!$B$7:$B$306,"&lt;="&amp;DATE($B$3,12,28),'Leave log'!$C$7:$C$306,"&gt;="&amp;DATE($B$3,12,28),'Leave log'!$F$7:$F$306,"Pending")&gt;0,"P",""))))</f>
        <v/>
      </c>
      <c r="AD392" s="23" t="str">
        <f>IF(A392="","",IF(IF(OR(DATE($B$3,12,29)&gt;EOMONTH(DATE($B$3,12,1),0),NETWORKDAYS.INTL(DATE($B$3,12,29),DATE($B$3,12,29),1,'Non-working days'!$A$6:$A$45)=0),"",IF(COUNTIFS('Leave log'!$A$7:$A$306,Employees!$A$17,'Leave log'!$B$7:$B$306,"&lt;="&amp;DATE($B$3,12,29),'Leave log'!$C$7:$C$306,"&gt;="&amp;DATE($B$3,12,29),'Leave log'!$F$7:$F$306,"Approved")&gt;0,"A",""))="A","A",IF(OR(DATE($B$3,12,29)&gt;EOMONTH(DATE($B$3,12,1),0),NETWORKDAYS.INTL(DATE($B$3,12,29),DATE($B$3,12,29),1,'Non-working days'!$A$6:$A$45)=0),"",IF(COUNTIFS('Leave log'!$A$7:$A$306,Employees!$A$17,'Leave log'!$B$7:$B$306,"&lt;="&amp;DATE($B$3,12,29),'Leave log'!$C$7:$C$306,"&gt;="&amp;DATE($B$3,12,29),'Leave log'!$F$7:$F$306,"Pending")&gt;0,"P",""))))</f>
        <v/>
      </c>
      <c r="AE392" s="23" t="str">
        <f>IF(A392="","",IF(IF(OR(DATE($B$3,12,30)&gt;EOMONTH(DATE($B$3,12,1),0),NETWORKDAYS.INTL(DATE($B$3,12,30),DATE($B$3,12,30),1,'Non-working days'!$A$6:$A$45)=0),"",IF(COUNTIFS('Leave log'!$A$7:$A$306,Employees!$A$17,'Leave log'!$B$7:$B$306,"&lt;="&amp;DATE($B$3,12,30),'Leave log'!$C$7:$C$306,"&gt;="&amp;DATE($B$3,12,30),'Leave log'!$F$7:$F$306,"Approved")&gt;0,"A",""))="A","A",IF(OR(DATE($B$3,12,30)&gt;EOMONTH(DATE($B$3,12,1),0),NETWORKDAYS.INTL(DATE($B$3,12,30),DATE($B$3,12,30),1,'Non-working days'!$A$6:$A$45)=0),"",IF(COUNTIFS('Leave log'!$A$7:$A$306,Employees!$A$17,'Leave log'!$B$7:$B$306,"&lt;="&amp;DATE($B$3,12,30),'Leave log'!$C$7:$C$306,"&gt;="&amp;DATE($B$3,12,30),'Leave log'!$F$7:$F$306,"Pending")&gt;0,"P",""))))</f>
        <v/>
      </c>
      <c r="AF392" s="23" t="str">
        <f>IF(A392="","",IF(IF(OR(DATE($B$3,12,31)&gt;EOMONTH(DATE($B$3,12,1),0),NETWORKDAYS.INTL(DATE($B$3,12,31),DATE($B$3,12,31),1,'Non-working days'!$A$6:$A$45)=0),"",IF(COUNTIFS('Leave log'!$A$7:$A$306,Employees!$A$17,'Leave log'!$B$7:$B$306,"&lt;="&amp;DATE($B$3,12,31),'Leave log'!$C$7:$C$306,"&gt;="&amp;DATE($B$3,12,31),'Leave log'!$F$7:$F$306,"Approved")&gt;0,"A",""))="A","A",IF(OR(DATE($B$3,12,31)&gt;EOMONTH(DATE($B$3,12,1),0),NETWORKDAYS.INTL(DATE($B$3,12,31),DATE($B$3,12,31),1,'Non-working days'!$A$6:$A$45)=0),"",IF(COUNTIFS('Leave log'!$A$7:$A$306,Employees!$A$17,'Leave log'!$B$7:$B$306,"&lt;="&amp;DATE($B$3,12,31),'Leave log'!$C$7:$C$306,"&gt;="&amp;DATE($B$3,12,31),'Leave log'!$F$7:$F$306,"Pending")&gt;0,"P",""))))</f>
        <v/>
      </c>
    </row>
    <row r="393" spans="1:32" ht="18" customHeight="1" x14ac:dyDescent="0.3">
      <c r="A393" s="22" t="str">
        <f>IF(Employees!F18="Yes",Employees!B18,"")</f>
        <v/>
      </c>
      <c r="B393" s="23" t="str">
        <f>IF(A393="","",IF(IF(OR(DATE($B$3,12,1)&gt;EOMONTH(DATE($B$3,12,1),0),NETWORKDAYS.INTL(DATE($B$3,12,1),DATE($B$3,12,1),1,'Non-working days'!$A$6:$A$45)=0),"",IF(COUNTIFS('Leave log'!$A$7:$A$306,Employees!$A$18,'Leave log'!$B$7:$B$306,"&lt;="&amp;DATE($B$3,12,1),'Leave log'!$C$7:$C$306,"&gt;="&amp;DATE($B$3,12,1),'Leave log'!$F$7:$F$306,"Approved")&gt;0,"A",""))="A","A",IF(OR(DATE($B$3,12,1)&gt;EOMONTH(DATE($B$3,12,1),0),NETWORKDAYS.INTL(DATE($B$3,12,1),DATE($B$3,12,1),1,'Non-working days'!$A$6:$A$45)=0),"",IF(COUNTIFS('Leave log'!$A$7:$A$306,Employees!$A$18,'Leave log'!$B$7:$B$306,"&lt;="&amp;DATE($B$3,12,1),'Leave log'!$C$7:$C$306,"&gt;="&amp;DATE($B$3,12,1),'Leave log'!$F$7:$F$306,"Pending")&gt;0,"P",""))))</f>
        <v/>
      </c>
      <c r="C393" s="23" t="str">
        <f>IF(A393="","",IF(IF(OR(DATE($B$3,12,2)&gt;EOMONTH(DATE($B$3,12,1),0),NETWORKDAYS.INTL(DATE($B$3,12,2),DATE($B$3,12,2),1,'Non-working days'!$A$6:$A$45)=0),"",IF(COUNTIFS('Leave log'!$A$7:$A$306,Employees!$A$18,'Leave log'!$B$7:$B$306,"&lt;="&amp;DATE($B$3,12,2),'Leave log'!$C$7:$C$306,"&gt;="&amp;DATE($B$3,12,2),'Leave log'!$F$7:$F$306,"Approved")&gt;0,"A",""))="A","A",IF(OR(DATE($B$3,12,2)&gt;EOMONTH(DATE($B$3,12,1),0),NETWORKDAYS.INTL(DATE($B$3,12,2),DATE($B$3,12,2),1,'Non-working days'!$A$6:$A$45)=0),"",IF(COUNTIFS('Leave log'!$A$7:$A$306,Employees!$A$18,'Leave log'!$B$7:$B$306,"&lt;="&amp;DATE($B$3,12,2),'Leave log'!$C$7:$C$306,"&gt;="&amp;DATE($B$3,12,2),'Leave log'!$F$7:$F$306,"Pending")&gt;0,"P",""))))</f>
        <v/>
      </c>
      <c r="D393" s="23" t="str">
        <f>IF(A393="","",IF(IF(OR(DATE($B$3,12,3)&gt;EOMONTH(DATE($B$3,12,1),0),NETWORKDAYS.INTL(DATE($B$3,12,3),DATE($B$3,12,3),1,'Non-working days'!$A$6:$A$45)=0),"",IF(COUNTIFS('Leave log'!$A$7:$A$306,Employees!$A$18,'Leave log'!$B$7:$B$306,"&lt;="&amp;DATE($B$3,12,3),'Leave log'!$C$7:$C$306,"&gt;="&amp;DATE($B$3,12,3),'Leave log'!$F$7:$F$306,"Approved")&gt;0,"A",""))="A","A",IF(OR(DATE($B$3,12,3)&gt;EOMONTH(DATE($B$3,12,1),0),NETWORKDAYS.INTL(DATE($B$3,12,3),DATE($B$3,12,3),1,'Non-working days'!$A$6:$A$45)=0),"",IF(COUNTIFS('Leave log'!$A$7:$A$306,Employees!$A$18,'Leave log'!$B$7:$B$306,"&lt;="&amp;DATE($B$3,12,3),'Leave log'!$C$7:$C$306,"&gt;="&amp;DATE($B$3,12,3),'Leave log'!$F$7:$F$306,"Pending")&gt;0,"P",""))))</f>
        <v/>
      </c>
      <c r="E393" s="23" t="str">
        <f>IF(A393="","",IF(IF(OR(DATE($B$3,12,4)&gt;EOMONTH(DATE($B$3,12,1),0),NETWORKDAYS.INTL(DATE($B$3,12,4),DATE($B$3,12,4),1,'Non-working days'!$A$6:$A$45)=0),"",IF(COUNTIFS('Leave log'!$A$7:$A$306,Employees!$A$18,'Leave log'!$B$7:$B$306,"&lt;="&amp;DATE($B$3,12,4),'Leave log'!$C$7:$C$306,"&gt;="&amp;DATE($B$3,12,4),'Leave log'!$F$7:$F$306,"Approved")&gt;0,"A",""))="A","A",IF(OR(DATE($B$3,12,4)&gt;EOMONTH(DATE($B$3,12,1),0),NETWORKDAYS.INTL(DATE($B$3,12,4),DATE($B$3,12,4),1,'Non-working days'!$A$6:$A$45)=0),"",IF(COUNTIFS('Leave log'!$A$7:$A$306,Employees!$A$18,'Leave log'!$B$7:$B$306,"&lt;="&amp;DATE($B$3,12,4),'Leave log'!$C$7:$C$306,"&gt;="&amp;DATE($B$3,12,4),'Leave log'!$F$7:$F$306,"Pending")&gt;0,"P",""))))</f>
        <v/>
      </c>
      <c r="F393" s="23" t="str">
        <f>IF(A393="","",IF(IF(OR(DATE($B$3,12,5)&gt;EOMONTH(DATE($B$3,12,1),0),NETWORKDAYS.INTL(DATE($B$3,12,5),DATE($B$3,12,5),1,'Non-working days'!$A$6:$A$45)=0),"",IF(COUNTIFS('Leave log'!$A$7:$A$306,Employees!$A$18,'Leave log'!$B$7:$B$306,"&lt;="&amp;DATE($B$3,12,5),'Leave log'!$C$7:$C$306,"&gt;="&amp;DATE($B$3,12,5),'Leave log'!$F$7:$F$306,"Approved")&gt;0,"A",""))="A","A",IF(OR(DATE($B$3,12,5)&gt;EOMONTH(DATE($B$3,12,1),0),NETWORKDAYS.INTL(DATE($B$3,12,5),DATE($B$3,12,5),1,'Non-working days'!$A$6:$A$45)=0),"",IF(COUNTIFS('Leave log'!$A$7:$A$306,Employees!$A$18,'Leave log'!$B$7:$B$306,"&lt;="&amp;DATE($B$3,12,5),'Leave log'!$C$7:$C$306,"&gt;="&amp;DATE($B$3,12,5),'Leave log'!$F$7:$F$306,"Pending")&gt;0,"P",""))))</f>
        <v/>
      </c>
      <c r="G393" s="23" t="str">
        <f>IF(A393="","",IF(IF(OR(DATE($B$3,12,6)&gt;EOMONTH(DATE($B$3,12,1),0),NETWORKDAYS.INTL(DATE($B$3,12,6),DATE($B$3,12,6),1,'Non-working days'!$A$6:$A$45)=0),"",IF(COUNTIFS('Leave log'!$A$7:$A$306,Employees!$A$18,'Leave log'!$B$7:$B$306,"&lt;="&amp;DATE($B$3,12,6),'Leave log'!$C$7:$C$306,"&gt;="&amp;DATE($B$3,12,6),'Leave log'!$F$7:$F$306,"Approved")&gt;0,"A",""))="A","A",IF(OR(DATE($B$3,12,6)&gt;EOMONTH(DATE($B$3,12,1),0),NETWORKDAYS.INTL(DATE($B$3,12,6),DATE($B$3,12,6),1,'Non-working days'!$A$6:$A$45)=0),"",IF(COUNTIFS('Leave log'!$A$7:$A$306,Employees!$A$18,'Leave log'!$B$7:$B$306,"&lt;="&amp;DATE($B$3,12,6),'Leave log'!$C$7:$C$306,"&gt;="&amp;DATE($B$3,12,6),'Leave log'!$F$7:$F$306,"Pending")&gt;0,"P",""))))</f>
        <v/>
      </c>
      <c r="H393" s="23" t="str">
        <f>IF(A393="","",IF(IF(OR(DATE($B$3,12,7)&gt;EOMONTH(DATE($B$3,12,1),0),NETWORKDAYS.INTL(DATE($B$3,12,7),DATE($B$3,12,7),1,'Non-working days'!$A$6:$A$45)=0),"",IF(COUNTIFS('Leave log'!$A$7:$A$306,Employees!$A$18,'Leave log'!$B$7:$B$306,"&lt;="&amp;DATE($B$3,12,7),'Leave log'!$C$7:$C$306,"&gt;="&amp;DATE($B$3,12,7),'Leave log'!$F$7:$F$306,"Approved")&gt;0,"A",""))="A","A",IF(OR(DATE($B$3,12,7)&gt;EOMONTH(DATE($B$3,12,1),0),NETWORKDAYS.INTL(DATE($B$3,12,7),DATE($B$3,12,7),1,'Non-working days'!$A$6:$A$45)=0),"",IF(COUNTIFS('Leave log'!$A$7:$A$306,Employees!$A$18,'Leave log'!$B$7:$B$306,"&lt;="&amp;DATE($B$3,12,7),'Leave log'!$C$7:$C$306,"&gt;="&amp;DATE($B$3,12,7),'Leave log'!$F$7:$F$306,"Pending")&gt;0,"P",""))))</f>
        <v/>
      </c>
      <c r="I393" s="23" t="str">
        <f>IF(A393="","",IF(IF(OR(DATE($B$3,12,8)&gt;EOMONTH(DATE($B$3,12,1),0),NETWORKDAYS.INTL(DATE($B$3,12,8),DATE($B$3,12,8),1,'Non-working days'!$A$6:$A$45)=0),"",IF(COUNTIFS('Leave log'!$A$7:$A$306,Employees!$A$18,'Leave log'!$B$7:$B$306,"&lt;="&amp;DATE($B$3,12,8),'Leave log'!$C$7:$C$306,"&gt;="&amp;DATE($B$3,12,8),'Leave log'!$F$7:$F$306,"Approved")&gt;0,"A",""))="A","A",IF(OR(DATE($B$3,12,8)&gt;EOMONTH(DATE($B$3,12,1),0),NETWORKDAYS.INTL(DATE($B$3,12,8),DATE($B$3,12,8),1,'Non-working days'!$A$6:$A$45)=0),"",IF(COUNTIFS('Leave log'!$A$7:$A$306,Employees!$A$18,'Leave log'!$B$7:$B$306,"&lt;="&amp;DATE($B$3,12,8),'Leave log'!$C$7:$C$306,"&gt;="&amp;DATE($B$3,12,8),'Leave log'!$F$7:$F$306,"Pending")&gt;0,"P",""))))</f>
        <v/>
      </c>
      <c r="J393" s="23" t="str">
        <f>IF(A393="","",IF(IF(OR(DATE($B$3,12,9)&gt;EOMONTH(DATE($B$3,12,1),0),NETWORKDAYS.INTL(DATE($B$3,12,9),DATE($B$3,12,9),1,'Non-working days'!$A$6:$A$45)=0),"",IF(COUNTIFS('Leave log'!$A$7:$A$306,Employees!$A$18,'Leave log'!$B$7:$B$306,"&lt;="&amp;DATE($B$3,12,9),'Leave log'!$C$7:$C$306,"&gt;="&amp;DATE($B$3,12,9),'Leave log'!$F$7:$F$306,"Approved")&gt;0,"A",""))="A","A",IF(OR(DATE($B$3,12,9)&gt;EOMONTH(DATE($B$3,12,1),0),NETWORKDAYS.INTL(DATE($B$3,12,9),DATE($B$3,12,9),1,'Non-working days'!$A$6:$A$45)=0),"",IF(COUNTIFS('Leave log'!$A$7:$A$306,Employees!$A$18,'Leave log'!$B$7:$B$306,"&lt;="&amp;DATE($B$3,12,9),'Leave log'!$C$7:$C$306,"&gt;="&amp;DATE($B$3,12,9),'Leave log'!$F$7:$F$306,"Pending")&gt;0,"P",""))))</f>
        <v/>
      </c>
      <c r="K393" s="23" t="str">
        <f>IF(A393="","",IF(IF(OR(DATE($B$3,12,10)&gt;EOMONTH(DATE($B$3,12,1),0),NETWORKDAYS.INTL(DATE($B$3,12,10),DATE($B$3,12,10),1,'Non-working days'!$A$6:$A$45)=0),"",IF(COUNTIFS('Leave log'!$A$7:$A$306,Employees!$A$18,'Leave log'!$B$7:$B$306,"&lt;="&amp;DATE($B$3,12,10),'Leave log'!$C$7:$C$306,"&gt;="&amp;DATE($B$3,12,10),'Leave log'!$F$7:$F$306,"Approved")&gt;0,"A",""))="A","A",IF(OR(DATE($B$3,12,10)&gt;EOMONTH(DATE($B$3,12,1),0),NETWORKDAYS.INTL(DATE($B$3,12,10),DATE($B$3,12,10),1,'Non-working days'!$A$6:$A$45)=0),"",IF(COUNTIFS('Leave log'!$A$7:$A$306,Employees!$A$18,'Leave log'!$B$7:$B$306,"&lt;="&amp;DATE($B$3,12,10),'Leave log'!$C$7:$C$306,"&gt;="&amp;DATE($B$3,12,10),'Leave log'!$F$7:$F$306,"Pending")&gt;0,"P",""))))</f>
        <v/>
      </c>
      <c r="L393" s="23" t="str">
        <f>IF(A393="","",IF(IF(OR(DATE($B$3,12,11)&gt;EOMONTH(DATE($B$3,12,1),0),NETWORKDAYS.INTL(DATE($B$3,12,11),DATE($B$3,12,11),1,'Non-working days'!$A$6:$A$45)=0),"",IF(COUNTIFS('Leave log'!$A$7:$A$306,Employees!$A$18,'Leave log'!$B$7:$B$306,"&lt;="&amp;DATE($B$3,12,11),'Leave log'!$C$7:$C$306,"&gt;="&amp;DATE($B$3,12,11),'Leave log'!$F$7:$F$306,"Approved")&gt;0,"A",""))="A","A",IF(OR(DATE($B$3,12,11)&gt;EOMONTH(DATE($B$3,12,1),0),NETWORKDAYS.INTL(DATE($B$3,12,11),DATE($B$3,12,11),1,'Non-working days'!$A$6:$A$45)=0),"",IF(COUNTIFS('Leave log'!$A$7:$A$306,Employees!$A$18,'Leave log'!$B$7:$B$306,"&lt;="&amp;DATE($B$3,12,11),'Leave log'!$C$7:$C$306,"&gt;="&amp;DATE($B$3,12,11),'Leave log'!$F$7:$F$306,"Pending")&gt;0,"P",""))))</f>
        <v/>
      </c>
      <c r="M393" s="23" t="str">
        <f>IF(A393="","",IF(IF(OR(DATE($B$3,12,12)&gt;EOMONTH(DATE($B$3,12,1),0),NETWORKDAYS.INTL(DATE($B$3,12,12),DATE($B$3,12,12),1,'Non-working days'!$A$6:$A$45)=0),"",IF(COUNTIFS('Leave log'!$A$7:$A$306,Employees!$A$18,'Leave log'!$B$7:$B$306,"&lt;="&amp;DATE($B$3,12,12),'Leave log'!$C$7:$C$306,"&gt;="&amp;DATE($B$3,12,12),'Leave log'!$F$7:$F$306,"Approved")&gt;0,"A",""))="A","A",IF(OR(DATE($B$3,12,12)&gt;EOMONTH(DATE($B$3,12,1),0),NETWORKDAYS.INTL(DATE($B$3,12,12),DATE($B$3,12,12),1,'Non-working days'!$A$6:$A$45)=0),"",IF(COUNTIFS('Leave log'!$A$7:$A$306,Employees!$A$18,'Leave log'!$B$7:$B$306,"&lt;="&amp;DATE($B$3,12,12),'Leave log'!$C$7:$C$306,"&gt;="&amp;DATE($B$3,12,12),'Leave log'!$F$7:$F$306,"Pending")&gt;0,"P",""))))</f>
        <v/>
      </c>
      <c r="N393" s="23" t="str">
        <f>IF(A393="","",IF(IF(OR(DATE($B$3,12,13)&gt;EOMONTH(DATE($B$3,12,1),0),NETWORKDAYS.INTL(DATE($B$3,12,13),DATE($B$3,12,13),1,'Non-working days'!$A$6:$A$45)=0),"",IF(COUNTIFS('Leave log'!$A$7:$A$306,Employees!$A$18,'Leave log'!$B$7:$B$306,"&lt;="&amp;DATE($B$3,12,13),'Leave log'!$C$7:$C$306,"&gt;="&amp;DATE($B$3,12,13),'Leave log'!$F$7:$F$306,"Approved")&gt;0,"A",""))="A","A",IF(OR(DATE($B$3,12,13)&gt;EOMONTH(DATE($B$3,12,1),0),NETWORKDAYS.INTL(DATE($B$3,12,13),DATE($B$3,12,13),1,'Non-working days'!$A$6:$A$45)=0),"",IF(COUNTIFS('Leave log'!$A$7:$A$306,Employees!$A$18,'Leave log'!$B$7:$B$306,"&lt;="&amp;DATE($B$3,12,13),'Leave log'!$C$7:$C$306,"&gt;="&amp;DATE($B$3,12,13),'Leave log'!$F$7:$F$306,"Pending")&gt;0,"P",""))))</f>
        <v/>
      </c>
      <c r="O393" s="23" t="str">
        <f>IF(A393="","",IF(IF(OR(DATE($B$3,12,14)&gt;EOMONTH(DATE($B$3,12,1),0),NETWORKDAYS.INTL(DATE($B$3,12,14),DATE($B$3,12,14),1,'Non-working days'!$A$6:$A$45)=0),"",IF(COUNTIFS('Leave log'!$A$7:$A$306,Employees!$A$18,'Leave log'!$B$7:$B$306,"&lt;="&amp;DATE($B$3,12,14),'Leave log'!$C$7:$C$306,"&gt;="&amp;DATE($B$3,12,14),'Leave log'!$F$7:$F$306,"Approved")&gt;0,"A",""))="A","A",IF(OR(DATE($B$3,12,14)&gt;EOMONTH(DATE($B$3,12,1),0),NETWORKDAYS.INTL(DATE($B$3,12,14),DATE($B$3,12,14),1,'Non-working days'!$A$6:$A$45)=0),"",IF(COUNTIFS('Leave log'!$A$7:$A$306,Employees!$A$18,'Leave log'!$B$7:$B$306,"&lt;="&amp;DATE($B$3,12,14),'Leave log'!$C$7:$C$306,"&gt;="&amp;DATE($B$3,12,14),'Leave log'!$F$7:$F$306,"Pending")&gt;0,"P",""))))</f>
        <v/>
      </c>
      <c r="P393" s="23" t="str">
        <f>IF(A393="","",IF(IF(OR(DATE($B$3,12,15)&gt;EOMONTH(DATE($B$3,12,1),0),NETWORKDAYS.INTL(DATE($B$3,12,15),DATE($B$3,12,15),1,'Non-working days'!$A$6:$A$45)=0),"",IF(COUNTIFS('Leave log'!$A$7:$A$306,Employees!$A$18,'Leave log'!$B$7:$B$306,"&lt;="&amp;DATE($B$3,12,15),'Leave log'!$C$7:$C$306,"&gt;="&amp;DATE($B$3,12,15),'Leave log'!$F$7:$F$306,"Approved")&gt;0,"A",""))="A","A",IF(OR(DATE($B$3,12,15)&gt;EOMONTH(DATE($B$3,12,1),0),NETWORKDAYS.INTL(DATE($B$3,12,15),DATE($B$3,12,15),1,'Non-working days'!$A$6:$A$45)=0),"",IF(COUNTIFS('Leave log'!$A$7:$A$306,Employees!$A$18,'Leave log'!$B$7:$B$306,"&lt;="&amp;DATE($B$3,12,15),'Leave log'!$C$7:$C$306,"&gt;="&amp;DATE($B$3,12,15),'Leave log'!$F$7:$F$306,"Pending")&gt;0,"P",""))))</f>
        <v/>
      </c>
      <c r="Q393" s="23" t="str">
        <f>IF(A393="","",IF(IF(OR(DATE($B$3,12,16)&gt;EOMONTH(DATE($B$3,12,1),0),NETWORKDAYS.INTL(DATE($B$3,12,16),DATE($B$3,12,16),1,'Non-working days'!$A$6:$A$45)=0),"",IF(COUNTIFS('Leave log'!$A$7:$A$306,Employees!$A$18,'Leave log'!$B$7:$B$306,"&lt;="&amp;DATE($B$3,12,16),'Leave log'!$C$7:$C$306,"&gt;="&amp;DATE($B$3,12,16),'Leave log'!$F$7:$F$306,"Approved")&gt;0,"A",""))="A","A",IF(OR(DATE($B$3,12,16)&gt;EOMONTH(DATE($B$3,12,1),0),NETWORKDAYS.INTL(DATE($B$3,12,16),DATE($B$3,12,16),1,'Non-working days'!$A$6:$A$45)=0),"",IF(COUNTIFS('Leave log'!$A$7:$A$306,Employees!$A$18,'Leave log'!$B$7:$B$306,"&lt;="&amp;DATE($B$3,12,16),'Leave log'!$C$7:$C$306,"&gt;="&amp;DATE($B$3,12,16),'Leave log'!$F$7:$F$306,"Pending")&gt;0,"P",""))))</f>
        <v/>
      </c>
      <c r="R393" s="23" t="str">
        <f>IF(A393="","",IF(IF(OR(DATE($B$3,12,17)&gt;EOMONTH(DATE($B$3,12,1),0),NETWORKDAYS.INTL(DATE($B$3,12,17),DATE($B$3,12,17),1,'Non-working days'!$A$6:$A$45)=0),"",IF(COUNTIFS('Leave log'!$A$7:$A$306,Employees!$A$18,'Leave log'!$B$7:$B$306,"&lt;="&amp;DATE($B$3,12,17),'Leave log'!$C$7:$C$306,"&gt;="&amp;DATE($B$3,12,17),'Leave log'!$F$7:$F$306,"Approved")&gt;0,"A",""))="A","A",IF(OR(DATE($B$3,12,17)&gt;EOMONTH(DATE($B$3,12,1),0),NETWORKDAYS.INTL(DATE($B$3,12,17),DATE($B$3,12,17),1,'Non-working days'!$A$6:$A$45)=0),"",IF(COUNTIFS('Leave log'!$A$7:$A$306,Employees!$A$18,'Leave log'!$B$7:$B$306,"&lt;="&amp;DATE($B$3,12,17),'Leave log'!$C$7:$C$306,"&gt;="&amp;DATE($B$3,12,17),'Leave log'!$F$7:$F$306,"Pending")&gt;0,"P",""))))</f>
        <v/>
      </c>
      <c r="S393" s="23" t="str">
        <f>IF(A393="","",IF(IF(OR(DATE($B$3,12,18)&gt;EOMONTH(DATE($B$3,12,1),0),NETWORKDAYS.INTL(DATE($B$3,12,18),DATE($B$3,12,18),1,'Non-working days'!$A$6:$A$45)=0),"",IF(COUNTIFS('Leave log'!$A$7:$A$306,Employees!$A$18,'Leave log'!$B$7:$B$306,"&lt;="&amp;DATE($B$3,12,18),'Leave log'!$C$7:$C$306,"&gt;="&amp;DATE($B$3,12,18),'Leave log'!$F$7:$F$306,"Approved")&gt;0,"A",""))="A","A",IF(OR(DATE($B$3,12,18)&gt;EOMONTH(DATE($B$3,12,1),0),NETWORKDAYS.INTL(DATE($B$3,12,18),DATE($B$3,12,18),1,'Non-working days'!$A$6:$A$45)=0),"",IF(COUNTIFS('Leave log'!$A$7:$A$306,Employees!$A$18,'Leave log'!$B$7:$B$306,"&lt;="&amp;DATE($B$3,12,18),'Leave log'!$C$7:$C$306,"&gt;="&amp;DATE($B$3,12,18),'Leave log'!$F$7:$F$306,"Pending")&gt;0,"P",""))))</f>
        <v/>
      </c>
      <c r="T393" s="23" t="str">
        <f>IF(A393="","",IF(IF(OR(DATE($B$3,12,19)&gt;EOMONTH(DATE($B$3,12,1),0),NETWORKDAYS.INTL(DATE($B$3,12,19),DATE($B$3,12,19),1,'Non-working days'!$A$6:$A$45)=0),"",IF(COUNTIFS('Leave log'!$A$7:$A$306,Employees!$A$18,'Leave log'!$B$7:$B$306,"&lt;="&amp;DATE($B$3,12,19),'Leave log'!$C$7:$C$306,"&gt;="&amp;DATE($B$3,12,19),'Leave log'!$F$7:$F$306,"Approved")&gt;0,"A",""))="A","A",IF(OR(DATE($B$3,12,19)&gt;EOMONTH(DATE($B$3,12,1),0),NETWORKDAYS.INTL(DATE($B$3,12,19),DATE($B$3,12,19),1,'Non-working days'!$A$6:$A$45)=0),"",IF(COUNTIFS('Leave log'!$A$7:$A$306,Employees!$A$18,'Leave log'!$B$7:$B$306,"&lt;="&amp;DATE($B$3,12,19),'Leave log'!$C$7:$C$306,"&gt;="&amp;DATE($B$3,12,19),'Leave log'!$F$7:$F$306,"Pending")&gt;0,"P",""))))</f>
        <v/>
      </c>
      <c r="U393" s="23" t="str">
        <f>IF(A393="","",IF(IF(OR(DATE($B$3,12,20)&gt;EOMONTH(DATE($B$3,12,1),0),NETWORKDAYS.INTL(DATE($B$3,12,20),DATE($B$3,12,20),1,'Non-working days'!$A$6:$A$45)=0),"",IF(COUNTIFS('Leave log'!$A$7:$A$306,Employees!$A$18,'Leave log'!$B$7:$B$306,"&lt;="&amp;DATE($B$3,12,20),'Leave log'!$C$7:$C$306,"&gt;="&amp;DATE($B$3,12,20),'Leave log'!$F$7:$F$306,"Approved")&gt;0,"A",""))="A","A",IF(OR(DATE($B$3,12,20)&gt;EOMONTH(DATE($B$3,12,1),0),NETWORKDAYS.INTL(DATE($B$3,12,20),DATE($B$3,12,20),1,'Non-working days'!$A$6:$A$45)=0),"",IF(COUNTIFS('Leave log'!$A$7:$A$306,Employees!$A$18,'Leave log'!$B$7:$B$306,"&lt;="&amp;DATE($B$3,12,20),'Leave log'!$C$7:$C$306,"&gt;="&amp;DATE($B$3,12,20),'Leave log'!$F$7:$F$306,"Pending")&gt;0,"P",""))))</f>
        <v/>
      </c>
      <c r="V393" s="23" t="str">
        <f>IF(A393="","",IF(IF(OR(DATE($B$3,12,21)&gt;EOMONTH(DATE($B$3,12,1),0),NETWORKDAYS.INTL(DATE($B$3,12,21),DATE($B$3,12,21),1,'Non-working days'!$A$6:$A$45)=0),"",IF(COUNTIFS('Leave log'!$A$7:$A$306,Employees!$A$18,'Leave log'!$B$7:$B$306,"&lt;="&amp;DATE($B$3,12,21),'Leave log'!$C$7:$C$306,"&gt;="&amp;DATE($B$3,12,21),'Leave log'!$F$7:$F$306,"Approved")&gt;0,"A",""))="A","A",IF(OR(DATE($B$3,12,21)&gt;EOMONTH(DATE($B$3,12,1),0),NETWORKDAYS.INTL(DATE($B$3,12,21),DATE($B$3,12,21),1,'Non-working days'!$A$6:$A$45)=0),"",IF(COUNTIFS('Leave log'!$A$7:$A$306,Employees!$A$18,'Leave log'!$B$7:$B$306,"&lt;="&amp;DATE($B$3,12,21),'Leave log'!$C$7:$C$306,"&gt;="&amp;DATE($B$3,12,21),'Leave log'!$F$7:$F$306,"Pending")&gt;0,"P",""))))</f>
        <v/>
      </c>
      <c r="W393" s="23" t="str">
        <f>IF(A393="","",IF(IF(OR(DATE($B$3,12,22)&gt;EOMONTH(DATE($B$3,12,1),0),NETWORKDAYS.INTL(DATE($B$3,12,22),DATE($B$3,12,22),1,'Non-working days'!$A$6:$A$45)=0),"",IF(COUNTIFS('Leave log'!$A$7:$A$306,Employees!$A$18,'Leave log'!$B$7:$B$306,"&lt;="&amp;DATE($B$3,12,22),'Leave log'!$C$7:$C$306,"&gt;="&amp;DATE($B$3,12,22),'Leave log'!$F$7:$F$306,"Approved")&gt;0,"A",""))="A","A",IF(OR(DATE($B$3,12,22)&gt;EOMONTH(DATE($B$3,12,1),0),NETWORKDAYS.INTL(DATE($B$3,12,22),DATE($B$3,12,22),1,'Non-working days'!$A$6:$A$45)=0),"",IF(COUNTIFS('Leave log'!$A$7:$A$306,Employees!$A$18,'Leave log'!$B$7:$B$306,"&lt;="&amp;DATE($B$3,12,22),'Leave log'!$C$7:$C$306,"&gt;="&amp;DATE($B$3,12,22),'Leave log'!$F$7:$F$306,"Pending")&gt;0,"P",""))))</f>
        <v/>
      </c>
      <c r="X393" s="23" t="str">
        <f>IF(A393="","",IF(IF(OR(DATE($B$3,12,23)&gt;EOMONTH(DATE($B$3,12,1),0),NETWORKDAYS.INTL(DATE($B$3,12,23),DATE($B$3,12,23),1,'Non-working days'!$A$6:$A$45)=0),"",IF(COUNTIFS('Leave log'!$A$7:$A$306,Employees!$A$18,'Leave log'!$B$7:$B$306,"&lt;="&amp;DATE($B$3,12,23),'Leave log'!$C$7:$C$306,"&gt;="&amp;DATE($B$3,12,23),'Leave log'!$F$7:$F$306,"Approved")&gt;0,"A",""))="A","A",IF(OR(DATE($B$3,12,23)&gt;EOMONTH(DATE($B$3,12,1),0),NETWORKDAYS.INTL(DATE($B$3,12,23),DATE($B$3,12,23),1,'Non-working days'!$A$6:$A$45)=0),"",IF(COUNTIFS('Leave log'!$A$7:$A$306,Employees!$A$18,'Leave log'!$B$7:$B$306,"&lt;="&amp;DATE($B$3,12,23),'Leave log'!$C$7:$C$306,"&gt;="&amp;DATE($B$3,12,23),'Leave log'!$F$7:$F$306,"Pending")&gt;0,"P",""))))</f>
        <v/>
      </c>
      <c r="Y393" s="23" t="str">
        <f>IF(A393="","",IF(IF(OR(DATE($B$3,12,24)&gt;EOMONTH(DATE($B$3,12,1),0),NETWORKDAYS.INTL(DATE($B$3,12,24),DATE($B$3,12,24),1,'Non-working days'!$A$6:$A$45)=0),"",IF(COUNTIFS('Leave log'!$A$7:$A$306,Employees!$A$18,'Leave log'!$B$7:$B$306,"&lt;="&amp;DATE($B$3,12,24),'Leave log'!$C$7:$C$306,"&gt;="&amp;DATE($B$3,12,24),'Leave log'!$F$7:$F$306,"Approved")&gt;0,"A",""))="A","A",IF(OR(DATE($B$3,12,24)&gt;EOMONTH(DATE($B$3,12,1),0),NETWORKDAYS.INTL(DATE($B$3,12,24),DATE($B$3,12,24),1,'Non-working days'!$A$6:$A$45)=0),"",IF(COUNTIFS('Leave log'!$A$7:$A$306,Employees!$A$18,'Leave log'!$B$7:$B$306,"&lt;="&amp;DATE($B$3,12,24),'Leave log'!$C$7:$C$306,"&gt;="&amp;DATE($B$3,12,24),'Leave log'!$F$7:$F$306,"Pending")&gt;0,"P",""))))</f>
        <v/>
      </c>
      <c r="Z393" s="23" t="str">
        <f>IF(A393="","",IF(IF(OR(DATE($B$3,12,25)&gt;EOMONTH(DATE($B$3,12,1),0),NETWORKDAYS.INTL(DATE($B$3,12,25),DATE($B$3,12,25),1,'Non-working days'!$A$6:$A$45)=0),"",IF(COUNTIFS('Leave log'!$A$7:$A$306,Employees!$A$18,'Leave log'!$B$7:$B$306,"&lt;="&amp;DATE($B$3,12,25),'Leave log'!$C$7:$C$306,"&gt;="&amp;DATE($B$3,12,25),'Leave log'!$F$7:$F$306,"Approved")&gt;0,"A",""))="A","A",IF(OR(DATE($B$3,12,25)&gt;EOMONTH(DATE($B$3,12,1),0),NETWORKDAYS.INTL(DATE($B$3,12,25),DATE($B$3,12,25),1,'Non-working days'!$A$6:$A$45)=0),"",IF(COUNTIFS('Leave log'!$A$7:$A$306,Employees!$A$18,'Leave log'!$B$7:$B$306,"&lt;="&amp;DATE($B$3,12,25),'Leave log'!$C$7:$C$306,"&gt;="&amp;DATE($B$3,12,25),'Leave log'!$F$7:$F$306,"Pending")&gt;0,"P",""))))</f>
        <v/>
      </c>
      <c r="AA393" s="23" t="str">
        <f>IF(A393="","",IF(IF(OR(DATE($B$3,12,26)&gt;EOMONTH(DATE($B$3,12,1),0),NETWORKDAYS.INTL(DATE($B$3,12,26),DATE($B$3,12,26),1,'Non-working days'!$A$6:$A$45)=0),"",IF(COUNTIFS('Leave log'!$A$7:$A$306,Employees!$A$18,'Leave log'!$B$7:$B$306,"&lt;="&amp;DATE($B$3,12,26),'Leave log'!$C$7:$C$306,"&gt;="&amp;DATE($B$3,12,26),'Leave log'!$F$7:$F$306,"Approved")&gt;0,"A",""))="A","A",IF(OR(DATE($B$3,12,26)&gt;EOMONTH(DATE($B$3,12,1),0),NETWORKDAYS.INTL(DATE($B$3,12,26),DATE($B$3,12,26),1,'Non-working days'!$A$6:$A$45)=0),"",IF(COUNTIFS('Leave log'!$A$7:$A$306,Employees!$A$18,'Leave log'!$B$7:$B$306,"&lt;="&amp;DATE($B$3,12,26),'Leave log'!$C$7:$C$306,"&gt;="&amp;DATE($B$3,12,26),'Leave log'!$F$7:$F$306,"Pending")&gt;0,"P",""))))</f>
        <v/>
      </c>
      <c r="AB393" s="23" t="str">
        <f>IF(A393="","",IF(IF(OR(DATE($B$3,12,27)&gt;EOMONTH(DATE($B$3,12,1),0),NETWORKDAYS.INTL(DATE($B$3,12,27),DATE($B$3,12,27),1,'Non-working days'!$A$6:$A$45)=0),"",IF(COUNTIFS('Leave log'!$A$7:$A$306,Employees!$A$18,'Leave log'!$B$7:$B$306,"&lt;="&amp;DATE($B$3,12,27),'Leave log'!$C$7:$C$306,"&gt;="&amp;DATE($B$3,12,27),'Leave log'!$F$7:$F$306,"Approved")&gt;0,"A",""))="A","A",IF(OR(DATE($B$3,12,27)&gt;EOMONTH(DATE($B$3,12,1),0),NETWORKDAYS.INTL(DATE($B$3,12,27),DATE($B$3,12,27),1,'Non-working days'!$A$6:$A$45)=0),"",IF(COUNTIFS('Leave log'!$A$7:$A$306,Employees!$A$18,'Leave log'!$B$7:$B$306,"&lt;="&amp;DATE($B$3,12,27),'Leave log'!$C$7:$C$306,"&gt;="&amp;DATE($B$3,12,27),'Leave log'!$F$7:$F$306,"Pending")&gt;0,"P",""))))</f>
        <v/>
      </c>
      <c r="AC393" s="23" t="str">
        <f>IF(A393="","",IF(IF(OR(DATE($B$3,12,28)&gt;EOMONTH(DATE($B$3,12,1),0),NETWORKDAYS.INTL(DATE($B$3,12,28),DATE($B$3,12,28),1,'Non-working days'!$A$6:$A$45)=0),"",IF(COUNTIFS('Leave log'!$A$7:$A$306,Employees!$A$18,'Leave log'!$B$7:$B$306,"&lt;="&amp;DATE($B$3,12,28),'Leave log'!$C$7:$C$306,"&gt;="&amp;DATE($B$3,12,28),'Leave log'!$F$7:$F$306,"Approved")&gt;0,"A",""))="A","A",IF(OR(DATE($B$3,12,28)&gt;EOMONTH(DATE($B$3,12,1),0),NETWORKDAYS.INTL(DATE($B$3,12,28),DATE($B$3,12,28),1,'Non-working days'!$A$6:$A$45)=0),"",IF(COUNTIFS('Leave log'!$A$7:$A$306,Employees!$A$18,'Leave log'!$B$7:$B$306,"&lt;="&amp;DATE($B$3,12,28),'Leave log'!$C$7:$C$306,"&gt;="&amp;DATE($B$3,12,28),'Leave log'!$F$7:$F$306,"Pending")&gt;0,"P",""))))</f>
        <v/>
      </c>
      <c r="AD393" s="23" t="str">
        <f>IF(A393="","",IF(IF(OR(DATE($B$3,12,29)&gt;EOMONTH(DATE($B$3,12,1),0),NETWORKDAYS.INTL(DATE($B$3,12,29),DATE($B$3,12,29),1,'Non-working days'!$A$6:$A$45)=0),"",IF(COUNTIFS('Leave log'!$A$7:$A$306,Employees!$A$18,'Leave log'!$B$7:$B$306,"&lt;="&amp;DATE($B$3,12,29),'Leave log'!$C$7:$C$306,"&gt;="&amp;DATE($B$3,12,29),'Leave log'!$F$7:$F$306,"Approved")&gt;0,"A",""))="A","A",IF(OR(DATE($B$3,12,29)&gt;EOMONTH(DATE($B$3,12,1),0),NETWORKDAYS.INTL(DATE($B$3,12,29),DATE($B$3,12,29),1,'Non-working days'!$A$6:$A$45)=0),"",IF(COUNTIFS('Leave log'!$A$7:$A$306,Employees!$A$18,'Leave log'!$B$7:$B$306,"&lt;="&amp;DATE($B$3,12,29),'Leave log'!$C$7:$C$306,"&gt;="&amp;DATE($B$3,12,29),'Leave log'!$F$7:$F$306,"Pending")&gt;0,"P",""))))</f>
        <v/>
      </c>
      <c r="AE393" s="23" t="str">
        <f>IF(A393="","",IF(IF(OR(DATE($B$3,12,30)&gt;EOMONTH(DATE($B$3,12,1),0),NETWORKDAYS.INTL(DATE($B$3,12,30),DATE($B$3,12,30),1,'Non-working days'!$A$6:$A$45)=0),"",IF(COUNTIFS('Leave log'!$A$7:$A$306,Employees!$A$18,'Leave log'!$B$7:$B$306,"&lt;="&amp;DATE($B$3,12,30),'Leave log'!$C$7:$C$306,"&gt;="&amp;DATE($B$3,12,30),'Leave log'!$F$7:$F$306,"Approved")&gt;0,"A",""))="A","A",IF(OR(DATE($B$3,12,30)&gt;EOMONTH(DATE($B$3,12,1),0),NETWORKDAYS.INTL(DATE($B$3,12,30),DATE($B$3,12,30),1,'Non-working days'!$A$6:$A$45)=0),"",IF(COUNTIFS('Leave log'!$A$7:$A$306,Employees!$A$18,'Leave log'!$B$7:$B$306,"&lt;="&amp;DATE($B$3,12,30),'Leave log'!$C$7:$C$306,"&gt;="&amp;DATE($B$3,12,30),'Leave log'!$F$7:$F$306,"Pending")&gt;0,"P",""))))</f>
        <v/>
      </c>
      <c r="AF393" s="23" t="str">
        <f>IF(A393="","",IF(IF(OR(DATE($B$3,12,31)&gt;EOMONTH(DATE($B$3,12,1),0),NETWORKDAYS.INTL(DATE($B$3,12,31),DATE($B$3,12,31),1,'Non-working days'!$A$6:$A$45)=0),"",IF(COUNTIFS('Leave log'!$A$7:$A$306,Employees!$A$18,'Leave log'!$B$7:$B$306,"&lt;="&amp;DATE($B$3,12,31),'Leave log'!$C$7:$C$306,"&gt;="&amp;DATE($B$3,12,31),'Leave log'!$F$7:$F$306,"Approved")&gt;0,"A",""))="A","A",IF(OR(DATE($B$3,12,31)&gt;EOMONTH(DATE($B$3,12,1),0),NETWORKDAYS.INTL(DATE($B$3,12,31),DATE($B$3,12,31),1,'Non-working days'!$A$6:$A$45)=0),"",IF(COUNTIFS('Leave log'!$A$7:$A$306,Employees!$A$18,'Leave log'!$B$7:$B$306,"&lt;="&amp;DATE($B$3,12,31),'Leave log'!$C$7:$C$306,"&gt;="&amp;DATE($B$3,12,31),'Leave log'!$F$7:$F$306,"Pending")&gt;0,"P",""))))</f>
        <v/>
      </c>
    </row>
    <row r="394" spans="1:32" ht="18" customHeight="1" x14ac:dyDescent="0.3">
      <c r="A394" s="22" t="str">
        <f>IF(Employees!F19="Yes",Employees!B19,"")</f>
        <v/>
      </c>
      <c r="B394" s="23" t="str">
        <f>IF(A394="","",IF(IF(OR(DATE($B$3,12,1)&gt;EOMONTH(DATE($B$3,12,1),0),NETWORKDAYS.INTL(DATE($B$3,12,1),DATE($B$3,12,1),1,'Non-working days'!$A$6:$A$45)=0),"",IF(COUNTIFS('Leave log'!$A$7:$A$306,Employees!$A$19,'Leave log'!$B$7:$B$306,"&lt;="&amp;DATE($B$3,12,1),'Leave log'!$C$7:$C$306,"&gt;="&amp;DATE($B$3,12,1),'Leave log'!$F$7:$F$306,"Approved")&gt;0,"A",""))="A","A",IF(OR(DATE($B$3,12,1)&gt;EOMONTH(DATE($B$3,12,1),0),NETWORKDAYS.INTL(DATE($B$3,12,1),DATE($B$3,12,1),1,'Non-working days'!$A$6:$A$45)=0),"",IF(COUNTIFS('Leave log'!$A$7:$A$306,Employees!$A$19,'Leave log'!$B$7:$B$306,"&lt;="&amp;DATE($B$3,12,1),'Leave log'!$C$7:$C$306,"&gt;="&amp;DATE($B$3,12,1),'Leave log'!$F$7:$F$306,"Pending")&gt;0,"P",""))))</f>
        <v/>
      </c>
      <c r="C394" s="23" t="str">
        <f>IF(A394="","",IF(IF(OR(DATE($B$3,12,2)&gt;EOMONTH(DATE($B$3,12,1),0),NETWORKDAYS.INTL(DATE($B$3,12,2),DATE($B$3,12,2),1,'Non-working days'!$A$6:$A$45)=0),"",IF(COUNTIFS('Leave log'!$A$7:$A$306,Employees!$A$19,'Leave log'!$B$7:$B$306,"&lt;="&amp;DATE($B$3,12,2),'Leave log'!$C$7:$C$306,"&gt;="&amp;DATE($B$3,12,2),'Leave log'!$F$7:$F$306,"Approved")&gt;0,"A",""))="A","A",IF(OR(DATE($B$3,12,2)&gt;EOMONTH(DATE($B$3,12,1),0),NETWORKDAYS.INTL(DATE($B$3,12,2),DATE($B$3,12,2),1,'Non-working days'!$A$6:$A$45)=0),"",IF(COUNTIFS('Leave log'!$A$7:$A$306,Employees!$A$19,'Leave log'!$B$7:$B$306,"&lt;="&amp;DATE($B$3,12,2),'Leave log'!$C$7:$C$306,"&gt;="&amp;DATE($B$3,12,2),'Leave log'!$F$7:$F$306,"Pending")&gt;0,"P",""))))</f>
        <v/>
      </c>
      <c r="D394" s="23" t="str">
        <f>IF(A394="","",IF(IF(OR(DATE($B$3,12,3)&gt;EOMONTH(DATE($B$3,12,1),0),NETWORKDAYS.INTL(DATE($B$3,12,3),DATE($B$3,12,3),1,'Non-working days'!$A$6:$A$45)=0),"",IF(COUNTIFS('Leave log'!$A$7:$A$306,Employees!$A$19,'Leave log'!$B$7:$B$306,"&lt;="&amp;DATE($B$3,12,3),'Leave log'!$C$7:$C$306,"&gt;="&amp;DATE($B$3,12,3),'Leave log'!$F$7:$F$306,"Approved")&gt;0,"A",""))="A","A",IF(OR(DATE($B$3,12,3)&gt;EOMONTH(DATE($B$3,12,1),0),NETWORKDAYS.INTL(DATE($B$3,12,3),DATE($B$3,12,3),1,'Non-working days'!$A$6:$A$45)=0),"",IF(COUNTIFS('Leave log'!$A$7:$A$306,Employees!$A$19,'Leave log'!$B$7:$B$306,"&lt;="&amp;DATE($B$3,12,3),'Leave log'!$C$7:$C$306,"&gt;="&amp;DATE($B$3,12,3),'Leave log'!$F$7:$F$306,"Pending")&gt;0,"P",""))))</f>
        <v/>
      </c>
      <c r="E394" s="23" t="str">
        <f>IF(A394="","",IF(IF(OR(DATE($B$3,12,4)&gt;EOMONTH(DATE($B$3,12,1),0),NETWORKDAYS.INTL(DATE($B$3,12,4),DATE($B$3,12,4),1,'Non-working days'!$A$6:$A$45)=0),"",IF(COUNTIFS('Leave log'!$A$7:$A$306,Employees!$A$19,'Leave log'!$B$7:$B$306,"&lt;="&amp;DATE($B$3,12,4),'Leave log'!$C$7:$C$306,"&gt;="&amp;DATE($B$3,12,4),'Leave log'!$F$7:$F$306,"Approved")&gt;0,"A",""))="A","A",IF(OR(DATE($B$3,12,4)&gt;EOMONTH(DATE($B$3,12,1),0),NETWORKDAYS.INTL(DATE($B$3,12,4),DATE($B$3,12,4),1,'Non-working days'!$A$6:$A$45)=0),"",IF(COUNTIFS('Leave log'!$A$7:$A$306,Employees!$A$19,'Leave log'!$B$7:$B$306,"&lt;="&amp;DATE($B$3,12,4),'Leave log'!$C$7:$C$306,"&gt;="&amp;DATE($B$3,12,4),'Leave log'!$F$7:$F$306,"Pending")&gt;0,"P",""))))</f>
        <v/>
      </c>
      <c r="F394" s="23" t="str">
        <f>IF(A394="","",IF(IF(OR(DATE($B$3,12,5)&gt;EOMONTH(DATE($B$3,12,1),0),NETWORKDAYS.INTL(DATE($B$3,12,5),DATE($B$3,12,5),1,'Non-working days'!$A$6:$A$45)=0),"",IF(COUNTIFS('Leave log'!$A$7:$A$306,Employees!$A$19,'Leave log'!$B$7:$B$306,"&lt;="&amp;DATE($B$3,12,5),'Leave log'!$C$7:$C$306,"&gt;="&amp;DATE($B$3,12,5),'Leave log'!$F$7:$F$306,"Approved")&gt;0,"A",""))="A","A",IF(OR(DATE($B$3,12,5)&gt;EOMONTH(DATE($B$3,12,1),0),NETWORKDAYS.INTL(DATE($B$3,12,5),DATE($B$3,12,5),1,'Non-working days'!$A$6:$A$45)=0),"",IF(COUNTIFS('Leave log'!$A$7:$A$306,Employees!$A$19,'Leave log'!$B$7:$B$306,"&lt;="&amp;DATE($B$3,12,5),'Leave log'!$C$7:$C$306,"&gt;="&amp;DATE($B$3,12,5),'Leave log'!$F$7:$F$306,"Pending")&gt;0,"P",""))))</f>
        <v/>
      </c>
      <c r="G394" s="23" t="str">
        <f>IF(A394="","",IF(IF(OR(DATE($B$3,12,6)&gt;EOMONTH(DATE($B$3,12,1),0),NETWORKDAYS.INTL(DATE($B$3,12,6),DATE($B$3,12,6),1,'Non-working days'!$A$6:$A$45)=0),"",IF(COUNTIFS('Leave log'!$A$7:$A$306,Employees!$A$19,'Leave log'!$B$7:$B$306,"&lt;="&amp;DATE($B$3,12,6),'Leave log'!$C$7:$C$306,"&gt;="&amp;DATE($B$3,12,6),'Leave log'!$F$7:$F$306,"Approved")&gt;0,"A",""))="A","A",IF(OR(DATE($B$3,12,6)&gt;EOMONTH(DATE($B$3,12,1),0),NETWORKDAYS.INTL(DATE($B$3,12,6),DATE($B$3,12,6),1,'Non-working days'!$A$6:$A$45)=0),"",IF(COUNTIFS('Leave log'!$A$7:$A$306,Employees!$A$19,'Leave log'!$B$7:$B$306,"&lt;="&amp;DATE($B$3,12,6),'Leave log'!$C$7:$C$306,"&gt;="&amp;DATE($B$3,12,6),'Leave log'!$F$7:$F$306,"Pending")&gt;0,"P",""))))</f>
        <v/>
      </c>
      <c r="H394" s="23" t="str">
        <f>IF(A394="","",IF(IF(OR(DATE($B$3,12,7)&gt;EOMONTH(DATE($B$3,12,1),0),NETWORKDAYS.INTL(DATE($B$3,12,7),DATE($B$3,12,7),1,'Non-working days'!$A$6:$A$45)=0),"",IF(COUNTIFS('Leave log'!$A$7:$A$306,Employees!$A$19,'Leave log'!$B$7:$B$306,"&lt;="&amp;DATE($B$3,12,7),'Leave log'!$C$7:$C$306,"&gt;="&amp;DATE($B$3,12,7),'Leave log'!$F$7:$F$306,"Approved")&gt;0,"A",""))="A","A",IF(OR(DATE($B$3,12,7)&gt;EOMONTH(DATE($B$3,12,1),0),NETWORKDAYS.INTL(DATE($B$3,12,7),DATE($B$3,12,7),1,'Non-working days'!$A$6:$A$45)=0),"",IF(COUNTIFS('Leave log'!$A$7:$A$306,Employees!$A$19,'Leave log'!$B$7:$B$306,"&lt;="&amp;DATE($B$3,12,7),'Leave log'!$C$7:$C$306,"&gt;="&amp;DATE($B$3,12,7),'Leave log'!$F$7:$F$306,"Pending")&gt;0,"P",""))))</f>
        <v/>
      </c>
      <c r="I394" s="23" t="str">
        <f>IF(A394="","",IF(IF(OR(DATE($B$3,12,8)&gt;EOMONTH(DATE($B$3,12,1),0),NETWORKDAYS.INTL(DATE($B$3,12,8),DATE($B$3,12,8),1,'Non-working days'!$A$6:$A$45)=0),"",IF(COUNTIFS('Leave log'!$A$7:$A$306,Employees!$A$19,'Leave log'!$B$7:$B$306,"&lt;="&amp;DATE($B$3,12,8),'Leave log'!$C$7:$C$306,"&gt;="&amp;DATE($B$3,12,8),'Leave log'!$F$7:$F$306,"Approved")&gt;0,"A",""))="A","A",IF(OR(DATE($B$3,12,8)&gt;EOMONTH(DATE($B$3,12,1),0),NETWORKDAYS.INTL(DATE($B$3,12,8),DATE($B$3,12,8),1,'Non-working days'!$A$6:$A$45)=0),"",IF(COUNTIFS('Leave log'!$A$7:$A$306,Employees!$A$19,'Leave log'!$B$7:$B$306,"&lt;="&amp;DATE($B$3,12,8),'Leave log'!$C$7:$C$306,"&gt;="&amp;DATE($B$3,12,8),'Leave log'!$F$7:$F$306,"Pending")&gt;0,"P",""))))</f>
        <v/>
      </c>
      <c r="J394" s="23" t="str">
        <f>IF(A394="","",IF(IF(OR(DATE($B$3,12,9)&gt;EOMONTH(DATE($B$3,12,1),0),NETWORKDAYS.INTL(DATE($B$3,12,9),DATE($B$3,12,9),1,'Non-working days'!$A$6:$A$45)=0),"",IF(COUNTIFS('Leave log'!$A$7:$A$306,Employees!$A$19,'Leave log'!$B$7:$B$306,"&lt;="&amp;DATE($B$3,12,9),'Leave log'!$C$7:$C$306,"&gt;="&amp;DATE($B$3,12,9),'Leave log'!$F$7:$F$306,"Approved")&gt;0,"A",""))="A","A",IF(OR(DATE($B$3,12,9)&gt;EOMONTH(DATE($B$3,12,1),0),NETWORKDAYS.INTL(DATE($B$3,12,9),DATE($B$3,12,9),1,'Non-working days'!$A$6:$A$45)=0),"",IF(COUNTIFS('Leave log'!$A$7:$A$306,Employees!$A$19,'Leave log'!$B$7:$B$306,"&lt;="&amp;DATE($B$3,12,9),'Leave log'!$C$7:$C$306,"&gt;="&amp;DATE($B$3,12,9),'Leave log'!$F$7:$F$306,"Pending")&gt;0,"P",""))))</f>
        <v/>
      </c>
      <c r="K394" s="23" t="str">
        <f>IF(A394="","",IF(IF(OR(DATE($B$3,12,10)&gt;EOMONTH(DATE($B$3,12,1),0),NETWORKDAYS.INTL(DATE($B$3,12,10),DATE($B$3,12,10),1,'Non-working days'!$A$6:$A$45)=0),"",IF(COUNTIFS('Leave log'!$A$7:$A$306,Employees!$A$19,'Leave log'!$B$7:$B$306,"&lt;="&amp;DATE($B$3,12,10),'Leave log'!$C$7:$C$306,"&gt;="&amp;DATE($B$3,12,10),'Leave log'!$F$7:$F$306,"Approved")&gt;0,"A",""))="A","A",IF(OR(DATE($B$3,12,10)&gt;EOMONTH(DATE($B$3,12,1),0),NETWORKDAYS.INTL(DATE($B$3,12,10),DATE($B$3,12,10),1,'Non-working days'!$A$6:$A$45)=0),"",IF(COUNTIFS('Leave log'!$A$7:$A$306,Employees!$A$19,'Leave log'!$B$7:$B$306,"&lt;="&amp;DATE($B$3,12,10),'Leave log'!$C$7:$C$306,"&gt;="&amp;DATE($B$3,12,10),'Leave log'!$F$7:$F$306,"Pending")&gt;0,"P",""))))</f>
        <v/>
      </c>
      <c r="L394" s="23" t="str">
        <f>IF(A394="","",IF(IF(OR(DATE($B$3,12,11)&gt;EOMONTH(DATE($B$3,12,1),0),NETWORKDAYS.INTL(DATE($B$3,12,11),DATE($B$3,12,11),1,'Non-working days'!$A$6:$A$45)=0),"",IF(COUNTIFS('Leave log'!$A$7:$A$306,Employees!$A$19,'Leave log'!$B$7:$B$306,"&lt;="&amp;DATE($B$3,12,11),'Leave log'!$C$7:$C$306,"&gt;="&amp;DATE($B$3,12,11),'Leave log'!$F$7:$F$306,"Approved")&gt;0,"A",""))="A","A",IF(OR(DATE($B$3,12,11)&gt;EOMONTH(DATE($B$3,12,1),0),NETWORKDAYS.INTL(DATE($B$3,12,11),DATE($B$3,12,11),1,'Non-working days'!$A$6:$A$45)=0),"",IF(COUNTIFS('Leave log'!$A$7:$A$306,Employees!$A$19,'Leave log'!$B$7:$B$306,"&lt;="&amp;DATE($B$3,12,11),'Leave log'!$C$7:$C$306,"&gt;="&amp;DATE($B$3,12,11),'Leave log'!$F$7:$F$306,"Pending")&gt;0,"P",""))))</f>
        <v/>
      </c>
      <c r="M394" s="23" t="str">
        <f>IF(A394="","",IF(IF(OR(DATE($B$3,12,12)&gt;EOMONTH(DATE($B$3,12,1),0),NETWORKDAYS.INTL(DATE($B$3,12,12),DATE($B$3,12,12),1,'Non-working days'!$A$6:$A$45)=0),"",IF(COUNTIFS('Leave log'!$A$7:$A$306,Employees!$A$19,'Leave log'!$B$7:$B$306,"&lt;="&amp;DATE($B$3,12,12),'Leave log'!$C$7:$C$306,"&gt;="&amp;DATE($B$3,12,12),'Leave log'!$F$7:$F$306,"Approved")&gt;0,"A",""))="A","A",IF(OR(DATE($B$3,12,12)&gt;EOMONTH(DATE($B$3,12,1),0),NETWORKDAYS.INTL(DATE($B$3,12,12),DATE($B$3,12,12),1,'Non-working days'!$A$6:$A$45)=0),"",IF(COUNTIFS('Leave log'!$A$7:$A$306,Employees!$A$19,'Leave log'!$B$7:$B$306,"&lt;="&amp;DATE($B$3,12,12),'Leave log'!$C$7:$C$306,"&gt;="&amp;DATE($B$3,12,12),'Leave log'!$F$7:$F$306,"Pending")&gt;0,"P",""))))</f>
        <v/>
      </c>
      <c r="N394" s="23" t="str">
        <f>IF(A394="","",IF(IF(OR(DATE($B$3,12,13)&gt;EOMONTH(DATE($B$3,12,1),0),NETWORKDAYS.INTL(DATE($B$3,12,13),DATE($B$3,12,13),1,'Non-working days'!$A$6:$A$45)=0),"",IF(COUNTIFS('Leave log'!$A$7:$A$306,Employees!$A$19,'Leave log'!$B$7:$B$306,"&lt;="&amp;DATE($B$3,12,13),'Leave log'!$C$7:$C$306,"&gt;="&amp;DATE($B$3,12,13),'Leave log'!$F$7:$F$306,"Approved")&gt;0,"A",""))="A","A",IF(OR(DATE($B$3,12,13)&gt;EOMONTH(DATE($B$3,12,1),0),NETWORKDAYS.INTL(DATE($B$3,12,13),DATE($B$3,12,13),1,'Non-working days'!$A$6:$A$45)=0),"",IF(COUNTIFS('Leave log'!$A$7:$A$306,Employees!$A$19,'Leave log'!$B$7:$B$306,"&lt;="&amp;DATE($B$3,12,13),'Leave log'!$C$7:$C$306,"&gt;="&amp;DATE($B$3,12,13),'Leave log'!$F$7:$F$306,"Pending")&gt;0,"P",""))))</f>
        <v/>
      </c>
      <c r="O394" s="23" t="str">
        <f>IF(A394="","",IF(IF(OR(DATE($B$3,12,14)&gt;EOMONTH(DATE($B$3,12,1),0),NETWORKDAYS.INTL(DATE($B$3,12,14),DATE($B$3,12,14),1,'Non-working days'!$A$6:$A$45)=0),"",IF(COUNTIFS('Leave log'!$A$7:$A$306,Employees!$A$19,'Leave log'!$B$7:$B$306,"&lt;="&amp;DATE($B$3,12,14),'Leave log'!$C$7:$C$306,"&gt;="&amp;DATE($B$3,12,14),'Leave log'!$F$7:$F$306,"Approved")&gt;0,"A",""))="A","A",IF(OR(DATE($B$3,12,14)&gt;EOMONTH(DATE($B$3,12,1),0),NETWORKDAYS.INTL(DATE($B$3,12,14),DATE($B$3,12,14),1,'Non-working days'!$A$6:$A$45)=0),"",IF(COUNTIFS('Leave log'!$A$7:$A$306,Employees!$A$19,'Leave log'!$B$7:$B$306,"&lt;="&amp;DATE($B$3,12,14),'Leave log'!$C$7:$C$306,"&gt;="&amp;DATE($B$3,12,14),'Leave log'!$F$7:$F$306,"Pending")&gt;0,"P",""))))</f>
        <v/>
      </c>
      <c r="P394" s="23" t="str">
        <f>IF(A394="","",IF(IF(OR(DATE($B$3,12,15)&gt;EOMONTH(DATE($B$3,12,1),0),NETWORKDAYS.INTL(DATE($B$3,12,15),DATE($B$3,12,15),1,'Non-working days'!$A$6:$A$45)=0),"",IF(COUNTIFS('Leave log'!$A$7:$A$306,Employees!$A$19,'Leave log'!$B$7:$B$306,"&lt;="&amp;DATE($B$3,12,15),'Leave log'!$C$7:$C$306,"&gt;="&amp;DATE($B$3,12,15),'Leave log'!$F$7:$F$306,"Approved")&gt;0,"A",""))="A","A",IF(OR(DATE($B$3,12,15)&gt;EOMONTH(DATE($B$3,12,1),0),NETWORKDAYS.INTL(DATE($B$3,12,15),DATE($B$3,12,15),1,'Non-working days'!$A$6:$A$45)=0),"",IF(COUNTIFS('Leave log'!$A$7:$A$306,Employees!$A$19,'Leave log'!$B$7:$B$306,"&lt;="&amp;DATE($B$3,12,15),'Leave log'!$C$7:$C$306,"&gt;="&amp;DATE($B$3,12,15),'Leave log'!$F$7:$F$306,"Pending")&gt;0,"P",""))))</f>
        <v/>
      </c>
      <c r="Q394" s="23" t="str">
        <f>IF(A394="","",IF(IF(OR(DATE($B$3,12,16)&gt;EOMONTH(DATE($B$3,12,1),0),NETWORKDAYS.INTL(DATE($B$3,12,16),DATE($B$3,12,16),1,'Non-working days'!$A$6:$A$45)=0),"",IF(COUNTIFS('Leave log'!$A$7:$A$306,Employees!$A$19,'Leave log'!$B$7:$B$306,"&lt;="&amp;DATE($B$3,12,16),'Leave log'!$C$7:$C$306,"&gt;="&amp;DATE($B$3,12,16),'Leave log'!$F$7:$F$306,"Approved")&gt;0,"A",""))="A","A",IF(OR(DATE($B$3,12,16)&gt;EOMONTH(DATE($B$3,12,1),0),NETWORKDAYS.INTL(DATE($B$3,12,16),DATE($B$3,12,16),1,'Non-working days'!$A$6:$A$45)=0),"",IF(COUNTIFS('Leave log'!$A$7:$A$306,Employees!$A$19,'Leave log'!$B$7:$B$306,"&lt;="&amp;DATE($B$3,12,16),'Leave log'!$C$7:$C$306,"&gt;="&amp;DATE($B$3,12,16),'Leave log'!$F$7:$F$306,"Pending")&gt;0,"P",""))))</f>
        <v/>
      </c>
      <c r="R394" s="23" t="str">
        <f>IF(A394="","",IF(IF(OR(DATE($B$3,12,17)&gt;EOMONTH(DATE($B$3,12,1),0),NETWORKDAYS.INTL(DATE($B$3,12,17),DATE($B$3,12,17),1,'Non-working days'!$A$6:$A$45)=0),"",IF(COUNTIFS('Leave log'!$A$7:$A$306,Employees!$A$19,'Leave log'!$B$7:$B$306,"&lt;="&amp;DATE($B$3,12,17),'Leave log'!$C$7:$C$306,"&gt;="&amp;DATE($B$3,12,17),'Leave log'!$F$7:$F$306,"Approved")&gt;0,"A",""))="A","A",IF(OR(DATE($B$3,12,17)&gt;EOMONTH(DATE($B$3,12,1),0),NETWORKDAYS.INTL(DATE($B$3,12,17),DATE($B$3,12,17),1,'Non-working days'!$A$6:$A$45)=0),"",IF(COUNTIFS('Leave log'!$A$7:$A$306,Employees!$A$19,'Leave log'!$B$7:$B$306,"&lt;="&amp;DATE($B$3,12,17),'Leave log'!$C$7:$C$306,"&gt;="&amp;DATE($B$3,12,17),'Leave log'!$F$7:$F$306,"Pending")&gt;0,"P",""))))</f>
        <v/>
      </c>
      <c r="S394" s="23" t="str">
        <f>IF(A394="","",IF(IF(OR(DATE($B$3,12,18)&gt;EOMONTH(DATE($B$3,12,1),0),NETWORKDAYS.INTL(DATE($B$3,12,18),DATE($B$3,12,18),1,'Non-working days'!$A$6:$A$45)=0),"",IF(COUNTIFS('Leave log'!$A$7:$A$306,Employees!$A$19,'Leave log'!$B$7:$B$306,"&lt;="&amp;DATE($B$3,12,18),'Leave log'!$C$7:$C$306,"&gt;="&amp;DATE($B$3,12,18),'Leave log'!$F$7:$F$306,"Approved")&gt;0,"A",""))="A","A",IF(OR(DATE($B$3,12,18)&gt;EOMONTH(DATE($B$3,12,1),0),NETWORKDAYS.INTL(DATE($B$3,12,18),DATE($B$3,12,18),1,'Non-working days'!$A$6:$A$45)=0),"",IF(COUNTIFS('Leave log'!$A$7:$A$306,Employees!$A$19,'Leave log'!$B$7:$B$306,"&lt;="&amp;DATE($B$3,12,18),'Leave log'!$C$7:$C$306,"&gt;="&amp;DATE($B$3,12,18),'Leave log'!$F$7:$F$306,"Pending")&gt;0,"P",""))))</f>
        <v/>
      </c>
      <c r="T394" s="23" t="str">
        <f>IF(A394="","",IF(IF(OR(DATE($B$3,12,19)&gt;EOMONTH(DATE($B$3,12,1),0),NETWORKDAYS.INTL(DATE($B$3,12,19),DATE($B$3,12,19),1,'Non-working days'!$A$6:$A$45)=0),"",IF(COUNTIFS('Leave log'!$A$7:$A$306,Employees!$A$19,'Leave log'!$B$7:$B$306,"&lt;="&amp;DATE($B$3,12,19),'Leave log'!$C$7:$C$306,"&gt;="&amp;DATE($B$3,12,19),'Leave log'!$F$7:$F$306,"Approved")&gt;0,"A",""))="A","A",IF(OR(DATE($B$3,12,19)&gt;EOMONTH(DATE($B$3,12,1),0),NETWORKDAYS.INTL(DATE($B$3,12,19),DATE($B$3,12,19),1,'Non-working days'!$A$6:$A$45)=0),"",IF(COUNTIFS('Leave log'!$A$7:$A$306,Employees!$A$19,'Leave log'!$B$7:$B$306,"&lt;="&amp;DATE($B$3,12,19),'Leave log'!$C$7:$C$306,"&gt;="&amp;DATE($B$3,12,19),'Leave log'!$F$7:$F$306,"Pending")&gt;0,"P",""))))</f>
        <v/>
      </c>
      <c r="U394" s="23" t="str">
        <f>IF(A394="","",IF(IF(OR(DATE($B$3,12,20)&gt;EOMONTH(DATE($B$3,12,1),0),NETWORKDAYS.INTL(DATE($B$3,12,20),DATE($B$3,12,20),1,'Non-working days'!$A$6:$A$45)=0),"",IF(COUNTIFS('Leave log'!$A$7:$A$306,Employees!$A$19,'Leave log'!$B$7:$B$306,"&lt;="&amp;DATE($B$3,12,20),'Leave log'!$C$7:$C$306,"&gt;="&amp;DATE($B$3,12,20),'Leave log'!$F$7:$F$306,"Approved")&gt;0,"A",""))="A","A",IF(OR(DATE($B$3,12,20)&gt;EOMONTH(DATE($B$3,12,1),0),NETWORKDAYS.INTL(DATE($B$3,12,20),DATE($B$3,12,20),1,'Non-working days'!$A$6:$A$45)=0),"",IF(COUNTIFS('Leave log'!$A$7:$A$306,Employees!$A$19,'Leave log'!$B$7:$B$306,"&lt;="&amp;DATE($B$3,12,20),'Leave log'!$C$7:$C$306,"&gt;="&amp;DATE($B$3,12,20),'Leave log'!$F$7:$F$306,"Pending")&gt;0,"P",""))))</f>
        <v/>
      </c>
      <c r="V394" s="23" t="str">
        <f>IF(A394="","",IF(IF(OR(DATE($B$3,12,21)&gt;EOMONTH(DATE($B$3,12,1),0),NETWORKDAYS.INTL(DATE($B$3,12,21),DATE($B$3,12,21),1,'Non-working days'!$A$6:$A$45)=0),"",IF(COUNTIFS('Leave log'!$A$7:$A$306,Employees!$A$19,'Leave log'!$B$7:$B$306,"&lt;="&amp;DATE($B$3,12,21),'Leave log'!$C$7:$C$306,"&gt;="&amp;DATE($B$3,12,21),'Leave log'!$F$7:$F$306,"Approved")&gt;0,"A",""))="A","A",IF(OR(DATE($B$3,12,21)&gt;EOMONTH(DATE($B$3,12,1),0),NETWORKDAYS.INTL(DATE($B$3,12,21),DATE($B$3,12,21),1,'Non-working days'!$A$6:$A$45)=0),"",IF(COUNTIFS('Leave log'!$A$7:$A$306,Employees!$A$19,'Leave log'!$B$7:$B$306,"&lt;="&amp;DATE($B$3,12,21),'Leave log'!$C$7:$C$306,"&gt;="&amp;DATE($B$3,12,21),'Leave log'!$F$7:$F$306,"Pending")&gt;0,"P",""))))</f>
        <v/>
      </c>
      <c r="W394" s="23" t="str">
        <f>IF(A394="","",IF(IF(OR(DATE($B$3,12,22)&gt;EOMONTH(DATE($B$3,12,1),0),NETWORKDAYS.INTL(DATE($B$3,12,22),DATE($B$3,12,22),1,'Non-working days'!$A$6:$A$45)=0),"",IF(COUNTIFS('Leave log'!$A$7:$A$306,Employees!$A$19,'Leave log'!$B$7:$B$306,"&lt;="&amp;DATE($B$3,12,22),'Leave log'!$C$7:$C$306,"&gt;="&amp;DATE($B$3,12,22),'Leave log'!$F$7:$F$306,"Approved")&gt;0,"A",""))="A","A",IF(OR(DATE($B$3,12,22)&gt;EOMONTH(DATE($B$3,12,1),0),NETWORKDAYS.INTL(DATE($B$3,12,22),DATE($B$3,12,22),1,'Non-working days'!$A$6:$A$45)=0),"",IF(COUNTIFS('Leave log'!$A$7:$A$306,Employees!$A$19,'Leave log'!$B$7:$B$306,"&lt;="&amp;DATE($B$3,12,22),'Leave log'!$C$7:$C$306,"&gt;="&amp;DATE($B$3,12,22),'Leave log'!$F$7:$F$306,"Pending")&gt;0,"P",""))))</f>
        <v/>
      </c>
      <c r="X394" s="23" t="str">
        <f>IF(A394="","",IF(IF(OR(DATE($B$3,12,23)&gt;EOMONTH(DATE($B$3,12,1),0),NETWORKDAYS.INTL(DATE($B$3,12,23),DATE($B$3,12,23),1,'Non-working days'!$A$6:$A$45)=0),"",IF(COUNTIFS('Leave log'!$A$7:$A$306,Employees!$A$19,'Leave log'!$B$7:$B$306,"&lt;="&amp;DATE($B$3,12,23),'Leave log'!$C$7:$C$306,"&gt;="&amp;DATE($B$3,12,23),'Leave log'!$F$7:$F$306,"Approved")&gt;0,"A",""))="A","A",IF(OR(DATE($B$3,12,23)&gt;EOMONTH(DATE($B$3,12,1),0),NETWORKDAYS.INTL(DATE($B$3,12,23),DATE($B$3,12,23),1,'Non-working days'!$A$6:$A$45)=0),"",IF(COUNTIFS('Leave log'!$A$7:$A$306,Employees!$A$19,'Leave log'!$B$7:$B$306,"&lt;="&amp;DATE($B$3,12,23),'Leave log'!$C$7:$C$306,"&gt;="&amp;DATE($B$3,12,23),'Leave log'!$F$7:$F$306,"Pending")&gt;0,"P",""))))</f>
        <v/>
      </c>
      <c r="Y394" s="23" t="str">
        <f>IF(A394="","",IF(IF(OR(DATE($B$3,12,24)&gt;EOMONTH(DATE($B$3,12,1),0),NETWORKDAYS.INTL(DATE($B$3,12,24),DATE($B$3,12,24),1,'Non-working days'!$A$6:$A$45)=0),"",IF(COUNTIFS('Leave log'!$A$7:$A$306,Employees!$A$19,'Leave log'!$B$7:$B$306,"&lt;="&amp;DATE($B$3,12,24),'Leave log'!$C$7:$C$306,"&gt;="&amp;DATE($B$3,12,24),'Leave log'!$F$7:$F$306,"Approved")&gt;0,"A",""))="A","A",IF(OR(DATE($B$3,12,24)&gt;EOMONTH(DATE($B$3,12,1),0),NETWORKDAYS.INTL(DATE($B$3,12,24),DATE($B$3,12,24),1,'Non-working days'!$A$6:$A$45)=0),"",IF(COUNTIFS('Leave log'!$A$7:$A$306,Employees!$A$19,'Leave log'!$B$7:$B$306,"&lt;="&amp;DATE($B$3,12,24),'Leave log'!$C$7:$C$306,"&gt;="&amp;DATE($B$3,12,24),'Leave log'!$F$7:$F$306,"Pending")&gt;0,"P",""))))</f>
        <v/>
      </c>
      <c r="Z394" s="23" t="str">
        <f>IF(A394="","",IF(IF(OR(DATE($B$3,12,25)&gt;EOMONTH(DATE($B$3,12,1),0),NETWORKDAYS.INTL(DATE($B$3,12,25),DATE($B$3,12,25),1,'Non-working days'!$A$6:$A$45)=0),"",IF(COUNTIFS('Leave log'!$A$7:$A$306,Employees!$A$19,'Leave log'!$B$7:$B$306,"&lt;="&amp;DATE($B$3,12,25),'Leave log'!$C$7:$C$306,"&gt;="&amp;DATE($B$3,12,25),'Leave log'!$F$7:$F$306,"Approved")&gt;0,"A",""))="A","A",IF(OR(DATE($B$3,12,25)&gt;EOMONTH(DATE($B$3,12,1),0),NETWORKDAYS.INTL(DATE($B$3,12,25),DATE($B$3,12,25),1,'Non-working days'!$A$6:$A$45)=0),"",IF(COUNTIFS('Leave log'!$A$7:$A$306,Employees!$A$19,'Leave log'!$B$7:$B$306,"&lt;="&amp;DATE($B$3,12,25),'Leave log'!$C$7:$C$306,"&gt;="&amp;DATE($B$3,12,25),'Leave log'!$F$7:$F$306,"Pending")&gt;0,"P",""))))</f>
        <v/>
      </c>
      <c r="AA394" s="23" t="str">
        <f>IF(A394="","",IF(IF(OR(DATE($B$3,12,26)&gt;EOMONTH(DATE($B$3,12,1),0),NETWORKDAYS.INTL(DATE($B$3,12,26),DATE($B$3,12,26),1,'Non-working days'!$A$6:$A$45)=0),"",IF(COUNTIFS('Leave log'!$A$7:$A$306,Employees!$A$19,'Leave log'!$B$7:$B$306,"&lt;="&amp;DATE($B$3,12,26),'Leave log'!$C$7:$C$306,"&gt;="&amp;DATE($B$3,12,26),'Leave log'!$F$7:$F$306,"Approved")&gt;0,"A",""))="A","A",IF(OR(DATE($B$3,12,26)&gt;EOMONTH(DATE($B$3,12,1),0),NETWORKDAYS.INTL(DATE($B$3,12,26),DATE($B$3,12,26),1,'Non-working days'!$A$6:$A$45)=0),"",IF(COUNTIFS('Leave log'!$A$7:$A$306,Employees!$A$19,'Leave log'!$B$7:$B$306,"&lt;="&amp;DATE($B$3,12,26),'Leave log'!$C$7:$C$306,"&gt;="&amp;DATE($B$3,12,26),'Leave log'!$F$7:$F$306,"Pending")&gt;0,"P",""))))</f>
        <v/>
      </c>
      <c r="AB394" s="23" t="str">
        <f>IF(A394="","",IF(IF(OR(DATE($B$3,12,27)&gt;EOMONTH(DATE($B$3,12,1),0),NETWORKDAYS.INTL(DATE($B$3,12,27),DATE($B$3,12,27),1,'Non-working days'!$A$6:$A$45)=0),"",IF(COUNTIFS('Leave log'!$A$7:$A$306,Employees!$A$19,'Leave log'!$B$7:$B$306,"&lt;="&amp;DATE($B$3,12,27),'Leave log'!$C$7:$C$306,"&gt;="&amp;DATE($B$3,12,27),'Leave log'!$F$7:$F$306,"Approved")&gt;0,"A",""))="A","A",IF(OR(DATE($B$3,12,27)&gt;EOMONTH(DATE($B$3,12,1),0),NETWORKDAYS.INTL(DATE($B$3,12,27),DATE($B$3,12,27),1,'Non-working days'!$A$6:$A$45)=0),"",IF(COUNTIFS('Leave log'!$A$7:$A$306,Employees!$A$19,'Leave log'!$B$7:$B$306,"&lt;="&amp;DATE($B$3,12,27),'Leave log'!$C$7:$C$306,"&gt;="&amp;DATE($B$3,12,27),'Leave log'!$F$7:$F$306,"Pending")&gt;0,"P",""))))</f>
        <v/>
      </c>
      <c r="AC394" s="23" t="str">
        <f>IF(A394="","",IF(IF(OR(DATE($B$3,12,28)&gt;EOMONTH(DATE($B$3,12,1),0),NETWORKDAYS.INTL(DATE($B$3,12,28),DATE($B$3,12,28),1,'Non-working days'!$A$6:$A$45)=0),"",IF(COUNTIFS('Leave log'!$A$7:$A$306,Employees!$A$19,'Leave log'!$B$7:$B$306,"&lt;="&amp;DATE($B$3,12,28),'Leave log'!$C$7:$C$306,"&gt;="&amp;DATE($B$3,12,28),'Leave log'!$F$7:$F$306,"Approved")&gt;0,"A",""))="A","A",IF(OR(DATE($B$3,12,28)&gt;EOMONTH(DATE($B$3,12,1),0),NETWORKDAYS.INTL(DATE($B$3,12,28),DATE($B$3,12,28),1,'Non-working days'!$A$6:$A$45)=0),"",IF(COUNTIFS('Leave log'!$A$7:$A$306,Employees!$A$19,'Leave log'!$B$7:$B$306,"&lt;="&amp;DATE($B$3,12,28),'Leave log'!$C$7:$C$306,"&gt;="&amp;DATE($B$3,12,28),'Leave log'!$F$7:$F$306,"Pending")&gt;0,"P",""))))</f>
        <v/>
      </c>
      <c r="AD394" s="23" t="str">
        <f>IF(A394="","",IF(IF(OR(DATE($B$3,12,29)&gt;EOMONTH(DATE($B$3,12,1),0),NETWORKDAYS.INTL(DATE($B$3,12,29),DATE($B$3,12,29),1,'Non-working days'!$A$6:$A$45)=0),"",IF(COUNTIFS('Leave log'!$A$7:$A$306,Employees!$A$19,'Leave log'!$B$7:$B$306,"&lt;="&amp;DATE($B$3,12,29),'Leave log'!$C$7:$C$306,"&gt;="&amp;DATE($B$3,12,29),'Leave log'!$F$7:$F$306,"Approved")&gt;0,"A",""))="A","A",IF(OR(DATE($B$3,12,29)&gt;EOMONTH(DATE($B$3,12,1),0),NETWORKDAYS.INTL(DATE($B$3,12,29),DATE($B$3,12,29),1,'Non-working days'!$A$6:$A$45)=0),"",IF(COUNTIFS('Leave log'!$A$7:$A$306,Employees!$A$19,'Leave log'!$B$7:$B$306,"&lt;="&amp;DATE($B$3,12,29),'Leave log'!$C$7:$C$306,"&gt;="&amp;DATE($B$3,12,29),'Leave log'!$F$7:$F$306,"Pending")&gt;0,"P",""))))</f>
        <v/>
      </c>
      <c r="AE394" s="23" t="str">
        <f>IF(A394="","",IF(IF(OR(DATE($B$3,12,30)&gt;EOMONTH(DATE($B$3,12,1),0),NETWORKDAYS.INTL(DATE($B$3,12,30),DATE($B$3,12,30),1,'Non-working days'!$A$6:$A$45)=0),"",IF(COUNTIFS('Leave log'!$A$7:$A$306,Employees!$A$19,'Leave log'!$B$7:$B$306,"&lt;="&amp;DATE($B$3,12,30),'Leave log'!$C$7:$C$306,"&gt;="&amp;DATE($B$3,12,30),'Leave log'!$F$7:$F$306,"Approved")&gt;0,"A",""))="A","A",IF(OR(DATE($B$3,12,30)&gt;EOMONTH(DATE($B$3,12,1),0),NETWORKDAYS.INTL(DATE($B$3,12,30),DATE($B$3,12,30),1,'Non-working days'!$A$6:$A$45)=0),"",IF(COUNTIFS('Leave log'!$A$7:$A$306,Employees!$A$19,'Leave log'!$B$7:$B$306,"&lt;="&amp;DATE($B$3,12,30),'Leave log'!$C$7:$C$306,"&gt;="&amp;DATE($B$3,12,30),'Leave log'!$F$7:$F$306,"Pending")&gt;0,"P",""))))</f>
        <v/>
      </c>
      <c r="AF394" s="23" t="str">
        <f>IF(A394="","",IF(IF(OR(DATE($B$3,12,31)&gt;EOMONTH(DATE($B$3,12,1),0),NETWORKDAYS.INTL(DATE($B$3,12,31),DATE($B$3,12,31),1,'Non-working days'!$A$6:$A$45)=0),"",IF(COUNTIFS('Leave log'!$A$7:$A$306,Employees!$A$19,'Leave log'!$B$7:$B$306,"&lt;="&amp;DATE($B$3,12,31),'Leave log'!$C$7:$C$306,"&gt;="&amp;DATE($B$3,12,31),'Leave log'!$F$7:$F$306,"Approved")&gt;0,"A",""))="A","A",IF(OR(DATE($B$3,12,31)&gt;EOMONTH(DATE($B$3,12,1),0),NETWORKDAYS.INTL(DATE($B$3,12,31),DATE($B$3,12,31),1,'Non-working days'!$A$6:$A$45)=0),"",IF(COUNTIFS('Leave log'!$A$7:$A$306,Employees!$A$19,'Leave log'!$B$7:$B$306,"&lt;="&amp;DATE($B$3,12,31),'Leave log'!$C$7:$C$306,"&gt;="&amp;DATE($B$3,12,31),'Leave log'!$F$7:$F$306,"Pending")&gt;0,"P",""))))</f>
        <v/>
      </c>
    </row>
    <row r="395" spans="1:32" ht="18" customHeight="1" x14ac:dyDescent="0.3">
      <c r="A395" s="22" t="str">
        <f>IF(Employees!F20="Yes",Employees!B20,"")</f>
        <v/>
      </c>
      <c r="B395" s="23" t="str">
        <f>IF(A395="","",IF(IF(OR(DATE($B$3,12,1)&gt;EOMONTH(DATE($B$3,12,1),0),NETWORKDAYS.INTL(DATE($B$3,12,1),DATE($B$3,12,1),1,'Non-working days'!$A$6:$A$45)=0),"",IF(COUNTIFS('Leave log'!$A$7:$A$306,Employees!$A$20,'Leave log'!$B$7:$B$306,"&lt;="&amp;DATE($B$3,12,1),'Leave log'!$C$7:$C$306,"&gt;="&amp;DATE($B$3,12,1),'Leave log'!$F$7:$F$306,"Approved")&gt;0,"A",""))="A","A",IF(OR(DATE($B$3,12,1)&gt;EOMONTH(DATE($B$3,12,1),0),NETWORKDAYS.INTL(DATE($B$3,12,1),DATE($B$3,12,1),1,'Non-working days'!$A$6:$A$45)=0),"",IF(COUNTIFS('Leave log'!$A$7:$A$306,Employees!$A$20,'Leave log'!$B$7:$B$306,"&lt;="&amp;DATE($B$3,12,1),'Leave log'!$C$7:$C$306,"&gt;="&amp;DATE($B$3,12,1),'Leave log'!$F$7:$F$306,"Pending")&gt;0,"P",""))))</f>
        <v/>
      </c>
      <c r="C395" s="23" t="str">
        <f>IF(A395="","",IF(IF(OR(DATE($B$3,12,2)&gt;EOMONTH(DATE($B$3,12,1),0),NETWORKDAYS.INTL(DATE($B$3,12,2),DATE($B$3,12,2),1,'Non-working days'!$A$6:$A$45)=0),"",IF(COUNTIFS('Leave log'!$A$7:$A$306,Employees!$A$20,'Leave log'!$B$7:$B$306,"&lt;="&amp;DATE($B$3,12,2),'Leave log'!$C$7:$C$306,"&gt;="&amp;DATE($B$3,12,2),'Leave log'!$F$7:$F$306,"Approved")&gt;0,"A",""))="A","A",IF(OR(DATE($B$3,12,2)&gt;EOMONTH(DATE($B$3,12,1),0),NETWORKDAYS.INTL(DATE($B$3,12,2),DATE($B$3,12,2),1,'Non-working days'!$A$6:$A$45)=0),"",IF(COUNTIFS('Leave log'!$A$7:$A$306,Employees!$A$20,'Leave log'!$B$7:$B$306,"&lt;="&amp;DATE($B$3,12,2),'Leave log'!$C$7:$C$306,"&gt;="&amp;DATE($B$3,12,2),'Leave log'!$F$7:$F$306,"Pending")&gt;0,"P",""))))</f>
        <v/>
      </c>
      <c r="D395" s="23" t="str">
        <f>IF(A395="","",IF(IF(OR(DATE($B$3,12,3)&gt;EOMONTH(DATE($B$3,12,1),0),NETWORKDAYS.INTL(DATE($B$3,12,3),DATE($B$3,12,3),1,'Non-working days'!$A$6:$A$45)=0),"",IF(COUNTIFS('Leave log'!$A$7:$A$306,Employees!$A$20,'Leave log'!$B$7:$B$306,"&lt;="&amp;DATE($B$3,12,3),'Leave log'!$C$7:$C$306,"&gt;="&amp;DATE($B$3,12,3),'Leave log'!$F$7:$F$306,"Approved")&gt;0,"A",""))="A","A",IF(OR(DATE($B$3,12,3)&gt;EOMONTH(DATE($B$3,12,1),0),NETWORKDAYS.INTL(DATE($B$3,12,3),DATE($B$3,12,3),1,'Non-working days'!$A$6:$A$45)=0),"",IF(COUNTIFS('Leave log'!$A$7:$A$306,Employees!$A$20,'Leave log'!$B$7:$B$306,"&lt;="&amp;DATE($B$3,12,3),'Leave log'!$C$7:$C$306,"&gt;="&amp;DATE($B$3,12,3),'Leave log'!$F$7:$F$306,"Pending")&gt;0,"P",""))))</f>
        <v/>
      </c>
      <c r="E395" s="23" t="str">
        <f>IF(A395="","",IF(IF(OR(DATE($B$3,12,4)&gt;EOMONTH(DATE($B$3,12,1),0),NETWORKDAYS.INTL(DATE($B$3,12,4),DATE($B$3,12,4),1,'Non-working days'!$A$6:$A$45)=0),"",IF(COUNTIFS('Leave log'!$A$7:$A$306,Employees!$A$20,'Leave log'!$B$7:$B$306,"&lt;="&amp;DATE($B$3,12,4),'Leave log'!$C$7:$C$306,"&gt;="&amp;DATE($B$3,12,4),'Leave log'!$F$7:$F$306,"Approved")&gt;0,"A",""))="A","A",IF(OR(DATE($B$3,12,4)&gt;EOMONTH(DATE($B$3,12,1),0),NETWORKDAYS.INTL(DATE($B$3,12,4),DATE($B$3,12,4),1,'Non-working days'!$A$6:$A$45)=0),"",IF(COUNTIFS('Leave log'!$A$7:$A$306,Employees!$A$20,'Leave log'!$B$7:$B$306,"&lt;="&amp;DATE($B$3,12,4),'Leave log'!$C$7:$C$306,"&gt;="&amp;DATE($B$3,12,4),'Leave log'!$F$7:$F$306,"Pending")&gt;0,"P",""))))</f>
        <v/>
      </c>
      <c r="F395" s="23" t="str">
        <f>IF(A395="","",IF(IF(OR(DATE($B$3,12,5)&gt;EOMONTH(DATE($B$3,12,1),0),NETWORKDAYS.INTL(DATE($B$3,12,5),DATE($B$3,12,5),1,'Non-working days'!$A$6:$A$45)=0),"",IF(COUNTIFS('Leave log'!$A$7:$A$306,Employees!$A$20,'Leave log'!$B$7:$B$306,"&lt;="&amp;DATE($B$3,12,5),'Leave log'!$C$7:$C$306,"&gt;="&amp;DATE($B$3,12,5),'Leave log'!$F$7:$F$306,"Approved")&gt;0,"A",""))="A","A",IF(OR(DATE($B$3,12,5)&gt;EOMONTH(DATE($B$3,12,1),0),NETWORKDAYS.INTL(DATE($B$3,12,5),DATE($B$3,12,5),1,'Non-working days'!$A$6:$A$45)=0),"",IF(COUNTIFS('Leave log'!$A$7:$A$306,Employees!$A$20,'Leave log'!$B$7:$B$306,"&lt;="&amp;DATE($B$3,12,5),'Leave log'!$C$7:$C$306,"&gt;="&amp;DATE($B$3,12,5),'Leave log'!$F$7:$F$306,"Pending")&gt;0,"P",""))))</f>
        <v/>
      </c>
      <c r="G395" s="23" t="str">
        <f>IF(A395="","",IF(IF(OR(DATE($B$3,12,6)&gt;EOMONTH(DATE($B$3,12,1),0),NETWORKDAYS.INTL(DATE($B$3,12,6),DATE($B$3,12,6),1,'Non-working days'!$A$6:$A$45)=0),"",IF(COUNTIFS('Leave log'!$A$7:$A$306,Employees!$A$20,'Leave log'!$B$7:$B$306,"&lt;="&amp;DATE($B$3,12,6),'Leave log'!$C$7:$C$306,"&gt;="&amp;DATE($B$3,12,6),'Leave log'!$F$7:$F$306,"Approved")&gt;0,"A",""))="A","A",IF(OR(DATE($B$3,12,6)&gt;EOMONTH(DATE($B$3,12,1),0),NETWORKDAYS.INTL(DATE($B$3,12,6),DATE($B$3,12,6),1,'Non-working days'!$A$6:$A$45)=0),"",IF(COUNTIFS('Leave log'!$A$7:$A$306,Employees!$A$20,'Leave log'!$B$7:$B$306,"&lt;="&amp;DATE($B$3,12,6),'Leave log'!$C$7:$C$306,"&gt;="&amp;DATE($B$3,12,6),'Leave log'!$F$7:$F$306,"Pending")&gt;0,"P",""))))</f>
        <v/>
      </c>
      <c r="H395" s="23" t="str">
        <f>IF(A395="","",IF(IF(OR(DATE($B$3,12,7)&gt;EOMONTH(DATE($B$3,12,1),0),NETWORKDAYS.INTL(DATE($B$3,12,7),DATE($B$3,12,7),1,'Non-working days'!$A$6:$A$45)=0),"",IF(COUNTIFS('Leave log'!$A$7:$A$306,Employees!$A$20,'Leave log'!$B$7:$B$306,"&lt;="&amp;DATE($B$3,12,7),'Leave log'!$C$7:$C$306,"&gt;="&amp;DATE($B$3,12,7),'Leave log'!$F$7:$F$306,"Approved")&gt;0,"A",""))="A","A",IF(OR(DATE($B$3,12,7)&gt;EOMONTH(DATE($B$3,12,1),0),NETWORKDAYS.INTL(DATE($B$3,12,7),DATE($B$3,12,7),1,'Non-working days'!$A$6:$A$45)=0),"",IF(COUNTIFS('Leave log'!$A$7:$A$306,Employees!$A$20,'Leave log'!$B$7:$B$306,"&lt;="&amp;DATE($B$3,12,7),'Leave log'!$C$7:$C$306,"&gt;="&amp;DATE($B$3,12,7),'Leave log'!$F$7:$F$306,"Pending")&gt;0,"P",""))))</f>
        <v/>
      </c>
      <c r="I395" s="23" t="str">
        <f>IF(A395="","",IF(IF(OR(DATE($B$3,12,8)&gt;EOMONTH(DATE($B$3,12,1),0),NETWORKDAYS.INTL(DATE($B$3,12,8),DATE($B$3,12,8),1,'Non-working days'!$A$6:$A$45)=0),"",IF(COUNTIFS('Leave log'!$A$7:$A$306,Employees!$A$20,'Leave log'!$B$7:$B$306,"&lt;="&amp;DATE($B$3,12,8),'Leave log'!$C$7:$C$306,"&gt;="&amp;DATE($B$3,12,8),'Leave log'!$F$7:$F$306,"Approved")&gt;0,"A",""))="A","A",IF(OR(DATE($B$3,12,8)&gt;EOMONTH(DATE($B$3,12,1),0),NETWORKDAYS.INTL(DATE($B$3,12,8),DATE($B$3,12,8),1,'Non-working days'!$A$6:$A$45)=0),"",IF(COUNTIFS('Leave log'!$A$7:$A$306,Employees!$A$20,'Leave log'!$B$7:$B$306,"&lt;="&amp;DATE($B$3,12,8),'Leave log'!$C$7:$C$306,"&gt;="&amp;DATE($B$3,12,8),'Leave log'!$F$7:$F$306,"Pending")&gt;0,"P",""))))</f>
        <v/>
      </c>
      <c r="J395" s="23" t="str">
        <f>IF(A395="","",IF(IF(OR(DATE($B$3,12,9)&gt;EOMONTH(DATE($B$3,12,1),0),NETWORKDAYS.INTL(DATE($B$3,12,9),DATE($B$3,12,9),1,'Non-working days'!$A$6:$A$45)=0),"",IF(COUNTIFS('Leave log'!$A$7:$A$306,Employees!$A$20,'Leave log'!$B$7:$B$306,"&lt;="&amp;DATE($B$3,12,9),'Leave log'!$C$7:$C$306,"&gt;="&amp;DATE($B$3,12,9),'Leave log'!$F$7:$F$306,"Approved")&gt;0,"A",""))="A","A",IF(OR(DATE($B$3,12,9)&gt;EOMONTH(DATE($B$3,12,1),0),NETWORKDAYS.INTL(DATE($B$3,12,9),DATE($B$3,12,9),1,'Non-working days'!$A$6:$A$45)=0),"",IF(COUNTIFS('Leave log'!$A$7:$A$306,Employees!$A$20,'Leave log'!$B$7:$B$306,"&lt;="&amp;DATE($B$3,12,9),'Leave log'!$C$7:$C$306,"&gt;="&amp;DATE($B$3,12,9),'Leave log'!$F$7:$F$306,"Pending")&gt;0,"P",""))))</f>
        <v/>
      </c>
      <c r="K395" s="23" t="str">
        <f>IF(A395="","",IF(IF(OR(DATE($B$3,12,10)&gt;EOMONTH(DATE($B$3,12,1),0),NETWORKDAYS.INTL(DATE($B$3,12,10),DATE($B$3,12,10),1,'Non-working days'!$A$6:$A$45)=0),"",IF(COUNTIFS('Leave log'!$A$7:$A$306,Employees!$A$20,'Leave log'!$B$7:$B$306,"&lt;="&amp;DATE($B$3,12,10),'Leave log'!$C$7:$C$306,"&gt;="&amp;DATE($B$3,12,10),'Leave log'!$F$7:$F$306,"Approved")&gt;0,"A",""))="A","A",IF(OR(DATE($B$3,12,10)&gt;EOMONTH(DATE($B$3,12,1),0),NETWORKDAYS.INTL(DATE($B$3,12,10),DATE($B$3,12,10),1,'Non-working days'!$A$6:$A$45)=0),"",IF(COUNTIFS('Leave log'!$A$7:$A$306,Employees!$A$20,'Leave log'!$B$7:$B$306,"&lt;="&amp;DATE($B$3,12,10),'Leave log'!$C$7:$C$306,"&gt;="&amp;DATE($B$3,12,10),'Leave log'!$F$7:$F$306,"Pending")&gt;0,"P",""))))</f>
        <v/>
      </c>
      <c r="L395" s="23" t="str">
        <f>IF(A395="","",IF(IF(OR(DATE($B$3,12,11)&gt;EOMONTH(DATE($B$3,12,1),0),NETWORKDAYS.INTL(DATE($B$3,12,11),DATE($B$3,12,11),1,'Non-working days'!$A$6:$A$45)=0),"",IF(COUNTIFS('Leave log'!$A$7:$A$306,Employees!$A$20,'Leave log'!$B$7:$B$306,"&lt;="&amp;DATE($B$3,12,11),'Leave log'!$C$7:$C$306,"&gt;="&amp;DATE($B$3,12,11),'Leave log'!$F$7:$F$306,"Approved")&gt;0,"A",""))="A","A",IF(OR(DATE($B$3,12,11)&gt;EOMONTH(DATE($B$3,12,1),0),NETWORKDAYS.INTL(DATE($B$3,12,11),DATE($B$3,12,11),1,'Non-working days'!$A$6:$A$45)=0),"",IF(COUNTIFS('Leave log'!$A$7:$A$306,Employees!$A$20,'Leave log'!$B$7:$B$306,"&lt;="&amp;DATE($B$3,12,11),'Leave log'!$C$7:$C$306,"&gt;="&amp;DATE($B$3,12,11),'Leave log'!$F$7:$F$306,"Pending")&gt;0,"P",""))))</f>
        <v/>
      </c>
      <c r="M395" s="23" t="str">
        <f>IF(A395="","",IF(IF(OR(DATE($B$3,12,12)&gt;EOMONTH(DATE($B$3,12,1),0),NETWORKDAYS.INTL(DATE($B$3,12,12),DATE($B$3,12,12),1,'Non-working days'!$A$6:$A$45)=0),"",IF(COUNTIFS('Leave log'!$A$7:$A$306,Employees!$A$20,'Leave log'!$B$7:$B$306,"&lt;="&amp;DATE($B$3,12,12),'Leave log'!$C$7:$C$306,"&gt;="&amp;DATE($B$3,12,12),'Leave log'!$F$7:$F$306,"Approved")&gt;0,"A",""))="A","A",IF(OR(DATE($B$3,12,12)&gt;EOMONTH(DATE($B$3,12,1),0),NETWORKDAYS.INTL(DATE($B$3,12,12),DATE($B$3,12,12),1,'Non-working days'!$A$6:$A$45)=0),"",IF(COUNTIFS('Leave log'!$A$7:$A$306,Employees!$A$20,'Leave log'!$B$7:$B$306,"&lt;="&amp;DATE($B$3,12,12),'Leave log'!$C$7:$C$306,"&gt;="&amp;DATE($B$3,12,12),'Leave log'!$F$7:$F$306,"Pending")&gt;0,"P",""))))</f>
        <v/>
      </c>
      <c r="N395" s="23" t="str">
        <f>IF(A395="","",IF(IF(OR(DATE($B$3,12,13)&gt;EOMONTH(DATE($B$3,12,1),0),NETWORKDAYS.INTL(DATE($B$3,12,13),DATE($B$3,12,13),1,'Non-working days'!$A$6:$A$45)=0),"",IF(COUNTIFS('Leave log'!$A$7:$A$306,Employees!$A$20,'Leave log'!$B$7:$B$306,"&lt;="&amp;DATE($B$3,12,13),'Leave log'!$C$7:$C$306,"&gt;="&amp;DATE($B$3,12,13),'Leave log'!$F$7:$F$306,"Approved")&gt;0,"A",""))="A","A",IF(OR(DATE($B$3,12,13)&gt;EOMONTH(DATE($B$3,12,1),0),NETWORKDAYS.INTL(DATE($B$3,12,13),DATE($B$3,12,13),1,'Non-working days'!$A$6:$A$45)=0),"",IF(COUNTIFS('Leave log'!$A$7:$A$306,Employees!$A$20,'Leave log'!$B$7:$B$306,"&lt;="&amp;DATE($B$3,12,13),'Leave log'!$C$7:$C$306,"&gt;="&amp;DATE($B$3,12,13),'Leave log'!$F$7:$F$306,"Pending")&gt;0,"P",""))))</f>
        <v/>
      </c>
      <c r="O395" s="23" t="str">
        <f>IF(A395="","",IF(IF(OR(DATE($B$3,12,14)&gt;EOMONTH(DATE($B$3,12,1),0),NETWORKDAYS.INTL(DATE($B$3,12,14),DATE($B$3,12,14),1,'Non-working days'!$A$6:$A$45)=0),"",IF(COUNTIFS('Leave log'!$A$7:$A$306,Employees!$A$20,'Leave log'!$B$7:$B$306,"&lt;="&amp;DATE($B$3,12,14),'Leave log'!$C$7:$C$306,"&gt;="&amp;DATE($B$3,12,14),'Leave log'!$F$7:$F$306,"Approved")&gt;0,"A",""))="A","A",IF(OR(DATE($B$3,12,14)&gt;EOMONTH(DATE($B$3,12,1),0),NETWORKDAYS.INTL(DATE($B$3,12,14),DATE($B$3,12,14),1,'Non-working days'!$A$6:$A$45)=0),"",IF(COUNTIFS('Leave log'!$A$7:$A$306,Employees!$A$20,'Leave log'!$B$7:$B$306,"&lt;="&amp;DATE($B$3,12,14),'Leave log'!$C$7:$C$306,"&gt;="&amp;DATE($B$3,12,14),'Leave log'!$F$7:$F$306,"Pending")&gt;0,"P",""))))</f>
        <v/>
      </c>
      <c r="P395" s="23" t="str">
        <f>IF(A395="","",IF(IF(OR(DATE($B$3,12,15)&gt;EOMONTH(DATE($B$3,12,1),0),NETWORKDAYS.INTL(DATE($B$3,12,15),DATE($B$3,12,15),1,'Non-working days'!$A$6:$A$45)=0),"",IF(COUNTIFS('Leave log'!$A$7:$A$306,Employees!$A$20,'Leave log'!$B$7:$B$306,"&lt;="&amp;DATE($B$3,12,15),'Leave log'!$C$7:$C$306,"&gt;="&amp;DATE($B$3,12,15),'Leave log'!$F$7:$F$306,"Approved")&gt;0,"A",""))="A","A",IF(OR(DATE($B$3,12,15)&gt;EOMONTH(DATE($B$3,12,1),0),NETWORKDAYS.INTL(DATE($B$3,12,15),DATE($B$3,12,15),1,'Non-working days'!$A$6:$A$45)=0),"",IF(COUNTIFS('Leave log'!$A$7:$A$306,Employees!$A$20,'Leave log'!$B$7:$B$306,"&lt;="&amp;DATE($B$3,12,15),'Leave log'!$C$7:$C$306,"&gt;="&amp;DATE($B$3,12,15),'Leave log'!$F$7:$F$306,"Pending")&gt;0,"P",""))))</f>
        <v/>
      </c>
      <c r="Q395" s="23" t="str">
        <f>IF(A395="","",IF(IF(OR(DATE($B$3,12,16)&gt;EOMONTH(DATE($B$3,12,1),0),NETWORKDAYS.INTL(DATE($B$3,12,16),DATE($B$3,12,16),1,'Non-working days'!$A$6:$A$45)=0),"",IF(COUNTIFS('Leave log'!$A$7:$A$306,Employees!$A$20,'Leave log'!$B$7:$B$306,"&lt;="&amp;DATE($B$3,12,16),'Leave log'!$C$7:$C$306,"&gt;="&amp;DATE($B$3,12,16),'Leave log'!$F$7:$F$306,"Approved")&gt;0,"A",""))="A","A",IF(OR(DATE($B$3,12,16)&gt;EOMONTH(DATE($B$3,12,1),0),NETWORKDAYS.INTL(DATE($B$3,12,16),DATE($B$3,12,16),1,'Non-working days'!$A$6:$A$45)=0),"",IF(COUNTIFS('Leave log'!$A$7:$A$306,Employees!$A$20,'Leave log'!$B$7:$B$306,"&lt;="&amp;DATE($B$3,12,16),'Leave log'!$C$7:$C$306,"&gt;="&amp;DATE($B$3,12,16),'Leave log'!$F$7:$F$306,"Pending")&gt;0,"P",""))))</f>
        <v/>
      </c>
      <c r="R395" s="23" t="str">
        <f>IF(A395="","",IF(IF(OR(DATE($B$3,12,17)&gt;EOMONTH(DATE($B$3,12,1),0),NETWORKDAYS.INTL(DATE($B$3,12,17),DATE($B$3,12,17),1,'Non-working days'!$A$6:$A$45)=0),"",IF(COUNTIFS('Leave log'!$A$7:$A$306,Employees!$A$20,'Leave log'!$B$7:$B$306,"&lt;="&amp;DATE($B$3,12,17),'Leave log'!$C$7:$C$306,"&gt;="&amp;DATE($B$3,12,17),'Leave log'!$F$7:$F$306,"Approved")&gt;0,"A",""))="A","A",IF(OR(DATE($B$3,12,17)&gt;EOMONTH(DATE($B$3,12,1),0),NETWORKDAYS.INTL(DATE($B$3,12,17),DATE($B$3,12,17),1,'Non-working days'!$A$6:$A$45)=0),"",IF(COUNTIFS('Leave log'!$A$7:$A$306,Employees!$A$20,'Leave log'!$B$7:$B$306,"&lt;="&amp;DATE($B$3,12,17),'Leave log'!$C$7:$C$306,"&gt;="&amp;DATE($B$3,12,17),'Leave log'!$F$7:$F$306,"Pending")&gt;0,"P",""))))</f>
        <v/>
      </c>
      <c r="S395" s="23" t="str">
        <f>IF(A395="","",IF(IF(OR(DATE($B$3,12,18)&gt;EOMONTH(DATE($B$3,12,1),0),NETWORKDAYS.INTL(DATE($B$3,12,18),DATE($B$3,12,18),1,'Non-working days'!$A$6:$A$45)=0),"",IF(COUNTIFS('Leave log'!$A$7:$A$306,Employees!$A$20,'Leave log'!$B$7:$B$306,"&lt;="&amp;DATE($B$3,12,18),'Leave log'!$C$7:$C$306,"&gt;="&amp;DATE($B$3,12,18),'Leave log'!$F$7:$F$306,"Approved")&gt;0,"A",""))="A","A",IF(OR(DATE($B$3,12,18)&gt;EOMONTH(DATE($B$3,12,1),0),NETWORKDAYS.INTL(DATE($B$3,12,18),DATE($B$3,12,18),1,'Non-working days'!$A$6:$A$45)=0),"",IF(COUNTIFS('Leave log'!$A$7:$A$306,Employees!$A$20,'Leave log'!$B$7:$B$306,"&lt;="&amp;DATE($B$3,12,18),'Leave log'!$C$7:$C$306,"&gt;="&amp;DATE($B$3,12,18),'Leave log'!$F$7:$F$306,"Pending")&gt;0,"P",""))))</f>
        <v/>
      </c>
      <c r="T395" s="23" t="str">
        <f>IF(A395="","",IF(IF(OR(DATE($B$3,12,19)&gt;EOMONTH(DATE($B$3,12,1),0),NETWORKDAYS.INTL(DATE($B$3,12,19),DATE($B$3,12,19),1,'Non-working days'!$A$6:$A$45)=0),"",IF(COUNTIFS('Leave log'!$A$7:$A$306,Employees!$A$20,'Leave log'!$B$7:$B$306,"&lt;="&amp;DATE($B$3,12,19),'Leave log'!$C$7:$C$306,"&gt;="&amp;DATE($B$3,12,19),'Leave log'!$F$7:$F$306,"Approved")&gt;0,"A",""))="A","A",IF(OR(DATE($B$3,12,19)&gt;EOMONTH(DATE($B$3,12,1),0),NETWORKDAYS.INTL(DATE($B$3,12,19),DATE($B$3,12,19),1,'Non-working days'!$A$6:$A$45)=0),"",IF(COUNTIFS('Leave log'!$A$7:$A$306,Employees!$A$20,'Leave log'!$B$7:$B$306,"&lt;="&amp;DATE($B$3,12,19),'Leave log'!$C$7:$C$306,"&gt;="&amp;DATE($B$3,12,19),'Leave log'!$F$7:$F$306,"Pending")&gt;0,"P",""))))</f>
        <v/>
      </c>
      <c r="U395" s="23" t="str">
        <f>IF(A395="","",IF(IF(OR(DATE($B$3,12,20)&gt;EOMONTH(DATE($B$3,12,1),0),NETWORKDAYS.INTL(DATE($B$3,12,20),DATE($B$3,12,20),1,'Non-working days'!$A$6:$A$45)=0),"",IF(COUNTIFS('Leave log'!$A$7:$A$306,Employees!$A$20,'Leave log'!$B$7:$B$306,"&lt;="&amp;DATE($B$3,12,20),'Leave log'!$C$7:$C$306,"&gt;="&amp;DATE($B$3,12,20),'Leave log'!$F$7:$F$306,"Approved")&gt;0,"A",""))="A","A",IF(OR(DATE($B$3,12,20)&gt;EOMONTH(DATE($B$3,12,1),0),NETWORKDAYS.INTL(DATE($B$3,12,20),DATE($B$3,12,20),1,'Non-working days'!$A$6:$A$45)=0),"",IF(COUNTIFS('Leave log'!$A$7:$A$306,Employees!$A$20,'Leave log'!$B$7:$B$306,"&lt;="&amp;DATE($B$3,12,20),'Leave log'!$C$7:$C$306,"&gt;="&amp;DATE($B$3,12,20),'Leave log'!$F$7:$F$306,"Pending")&gt;0,"P",""))))</f>
        <v/>
      </c>
      <c r="V395" s="23" t="str">
        <f>IF(A395="","",IF(IF(OR(DATE($B$3,12,21)&gt;EOMONTH(DATE($B$3,12,1),0),NETWORKDAYS.INTL(DATE($B$3,12,21),DATE($B$3,12,21),1,'Non-working days'!$A$6:$A$45)=0),"",IF(COUNTIFS('Leave log'!$A$7:$A$306,Employees!$A$20,'Leave log'!$B$7:$B$306,"&lt;="&amp;DATE($B$3,12,21),'Leave log'!$C$7:$C$306,"&gt;="&amp;DATE($B$3,12,21),'Leave log'!$F$7:$F$306,"Approved")&gt;0,"A",""))="A","A",IF(OR(DATE($B$3,12,21)&gt;EOMONTH(DATE($B$3,12,1),0),NETWORKDAYS.INTL(DATE($B$3,12,21),DATE($B$3,12,21),1,'Non-working days'!$A$6:$A$45)=0),"",IF(COUNTIFS('Leave log'!$A$7:$A$306,Employees!$A$20,'Leave log'!$B$7:$B$306,"&lt;="&amp;DATE($B$3,12,21),'Leave log'!$C$7:$C$306,"&gt;="&amp;DATE($B$3,12,21),'Leave log'!$F$7:$F$306,"Pending")&gt;0,"P",""))))</f>
        <v/>
      </c>
      <c r="W395" s="23" t="str">
        <f>IF(A395="","",IF(IF(OR(DATE($B$3,12,22)&gt;EOMONTH(DATE($B$3,12,1),0),NETWORKDAYS.INTL(DATE($B$3,12,22),DATE($B$3,12,22),1,'Non-working days'!$A$6:$A$45)=0),"",IF(COUNTIFS('Leave log'!$A$7:$A$306,Employees!$A$20,'Leave log'!$B$7:$B$306,"&lt;="&amp;DATE($B$3,12,22),'Leave log'!$C$7:$C$306,"&gt;="&amp;DATE($B$3,12,22),'Leave log'!$F$7:$F$306,"Approved")&gt;0,"A",""))="A","A",IF(OR(DATE($B$3,12,22)&gt;EOMONTH(DATE($B$3,12,1),0),NETWORKDAYS.INTL(DATE($B$3,12,22),DATE($B$3,12,22),1,'Non-working days'!$A$6:$A$45)=0),"",IF(COUNTIFS('Leave log'!$A$7:$A$306,Employees!$A$20,'Leave log'!$B$7:$B$306,"&lt;="&amp;DATE($B$3,12,22),'Leave log'!$C$7:$C$306,"&gt;="&amp;DATE($B$3,12,22),'Leave log'!$F$7:$F$306,"Pending")&gt;0,"P",""))))</f>
        <v/>
      </c>
      <c r="X395" s="23" t="str">
        <f>IF(A395="","",IF(IF(OR(DATE($B$3,12,23)&gt;EOMONTH(DATE($B$3,12,1),0),NETWORKDAYS.INTL(DATE($B$3,12,23),DATE($B$3,12,23),1,'Non-working days'!$A$6:$A$45)=0),"",IF(COUNTIFS('Leave log'!$A$7:$A$306,Employees!$A$20,'Leave log'!$B$7:$B$306,"&lt;="&amp;DATE($B$3,12,23),'Leave log'!$C$7:$C$306,"&gt;="&amp;DATE($B$3,12,23),'Leave log'!$F$7:$F$306,"Approved")&gt;0,"A",""))="A","A",IF(OR(DATE($B$3,12,23)&gt;EOMONTH(DATE($B$3,12,1),0),NETWORKDAYS.INTL(DATE($B$3,12,23),DATE($B$3,12,23),1,'Non-working days'!$A$6:$A$45)=0),"",IF(COUNTIFS('Leave log'!$A$7:$A$306,Employees!$A$20,'Leave log'!$B$7:$B$306,"&lt;="&amp;DATE($B$3,12,23),'Leave log'!$C$7:$C$306,"&gt;="&amp;DATE($B$3,12,23),'Leave log'!$F$7:$F$306,"Pending")&gt;0,"P",""))))</f>
        <v/>
      </c>
      <c r="Y395" s="23" t="str">
        <f>IF(A395="","",IF(IF(OR(DATE($B$3,12,24)&gt;EOMONTH(DATE($B$3,12,1),0),NETWORKDAYS.INTL(DATE($B$3,12,24),DATE($B$3,12,24),1,'Non-working days'!$A$6:$A$45)=0),"",IF(COUNTIFS('Leave log'!$A$7:$A$306,Employees!$A$20,'Leave log'!$B$7:$B$306,"&lt;="&amp;DATE($B$3,12,24),'Leave log'!$C$7:$C$306,"&gt;="&amp;DATE($B$3,12,24),'Leave log'!$F$7:$F$306,"Approved")&gt;0,"A",""))="A","A",IF(OR(DATE($B$3,12,24)&gt;EOMONTH(DATE($B$3,12,1),0),NETWORKDAYS.INTL(DATE($B$3,12,24),DATE($B$3,12,24),1,'Non-working days'!$A$6:$A$45)=0),"",IF(COUNTIFS('Leave log'!$A$7:$A$306,Employees!$A$20,'Leave log'!$B$7:$B$306,"&lt;="&amp;DATE($B$3,12,24),'Leave log'!$C$7:$C$306,"&gt;="&amp;DATE($B$3,12,24),'Leave log'!$F$7:$F$306,"Pending")&gt;0,"P",""))))</f>
        <v/>
      </c>
      <c r="Z395" s="23" t="str">
        <f>IF(A395="","",IF(IF(OR(DATE($B$3,12,25)&gt;EOMONTH(DATE($B$3,12,1),0),NETWORKDAYS.INTL(DATE($B$3,12,25),DATE($B$3,12,25),1,'Non-working days'!$A$6:$A$45)=0),"",IF(COUNTIFS('Leave log'!$A$7:$A$306,Employees!$A$20,'Leave log'!$B$7:$B$306,"&lt;="&amp;DATE($B$3,12,25),'Leave log'!$C$7:$C$306,"&gt;="&amp;DATE($B$3,12,25),'Leave log'!$F$7:$F$306,"Approved")&gt;0,"A",""))="A","A",IF(OR(DATE($B$3,12,25)&gt;EOMONTH(DATE($B$3,12,1),0),NETWORKDAYS.INTL(DATE($B$3,12,25),DATE($B$3,12,25),1,'Non-working days'!$A$6:$A$45)=0),"",IF(COUNTIFS('Leave log'!$A$7:$A$306,Employees!$A$20,'Leave log'!$B$7:$B$306,"&lt;="&amp;DATE($B$3,12,25),'Leave log'!$C$7:$C$306,"&gt;="&amp;DATE($B$3,12,25),'Leave log'!$F$7:$F$306,"Pending")&gt;0,"P",""))))</f>
        <v/>
      </c>
      <c r="AA395" s="23" t="str">
        <f>IF(A395="","",IF(IF(OR(DATE($B$3,12,26)&gt;EOMONTH(DATE($B$3,12,1),0),NETWORKDAYS.INTL(DATE($B$3,12,26),DATE($B$3,12,26),1,'Non-working days'!$A$6:$A$45)=0),"",IF(COUNTIFS('Leave log'!$A$7:$A$306,Employees!$A$20,'Leave log'!$B$7:$B$306,"&lt;="&amp;DATE($B$3,12,26),'Leave log'!$C$7:$C$306,"&gt;="&amp;DATE($B$3,12,26),'Leave log'!$F$7:$F$306,"Approved")&gt;0,"A",""))="A","A",IF(OR(DATE($B$3,12,26)&gt;EOMONTH(DATE($B$3,12,1),0),NETWORKDAYS.INTL(DATE($B$3,12,26),DATE($B$3,12,26),1,'Non-working days'!$A$6:$A$45)=0),"",IF(COUNTIFS('Leave log'!$A$7:$A$306,Employees!$A$20,'Leave log'!$B$7:$B$306,"&lt;="&amp;DATE($B$3,12,26),'Leave log'!$C$7:$C$306,"&gt;="&amp;DATE($B$3,12,26),'Leave log'!$F$7:$F$306,"Pending")&gt;0,"P",""))))</f>
        <v/>
      </c>
      <c r="AB395" s="23" t="str">
        <f>IF(A395="","",IF(IF(OR(DATE($B$3,12,27)&gt;EOMONTH(DATE($B$3,12,1),0),NETWORKDAYS.INTL(DATE($B$3,12,27),DATE($B$3,12,27),1,'Non-working days'!$A$6:$A$45)=0),"",IF(COUNTIFS('Leave log'!$A$7:$A$306,Employees!$A$20,'Leave log'!$B$7:$B$306,"&lt;="&amp;DATE($B$3,12,27),'Leave log'!$C$7:$C$306,"&gt;="&amp;DATE($B$3,12,27),'Leave log'!$F$7:$F$306,"Approved")&gt;0,"A",""))="A","A",IF(OR(DATE($B$3,12,27)&gt;EOMONTH(DATE($B$3,12,1),0),NETWORKDAYS.INTL(DATE($B$3,12,27),DATE($B$3,12,27),1,'Non-working days'!$A$6:$A$45)=0),"",IF(COUNTIFS('Leave log'!$A$7:$A$306,Employees!$A$20,'Leave log'!$B$7:$B$306,"&lt;="&amp;DATE($B$3,12,27),'Leave log'!$C$7:$C$306,"&gt;="&amp;DATE($B$3,12,27),'Leave log'!$F$7:$F$306,"Pending")&gt;0,"P",""))))</f>
        <v/>
      </c>
      <c r="AC395" s="23" t="str">
        <f>IF(A395="","",IF(IF(OR(DATE($B$3,12,28)&gt;EOMONTH(DATE($B$3,12,1),0),NETWORKDAYS.INTL(DATE($B$3,12,28),DATE($B$3,12,28),1,'Non-working days'!$A$6:$A$45)=0),"",IF(COUNTIFS('Leave log'!$A$7:$A$306,Employees!$A$20,'Leave log'!$B$7:$B$306,"&lt;="&amp;DATE($B$3,12,28),'Leave log'!$C$7:$C$306,"&gt;="&amp;DATE($B$3,12,28),'Leave log'!$F$7:$F$306,"Approved")&gt;0,"A",""))="A","A",IF(OR(DATE($B$3,12,28)&gt;EOMONTH(DATE($B$3,12,1),0),NETWORKDAYS.INTL(DATE($B$3,12,28),DATE($B$3,12,28),1,'Non-working days'!$A$6:$A$45)=0),"",IF(COUNTIFS('Leave log'!$A$7:$A$306,Employees!$A$20,'Leave log'!$B$7:$B$306,"&lt;="&amp;DATE($B$3,12,28),'Leave log'!$C$7:$C$306,"&gt;="&amp;DATE($B$3,12,28),'Leave log'!$F$7:$F$306,"Pending")&gt;0,"P",""))))</f>
        <v/>
      </c>
      <c r="AD395" s="23" t="str">
        <f>IF(A395="","",IF(IF(OR(DATE($B$3,12,29)&gt;EOMONTH(DATE($B$3,12,1),0),NETWORKDAYS.INTL(DATE($B$3,12,29),DATE($B$3,12,29),1,'Non-working days'!$A$6:$A$45)=0),"",IF(COUNTIFS('Leave log'!$A$7:$A$306,Employees!$A$20,'Leave log'!$B$7:$B$306,"&lt;="&amp;DATE($B$3,12,29),'Leave log'!$C$7:$C$306,"&gt;="&amp;DATE($B$3,12,29),'Leave log'!$F$7:$F$306,"Approved")&gt;0,"A",""))="A","A",IF(OR(DATE($B$3,12,29)&gt;EOMONTH(DATE($B$3,12,1),0),NETWORKDAYS.INTL(DATE($B$3,12,29),DATE($B$3,12,29),1,'Non-working days'!$A$6:$A$45)=0),"",IF(COUNTIFS('Leave log'!$A$7:$A$306,Employees!$A$20,'Leave log'!$B$7:$B$306,"&lt;="&amp;DATE($B$3,12,29),'Leave log'!$C$7:$C$306,"&gt;="&amp;DATE($B$3,12,29),'Leave log'!$F$7:$F$306,"Pending")&gt;0,"P",""))))</f>
        <v/>
      </c>
      <c r="AE395" s="23" t="str">
        <f>IF(A395="","",IF(IF(OR(DATE($B$3,12,30)&gt;EOMONTH(DATE($B$3,12,1),0),NETWORKDAYS.INTL(DATE($B$3,12,30),DATE($B$3,12,30),1,'Non-working days'!$A$6:$A$45)=0),"",IF(COUNTIFS('Leave log'!$A$7:$A$306,Employees!$A$20,'Leave log'!$B$7:$B$306,"&lt;="&amp;DATE($B$3,12,30),'Leave log'!$C$7:$C$306,"&gt;="&amp;DATE($B$3,12,30),'Leave log'!$F$7:$F$306,"Approved")&gt;0,"A",""))="A","A",IF(OR(DATE($B$3,12,30)&gt;EOMONTH(DATE($B$3,12,1),0),NETWORKDAYS.INTL(DATE($B$3,12,30),DATE($B$3,12,30),1,'Non-working days'!$A$6:$A$45)=0),"",IF(COUNTIFS('Leave log'!$A$7:$A$306,Employees!$A$20,'Leave log'!$B$7:$B$306,"&lt;="&amp;DATE($B$3,12,30),'Leave log'!$C$7:$C$306,"&gt;="&amp;DATE($B$3,12,30),'Leave log'!$F$7:$F$306,"Pending")&gt;0,"P",""))))</f>
        <v/>
      </c>
      <c r="AF395" s="23" t="str">
        <f>IF(A395="","",IF(IF(OR(DATE($B$3,12,31)&gt;EOMONTH(DATE($B$3,12,1),0),NETWORKDAYS.INTL(DATE($B$3,12,31),DATE($B$3,12,31),1,'Non-working days'!$A$6:$A$45)=0),"",IF(COUNTIFS('Leave log'!$A$7:$A$306,Employees!$A$20,'Leave log'!$B$7:$B$306,"&lt;="&amp;DATE($B$3,12,31),'Leave log'!$C$7:$C$306,"&gt;="&amp;DATE($B$3,12,31),'Leave log'!$F$7:$F$306,"Approved")&gt;0,"A",""))="A","A",IF(OR(DATE($B$3,12,31)&gt;EOMONTH(DATE($B$3,12,1),0),NETWORKDAYS.INTL(DATE($B$3,12,31),DATE($B$3,12,31),1,'Non-working days'!$A$6:$A$45)=0),"",IF(COUNTIFS('Leave log'!$A$7:$A$306,Employees!$A$20,'Leave log'!$B$7:$B$306,"&lt;="&amp;DATE($B$3,12,31),'Leave log'!$C$7:$C$306,"&gt;="&amp;DATE($B$3,12,31),'Leave log'!$F$7:$F$306,"Pending")&gt;0,"P",""))))</f>
        <v/>
      </c>
    </row>
    <row r="396" spans="1:32" ht="18" customHeight="1" x14ac:dyDescent="0.3">
      <c r="A396" s="22" t="str">
        <f>IF(Employees!F21="Yes",Employees!B21,"")</f>
        <v/>
      </c>
      <c r="B396" s="23" t="str">
        <f>IF(A396="","",IF(IF(OR(DATE($B$3,12,1)&gt;EOMONTH(DATE($B$3,12,1),0),NETWORKDAYS.INTL(DATE($B$3,12,1),DATE($B$3,12,1),1,'Non-working days'!$A$6:$A$45)=0),"",IF(COUNTIFS('Leave log'!$A$7:$A$306,Employees!$A$21,'Leave log'!$B$7:$B$306,"&lt;="&amp;DATE($B$3,12,1),'Leave log'!$C$7:$C$306,"&gt;="&amp;DATE($B$3,12,1),'Leave log'!$F$7:$F$306,"Approved")&gt;0,"A",""))="A","A",IF(OR(DATE($B$3,12,1)&gt;EOMONTH(DATE($B$3,12,1),0),NETWORKDAYS.INTL(DATE($B$3,12,1),DATE($B$3,12,1),1,'Non-working days'!$A$6:$A$45)=0),"",IF(COUNTIFS('Leave log'!$A$7:$A$306,Employees!$A$21,'Leave log'!$B$7:$B$306,"&lt;="&amp;DATE($B$3,12,1),'Leave log'!$C$7:$C$306,"&gt;="&amp;DATE($B$3,12,1),'Leave log'!$F$7:$F$306,"Pending")&gt;0,"P",""))))</f>
        <v/>
      </c>
      <c r="C396" s="23" t="str">
        <f>IF(A396="","",IF(IF(OR(DATE($B$3,12,2)&gt;EOMONTH(DATE($B$3,12,1),0),NETWORKDAYS.INTL(DATE($B$3,12,2),DATE($B$3,12,2),1,'Non-working days'!$A$6:$A$45)=0),"",IF(COUNTIFS('Leave log'!$A$7:$A$306,Employees!$A$21,'Leave log'!$B$7:$B$306,"&lt;="&amp;DATE($B$3,12,2),'Leave log'!$C$7:$C$306,"&gt;="&amp;DATE($B$3,12,2),'Leave log'!$F$7:$F$306,"Approved")&gt;0,"A",""))="A","A",IF(OR(DATE($B$3,12,2)&gt;EOMONTH(DATE($B$3,12,1),0),NETWORKDAYS.INTL(DATE($B$3,12,2),DATE($B$3,12,2),1,'Non-working days'!$A$6:$A$45)=0),"",IF(COUNTIFS('Leave log'!$A$7:$A$306,Employees!$A$21,'Leave log'!$B$7:$B$306,"&lt;="&amp;DATE($B$3,12,2),'Leave log'!$C$7:$C$306,"&gt;="&amp;DATE($B$3,12,2),'Leave log'!$F$7:$F$306,"Pending")&gt;0,"P",""))))</f>
        <v/>
      </c>
      <c r="D396" s="23" t="str">
        <f>IF(A396="","",IF(IF(OR(DATE($B$3,12,3)&gt;EOMONTH(DATE($B$3,12,1),0),NETWORKDAYS.INTL(DATE($B$3,12,3),DATE($B$3,12,3),1,'Non-working days'!$A$6:$A$45)=0),"",IF(COUNTIFS('Leave log'!$A$7:$A$306,Employees!$A$21,'Leave log'!$B$7:$B$306,"&lt;="&amp;DATE($B$3,12,3),'Leave log'!$C$7:$C$306,"&gt;="&amp;DATE($B$3,12,3),'Leave log'!$F$7:$F$306,"Approved")&gt;0,"A",""))="A","A",IF(OR(DATE($B$3,12,3)&gt;EOMONTH(DATE($B$3,12,1),0),NETWORKDAYS.INTL(DATE($B$3,12,3),DATE($B$3,12,3),1,'Non-working days'!$A$6:$A$45)=0),"",IF(COUNTIFS('Leave log'!$A$7:$A$306,Employees!$A$21,'Leave log'!$B$7:$B$306,"&lt;="&amp;DATE($B$3,12,3),'Leave log'!$C$7:$C$306,"&gt;="&amp;DATE($B$3,12,3),'Leave log'!$F$7:$F$306,"Pending")&gt;0,"P",""))))</f>
        <v/>
      </c>
      <c r="E396" s="23" t="str">
        <f>IF(A396="","",IF(IF(OR(DATE($B$3,12,4)&gt;EOMONTH(DATE($B$3,12,1),0),NETWORKDAYS.INTL(DATE($B$3,12,4),DATE($B$3,12,4),1,'Non-working days'!$A$6:$A$45)=0),"",IF(COUNTIFS('Leave log'!$A$7:$A$306,Employees!$A$21,'Leave log'!$B$7:$B$306,"&lt;="&amp;DATE($B$3,12,4),'Leave log'!$C$7:$C$306,"&gt;="&amp;DATE($B$3,12,4),'Leave log'!$F$7:$F$306,"Approved")&gt;0,"A",""))="A","A",IF(OR(DATE($B$3,12,4)&gt;EOMONTH(DATE($B$3,12,1),0),NETWORKDAYS.INTL(DATE($B$3,12,4),DATE($B$3,12,4),1,'Non-working days'!$A$6:$A$45)=0),"",IF(COUNTIFS('Leave log'!$A$7:$A$306,Employees!$A$21,'Leave log'!$B$7:$B$306,"&lt;="&amp;DATE($B$3,12,4),'Leave log'!$C$7:$C$306,"&gt;="&amp;DATE($B$3,12,4),'Leave log'!$F$7:$F$306,"Pending")&gt;0,"P",""))))</f>
        <v/>
      </c>
      <c r="F396" s="23" t="str">
        <f>IF(A396="","",IF(IF(OR(DATE($B$3,12,5)&gt;EOMONTH(DATE($B$3,12,1),0),NETWORKDAYS.INTL(DATE($B$3,12,5),DATE($B$3,12,5),1,'Non-working days'!$A$6:$A$45)=0),"",IF(COUNTIFS('Leave log'!$A$7:$A$306,Employees!$A$21,'Leave log'!$B$7:$B$306,"&lt;="&amp;DATE($B$3,12,5),'Leave log'!$C$7:$C$306,"&gt;="&amp;DATE($B$3,12,5),'Leave log'!$F$7:$F$306,"Approved")&gt;0,"A",""))="A","A",IF(OR(DATE($B$3,12,5)&gt;EOMONTH(DATE($B$3,12,1),0),NETWORKDAYS.INTL(DATE($B$3,12,5),DATE($B$3,12,5),1,'Non-working days'!$A$6:$A$45)=0),"",IF(COUNTIFS('Leave log'!$A$7:$A$306,Employees!$A$21,'Leave log'!$B$7:$B$306,"&lt;="&amp;DATE($B$3,12,5),'Leave log'!$C$7:$C$306,"&gt;="&amp;DATE($B$3,12,5),'Leave log'!$F$7:$F$306,"Pending")&gt;0,"P",""))))</f>
        <v/>
      </c>
      <c r="G396" s="23" t="str">
        <f>IF(A396="","",IF(IF(OR(DATE($B$3,12,6)&gt;EOMONTH(DATE($B$3,12,1),0),NETWORKDAYS.INTL(DATE($B$3,12,6),DATE($B$3,12,6),1,'Non-working days'!$A$6:$A$45)=0),"",IF(COUNTIFS('Leave log'!$A$7:$A$306,Employees!$A$21,'Leave log'!$B$7:$B$306,"&lt;="&amp;DATE($B$3,12,6),'Leave log'!$C$7:$C$306,"&gt;="&amp;DATE($B$3,12,6),'Leave log'!$F$7:$F$306,"Approved")&gt;0,"A",""))="A","A",IF(OR(DATE($B$3,12,6)&gt;EOMONTH(DATE($B$3,12,1),0),NETWORKDAYS.INTL(DATE($B$3,12,6),DATE($B$3,12,6),1,'Non-working days'!$A$6:$A$45)=0),"",IF(COUNTIFS('Leave log'!$A$7:$A$306,Employees!$A$21,'Leave log'!$B$7:$B$306,"&lt;="&amp;DATE($B$3,12,6),'Leave log'!$C$7:$C$306,"&gt;="&amp;DATE($B$3,12,6),'Leave log'!$F$7:$F$306,"Pending")&gt;0,"P",""))))</f>
        <v/>
      </c>
      <c r="H396" s="23" t="str">
        <f>IF(A396="","",IF(IF(OR(DATE($B$3,12,7)&gt;EOMONTH(DATE($B$3,12,1),0),NETWORKDAYS.INTL(DATE($B$3,12,7),DATE($B$3,12,7),1,'Non-working days'!$A$6:$A$45)=0),"",IF(COUNTIFS('Leave log'!$A$7:$A$306,Employees!$A$21,'Leave log'!$B$7:$B$306,"&lt;="&amp;DATE($B$3,12,7),'Leave log'!$C$7:$C$306,"&gt;="&amp;DATE($B$3,12,7),'Leave log'!$F$7:$F$306,"Approved")&gt;0,"A",""))="A","A",IF(OR(DATE($B$3,12,7)&gt;EOMONTH(DATE($B$3,12,1),0),NETWORKDAYS.INTL(DATE($B$3,12,7),DATE($B$3,12,7),1,'Non-working days'!$A$6:$A$45)=0),"",IF(COUNTIFS('Leave log'!$A$7:$A$306,Employees!$A$21,'Leave log'!$B$7:$B$306,"&lt;="&amp;DATE($B$3,12,7),'Leave log'!$C$7:$C$306,"&gt;="&amp;DATE($B$3,12,7),'Leave log'!$F$7:$F$306,"Pending")&gt;0,"P",""))))</f>
        <v/>
      </c>
      <c r="I396" s="23" t="str">
        <f>IF(A396="","",IF(IF(OR(DATE($B$3,12,8)&gt;EOMONTH(DATE($B$3,12,1),0),NETWORKDAYS.INTL(DATE($B$3,12,8),DATE($B$3,12,8),1,'Non-working days'!$A$6:$A$45)=0),"",IF(COUNTIFS('Leave log'!$A$7:$A$306,Employees!$A$21,'Leave log'!$B$7:$B$306,"&lt;="&amp;DATE($B$3,12,8),'Leave log'!$C$7:$C$306,"&gt;="&amp;DATE($B$3,12,8),'Leave log'!$F$7:$F$306,"Approved")&gt;0,"A",""))="A","A",IF(OR(DATE($B$3,12,8)&gt;EOMONTH(DATE($B$3,12,1),0),NETWORKDAYS.INTL(DATE($B$3,12,8),DATE($B$3,12,8),1,'Non-working days'!$A$6:$A$45)=0),"",IF(COUNTIFS('Leave log'!$A$7:$A$306,Employees!$A$21,'Leave log'!$B$7:$B$306,"&lt;="&amp;DATE($B$3,12,8),'Leave log'!$C$7:$C$306,"&gt;="&amp;DATE($B$3,12,8),'Leave log'!$F$7:$F$306,"Pending")&gt;0,"P",""))))</f>
        <v/>
      </c>
      <c r="J396" s="23" t="str">
        <f>IF(A396="","",IF(IF(OR(DATE($B$3,12,9)&gt;EOMONTH(DATE($B$3,12,1),0),NETWORKDAYS.INTL(DATE($B$3,12,9),DATE($B$3,12,9),1,'Non-working days'!$A$6:$A$45)=0),"",IF(COUNTIFS('Leave log'!$A$7:$A$306,Employees!$A$21,'Leave log'!$B$7:$B$306,"&lt;="&amp;DATE($B$3,12,9),'Leave log'!$C$7:$C$306,"&gt;="&amp;DATE($B$3,12,9),'Leave log'!$F$7:$F$306,"Approved")&gt;0,"A",""))="A","A",IF(OR(DATE($B$3,12,9)&gt;EOMONTH(DATE($B$3,12,1),0),NETWORKDAYS.INTL(DATE($B$3,12,9),DATE($B$3,12,9),1,'Non-working days'!$A$6:$A$45)=0),"",IF(COUNTIFS('Leave log'!$A$7:$A$306,Employees!$A$21,'Leave log'!$B$7:$B$306,"&lt;="&amp;DATE($B$3,12,9),'Leave log'!$C$7:$C$306,"&gt;="&amp;DATE($B$3,12,9),'Leave log'!$F$7:$F$306,"Pending")&gt;0,"P",""))))</f>
        <v/>
      </c>
      <c r="K396" s="23" t="str">
        <f>IF(A396="","",IF(IF(OR(DATE($B$3,12,10)&gt;EOMONTH(DATE($B$3,12,1),0),NETWORKDAYS.INTL(DATE($B$3,12,10),DATE($B$3,12,10),1,'Non-working days'!$A$6:$A$45)=0),"",IF(COUNTIFS('Leave log'!$A$7:$A$306,Employees!$A$21,'Leave log'!$B$7:$B$306,"&lt;="&amp;DATE($B$3,12,10),'Leave log'!$C$7:$C$306,"&gt;="&amp;DATE($B$3,12,10),'Leave log'!$F$7:$F$306,"Approved")&gt;0,"A",""))="A","A",IF(OR(DATE($B$3,12,10)&gt;EOMONTH(DATE($B$3,12,1),0),NETWORKDAYS.INTL(DATE($B$3,12,10),DATE($B$3,12,10),1,'Non-working days'!$A$6:$A$45)=0),"",IF(COUNTIFS('Leave log'!$A$7:$A$306,Employees!$A$21,'Leave log'!$B$7:$B$306,"&lt;="&amp;DATE($B$3,12,10),'Leave log'!$C$7:$C$306,"&gt;="&amp;DATE($B$3,12,10),'Leave log'!$F$7:$F$306,"Pending")&gt;0,"P",""))))</f>
        <v/>
      </c>
      <c r="L396" s="23" t="str">
        <f>IF(A396="","",IF(IF(OR(DATE($B$3,12,11)&gt;EOMONTH(DATE($B$3,12,1),0),NETWORKDAYS.INTL(DATE($B$3,12,11),DATE($B$3,12,11),1,'Non-working days'!$A$6:$A$45)=0),"",IF(COUNTIFS('Leave log'!$A$7:$A$306,Employees!$A$21,'Leave log'!$B$7:$B$306,"&lt;="&amp;DATE($B$3,12,11),'Leave log'!$C$7:$C$306,"&gt;="&amp;DATE($B$3,12,11),'Leave log'!$F$7:$F$306,"Approved")&gt;0,"A",""))="A","A",IF(OR(DATE($B$3,12,11)&gt;EOMONTH(DATE($B$3,12,1),0),NETWORKDAYS.INTL(DATE($B$3,12,11),DATE($B$3,12,11),1,'Non-working days'!$A$6:$A$45)=0),"",IF(COUNTIFS('Leave log'!$A$7:$A$306,Employees!$A$21,'Leave log'!$B$7:$B$306,"&lt;="&amp;DATE($B$3,12,11),'Leave log'!$C$7:$C$306,"&gt;="&amp;DATE($B$3,12,11),'Leave log'!$F$7:$F$306,"Pending")&gt;0,"P",""))))</f>
        <v/>
      </c>
      <c r="M396" s="23" t="str">
        <f>IF(A396="","",IF(IF(OR(DATE($B$3,12,12)&gt;EOMONTH(DATE($B$3,12,1),0),NETWORKDAYS.INTL(DATE($B$3,12,12),DATE($B$3,12,12),1,'Non-working days'!$A$6:$A$45)=0),"",IF(COUNTIFS('Leave log'!$A$7:$A$306,Employees!$A$21,'Leave log'!$B$7:$B$306,"&lt;="&amp;DATE($B$3,12,12),'Leave log'!$C$7:$C$306,"&gt;="&amp;DATE($B$3,12,12),'Leave log'!$F$7:$F$306,"Approved")&gt;0,"A",""))="A","A",IF(OR(DATE($B$3,12,12)&gt;EOMONTH(DATE($B$3,12,1),0),NETWORKDAYS.INTL(DATE($B$3,12,12),DATE($B$3,12,12),1,'Non-working days'!$A$6:$A$45)=0),"",IF(COUNTIFS('Leave log'!$A$7:$A$306,Employees!$A$21,'Leave log'!$B$7:$B$306,"&lt;="&amp;DATE($B$3,12,12),'Leave log'!$C$7:$C$306,"&gt;="&amp;DATE($B$3,12,12),'Leave log'!$F$7:$F$306,"Pending")&gt;0,"P",""))))</f>
        <v/>
      </c>
      <c r="N396" s="23" t="str">
        <f>IF(A396="","",IF(IF(OR(DATE($B$3,12,13)&gt;EOMONTH(DATE($B$3,12,1),0),NETWORKDAYS.INTL(DATE($B$3,12,13),DATE($B$3,12,13),1,'Non-working days'!$A$6:$A$45)=0),"",IF(COUNTIFS('Leave log'!$A$7:$A$306,Employees!$A$21,'Leave log'!$B$7:$B$306,"&lt;="&amp;DATE($B$3,12,13),'Leave log'!$C$7:$C$306,"&gt;="&amp;DATE($B$3,12,13),'Leave log'!$F$7:$F$306,"Approved")&gt;0,"A",""))="A","A",IF(OR(DATE($B$3,12,13)&gt;EOMONTH(DATE($B$3,12,1),0),NETWORKDAYS.INTL(DATE($B$3,12,13),DATE($B$3,12,13),1,'Non-working days'!$A$6:$A$45)=0),"",IF(COUNTIFS('Leave log'!$A$7:$A$306,Employees!$A$21,'Leave log'!$B$7:$B$306,"&lt;="&amp;DATE($B$3,12,13),'Leave log'!$C$7:$C$306,"&gt;="&amp;DATE($B$3,12,13),'Leave log'!$F$7:$F$306,"Pending")&gt;0,"P",""))))</f>
        <v/>
      </c>
      <c r="O396" s="23" t="str">
        <f>IF(A396="","",IF(IF(OR(DATE($B$3,12,14)&gt;EOMONTH(DATE($B$3,12,1),0),NETWORKDAYS.INTL(DATE($B$3,12,14),DATE($B$3,12,14),1,'Non-working days'!$A$6:$A$45)=0),"",IF(COUNTIFS('Leave log'!$A$7:$A$306,Employees!$A$21,'Leave log'!$B$7:$B$306,"&lt;="&amp;DATE($B$3,12,14),'Leave log'!$C$7:$C$306,"&gt;="&amp;DATE($B$3,12,14),'Leave log'!$F$7:$F$306,"Approved")&gt;0,"A",""))="A","A",IF(OR(DATE($B$3,12,14)&gt;EOMONTH(DATE($B$3,12,1),0),NETWORKDAYS.INTL(DATE($B$3,12,14),DATE($B$3,12,14),1,'Non-working days'!$A$6:$A$45)=0),"",IF(COUNTIFS('Leave log'!$A$7:$A$306,Employees!$A$21,'Leave log'!$B$7:$B$306,"&lt;="&amp;DATE($B$3,12,14),'Leave log'!$C$7:$C$306,"&gt;="&amp;DATE($B$3,12,14),'Leave log'!$F$7:$F$306,"Pending")&gt;0,"P",""))))</f>
        <v/>
      </c>
      <c r="P396" s="23" t="str">
        <f>IF(A396="","",IF(IF(OR(DATE($B$3,12,15)&gt;EOMONTH(DATE($B$3,12,1),0),NETWORKDAYS.INTL(DATE($B$3,12,15),DATE($B$3,12,15),1,'Non-working days'!$A$6:$A$45)=0),"",IF(COUNTIFS('Leave log'!$A$7:$A$306,Employees!$A$21,'Leave log'!$B$7:$B$306,"&lt;="&amp;DATE($B$3,12,15),'Leave log'!$C$7:$C$306,"&gt;="&amp;DATE($B$3,12,15),'Leave log'!$F$7:$F$306,"Approved")&gt;0,"A",""))="A","A",IF(OR(DATE($B$3,12,15)&gt;EOMONTH(DATE($B$3,12,1),0),NETWORKDAYS.INTL(DATE($B$3,12,15),DATE($B$3,12,15),1,'Non-working days'!$A$6:$A$45)=0),"",IF(COUNTIFS('Leave log'!$A$7:$A$306,Employees!$A$21,'Leave log'!$B$7:$B$306,"&lt;="&amp;DATE($B$3,12,15),'Leave log'!$C$7:$C$306,"&gt;="&amp;DATE($B$3,12,15),'Leave log'!$F$7:$F$306,"Pending")&gt;0,"P",""))))</f>
        <v/>
      </c>
      <c r="Q396" s="23" t="str">
        <f>IF(A396="","",IF(IF(OR(DATE($B$3,12,16)&gt;EOMONTH(DATE($B$3,12,1),0),NETWORKDAYS.INTL(DATE($B$3,12,16),DATE($B$3,12,16),1,'Non-working days'!$A$6:$A$45)=0),"",IF(COUNTIFS('Leave log'!$A$7:$A$306,Employees!$A$21,'Leave log'!$B$7:$B$306,"&lt;="&amp;DATE($B$3,12,16),'Leave log'!$C$7:$C$306,"&gt;="&amp;DATE($B$3,12,16),'Leave log'!$F$7:$F$306,"Approved")&gt;0,"A",""))="A","A",IF(OR(DATE($B$3,12,16)&gt;EOMONTH(DATE($B$3,12,1),0),NETWORKDAYS.INTL(DATE($B$3,12,16),DATE($B$3,12,16),1,'Non-working days'!$A$6:$A$45)=0),"",IF(COUNTIFS('Leave log'!$A$7:$A$306,Employees!$A$21,'Leave log'!$B$7:$B$306,"&lt;="&amp;DATE($B$3,12,16),'Leave log'!$C$7:$C$306,"&gt;="&amp;DATE($B$3,12,16),'Leave log'!$F$7:$F$306,"Pending")&gt;0,"P",""))))</f>
        <v/>
      </c>
      <c r="R396" s="23" t="str">
        <f>IF(A396="","",IF(IF(OR(DATE($B$3,12,17)&gt;EOMONTH(DATE($B$3,12,1),0),NETWORKDAYS.INTL(DATE($B$3,12,17),DATE($B$3,12,17),1,'Non-working days'!$A$6:$A$45)=0),"",IF(COUNTIFS('Leave log'!$A$7:$A$306,Employees!$A$21,'Leave log'!$B$7:$B$306,"&lt;="&amp;DATE($B$3,12,17),'Leave log'!$C$7:$C$306,"&gt;="&amp;DATE($B$3,12,17),'Leave log'!$F$7:$F$306,"Approved")&gt;0,"A",""))="A","A",IF(OR(DATE($B$3,12,17)&gt;EOMONTH(DATE($B$3,12,1),0),NETWORKDAYS.INTL(DATE($B$3,12,17),DATE($B$3,12,17),1,'Non-working days'!$A$6:$A$45)=0),"",IF(COUNTIFS('Leave log'!$A$7:$A$306,Employees!$A$21,'Leave log'!$B$7:$B$306,"&lt;="&amp;DATE($B$3,12,17),'Leave log'!$C$7:$C$306,"&gt;="&amp;DATE($B$3,12,17),'Leave log'!$F$7:$F$306,"Pending")&gt;0,"P",""))))</f>
        <v/>
      </c>
      <c r="S396" s="23" t="str">
        <f>IF(A396="","",IF(IF(OR(DATE($B$3,12,18)&gt;EOMONTH(DATE($B$3,12,1),0),NETWORKDAYS.INTL(DATE($B$3,12,18),DATE($B$3,12,18),1,'Non-working days'!$A$6:$A$45)=0),"",IF(COUNTIFS('Leave log'!$A$7:$A$306,Employees!$A$21,'Leave log'!$B$7:$B$306,"&lt;="&amp;DATE($B$3,12,18),'Leave log'!$C$7:$C$306,"&gt;="&amp;DATE($B$3,12,18),'Leave log'!$F$7:$F$306,"Approved")&gt;0,"A",""))="A","A",IF(OR(DATE($B$3,12,18)&gt;EOMONTH(DATE($B$3,12,1),0),NETWORKDAYS.INTL(DATE($B$3,12,18),DATE($B$3,12,18),1,'Non-working days'!$A$6:$A$45)=0),"",IF(COUNTIFS('Leave log'!$A$7:$A$306,Employees!$A$21,'Leave log'!$B$7:$B$306,"&lt;="&amp;DATE($B$3,12,18),'Leave log'!$C$7:$C$306,"&gt;="&amp;DATE($B$3,12,18),'Leave log'!$F$7:$F$306,"Pending")&gt;0,"P",""))))</f>
        <v/>
      </c>
      <c r="T396" s="23" t="str">
        <f>IF(A396="","",IF(IF(OR(DATE($B$3,12,19)&gt;EOMONTH(DATE($B$3,12,1),0),NETWORKDAYS.INTL(DATE($B$3,12,19),DATE($B$3,12,19),1,'Non-working days'!$A$6:$A$45)=0),"",IF(COUNTIFS('Leave log'!$A$7:$A$306,Employees!$A$21,'Leave log'!$B$7:$B$306,"&lt;="&amp;DATE($B$3,12,19),'Leave log'!$C$7:$C$306,"&gt;="&amp;DATE($B$3,12,19),'Leave log'!$F$7:$F$306,"Approved")&gt;0,"A",""))="A","A",IF(OR(DATE($B$3,12,19)&gt;EOMONTH(DATE($B$3,12,1),0),NETWORKDAYS.INTL(DATE($B$3,12,19),DATE($B$3,12,19),1,'Non-working days'!$A$6:$A$45)=0),"",IF(COUNTIFS('Leave log'!$A$7:$A$306,Employees!$A$21,'Leave log'!$B$7:$B$306,"&lt;="&amp;DATE($B$3,12,19),'Leave log'!$C$7:$C$306,"&gt;="&amp;DATE($B$3,12,19),'Leave log'!$F$7:$F$306,"Pending")&gt;0,"P",""))))</f>
        <v/>
      </c>
      <c r="U396" s="23" t="str">
        <f>IF(A396="","",IF(IF(OR(DATE($B$3,12,20)&gt;EOMONTH(DATE($B$3,12,1),0),NETWORKDAYS.INTL(DATE($B$3,12,20),DATE($B$3,12,20),1,'Non-working days'!$A$6:$A$45)=0),"",IF(COUNTIFS('Leave log'!$A$7:$A$306,Employees!$A$21,'Leave log'!$B$7:$B$306,"&lt;="&amp;DATE($B$3,12,20),'Leave log'!$C$7:$C$306,"&gt;="&amp;DATE($B$3,12,20),'Leave log'!$F$7:$F$306,"Approved")&gt;0,"A",""))="A","A",IF(OR(DATE($B$3,12,20)&gt;EOMONTH(DATE($B$3,12,1),0),NETWORKDAYS.INTL(DATE($B$3,12,20),DATE($B$3,12,20),1,'Non-working days'!$A$6:$A$45)=0),"",IF(COUNTIFS('Leave log'!$A$7:$A$306,Employees!$A$21,'Leave log'!$B$7:$B$306,"&lt;="&amp;DATE($B$3,12,20),'Leave log'!$C$7:$C$306,"&gt;="&amp;DATE($B$3,12,20),'Leave log'!$F$7:$F$306,"Pending")&gt;0,"P",""))))</f>
        <v/>
      </c>
      <c r="V396" s="23" t="str">
        <f>IF(A396="","",IF(IF(OR(DATE($B$3,12,21)&gt;EOMONTH(DATE($B$3,12,1),0),NETWORKDAYS.INTL(DATE($B$3,12,21),DATE($B$3,12,21),1,'Non-working days'!$A$6:$A$45)=0),"",IF(COUNTIFS('Leave log'!$A$7:$A$306,Employees!$A$21,'Leave log'!$B$7:$B$306,"&lt;="&amp;DATE($B$3,12,21),'Leave log'!$C$7:$C$306,"&gt;="&amp;DATE($B$3,12,21),'Leave log'!$F$7:$F$306,"Approved")&gt;0,"A",""))="A","A",IF(OR(DATE($B$3,12,21)&gt;EOMONTH(DATE($B$3,12,1),0),NETWORKDAYS.INTL(DATE($B$3,12,21),DATE($B$3,12,21),1,'Non-working days'!$A$6:$A$45)=0),"",IF(COUNTIFS('Leave log'!$A$7:$A$306,Employees!$A$21,'Leave log'!$B$7:$B$306,"&lt;="&amp;DATE($B$3,12,21),'Leave log'!$C$7:$C$306,"&gt;="&amp;DATE($B$3,12,21),'Leave log'!$F$7:$F$306,"Pending")&gt;0,"P",""))))</f>
        <v/>
      </c>
      <c r="W396" s="23" t="str">
        <f>IF(A396="","",IF(IF(OR(DATE($B$3,12,22)&gt;EOMONTH(DATE($B$3,12,1),0),NETWORKDAYS.INTL(DATE($B$3,12,22),DATE($B$3,12,22),1,'Non-working days'!$A$6:$A$45)=0),"",IF(COUNTIFS('Leave log'!$A$7:$A$306,Employees!$A$21,'Leave log'!$B$7:$B$306,"&lt;="&amp;DATE($B$3,12,22),'Leave log'!$C$7:$C$306,"&gt;="&amp;DATE($B$3,12,22),'Leave log'!$F$7:$F$306,"Approved")&gt;0,"A",""))="A","A",IF(OR(DATE($B$3,12,22)&gt;EOMONTH(DATE($B$3,12,1),0),NETWORKDAYS.INTL(DATE($B$3,12,22),DATE($B$3,12,22),1,'Non-working days'!$A$6:$A$45)=0),"",IF(COUNTIFS('Leave log'!$A$7:$A$306,Employees!$A$21,'Leave log'!$B$7:$B$306,"&lt;="&amp;DATE($B$3,12,22),'Leave log'!$C$7:$C$306,"&gt;="&amp;DATE($B$3,12,22),'Leave log'!$F$7:$F$306,"Pending")&gt;0,"P",""))))</f>
        <v/>
      </c>
      <c r="X396" s="23" t="str">
        <f>IF(A396="","",IF(IF(OR(DATE($B$3,12,23)&gt;EOMONTH(DATE($B$3,12,1),0),NETWORKDAYS.INTL(DATE($B$3,12,23),DATE($B$3,12,23),1,'Non-working days'!$A$6:$A$45)=0),"",IF(COUNTIFS('Leave log'!$A$7:$A$306,Employees!$A$21,'Leave log'!$B$7:$B$306,"&lt;="&amp;DATE($B$3,12,23),'Leave log'!$C$7:$C$306,"&gt;="&amp;DATE($B$3,12,23),'Leave log'!$F$7:$F$306,"Approved")&gt;0,"A",""))="A","A",IF(OR(DATE($B$3,12,23)&gt;EOMONTH(DATE($B$3,12,1),0),NETWORKDAYS.INTL(DATE($B$3,12,23),DATE($B$3,12,23),1,'Non-working days'!$A$6:$A$45)=0),"",IF(COUNTIFS('Leave log'!$A$7:$A$306,Employees!$A$21,'Leave log'!$B$7:$B$306,"&lt;="&amp;DATE($B$3,12,23),'Leave log'!$C$7:$C$306,"&gt;="&amp;DATE($B$3,12,23),'Leave log'!$F$7:$F$306,"Pending")&gt;0,"P",""))))</f>
        <v/>
      </c>
      <c r="Y396" s="23" t="str">
        <f>IF(A396="","",IF(IF(OR(DATE($B$3,12,24)&gt;EOMONTH(DATE($B$3,12,1),0),NETWORKDAYS.INTL(DATE($B$3,12,24),DATE($B$3,12,24),1,'Non-working days'!$A$6:$A$45)=0),"",IF(COUNTIFS('Leave log'!$A$7:$A$306,Employees!$A$21,'Leave log'!$B$7:$B$306,"&lt;="&amp;DATE($B$3,12,24),'Leave log'!$C$7:$C$306,"&gt;="&amp;DATE($B$3,12,24),'Leave log'!$F$7:$F$306,"Approved")&gt;0,"A",""))="A","A",IF(OR(DATE($B$3,12,24)&gt;EOMONTH(DATE($B$3,12,1),0),NETWORKDAYS.INTL(DATE($B$3,12,24),DATE($B$3,12,24),1,'Non-working days'!$A$6:$A$45)=0),"",IF(COUNTIFS('Leave log'!$A$7:$A$306,Employees!$A$21,'Leave log'!$B$7:$B$306,"&lt;="&amp;DATE($B$3,12,24),'Leave log'!$C$7:$C$306,"&gt;="&amp;DATE($B$3,12,24),'Leave log'!$F$7:$F$306,"Pending")&gt;0,"P",""))))</f>
        <v/>
      </c>
      <c r="Z396" s="23" t="str">
        <f>IF(A396="","",IF(IF(OR(DATE($B$3,12,25)&gt;EOMONTH(DATE($B$3,12,1),0),NETWORKDAYS.INTL(DATE($B$3,12,25),DATE($B$3,12,25),1,'Non-working days'!$A$6:$A$45)=0),"",IF(COUNTIFS('Leave log'!$A$7:$A$306,Employees!$A$21,'Leave log'!$B$7:$B$306,"&lt;="&amp;DATE($B$3,12,25),'Leave log'!$C$7:$C$306,"&gt;="&amp;DATE($B$3,12,25),'Leave log'!$F$7:$F$306,"Approved")&gt;0,"A",""))="A","A",IF(OR(DATE($B$3,12,25)&gt;EOMONTH(DATE($B$3,12,1),0),NETWORKDAYS.INTL(DATE($B$3,12,25),DATE($B$3,12,25),1,'Non-working days'!$A$6:$A$45)=0),"",IF(COUNTIFS('Leave log'!$A$7:$A$306,Employees!$A$21,'Leave log'!$B$7:$B$306,"&lt;="&amp;DATE($B$3,12,25),'Leave log'!$C$7:$C$306,"&gt;="&amp;DATE($B$3,12,25),'Leave log'!$F$7:$F$306,"Pending")&gt;0,"P",""))))</f>
        <v/>
      </c>
      <c r="AA396" s="23" t="str">
        <f>IF(A396="","",IF(IF(OR(DATE($B$3,12,26)&gt;EOMONTH(DATE($B$3,12,1),0),NETWORKDAYS.INTL(DATE($B$3,12,26),DATE($B$3,12,26),1,'Non-working days'!$A$6:$A$45)=0),"",IF(COUNTIFS('Leave log'!$A$7:$A$306,Employees!$A$21,'Leave log'!$B$7:$B$306,"&lt;="&amp;DATE($B$3,12,26),'Leave log'!$C$7:$C$306,"&gt;="&amp;DATE($B$3,12,26),'Leave log'!$F$7:$F$306,"Approved")&gt;0,"A",""))="A","A",IF(OR(DATE($B$3,12,26)&gt;EOMONTH(DATE($B$3,12,1),0),NETWORKDAYS.INTL(DATE($B$3,12,26),DATE($B$3,12,26),1,'Non-working days'!$A$6:$A$45)=0),"",IF(COUNTIFS('Leave log'!$A$7:$A$306,Employees!$A$21,'Leave log'!$B$7:$B$306,"&lt;="&amp;DATE($B$3,12,26),'Leave log'!$C$7:$C$306,"&gt;="&amp;DATE($B$3,12,26),'Leave log'!$F$7:$F$306,"Pending")&gt;0,"P",""))))</f>
        <v/>
      </c>
      <c r="AB396" s="23" t="str">
        <f>IF(A396="","",IF(IF(OR(DATE($B$3,12,27)&gt;EOMONTH(DATE($B$3,12,1),0),NETWORKDAYS.INTL(DATE($B$3,12,27),DATE($B$3,12,27),1,'Non-working days'!$A$6:$A$45)=0),"",IF(COUNTIFS('Leave log'!$A$7:$A$306,Employees!$A$21,'Leave log'!$B$7:$B$306,"&lt;="&amp;DATE($B$3,12,27),'Leave log'!$C$7:$C$306,"&gt;="&amp;DATE($B$3,12,27),'Leave log'!$F$7:$F$306,"Approved")&gt;0,"A",""))="A","A",IF(OR(DATE($B$3,12,27)&gt;EOMONTH(DATE($B$3,12,1),0),NETWORKDAYS.INTL(DATE($B$3,12,27),DATE($B$3,12,27),1,'Non-working days'!$A$6:$A$45)=0),"",IF(COUNTIFS('Leave log'!$A$7:$A$306,Employees!$A$21,'Leave log'!$B$7:$B$306,"&lt;="&amp;DATE($B$3,12,27),'Leave log'!$C$7:$C$306,"&gt;="&amp;DATE($B$3,12,27),'Leave log'!$F$7:$F$306,"Pending")&gt;0,"P",""))))</f>
        <v/>
      </c>
      <c r="AC396" s="23" t="str">
        <f>IF(A396="","",IF(IF(OR(DATE($B$3,12,28)&gt;EOMONTH(DATE($B$3,12,1),0),NETWORKDAYS.INTL(DATE($B$3,12,28),DATE($B$3,12,28),1,'Non-working days'!$A$6:$A$45)=0),"",IF(COUNTIFS('Leave log'!$A$7:$A$306,Employees!$A$21,'Leave log'!$B$7:$B$306,"&lt;="&amp;DATE($B$3,12,28),'Leave log'!$C$7:$C$306,"&gt;="&amp;DATE($B$3,12,28),'Leave log'!$F$7:$F$306,"Approved")&gt;0,"A",""))="A","A",IF(OR(DATE($B$3,12,28)&gt;EOMONTH(DATE($B$3,12,1),0),NETWORKDAYS.INTL(DATE($B$3,12,28),DATE($B$3,12,28),1,'Non-working days'!$A$6:$A$45)=0),"",IF(COUNTIFS('Leave log'!$A$7:$A$306,Employees!$A$21,'Leave log'!$B$7:$B$306,"&lt;="&amp;DATE($B$3,12,28),'Leave log'!$C$7:$C$306,"&gt;="&amp;DATE($B$3,12,28),'Leave log'!$F$7:$F$306,"Pending")&gt;0,"P",""))))</f>
        <v/>
      </c>
      <c r="AD396" s="23" t="str">
        <f>IF(A396="","",IF(IF(OR(DATE($B$3,12,29)&gt;EOMONTH(DATE($B$3,12,1),0),NETWORKDAYS.INTL(DATE($B$3,12,29),DATE($B$3,12,29),1,'Non-working days'!$A$6:$A$45)=0),"",IF(COUNTIFS('Leave log'!$A$7:$A$306,Employees!$A$21,'Leave log'!$B$7:$B$306,"&lt;="&amp;DATE($B$3,12,29),'Leave log'!$C$7:$C$306,"&gt;="&amp;DATE($B$3,12,29),'Leave log'!$F$7:$F$306,"Approved")&gt;0,"A",""))="A","A",IF(OR(DATE($B$3,12,29)&gt;EOMONTH(DATE($B$3,12,1),0),NETWORKDAYS.INTL(DATE($B$3,12,29),DATE($B$3,12,29),1,'Non-working days'!$A$6:$A$45)=0),"",IF(COUNTIFS('Leave log'!$A$7:$A$306,Employees!$A$21,'Leave log'!$B$7:$B$306,"&lt;="&amp;DATE($B$3,12,29),'Leave log'!$C$7:$C$306,"&gt;="&amp;DATE($B$3,12,29),'Leave log'!$F$7:$F$306,"Pending")&gt;0,"P",""))))</f>
        <v/>
      </c>
      <c r="AE396" s="23" t="str">
        <f>IF(A396="","",IF(IF(OR(DATE($B$3,12,30)&gt;EOMONTH(DATE($B$3,12,1),0),NETWORKDAYS.INTL(DATE($B$3,12,30),DATE($B$3,12,30),1,'Non-working days'!$A$6:$A$45)=0),"",IF(COUNTIFS('Leave log'!$A$7:$A$306,Employees!$A$21,'Leave log'!$B$7:$B$306,"&lt;="&amp;DATE($B$3,12,30),'Leave log'!$C$7:$C$306,"&gt;="&amp;DATE($B$3,12,30),'Leave log'!$F$7:$F$306,"Approved")&gt;0,"A",""))="A","A",IF(OR(DATE($B$3,12,30)&gt;EOMONTH(DATE($B$3,12,1),0),NETWORKDAYS.INTL(DATE($B$3,12,30),DATE($B$3,12,30),1,'Non-working days'!$A$6:$A$45)=0),"",IF(COUNTIFS('Leave log'!$A$7:$A$306,Employees!$A$21,'Leave log'!$B$7:$B$306,"&lt;="&amp;DATE($B$3,12,30),'Leave log'!$C$7:$C$306,"&gt;="&amp;DATE($B$3,12,30),'Leave log'!$F$7:$F$306,"Pending")&gt;0,"P",""))))</f>
        <v/>
      </c>
      <c r="AF396" s="23" t="str">
        <f>IF(A396="","",IF(IF(OR(DATE($B$3,12,31)&gt;EOMONTH(DATE($B$3,12,1),0),NETWORKDAYS.INTL(DATE($B$3,12,31),DATE($B$3,12,31),1,'Non-working days'!$A$6:$A$45)=0),"",IF(COUNTIFS('Leave log'!$A$7:$A$306,Employees!$A$21,'Leave log'!$B$7:$B$306,"&lt;="&amp;DATE($B$3,12,31),'Leave log'!$C$7:$C$306,"&gt;="&amp;DATE($B$3,12,31),'Leave log'!$F$7:$F$306,"Approved")&gt;0,"A",""))="A","A",IF(OR(DATE($B$3,12,31)&gt;EOMONTH(DATE($B$3,12,1),0),NETWORKDAYS.INTL(DATE($B$3,12,31),DATE($B$3,12,31),1,'Non-working days'!$A$6:$A$45)=0),"",IF(COUNTIFS('Leave log'!$A$7:$A$306,Employees!$A$21,'Leave log'!$B$7:$B$306,"&lt;="&amp;DATE($B$3,12,31),'Leave log'!$C$7:$C$306,"&gt;="&amp;DATE($B$3,12,31),'Leave log'!$F$7:$F$306,"Pending")&gt;0,"P",""))))</f>
        <v/>
      </c>
    </row>
    <row r="397" spans="1:32" ht="18" customHeight="1" x14ac:dyDescent="0.3">
      <c r="A397" s="22" t="str">
        <f>IF(Employees!F22="Yes",Employees!B22,"")</f>
        <v/>
      </c>
      <c r="B397" s="23" t="str">
        <f>IF(A397="","",IF(IF(OR(DATE($B$3,12,1)&gt;EOMONTH(DATE($B$3,12,1),0),NETWORKDAYS.INTL(DATE($B$3,12,1),DATE($B$3,12,1),1,'Non-working days'!$A$6:$A$45)=0),"",IF(COUNTIFS('Leave log'!$A$7:$A$306,Employees!$A$22,'Leave log'!$B$7:$B$306,"&lt;="&amp;DATE($B$3,12,1),'Leave log'!$C$7:$C$306,"&gt;="&amp;DATE($B$3,12,1),'Leave log'!$F$7:$F$306,"Approved")&gt;0,"A",""))="A","A",IF(OR(DATE($B$3,12,1)&gt;EOMONTH(DATE($B$3,12,1),0),NETWORKDAYS.INTL(DATE($B$3,12,1),DATE($B$3,12,1),1,'Non-working days'!$A$6:$A$45)=0),"",IF(COUNTIFS('Leave log'!$A$7:$A$306,Employees!$A$22,'Leave log'!$B$7:$B$306,"&lt;="&amp;DATE($B$3,12,1),'Leave log'!$C$7:$C$306,"&gt;="&amp;DATE($B$3,12,1),'Leave log'!$F$7:$F$306,"Pending")&gt;0,"P",""))))</f>
        <v/>
      </c>
      <c r="C397" s="23" t="str">
        <f>IF(A397="","",IF(IF(OR(DATE($B$3,12,2)&gt;EOMONTH(DATE($B$3,12,1),0),NETWORKDAYS.INTL(DATE($B$3,12,2),DATE($B$3,12,2),1,'Non-working days'!$A$6:$A$45)=0),"",IF(COUNTIFS('Leave log'!$A$7:$A$306,Employees!$A$22,'Leave log'!$B$7:$B$306,"&lt;="&amp;DATE($B$3,12,2),'Leave log'!$C$7:$C$306,"&gt;="&amp;DATE($B$3,12,2),'Leave log'!$F$7:$F$306,"Approved")&gt;0,"A",""))="A","A",IF(OR(DATE($B$3,12,2)&gt;EOMONTH(DATE($B$3,12,1),0),NETWORKDAYS.INTL(DATE($B$3,12,2),DATE($B$3,12,2),1,'Non-working days'!$A$6:$A$45)=0),"",IF(COUNTIFS('Leave log'!$A$7:$A$306,Employees!$A$22,'Leave log'!$B$7:$B$306,"&lt;="&amp;DATE($B$3,12,2),'Leave log'!$C$7:$C$306,"&gt;="&amp;DATE($B$3,12,2),'Leave log'!$F$7:$F$306,"Pending")&gt;0,"P",""))))</f>
        <v/>
      </c>
      <c r="D397" s="23" t="str">
        <f>IF(A397="","",IF(IF(OR(DATE($B$3,12,3)&gt;EOMONTH(DATE($B$3,12,1),0),NETWORKDAYS.INTL(DATE($B$3,12,3),DATE($B$3,12,3),1,'Non-working days'!$A$6:$A$45)=0),"",IF(COUNTIFS('Leave log'!$A$7:$A$306,Employees!$A$22,'Leave log'!$B$7:$B$306,"&lt;="&amp;DATE($B$3,12,3),'Leave log'!$C$7:$C$306,"&gt;="&amp;DATE($B$3,12,3),'Leave log'!$F$7:$F$306,"Approved")&gt;0,"A",""))="A","A",IF(OR(DATE($B$3,12,3)&gt;EOMONTH(DATE($B$3,12,1),0),NETWORKDAYS.INTL(DATE($B$3,12,3),DATE($B$3,12,3),1,'Non-working days'!$A$6:$A$45)=0),"",IF(COUNTIFS('Leave log'!$A$7:$A$306,Employees!$A$22,'Leave log'!$B$7:$B$306,"&lt;="&amp;DATE($B$3,12,3),'Leave log'!$C$7:$C$306,"&gt;="&amp;DATE($B$3,12,3),'Leave log'!$F$7:$F$306,"Pending")&gt;0,"P",""))))</f>
        <v/>
      </c>
      <c r="E397" s="23" t="str">
        <f>IF(A397="","",IF(IF(OR(DATE($B$3,12,4)&gt;EOMONTH(DATE($B$3,12,1),0),NETWORKDAYS.INTL(DATE($B$3,12,4),DATE($B$3,12,4),1,'Non-working days'!$A$6:$A$45)=0),"",IF(COUNTIFS('Leave log'!$A$7:$A$306,Employees!$A$22,'Leave log'!$B$7:$B$306,"&lt;="&amp;DATE($B$3,12,4),'Leave log'!$C$7:$C$306,"&gt;="&amp;DATE($B$3,12,4),'Leave log'!$F$7:$F$306,"Approved")&gt;0,"A",""))="A","A",IF(OR(DATE($B$3,12,4)&gt;EOMONTH(DATE($B$3,12,1),0),NETWORKDAYS.INTL(DATE($B$3,12,4),DATE($B$3,12,4),1,'Non-working days'!$A$6:$A$45)=0),"",IF(COUNTIFS('Leave log'!$A$7:$A$306,Employees!$A$22,'Leave log'!$B$7:$B$306,"&lt;="&amp;DATE($B$3,12,4),'Leave log'!$C$7:$C$306,"&gt;="&amp;DATE($B$3,12,4),'Leave log'!$F$7:$F$306,"Pending")&gt;0,"P",""))))</f>
        <v/>
      </c>
      <c r="F397" s="23" t="str">
        <f>IF(A397="","",IF(IF(OR(DATE($B$3,12,5)&gt;EOMONTH(DATE($B$3,12,1),0),NETWORKDAYS.INTL(DATE($B$3,12,5),DATE($B$3,12,5),1,'Non-working days'!$A$6:$A$45)=0),"",IF(COUNTIFS('Leave log'!$A$7:$A$306,Employees!$A$22,'Leave log'!$B$7:$B$306,"&lt;="&amp;DATE($B$3,12,5),'Leave log'!$C$7:$C$306,"&gt;="&amp;DATE($B$3,12,5),'Leave log'!$F$7:$F$306,"Approved")&gt;0,"A",""))="A","A",IF(OR(DATE($B$3,12,5)&gt;EOMONTH(DATE($B$3,12,1),0),NETWORKDAYS.INTL(DATE($B$3,12,5),DATE($B$3,12,5),1,'Non-working days'!$A$6:$A$45)=0),"",IF(COUNTIFS('Leave log'!$A$7:$A$306,Employees!$A$22,'Leave log'!$B$7:$B$306,"&lt;="&amp;DATE($B$3,12,5),'Leave log'!$C$7:$C$306,"&gt;="&amp;DATE($B$3,12,5),'Leave log'!$F$7:$F$306,"Pending")&gt;0,"P",""))))</f>
        <v/>
      </c>
      <c r="G397" s="23" t="str">
        <f>IF(A397="","",IF(IF(OR(DATE($B$3,12,6)&gt;EOMONTH(DATE($B$3,12,1),0),NETWORKDAYS.INTL(DATE($B$3,12,6),DATE($B$3,12,6),1,'Non-working days'!$A$6:$A$45)=0),"",IF(COUNTIFS('Leave log'!$A$7:$A$306,Employees!$A$22,'Leave log'!$B$7:$B$306,"&lt;="&amp;DATE($B$3,12,6),'Leave log'!$C$7:$C$306,"&gt;="&amp;DATE($B$3,12,6),'Leave log'!$F$7:$F$306,"Approved")&gt;0,"A",""))="A","A",IF(OR(DATE($B$3,12,6)&gt;EOMONTH(DATE($B$3,12,1),0),NETWORKDAYS.INTL(DATE($B$3,12,6),DATE($B$3,12,6),1,'Non-working days'!$A$6:$A$45)=0),"",IF(COUNTIFS('Leave log'!$A$7:$A$306,Employees!$A$22,'Leave log'!$B$7:$B$306,"&lt;="&amp;DATE($B$3,12,6),'Leave log'!$C$7:$C$306,"&gt;="&amp;DATE($B$3,12,6),'Leave log'!$F$7:$F$306,"Pending")&gt;0,"P",""))))</f>
        <v/>
      </c>
      <c r="H397" s="23" t="str">
        <f>IF(A397="","",IF(IF(OR(DATE($B$3,12,7)&gt;EOMONTH(DATE($B$3,12,1),0),NETWORKDAYS.INTL(DATE($B$3,12,7),DATE($B$3,12,7),1,'Non-working days'!$A$6:$A$45)=0),"",IF(COUNTIFS('Leave log'!$A$7:$A$306,Employees!$A$22,'Leave log'!$B$7:$B$306,"&lt;="&amp;DATE($B$3,12,7),'Leave log'!$C$7:$C$306,"&gt;="&amp;DATE($B$3,12,7),'Leave log'!$F$7:$F$306,"Approved")&gt;0,"A",""))="A","A",IF(OR(DATE($B$3,12,7)&gt;EOMONTH(DATE($B$3,12,1),0),NETWORKDAYS.INTL(DATE($B$3,12,7),DATE($B$3,12,7),1,'Non-working days'!$A$6:$A$45)=0),"",IF(COUNTIFS('Leave log'!$A$7:$A$306,Employees!$A$22,'Leave log'!$B$7:$B$306,"&lt;="&amp;DATE($B$3,12,7),'Leave log'!$C$7:$C$306,"&gt;="&amp;DATE($B$3,12,7),'Leave log'!$F$7:$F$306,"Pending")&gt;0,"P",""))))</f>
        <v/>
      </c>
      <c r="I397" s="23" t="str">
        <f>IF(A397="","",IF(IF(OR(DATE($B$3,12,8)&gt;EOMONTH(DATE($B$3,12,1),0),NETWORKDAYS.INTL(DATE($B$3,12,8),DATE($B$3,12,8),1,'Non-working days'!$A$6:$A$45)=0),"",IF(COUNTIFS('Leave log'!$A$7:$A$306,Employees!$A$22,'Leave log'!$B$7:$B$306,"&lt;="&amp;DATE($B$3,12,8),'Leave log'!$C$7:$C$306,"&gt;="&amp;DATE($B$3,12,8),'Leave log'!$F$7:$F$306,"Approved")&gt;0,"A",""))="A","A",IF(OR(DATE($B$3,12,8)&gt;EOMONTH(DATE($B$3,12,1),0),NETWORKDAYS.INTL(DATE($B$3,12,8),DATE($B$3,12,8),1,'Non-working days'!$A$6:$A$45)=0),"",IF(COUNTIFS('Leave log'!$A$7:$A$306,Employees!$A$22,'Leave log'!$B$7:$B$306,"&lt;="&amp;DATE($B$3,12,8),'Leave log'!$C$7:$C$306,"&gt;="&amp;DATE($B$3,12,8),'Leave log'!$F$7:$F$306,"Pending")&gt;0,"P",""))))</f>
        <v/>
      </c>
      <c r="J397" s="23" t="str">
        <f>IF(A397="","",IF(IF(OR(DATE($B$3,12,9)&gt;EOMONTH(DATE($B$3,12,1),0),NETWORKDAYS.INTL(DATE($B$3,12,9),DATE($B$3,12,9),1,'Non-working days'!$A$6:$A$45)=0),"",IF(COUNTIFS('Leave log'!$A$7:$A$306,Employees!$A$22,'Leave log'!$B$7:$B$306,"&lt;="&amp;DATE($B$3,12,9),'Leave log'!$C$7:$C$306,"&gt;="&amp;DATE($B$3,12,9),'Leave log'!$F$7:$F$306,"Approved")&gt;0,"A",""))="A","A",IF(OR(DATE($B$3,12,9)&gt;EOMONTH(DATE($B$3,12,1),0),NETWORKDAYS.INTL(DATE($B$3,12,9),DATE($B$3,12,9),1,'Non-working days'!$A$6:$A$45)=0),"",IF(COUNTIFS('Leave log'!$A$7:$A$306,Employees!$A$22,'Leave log'!$B$7:$B$306,"&lt;="&amp;DATE($B$3,12,9),'Leave log'!$C$7:$C$306,"&gt;="&amp;DATE($B$3,12,9),'Leave log'!$F$7:$F$306,"Pending")&gt;0,"P",""))))</f>
        <v/>
      </c>
      <c r="K397" s="23" t="str">
        <f>IF(A397="","",IF(IF(OR(DATE($B$3,12,10)&gt;EOMONTH(DATE($B$3,12,1),0),NETWORKDAYS.INTL(DATE($B$3,12,10),DATE($B$3,12,10),1,'Non-working days'!$A$6:$A$45)=0),"",IF(COUNTIFS('Leave log'!$A$7:$A$306,Employees!$A$22,'Leave log'!$B$7:$B$306,"&lt;="&amp;DATE($B$3,12,10),'Leave log'!$C$7:$C$306,"&gt;="&amp;DATE($B$3,12,10),'Leave log'!$F$7:$F$306,"Approved")&gt;0,"A",""))="A","A",IF(OR(DATE($B$3,12,10)&gt;EOMONTH(DATE($B$3,12,1),0),NETWORKDAYS.INTL(DATE($B$3,12,10),DATE($B$3,12,10),1,'Non-working days'!$A$6:$A$45)=0),"",IF(COUNTIFS('Leave log'!$A$7:$A$306,Employees!$A$22,'Leave log'!$B$7:$B$306,"&lt;="&amp;DATE($B$3,12,10),'Leave log'!$C$7:$C$306,"&gt;="&amp;DATE($B$3,12,10),'Leave log'!$F$7:$F$306,"Pending")&gt;0,"P",""))))</f>
        <v/>
      </c>
      <c r="L397" s="23" t="str">
        <f>IF(A397="","",IF(IF(OR(DATE($B$3,12,11)&gt;EOMONTH(DATE($B$3,12,1),0),NETWORKDAYS.INTL(DATE($B$3,12,11),DATE($B$3,12,11),1,'Non-working days'!$A$6:$A$45)=0),"",IF(COUNTIFS('Leave log'!$A$7:$A$306,Employees!$A$22,'Leave log'!$B$7:$B$306,"&lt;="&amp;DATE($B$3,12,11),'Leave log'!$C$7:$C$306,"&gt;="&amp;DATE($B$3,12,11),'Leave log'!$F$7:$F$306,"Approved")&gt;0,"A",""))="A","A",IF(OR(DATE($B$3,12,11)&gt;EOMONTH(DATE($B$3,12,1),0),NETWORKDAYS.INTL(DATE($B$3,12,11),DATE($B$3,12,11),1,'Non-working days'!$A$6:$A$45)=0),"",IF(COUNTIFS('Leave log'!$A$7:$A$306,Employees!$A$22,'Leave log'!$B$7:$B$306,"&lt;="&amp;DATE($B$3,12,11),'Leave log'!$C$7:$C$306,"&gt;="&amp;DATE($B$3,12,11),'Leave log'!$F$7:$F$306,"Pending")&gt;0,"P",""))))</f>
        <v/>
      </c>
      <c r="M397" s="23" t="str">
        <f>IF(A397="","",IF(IF(OR(DATE($B$3,12,12)&gt;EOMONTH(DATE($B$3,12,1),0),NETWORKDAYS.INTL(DATE($B$3,12,12),DATE($B$3,12,12),1,'Non-working days'!$A$6:$A$45)=0),"",IF(COUNTIFS('Leave log'!$A$7:$A$306,Employees!$A$22,'Leave log'!$B$7:$B$306,"&lt;="&amp;DATE($B$3,12,12),'Leave log'!$C$7:$C$306,"&gt;="&amp;DATE($B$3,12,12),'Leave log'!$F$7:$F$306,"Approved")&gt;0,"A",""))="A","A",IF(OR(DATE($B$3,12,12)&gt;EOMONTH(DATE($B$3,12,1),0),NETWORKDAYS.INTL(DATE($B$3,12,12),DATE($B$3,12,12),1,'Non-working days'!$A$6:$A$45)=0),"",IF(COUNTIFS('Leave log'!$A$7:$A$306,Employees!$A$22,'Leave log'!$B$7:$B$306,"&lt;="&amp;DATE($B$3,12,12),'Leave log'!$C$7:$C$306,"&gt;="&amp;DATE($B$3,12,12),'Leave log'!$F$7:$F$306,"Pending")&gt;0,"P",""))))</f>
        <v/>
      </c>
      <c r="N397" s="23" t="str">
        <f>IF(A397="","",IF(IF(OR(DATE($B$3,12,13)&gt;EOMONTH(DATE($B$3,12,1),0),NETWORKDAYS.INTL(DATE($B$3,12,13),DATE($B$3,12,13),1,'Non-working days'!$A$6:$A$45)=0),"",IF(COUNTIFS('Leave log'!$A$7:$A$306,Employees!$A$22,'Leave log'!$B$7:$B$306,"&lt;="&amp;DATE($B$3,12,13),'Leave log'!$C$7:$C$306,"&gt;="&amp;DATE($B$3,12,13),'Leave log'!$F$7:$F$306,"Approved")&gt;0,"A",""))="A","A",IF(OR(DATE($B$3,12,13)&gt;EOMONTH(DATE($B$3,12,1),0),NETWORKDAYS.INTL(DATE($B$3,12,13),DATE($B$3,12,13),1,'Non-working days'!$A$6:$A$45)=0),"",IF(COUNTIFS('Leave log'!$A$7:$A$306,Employees!$A$22,'Leave log'!$B$7:$B$306,"&lt;="&amp;DATE($B$3,12,13),'Leave log'!$C$7:$C$306,"&gt;="&amp;DATE($B$3,12,13),'Leave log'!$F$7:$F$306,"Pending")&gt;0,"P",""))))</f>
        <v/>
      </c>
      <c r="O397" s="23" t="str">
        <f>IF(A397="","",IF(IF(OR(DATE($B$3,12,14)&gt;EOMONTH(DATE($B$3,12,1),0),NETWORKDAYS.INTL(DATE($B$3,12,14),DATE($B$3,12,14),1,'Non-working days'!$A$6:$A$45)=0),"",IF(COUNTIFS('Leave log'!$A$7:$A$306,Employees!$A$22,'Leave log'!$B$7:$B$306,"&lt;="&amp;DATE($B$3,12,14),'Leave log'!$C$7:$C$306,"&gt;="&amp;DATE($B$3,12,14),'Leave log'!$F$7:$F$306,"Approved")&gt;0,"A",""))="A","A",IF(OR(DATE($B$3,12,14)&gt;EOMONTH(DATE($B$3,12,1),0),NETWORKDAYS.INTL(DATE($B$3,12,14),DATE($B$3,12,14),1,'Non-working days'!$A$6:$A$45)=0),"",IF(COUNTIFS('Leave log'!$A$7:$A$306,Employees!$A$22,'Leave log'!$B$7:$B$306,"&lt;="&amp;DATE($B$3,12,14),'Leave log'!$C$7:$C$306,"&gt;="&amp;DATE($B$3,12,14),'Leave log'!$F$7:$F$306,"Pending")&gt;0,"P",""))))</f>
        <v/>
      </c>
      <c r="P397" s="23" t="str">
        <f>IF(A397="","",IF(IF(OR(DATE($B$3,12,15)&gt;EOMONTH(DATE($B$3,12,1),0),NETWORKDAYS.INTL(DATE($B$3,12,15),DATE($B$3,12,15),1,'Non-working days'!$A$6:$A$45)=0),"",IF(COUNTIFS('Leave log'!$A$7:$A$306,Employees!$A$22,'Leave log'!$B$7:$B$306,"&lt;="&amp;DATE($B$3,12,15),'Leave log'!$C$7:$C$306,"&gt;="&amp;DATE($B$3,12,15),'Leave log'!$F$7:$F$306,"Approved")&gt;0,"A",""))="A","A",IF(OR(DATE($B$3,12,15)&gt;EOMONTH(DATE($B$3,12,1),0),NETWORKDAYS.INTL(DATE($B$3,12,15),DATE($B$3,12,15),1,'Non-working days'!$A$6:$A$45)=0),"",IF(COUNTIFS('Leave log'!$A$7:$A$306,Employees!$A$22,'Leave log'!$B$7:$B$306,"&lt;="&amp;DATE($B$3,12,15),'Leave log'!$C$7:$C$306,"&gt;="&amp;DATE($B$3,12,15),'Leave log'!$F$7:$F$306,"Pending")&gt;0,"P",""))))</f>
        <v/>
      </c>
      <c r="Q397" s="23" t="str">
        <f>IF(A397="","",IF(IF(OR(DATE($B$3,12,16)&gt;EOMONTH(DATE($B$3,12,1),0),NETWORKDAYS.INTL(DATE($B$3,12,16),DATE($B$3,12,16),1,'Non-working days'!$A$6:$A$45)=0),"",IF(COUNTIFS('Leave log'!$A$7:$A$306,Employees!$A$22,'Leave log'!$B$7:$B$306,"&lt;="&amp;DATE($B$3,12,16),'Leave log'!$C$7:$C$306,"&gt;="&amp;DATE($B$3,12,16),'Leave log'!$F$7:$F$306,"Approved")&gt;0,"A",""))="A","A",IF(OR(DATE($B$3,12,16)&gt;EOMONTH(DATE($B$3,12,1),0),NETWORKDAYS.INTL(DATE($B$3,12,16),DATE($B$3,12,16),1,'Non-working days'!$A$6:$A$45)=0),"",IF(COUNTIFS('Leave log'!$A$7:$A$306,Employees!$A$22,'Leave log'!$B$7:$B$306,"&lt;="&amp;DATE($B$3,12,16),'Leave log'!$C$7:$C$306,"&gt;="&amp;DATE($B$3,12,16),'Leave log'!$F$7:$F$306,"Pending")&gt;0,"P",""))))</f>
        <v/>
      </c>
      <c r="R397" s="23" t="str">
        <f>IF(A397="","",IF(IF(OR(DATE($B$3,12,17)&gt;EOMONTH(DATE($B$3,12,1),0),NETWORKDAYS.INTL(DATE($B$3,12,17),DATE($B$3,12,17),1,'Non-working days'!$A$6:$A$45)=0),"",IF(COUNTIFS('Leave log'!$A$7:$A$306,Employees!$A$22,'Leave log'!$B$7:$B$306,"&lt;="&amp;DATE($B$3,12,17),'Leave log'!$C$7:$C$306,"&gt;="&amp;DATE($B$3,12,17),'Leave log'!$F$7:$F$306,"Approved")&gt;0,"A",""))="A","A",IF(OR(DATE($B$3,12,17)&gt;EOMONTH(DATE($B$3,12,1),0),NETWORKDAYS.INTL(DATE($B$3,12,17),DATE($B$3,12,17),1,'Non-working days'!$A$6:$A$45)=0),"",IF(COUNTIFS('Leave log'!$A$7:$A$306,Employees!$A$22,'Leave log'!$B$7:$B$306,"&lt;="&amp;DATE($B$3,12,17),'Leave log'!$C$7:$C$306,"&gt;="&amp;DATE($B$3,12,17),'Leave log'!$F$7:$F$306,"Pending")&gt;0,"P",""))))</f>
        <v/>
      </c>
      <c r="S397" s="23" t="str">
        <f>IF(A397="","",IF(IF(OR(DATE($B$3,12,18)&gt;EOMONTH(DATE($B$3,12,1),0),NETWORKDAYS.INTL(DATE($B$3,12,18),DATE($B$3,12,18),1,'Non-working days'!$A$6:$A$45)=0),"",IF(COUNTIFS('Leave log'!$A$7:$A$306,Employees!$A$22,'Leave log'!$B$7:$B$306,"&lt;="&amp;DATE($B$3,12,18),'Leave log'!$C$7:$C$306,"&gt;="&amp;DATE($B$3,12,18),'Leave log'!$F$7:$F$306,"Approved")&gt;0,"A",""))="A","A",IF(OR(DATE($B$3,12,18)&gt;EOMONTH(DATE($B$3,12,1),0),NETWORKDAYS.INTL(DATE($B$3,12,18),DATE($B$3,12,18),1,'Non-working days'!$A$6:$A$45)=0),"",IF(COUNTIFS('Leave log'!$A$7:$A$306,Employees!$A$22,'Leave log'!$B$7:$B$306,"&lt;="&amp;DATE($B$3,12,18),'Leave log'!$C$7:$C$306,"&gt;="&amp;DATE($B$3,12,18),'Leave log'!$F$7:$F$306,"Pending")&gt;0,"P",""))))</f>
        <v/>
      </c>
      <c r="T397" s="23" t="str">
        <f>IF(A397="","",IF(IF(OR(DATE($B$3,12,19)&gt;EOMONTH(DATE($B$3,12,1),0),NETWORKDAYS.INTL(DATE($B$3,12,19),DATE($B$3,12,19),1,'Non-working days'!$A$6:$A$45)=0),"",IF(COUNTIFS('Leave log'!$A$7:$A$306,Employees!$A$22,'Leave log'!$B$7:$B$306,"&lt;="&amp;DATE($B$3,12,19),'Leave log'!$C$7:$C$306,"&gt;="&amp;DATE($B$3,12,19),'Leave log'!$F$7:$F$306,"Approved")&gt;0,"A",""))="A","A",IF(OR(DATE($B$3,12,19)&gt;EOMONTH(DATE($B$3,12,1),0),NETWORKDAYS.INTL(DATE($B$3,12,19),DATE($B$3,12,19),1,'Non-working days'!$A$6:$A$45)=0),"",IF(COUNTIFS('Leave log'!$A$7:$A$306,Employees!$A$22,'Leave log'!$B$7:$B$306,"&lt;="&amp;DATE($B$3,12,19),'Leave log'!$C$7:$C$306,"&gt;="&amp;DATE($B$3,12,19),'Leave log'!$F$7:$F$306,"Pending")&gt;0,"P",""))))</f>
        <v/>
      </c>
      <c r="U397" s="23" t="str">
        <f>IF(A397="","",IF(IF(OR(DATE($B$3,12,20)&gt;EOMONTH(DATE($B$3,12,1),0),NETWORKDAYS.INTL(DATE($B$3,12,20),DATE($B$3,12,20),1,'Non-working days'!$A$6:$A$45)=0),"",IF(COUNTIFS('Leave log'!$A$7:$A$306,Employees!$A$22,'Leave log'!$B$7:$B$306,"&lt;="&amp;DATE($B$3,12,20),'Leave log'!$C$7:$C$306,"&gt;="&amp;DATE($B$3,12,20),'Leave log'!$F$7:$F$306,"Approved")&gt;0,"A",""))="A","A",IF(OR(DATE($B$3,12,20)&gt;EOMONTH(DATE($B$3,12,1),0),NETWORKDAYS.INTL(DATE($B$3,12,20),DATE($B$3,12,20),1,'Non-working days'!$A$6:$A$45)=0),"",IF(COUNTIFS('Leave log'!$A$7:$A$306,Employees!$A$22,'Leave log'!$B$7:$B$306,"&lt;="&amp;DATE($B$3,12,20),'Leave log'!$C$7:$C$306,"&gt;="&amp;DATE($B$3,12,20),'Leave log'!$F$7:$F$306,"Pending")&gt;0,"P",""))))</f>
        <v/>
      </c>
      <c r="V397" s="23" t="str">
        <f>IF(A397="","",IF(IF(OR(DATE($B$3,12,21)&gt;EOMONTH(DATE($B$3,12,1),0),NETWORKDAYS.INTL(DATE($B$3,12,21),DATE($B$3,12,21),1,'Non-working days'!$A$6:$A$45)=0),"",IF(COUNTIFS('Leave log'!$A$7:$A$306,Employees!$A$22,'Leave log'!$B$7:$B$306,"&lt;="&amp;DATE($B$3,12,21),'Leave log'!$C$7:$C$306,"&gt;="&amp;DATE($B$3,12,21),'Leave log'!$F$7:$F$306,"Approved")&gt;0,"A",""))="A","A",IF(OR(DATE($B$3,12,21)&gt;EOMONTH(DATE($B$3,12,1),0),NETWORKDAYS.INTL(DATE($B$3,12,21),DATE($B$3,12,21),1,'Non-working days'!$A$6:$A$45)=0),"",IF(COUNTIFS('Leave log'!$A$7:$A$306,Employees!$A$22,'Leave log'!$B$7:$B$306,"&lt;="&amp;DATE($B$3,12,21),'Leave log'!$C$7:$C$306,"&gt;="&amp;DATE($B$3,12,21),'Leave log'!$F$7:$F$306,"Pending")&gt;0,"P",""))))</f>
        <v/>
      </c>
      <c r="W397" s="23" t="str">
        <f>IF(A397="","",IF(IF(OR(DATE($B$3,12,22)&gt;EOMONTH(DATE($B$3,12,1),0),NETWORKDAYS.INTL(DATE($B$3,12,22),DATE($B$3,12,22),1,'Non-working days'!$A$6:$A$45)=0),"",IF(COUNTIFS('Leave log'!$A$7:$A$306,Employees!$A$22,'Leave log'!$B$7:$B$306,"&lt;="&amp;DATE($B$3,12,22),'Leave log'!$C$7:$C$306,"&gt;="&amp;DATE($B$3,12,22),'Leave log'!$F$7:$F$306,"Approved")&gt;0,"A",""))="A","A",IF(OR(DATE($B$3,12,22)&gt;EOMONTH(DATE($B$3,12,1),0),NETWORKDAYS.INTL(DATE($B$3,12,22),DATE($B$3,12,22),1,'Non-working days'!$A$6:$A$45)=0),"",IF(COUNTIFS('Leave log'!$A$7:$A$306,Employees!$A$22,'Leave log'!$B$7:$B$306,"&lt;="&amp;DATE($B$3,12,22),'Leave log'!$C$7:$C$306,"&gt;="&amp;DATE($B$3,12,22),'Leave log'!$F$7:$F$306,"Pending")&gt;0,"P",""))))</f>
        <v/>
      </c>
      <c r="X397" s="23" t="str">
        <f>IF(A397="","",IF(IF(OR(DATE($B$3,12,23)&gt;EOMONTH(DATE($B$3,12,1),0),NETWORKDAYS.INTL(DATE($B$3,12,23),DATE($B$3,12,23),1,'Non-working days'!$A$6:$A$45)=0),"",IF(COUNTIFS('Leave log'!$A$7:$A$306,Employees!$A$22,'Leave log'!$B$7:$B$306,"&lt;="&amp;DATE($B$3,12,23),'Leave log'!$C$7:$C$306,"&gt;="&amp;DATE($B$3,12,23),'Leave log'!$F$7:$F$306,"Approved")&gt;0,"A",""))="A","A",IF(OR(DATE($B$3,12,23)&gt;EOMONTH(DATE($B$3,12,1),0),NETWORKDAYS.INTL(DATE($B$3,12,23),DATE($B$3,12,23),1,'Non-working days'!$A$6:$A$45)=0),"",IF(COUNTIFS('Leave log'!$A$7:$A$306,Employees!$A$22,'Leave log'!$B$7:$B$306,"&lt;="&amp;DATE($B$3,12,23),'Leave log'!$C$7:$C$306,"&gt;="&amp;DATE($B$3,12,23),'Leave log'!$F$7:$F$306,"Pending")&gt;0,"P",""))))</f>
        <v/>
      </c>
      <c r="Y397" s="23" t="str">
        <f>IF(A397="","",IF(IF(OR(DATE($B$3,12,24)&gt;EOMONTH(DATE($B$3,12,1),0),NETWORKDAYS.INTL(DATE($B$3,12,24),DATE($B$3,12,24),1,'Non-working days'!$A$6:$A$45)=0),"",IF(COUNTIFS('Leave log'!$A$7:$A$306,Employees!$A$22,'Leave log'!$B$7:$B$306,"&lt;="&amp;DATE($B$3,12,24),'Leave log'!$C$7:$C$306,"&gt;="&amp;DATE($B$3,12,24),'Leave log'!$F$7:$F$306,"Approved")&gt;0,"A",""))="A","A",IF(OR(DATE($B$3,12,24)&gt;EOMONTH(DATE($B$3,12,1),0),NETWORKDAYS.INTL(DATE($B$3,12,24),DATE($B$3,12,24),1,'Non-working days'!$A$6:$A$45)=0),"",IF(COUNTIFS('Leave log'!$A$7:$A$306,Employees!$A$22,'Leave log'!$B$7:$B$306,"&lt;="&amp;DATE($B$3,12,24),'Leave log'!$C$7:$C$306,"&gt;="&amp;DATE($B$3,12,24),'Leave log'!$F$7:$F$306,"Pending")&gt;0,"P",""))))</f>
        <v/>
      </c>
      <c r="Z397" s="23" t="str">
        <f>IF(A397="","",IF(IF(OR(DATE($B$3,12,25)&gt;EOMONTH(DATE($B$3,12,1),0),NETWORKDAYS.INTL(DATE($B$3,12,25),DATE($B$3,12,25),1,'Non-working days'!$A$6:$A$45)=0),"",IF(COUNTIFS('Leave log'!$A$7:$A$306,Employees!$A$22,'Leave log'!$B$7:$B$306,"&lt;="&amp;DATE($B$3,12,25),'Leave log'!$C$7:$C$306,"&gt;="&amp;DATE($B$3,12,25),'Leave log'!$F$7:$F$306,"Approved")&gt;0,"A",""))="A","A",IF(OR(DATE($B$3,12,25)&gt;EOMONTH(DATE($B$3,12,1),0),NETWORKDAYS.INTL(DATE($B$3,12,25),DATE($B$3,12,25),1,'Non-working days'!$A$6:$A$45)=0),"",IF(COUNTIFS('Leave log'!$A$7:$A$306,Employees!$A$22,'Leave log'!$B$7:$B$306,"&lt;="&amp;DATE($B$3,12,25),'Leave log'!$C$7:$C$306,"&gt;="&amp;DATE($B$3,12,25),'Leave log'!$F$7:$F$306,"Pending")&gt;0,"P",""))))</f>
        <v/>
      </c>
      <c r="AA397" s="23" t="str">
        <f>IF(A397="","",IF(IF(OR(DATE($B$3,12,26)&gt;EOMONTH(DATE($B$3,12,1),0),NETWORKDAYS.INTL(DATE($B$3,12,26),DATE($B$3,12,26),1,'Non-working days'!$A$6:$A$45)=0),"",IF(COUNTIFS('Leave log'!$A$7:$A$306,Employees!$A$22,'Leave log'!$B$7:$B$306,"&lt;="&amp;DATE($B$3,12,26),'Leave log'!$C$7:$C$306,"&gt;="&amp;DATE($B$3,12,26),'Leave log'!$F$7:$F$306,"Approved")&gt;0,"A",""))="A","A",IF(OR(DATE($B$3,12,26)&gt;EOMONTH(DATE($B$3,12,1),0),NETWORKDAYS.INTL(DATE($B$3,12,26),DATE($B$3,12,26),1,'Non-working days'!$A$6:$A$45)=0),"",IF(COUNTIFS('Leave log'!$A$7:$A$306,Employees!$A$22,'Leave log'!$B$7:$B$306,"&lt;="&amp;DATE($B$3,12,26),'Leave log'!$C$7:$C$306,"&gt;="&amp;DATE($B$3,12,26),'Leave log'!$F$7:$F$306,"Pending")&gt;0,"P",""))))</f>
        <v/>
      </c>
      <c r="AB397" s="23" t="str">
        <f>IF(A397="","",IF(IF(OR(DATE($B$3,12,27)&gt;EOMONTH(DATE($B$3,12,1),0),NETWORKDAYS.INTL(DATE($B$3,12,27),DATE($B$3,12,27),1,'Non-working days'!$A$6:$A$45)=0),"",IF(COUNTIFS('Leave log'!$A$7:$A$306,Employees!$A$22,'Leave log'!$B$7:$B$306,"&lt;="&amp;DATE($B$3,12,27),'Leave log'!$C$7:$C$306,"&gt;="&amp;DATE($B$3,12,27),'Leave log'!$F$7:$F$306,"Approved")&gt;0,"A",""))="A","A",IF(OR(DATE($B$3,12,27)&gt;EOMONTH(DATE($B$3,12,1),0),NETWORKDAYS.INTL(DATE($B$3,12,27),DATE($B$3,12,27),1,'Non-working days'!$A$6:$A$45)=0),"",IF(COUNTIFS('Leave log'!$A$7:$A$306,Employees!$A$22,'Leave log'!$B$7:$B$306,"&lt;="&amp;DATE($B$3,12,27),'Leave log'!$C$7:$C$306,"&gt;="&amp;DATE($B$3,12,27),'Leave log'!$F$7:$F$306,"Pending")&gt;0,"P",""))))</f>
        <v/>
      </c>
      <c r="AC397" s="23" t="str">
        <f>IF(A397="","",IF(IF(OR(DATE($B$3,12,28)&gt;EOMONTH(DATE($B$3,12,1),0),NETWORKDAYS.INTL(DATE($B$3,12,28),DATE($B$3,12,28),1,'Non-working days'!$A$6:$A$45)=0),"",IF(COUNTIFS('Leave log'!$A$7:$A$306,Employees!$A$22,'Leave log'!$B$7:$B$306,"&lt;="&amp;DATE($B$3,12,28),'Leave log'!$C$7:$C$306,"&gt;="&amp;DATE($B$3,12,28),'Leave log'!$F$7:$F$306,"Approved")&gt;0,"A",""))="A","A",IF(OR(DATE($B$3,12,28)&gt;EOMONTH(DATE($B$3,12,1),0),NETWORKDAYS.INTL(DATE($B$3,12,28),DATE($B$3,12,28),1,'Non-working days'!$A$6:$A$45)=0),"",IF(COUNTIFS('Leave log'!$A$7:$A$306,Employees!$A$22,'Leave log'!$B$7:$B$306,"&lt;="&amp;DATE($B$3,12,28),'Leave log'!$C$7:$C$306,"&gt;="&amp;DATE($B$3,12,28),'Leave log'!$F$7:$F$306,"Pending")&gt;0,"P",""))))</f>
        <v/>
      </c>
      <c r="AD397" s="23" t="str">
        <f>IF(A397="","",IF(IF(OR(DATE($B$3,12,29)&gt;EOMONTH(DATE($B$3,12,1),0),NETWORKDAYS.INTL(DATE($B$3,12,29),DATE($B$3,12,29),1,'Non-working days'!$A$6:$A$45)=0),"",IF(COUNTIFS('Leave log'!$A$7:$A$306,Employees!$A$22,'Leave log'!$B$7:$B$306,"&lt;="&amp;DATE($B$3,12,29),'Leave log'!$C$7:$C$306,"&gt;="&amp;DATE($B$3,12,29),'Leave log'!$F$7:$F$306,"Approved")&gt;0,"A",""))="A","A",IF(OR(DATE($B$3,12,29)&gt;EOMONTH(DATE($B$3,12,1),0),NETWORKDAYS.INTL(DATE($B$3,12,29),DATE($B$3,12,29),1,'Non-working days'!$A$6:$A$45)=0),"",IF(COUNTIFS('Leave log'!$A$7:$A$306,Employees!$A$22,'Leave log'!$B$7:$B$306,"&lt;="&amp;DATE($B$3,12,29),'Leave log'!$C$7:$C$306,"&gt;="&amp;DATE($B$3,12,29),'Leave log'!$F$7:$F$306,"Pending")&gt;0,"P",""))))</f>
        <v/>
      </c>
      <c r="AE397" s="23" t="str">
        <f>IF(A397="","",IF(IF(OR(DATE($B$3,12,30)&gt;EOMONTH(DATE($B$3,12,1),0),NETWORKDAYS.INTL(DATE($B$3,12,30),DATE($B$3,12,30),1,'Non-working days'!$A$6:$A$45)=0),"",IF(COUNTIFS('Leave log'!$A$7:$A$306,Employees!$A$22,'Leave log'!$B$7:$B$306,"&lt;="&amp;DATE($B$3,12,30),'Leave log'!$C$7:$C$306,"&gt;="&amp;DATE($B$3,12,30),'Leave log'!$F$7:$F$306,"Approved")&gt;0,"A",""))="A","A",IF(OR(DATE($B$3,12,30)&gt;EOMONTH(DATE($B$3,12,1),0),NETWORKDAYS.INTL(DATE($B$3,12,30),DATE($B$3,12,30),1,'Non-working days'!$A$6:$A$45)=0),"",IF(COUNTIFS('Leave log'!$A$7:$A$306,Employees!$A$22,'Leave log'!$B$7:$B$306,"&lt;="&amp;DATE($B$3,12,30),'Leave log'!$C$7:$C$306,"&gt;="&amp;DATE($B$3,12,30),'Leave log'!$F$7:$F$306,"Pending")&gt;0,"P",""))))</f>
        <v/>
      </c>
      <c r="AF397" s="23" t="str">
        <f>IF(A397="","",IF(IF(OR(DATE($B$3,12,31)&gt;EOMONTH(DATE($B$3,12,1),0),NETWORKDAYS.INTL(DATE($B$3,12,31),DATE($B$3,12,31),1,'Non-working days'!$A$6:$A$45)=0),"",IF(COUNTIFS('Leave log'!$A$7:$A$306,Employees!$A$22,'Leave log'!$B$7:$B$306,"&lt;="&amp;DATE($B$3,12,31),'Leave log'!$C$7:$C$306,"&gt;="&amp;DATE($B$3,12,31),'Leave log'!$F$7:$F$306,"Approved")&gt;0,"A",""))="A","A",IF(OR(DATE($B$3,12,31)&gt;EOMONTH(DATE($B$3,12,1),0),NETWORKDAYS.INTL(DATE($B$3,12,31),DATE($B$3,12,31),1,'Non-working days'!$A$6:$A$45)=0),"",IF(COUNTIFS('Leave log'!$A$7:$A$306,Employees!$A$22,'Leave log'!$B$7:$B$306,"&lt;="&amp;DATE($B$3,12,31),'Leave log'!$C$7:$C$306,"&gt;="&amp;DATE($B$3,12,31),'Leave log'!$F$7:$F$306,"Pending")&gt;0,"P",""))))</f>
        <v/>
      </c>
    </row>
    <row r="398" spans="1:32" ht="18" customHeight="1" x14ac:dyDescent="0.3">
      <c r="A398" s="22" t="str">
        <f>IF(Employees!F23="Yes",Employees!B23,"")</f>
        <v/>
      </c>
      <c r="B398" s="23" t="str">
        <f>IF(A398="","",IF(IF(OR(DATE($B$3,12,1)&gt;EOMONTH(DATE($B$3,12,1),0),NETWORKDAYS.INTL(DATE($B$3,12,1),DATE($B$3,12,1),1,'Non-working days'!$A$6:$A$45)=0),"",IF(COUNTIFS('Leave log'!$A$7:$A$306,Employees!$A$23,'Leave log'!$B$7:$B$306,"&lt;="&amp;DATE($B$3,12,1),'Leave log'!$C$7:$C$306,"&gt;="&amp;DATE($B$3,12,1),'Leave log'!$F$7:$F$306,"Approved")&gt;0,"A",""))="A","A",IF(OR(DATE($B$3,12,1)&gt;EOMONTH(DATE($B$3,12,1),0),NETWORKDAYS.INTL(DATE($B$3,12,1),DATE($B$3,12,1),1,'Non-working days'!$A$6:$A$45)=0),"",IF(COUNTIFS('Leave log'!$A$7:$A$306,Employees!$A$23,'Leave log'!$B$7:$B$306,"&lt;="&amp;DATE($B$3,12,1),'Leave log'!$C$7:$C$306,"&gt;="&amp;DATE($B$3,12,1),'Leave log'!$F$7:$F$306,"Pending")&gt;0,"P",""))))</f>
        <v/>
      </c>
      <c r="C398" s="23" t="str">
        <f>IF(A398="","",IF(IF(OR(DATE($B$3,12,2)&gt;EOMONTH(DATE($B$3,12,1),0),NETWORKDAYS.INTL(DATE($B$3,12,2),DATE($B$3,12,2),1,'Non-working days'!$A$6:$A$45)=0),"",IF(COUNTIFS('Leave log'!$A$7:$A$306,Employees!$A$23,'Leave log'!$B$7:$B$306,"&lt;="&amp;DATE($B$3,12,2),'Leave log'!$C$7:$C$306,"&gt;="&amp;DATE($B$3,12,2),'Leave log'!$F$7:$F$306,"Approved")&gt;0,"A",""))="A","A",IF(OR(DATE($B$3,12,2)&gt;EOMONTH(DATE($B$3,12,1),0),NETWORKDAYS.INTL(DATE($B$3,12,2),DATE($B$3,12,2),1,'Non-working days'!$A$6:$A$45)=0),"",IF(COUNTIFS('Leave log'!$A$7:$A$306,Employees!$A$23,'Leave log'!$B$7:$B$306,"&lt;="&amp;DATE($B$3,12,2),'Leave log'!$C$7:$C$306,"&gt;="&amp;DATE($B$3,12,2),'Leave log'!$F$7:$F$306,"Pending")&gt;0,"P",""))))</f>
        <v/>
      </c>
      <c r="D398" s="23" t="str">
        <f>IF(A398="","",IF(IF(OR(DATE($B$3,12,3)&gt;EOMONTH(DATE($B$3,12,1),0),NETWORKDAYS.INTL(DATE($B$3,12,3),DATE($B$3,12,3),1,'Non-working days'!$A$6:$A$45)=0),"",IF(COUNTIFS('Leave log'!$A$7:$A$306,Employees!$A$23,'Leave log'!$B$7:$B$306,"&lt;="&amp;DATE($B$3,12,3),'Leave log'!$C$7:$C$306,"&gt;="&amp;DATE($B$3,12,3),'Leave log'!$F$7:$F$306,"Approved")&gt;0,"A",""))="A","A",IF(OR(DATE($B$3,12,3)&gt;EOMONTH(DATE($B$3,12,1),0),NETWORKDAYS.INTL(DATE($B$3,12,3),DATE($B$3,12,3),1,'Non-working days'!$A$6:$A$45)=0),"",IF(COUNTIFS('Leave log'!$A$7:$A$306,Employees!$A$23,'Leave log'!$B$7:$B$306,"&lt;="&amp;DATE($B$3,12,3),'Leave log'!$C$7:$C$306,"&gt;="&amp;DATE($B$3,12,3),'Leave log'!$F$7:$F$306,"Pending")&gt;0,"P",""))))</f>
        <v/>
      </c>
      <c r="E398" s="23" t="str">
        <f>IF(A398="","",IF(IF(OR(DATE($B$3,12,4)&gt;EOMONTH(DATE($B$3,12,1),0),NETWORKDAYS.INTL(DATE($B$3,12,4),DATE($B$3,12,4),1,'Non-working days'!$A$6:$A$45)=0),"",IF(COUNTIFS('Leave log'!$A$7:$A$306,Employees!$A$23,'Leave log'!$B$7:$B$306,"&lt;="&amp;DATE($B$3,12,4),'Leave log'!$C$7:$C$306,"&gt;="&amp;DATE($B$3,12,4),'Leave log'!$F$7:$F$306,"Approved")&gt;0,"A",""))="A","A",IF(OR(DATE($B$3,12,4)&gt;EOMONTH(DATE($B$3,12,1),0),NETWORKDAYS.INTL(DATE($B$3,12,4),DATE($B$3,12,4),1,'Non-working days'!$A$6:$A$45)=0),"",IF(COUNTIFS('Leave log'!$A$7:$A$306,Employees!$A$23,'Leave log'!$B$7:$B$306,"&lt;="&amp;DATE($B$3,12,4),'Leave log'!$C$7:$C$306,"&gt;="&amp;DATE($B$3,12,4),'Leave log'!$F$7:$F$306,"Pending")&gt;0,"P",""))))</f>
        <v/>
      </c>
      <c r="F398" s="23" t="str">
        <f>IF(A398="","",IF(IF(OR(DATE($B$3,12,5)&gt;EOMONTH(DATE($B$3,12,1),0),NETWORKDAYS.INTL(DATE($B$3,12,5),DATE($B$3,12,5),1,'Non-working days'!$A$6:$A$45)=0),"",IF(COUNTIFS('Leave log'!$A$7:$A$306,Employees!$A$23,'Leave log'!$B$7:$B$306,"&lt;="&amp;DATE($B$3,12,5),'Leave log'!$C$7:$C$306,"&gt;="&amp;DATE($B$3,12,5),'Leave log'!$F$7:$F$306,"Approved")&gt;0,"A",""))="A","A",IF(OR(DATE($B$3,12,5)&gt;EOMONTH(DATE($B$3,12,1),0),NETWORKDAYS.INTL(DATE($B$3,12,5),DATE($B$3,12,5),1,'Non-working days'!$A$6:$A$45)=0),"",IF(COUNTIFS('Leave log'!$A$7:$A$306,Employees!$A$23,'Leave log'!$B$7:$B$306,"&lt;="&amp;DATE($B$3,12,5),'Leave log'!$C$7:$C$306,"&gt;="&amp;DATE($B$3,12,5),'Leave log'!$F$7:$F$306,"Pending")&gt;0,"P",""))))</f>
        <v/>
      </c>
      <c r="G398" s="23" t="str">
        <f>IF(A398="","",IF(IF(OR(DATE($B$3,12,6)&gt;EOMONTH(DATE($B$3,12,1),0),NETWORKDAYS.INTL(DATE($B$3,12,6),DATE($B$3,12,6),1,'Non-working days'!$A$6:$A$45)=0),"",IF(COUNTIFS('Leave log'!$A$7:$A$306,Employees!$A$23,'Leave log'!$B$7:$B$306,"&lt;="&amp;DATE($B$3,12,6),'Leave log'!$C$7:$C$306,"&gt;="&amp;DATE($B$3,12,6),'Leave log'!$F$7:$F$306,"Approved")&gt;0,"A",""))="A","A",IF(OR(DATE($B$3,12,6)&gt;EOMONTH(DATE($B$3,12,1),0),NETWORKDAYS.INTL(DATE($B$3,12,6),DATE($B$3,12,6),1,'Non-working days'!$A$6:$A$45)=0),"",IF(COUNTIFS('Leave log'!$A$7:$A$306,Employees!$A$23,'Leave log'!$B$7:$B$306,"&lt;="&amp;DATE($B$3,12,6),'Leave log'!$C$7:$C$306,"&gt;="&amp;DATE($B$3,12,6),'Leave log'!$F$7:$F$306,"Pending")&gt;0,"P",""))))</f>
        <v/>
      </c>
      <c r="H398" s="23" t="str">
        <f>IF(A398="","",IF(IF(OR(DATE($B$3,12,7)&gt;EOMONTH(DATE($B$3,12,1),0),NETWORKDAYS.INTL(DATE($B$3,12,7),DATE($B$3,12,7),1,'Non-working days'!$A$6:$A$45)=0),"",IF(COUNTIFS('Leave log'!$A$7:$A$306,Employees!$A$23,'Leave log'!$B$7:$B$306,"&lt;="&amp;DATE($B$3,12,7),'Leave log'!$C$7:$C$306,"&gt;="&amp;DATE($B$3,12,7),'Leave log'!$F$7:$F$306,"Approved")&gt;0,"A",""))="A","A",IF(OR(DATE($B$3,12,7)&gt;EOMONTH(DATE($B$3,12,1),0),NETWORKDAYS.INTL(DATE($B$3,12,7),DATE($B$3,12,7),1,'Non-working days'!$A$6:$A$45)=0),"",IF(COUNTIFS('Leave log'!$A$7:$A$306,Employees!$A$23,'Leave log'!$B$7:$B$306,"&lt;="&amp;DATE($B$3,12,7),'Leave log'!$C$7:$C$306,"&gt;="&amp;DATE($B$3,12,7),'Leave log'!$F$7:$F$306,"Pending")&gt;0,"P",""))))</f>
        <v/>
      </c>
      <c r="I398" s="23" t="str">
        <f>IF(A398="","",IF(IF(OR(DATE($B$3,12,8)&gt;EOMONTH(DATE($B$3,12,1),0),NETWORKDAYS.INTL(DATE($B$3,12,8),DATE($B$3,12,8),1,'Non-working days'!$A$6:$A$45)=0),"",IF(COUNTIFS('Leave log'!$A$7:$A$306,Employees!$A$23,'Leave log'!$B$7:$B$306,"&lt;="&amp;DATE($B$3,12,8),'Leave log'!$C$7:$C$306,"&gt;="&amp;DATE($B$3,12,8),'Leave log'!$F$7:$F$306,"Approved")&gt;0,"A",""))="A","A",IF(OR(DATE($B$3,12,8)&gt;EOMONTH(DATE($B$3,12,1),0),NETWORKDAYS.INTL(DATE($B$3,12,8),DATE($B$3,12,8),1,'Non-working days'!$A$6:$A$45)=0),"",IF(COUNTIFS('Leave log'!$A$7:$A$306,Employees!$A$23,'Leave log'!$B$7:$B$306,"&lt;="&amp;DATE($B$3,12,8),'Leave log'!$C$7:$C$306,"&gt;="&amp;DATE($B$3,12,8),'Leave log'!$F$7:$F$306,"Pending")&gt;0,"P",""))))</f>
        <v/>
      </c>
      <c r="J398" s="23" t="str">
        <f>IF(A398="","",IF(IF(OR(DATE($B$3,12,9)&gt;EOMONTH(DATE($B$3,12,1),0),NETWORKDAYS.INTL(DATE($B$3,12,9),DATE($B$3,12,9),1,'Non-working days'!$A$6:$A$45)=0),"",IF(COUNTIFS('Leave log'!$A$7:$A$306,Employees!$A$23,'Leave log'!$B$7:$B$306,"&lt;="&amp;DATE($B$3,12,9),'Leave log'!$C$7:$C$306,"&gt;="&amp;DATE($B$3,12,9),'Leave log'!$F$7:$F$306,"Approved")&gt;0,"A",""))="A","A",IF(OR(DATE($B$3,12,9)&gt;EOMONTH(DATE($B$3,12,1),0),NETWORKDAYS.INTL(DATE($B$3,12,9),DATE($B$3,12,9),1,'Non-working days'!$A$6:$A$45)=0),"",IF(COUNTIFS('Leave log'!$A$7:$A$306,Employees!$A$23,'Leave log'!$B$7:$B$306,"&lt;="&amp;DATE($B$3,12,9),'Leave log'!$C$7:$C$306,"&gt;="&amp;DATE($B$3,12,9),'Leave log'!$F$7:$F$306,"Pending")&gt;0,"P",""))))</f>
        <v/>
      </c>
      <c r="K398" s="23" t="str">
        <f>IF(A398="","",IF(IF(OR(DATE($B$3,12,10)&gt;EOMONTH(DATE($B$3,12,1),0),NETWORKDAYS.INTL(DATE($B$3,12,10),DATE($B$3,12,10),1,'Non-working days'!$A$6:$A$45)=0),"",IF(COUNTIFS('Leave log'!$A$7:$A$306,Employees!$A$23,'Leave log'!$B$7:$B$306,"&lt;="&amp;DATE($B$3,12,10),'Leave log'!$C$7:$C$306,"&gt;="&amp;DATE($B$3,12,10),'Leave log'!$F$7:$F$306,"Approved")&gt;0,"A",""))="A","A",IF(OR(DATE($B$3,12,10)&gt;EOMONTH(DATE($B$3,12,1),0),NETWORKDAYS.INTL(DATE($B$3,12,10),DATE($B$3,12,10),1,'Non-working days'!$A$6:$A$45)=0),"",IF(COUNTIFS('Leave log'!$A$7:$A$306,Employees!$A$23,'Leave log'!$B$7:$B$306,"&lt;="&amp;DATE($B$3,12,10),'Leave log'!$C$7:$C$306,"&gt;="&amp;DATE($B$3,12,10),'Leave log'!$F$7:$F$306,"Pending")&gt;0,"P",""))))</f>
        <v/>
      </c>
      <c r="L398" s="23" t="str">
        <f>IF(A398="","",IF(IF(OR(DATE($B$3,12,11)&gt;EOMONTH(DATE($B$3,12,1),0),NETWORKDAYS.INTL(DATE($B$3,12,11),DATE($B$3,12,11),1,'Non-working days'!$A$6:$A$45)=0),"",IF(COUNTIFS('Leave log'!$A$7:$A$306,Employees!$A$23,'Leave log'!$B$7:$B$306,"&lt;="&amp;DATE($B$3,12,11),'Leave log'!$C$7:$C$306,"&gt;="&amp;DATE($B$3,12,11),'Leave log'!$F$7:$F$306,"Approved")&gt;0,"A",""))="A","A",IF(OR(DATE($B$3,12,11)&gt;EOMONTH(DATE($B$3,12,1),0),NETWORKDAYS.INTL(DATE($B$3,12,11),DATE($B$3,12,11),1,'Non-working days'!$A$6:$A$45)=0),"",IF(COUNTIFS('Leave log'!$A$7:$A$306,Employees!$A$23,'Leave log'!$B$7:$B$306,"&lt;="&amp;DATE($B$3,12,11),'Leave log'!$C$7:$C$306,"&gt;="&amp;DATE($B$3,12,11),'Leave log'!$F$7:$F$306,"Pending")&gt;0,"P",""))))</f>
        <v/>
      </c>
      <c r="M398" s="23" t="str">
        <f>IF(A398="","",IF(IF(OR(DATE($B$3,12,12)&gt;EOMONTH(DATE($B$3,12,1),0),NETWORKDAYS.INTL(DATE($B$3,12,12),DATE($B$3,12,12),1,'Non-working days'!$A$6:$A$45)=0),"",IF(COUNTIFS('Leave log'!$A$7:$A$306,Employees!$A$23,'Leave log'!$B$7:$B$306,"&lt;="&amp;DATE($B$3,12,12),'Leave log'!$C$7:$C$306,"&gt;="&amp;DATE($B$3,12,12),'Leave log'!$F$7:$F$306,"Approved")&gt;0,"A",""))="A","A",IF(OR(DATE($B$3,12,12)&gt;EOMONTH(DATE($B$3,12,1),0),NETWORKDAYS.INTL(DATE($B$3,12,12),DATE($B$3,12,12),1,'Non-working days'!$A$6:$A$45)=0),"",IF(COUNTIFS('Leave log'!$A$7:$A$306,Employees!$A$23,'Leave log'!$B$7:$B$306,"&lt;="&amp;DATE($B$3,12,12),'Leave log'!$C$7:$C$306,"&gt;="&amp;DATE($B$3,12,12),'Leave log'!$F$7:$F$306,"Pending")&gt;0,"P",""))))</f>
        <v/>
      </c>
      <c r="N398" s="23" t="str">
        <f>IF(A398="","",IF(IF(OR(DATE($B$3,12,13)&gt;EOMONTH(DATE($B$3,12,1),0),NETWORKDAYS.INTL(DATE($B$3,12,13),DATE($B$3,12,13),1,'Non-working days'!$A$6:$A$45)=0),"",IF(COUNTIFS('Leave log'!$A$7:$A$306,Employees!$A$23,'Leave log'!$B$7:$B$306,"&lt;="&amp;DATE($B$3,12,13),'Leave log'!$C$7:$C$306,"&gt;="&amp;DATE($B$3,12,13),'Leave log'!$F$7:$F$306,"Approved")&gt;0,"A",""))="A","A",IF(OR(DATE($B$3,12,13)&gt;EOMONTH(DATE($B$3,12,1),0),NETWORKDAYS.INTL(DATE($B$3,12,13),DATE($B$3,12,13),1,'Non-working days'!$A$6:$A$45)=0),"",IF(COUNTIFS('Leave log'!$A$7:$A$306,Employees!$A$23,'Leave log'!$B$7:$B$306,"&lt;="&amp;DATE($B$3,12,13),'Leave log'!$C$7:$C$306,"&gt;="&amp;DATE($B$3,12,13),'Leave log'!$F$7:$F$306,"Pending")&gt;0,"P",""))))</f>
        <v/>
      </c>
      <c r="O398" s="23" t="str">
        <f>IF(A398="","",IF(IF(OR(DATE($B$3,12,14)&gt;EOMONTH(DATE($B$3,12,1),0),NETWORKDAYS.INTL(DATE($B$3,12,14),DATE($B$3,12,14),1,'Non-working days'!$A$6:$A$45)=0),"",IF(COUNTIFS('Leave log'!$A$7:$A$306,Employees!$A$23,'Leave log'!$B$7:$B$306,"&lt;="&amp;DATE($B$3,12,14),'Leave log'!$C$7:$C$306,"&gt;="&amp;DATE($B$3,12,14),'Leave log'!$F$7:$F$306,"Approved")&gt;0,"A",""))="A","A",IF(OR(DATE($B$3,12,14)&gt;EOMONTH(DATE($B$3,12,1),0),NETWORKDAYS.INTL(DATE($B$3,12,14),DATE($B$3,12,14),1,'Non-working days'!$A$6:$A$45)=0),"",IF(COUNTIFS('Leave log'!$A$7:$A$306,Employees!$A$23,'Leave log'!$B$7:$B$306,"&lt;="&amp;DATE($B$3,12,14),'Leave log'!$C$7:$C$306,"&gt;="&amp;DATE($B$3,12,14),'Leave log'!$F$7:$F$306,"Pending")&gt;0,"P",""))))</f>
        <v/>
      </c>
      <c r="P398" s="23" t="str">
        <f>IF(A398="","",IF(IF(OR(DATE($B$3,12,15)&gt;EOMONTH(DATE($B$3,12,1),0),NETWORKDAYS.INTL(DATE($B$3,12,15),DATE($B$3,12,15),1,'Non-working days'!$A$6:$A$45)=0),"",IF(COUNTIFS('Leave log'!$A$7:$A$306,Employees!$A$23,'Leave log'!$B$7:$B$306,"&lt;="&amp;DATE($B$3,12,15),'Leave log'!$C$7:$C$306,"&gt;="&amp;DATE($B$3,12,15),'Leave log'!$F$7:$F$306,"Approved")&gt;0,"A",""))="A","A",IF(OR(DATE($B$3,12,15)&gt;EOMONTH(DATE($B$3,12,1),0),NETWORKDAYS.INTL(DATE($B$3,12,15),DATE($B$3,12,15),1,'Non-working days'!$A$6:$A$45)=0),"",IF(COUNTIFS('Leave log'!$A$7:$A$306,Employees!$A$23,'Leave log'!$B$7:$B$306,"&lt;="&amp;DATE($B$3,12,15),'Leave log'!$C$7:$C$306,"&gt;="&amp;DATE($B$3,12,15),'Leave log'!$F$7:$F$306,"Pending")&gt;0,"P",""))))</f>
        <v/>
      </c>
      <c r="Q398" s="23" t="str">
        <f>IF(A398="","",IF(IF(OR(DATE($B$3,12,16)&gt;EOMONTH(DATE($B$3,12,1),0),NETWORKDAYS.INTL(DATE($B$3,12,16),DATE($B$3,12,16),1,'Non-working days'!$A$6:$A$45)=0),"",IF(COUNTIFS('Leave log'!$A$7:$A$306,Employees!$A$23,'Leave log'!$B$7:$B$306,"&lt;="&amp;DATE($B$3,12,16),'Leave log'!$C$7:$C$306,"&gt;="&amp;DATE($B$3,12,16),'Leave log'!$F$7:$F$306,"Approved")&gt;0,"A",""))="A","A",IF(OR(DATE($B$3,12,16)&gt;EOMONTH(DATE($B$3,12,1),0),NETWORKDAYS.INTL(DATE($B$3,12,16),DATE($B$3,12,16),1,'Non-working days'!$A$6:$A$45)=0),"",IF(COUNTIFS('Leave log'!$A$7:$A$306,Employees!$A$23,'Leave log'!$B$7:$B$306,"&lt;="&amp;DATE($B$3,12,16),'Leave log'!$C$7:$C$306,"&gt;="&amp;DATE($B$3,12,16),'Leave log'!$F$7:$F$306,"Pending")&gt;0,"P",""))))</f>
        <v/>
      </c>
      <c r="R398" s="23" t="str">
        <f>IF(A398="","",IF(IF(OR(DATE($B$3,12,17)&gt;EOMONTH(DATE($B$3,12,1),0),NETWORKDAYS.INTL(DATE($B$3,12,17),DATE($B$3,12,17),1,'Non-working days'!$A$6:$A$45)=0),"",IF(COUNTIFS('Leave log'!$A$7:$A$306,Employees!$A$23,'Leave log'!$B$7:$B$306,"&lt;="&amp;DATE($B$3,12,17),'Leave log'!$C$7:$C$306,"&gt;="&amp;DATE($B$3,12,17),'Leave log'!$F$7:$F$306,"Approved")&gt;0,"A",""))="A","A",IF(OR(DATE($B$3,12,17)&gt;EOMONTH(DATE($B$3,12,1),0),NETWORKDAYS.INTL(DATE($B$3,12,17),DATE($B$3,12,17),1,'Non-working days'!$A$6:$A$45)=0),"",IF(COUNTIFS('Leave log'!$A$7:$A$306,Employees!$A$23,'Leave log'!$B$7:$B$306,"&lt;="&amp;DATE($B$3,12,17),'Leave log'!$C$7:$C$306,"&gt;="&amp;DATE($B$3,12,17),'Leave log'!$F$7:$F$306,"Pending")&gt;0,"P",""))))</f>
        <v/>
      </c>
      <c r="S398" s="23" t="str">
        <f>IF(A398="","",IF(IF(OR(DATE($B$3,12,18)&gt;EOMONTH(DATE($B$3,12,1),0),NETWORKDAYS.INTL(DATE($B$3,12,18),DATE($B$3,12,18),1,'Non-working days'!$A$6:$A$45)=0),"",IF(COUNTIFS('Leave log'!$A$7:$A$306,Employees!$A$23,'Leave log'!$B$7:$B$306,"&lt;="&amp;DATE($B$3,12,18),'Leave log'!$C$7:$C$306,"&gt;="&amp;DATE($B$3,12,18),'Leave log'!$F$7:$F$306,"Approved")&gt;0,"A",""))="A","A",IF(OR(DATE($B$3,12,18)&gt;EOMONTH(DATE($B$3,12,1),0),NETWORKDAYS.INTL(DATE($B$3,12,18),DATE($B$3,12,18),1,'Non-working days'!$A$6:$A$45)=0),"",IF(COUNTIFS('Leave log'!$A$7:$A$306,Employees!$A$23,'Leave log'!$B$7:$B$306,"&lt;="&amp;DATE($B$3,12,18),'Leave log'!$C$7:$C$306,"&gt;="&amp;DATE($B$3,12,18),'Leave log'!$F$7:$F$306,"Pending")&gt;0,"P",""))))</f>
        <v/>
      </c>
      <c r="T398" s="23" t="str">
        <f>IF(A398="","",IF(IF(OR(DATE($B$3,12,19)&gt;EOMONTH(DATE($B$3,12,1),0),NETWORKDAYS.INTL(DATE($B$3,12,19),DATE($B$3,12,19),1,'Non-working days'!$A$6:$A$45)=0),"",IF(COUNTIFS('Leave log'!$A$7:$A$306,Employees!$A$23,'Leave log'!$B$7:$B$306,"&lt;="&amp;DATE($B$3,12,19),'Leave log'!$C$7:$C$306,"&gt;="&amp;DATE($B$3,12,19),'Leave log'!$F$7:$F$306,"Approved")&gt;0,"A",""))="A","A",IF(OR(DATE($B$3,12,19)&gt;EOMONTH(DATE($B$3,12,1),0),NETWORKDAYS.INTL(DATE($B$3,12,19),DATE($B$3,12,19),1,'Non-working days'!$A$6:$A$45)=0),"",IF(COUNTIFS('Leave log'!$A$7:$A$306,Employees!$A$23,'Leave log'!$B$7:$B$306,"&lt;="&amp;DATE($B$3,12,19),'Leave log'!$C$7:$C$306,"&gt;="&amp;DATE($B$3,12,19),'Leave log'!$F$7:$F$306,"Pending")&gt;0,"P",""))))</f>
        <v/>
      </c>
      <c r="U398" s="23" t="str">
        <f>IF(A398="","",IF(IF(OR(DATE($B$3,12,20)&gt;EOMONTH(DATE($B$3,12,1),0),NETWORKDAYS.INTL(DATE($B$3,12,20),DATE($B$3,12,20),1,'Non-working days'!$A$6:$A$45)=0),"",IF(COUNTIFS('Leave log'!$A$7:$A$306,Employees!$A$23,'Leave log'!$B$7:$B$306,"&lt;="&amp;DATE($B$3,12,20),'Leave log'!$C$7:$C$306,"&gt;="&amp;DATE($B$3,12,20),'Leave log'!$F$7:$F$306,"Approved")&gt;0,"A",""))="A","A",IF(OR(DATE($B$3,12,20)&gt;EOMONTH(DATE($B$3,12,1),0),NETWORKDAYS.INTL(DATE($B$3,12,20),DATE($B$3,12,20),1,'Non-working days'!$A$6:$A$45)=0),"",IF(COUNTIFS('Leave log'!$A$7:$A$306,Employees!$A$23,'Leave log'!$B$7:$B$306,"&lt;="&amp;DATE($B$3,12,20),'Leave log'!$C$7:$C$306,"&gt;="&amp;DATE($B$3,12,20),'Leave log'!$F$7:$F$306,"Pending")&gt;0,"P",""))))</f>
        <v/>
      </c>
      <c r="V398" s="23" t="str">
        <f>IF(A398="","",IF(IF(OR(DATE($B$3,12,21)&gt;EOMONTH(DATE($B$3,12,1),0),NETWORKDAYS.INTL(DATE($B$3,12,21),DATE($B$3,12,21),1,'Non-working days'!$A$6:$A$45)=0),"",IF(COUNTIFS('Leave log'!$A$7:$A$306,Employees!$A$23,'Leave log'!$B$7:$B$306,"&lt;="&amp;DATE($B$3,12,21),'Leave log'!$C$7:$C$306,"&gt;="&amp;DATE($B$3,12,21),'Leave log'!$F$7:$F$306,"Approved")&gt;0,"A",""))="A","A",IF(OR(DATE($B$3,12,21)&gt;EOMONTH(DATE($B$3,12,1),0),NETWORKDAYS.INTL(DATE($B$3,12,21),DATE($B$3,12,21),1,'Non-working days'!$A$6:$A$45)=0),"",IF(COUNTIFS('Leave log'!$A$7:$A$306,Employees!$A$23,'Leave log'!$B$7:$B$306,"&lt;="&amp;DATE($B$3,12,21),'Leave log'!$C$7:$C$306,"&gt;="&amp;DATE($B$3,12,21),'Leave log'!$F$7:$F$306,"Pending")&gt;0,"P",""))))</f>
        <v/>
      </c>
      <c r="W398" s="23" t="str">
        <f>IF(A398="","",IF(IF(OR(DATE($B$3,12,22)&gt;EOMONTH(DATE($B$3,12,1),0),NETWORKDAYS.INTL(DATE($B$3,12,22),DATE($B$3,12,22),1,'Non-working days'!$A$6:$A$45)=0),"",IF(COUNTIFS('Leave log'!$A$7:$A$306,Employees!$A$23,'Leave log'!$B$7:$B$306,"&lt;="&amp;DATE($B$3,12,22),'Leave log'!$C$7:$C$306,"&gt;="&amp;DATE($B$3,12,22),'Leave log'!$F$7:$F$306,"Approved")&gt;0,"A",""))="A","A",IF(OR(DATE($B$3,12,22)&gt;EOMONTH(DATE($B$3,12,1),0),NETWORKDAYS.INTL(DATE($B$3,12,22),DATE($B$3,12,22),1,'Non-working days'!$A$6:$A$45)=0),"",IF(COUNTIFS('Leave log'!$A$7:$A$306,Employees!$A$23,'Leave log'!$B$7:$B$306,"&lt;="&amp;DATE($B$3,12,22),'Leave log'!$C$7:$C$306,"&gt;="&amp;DATE($B$3,12,22),'Leave log'!$F$7:$F$306,"Pending")&gt;0,"P",""))))</f>
        <v/>
      </c>
      <c r="X398" s="23" t="str">
        <f>IF(A398="","",IF(IF(OR(DATE($B$3,12,23)&gt;EOMONTH(DATE($B$3,12,1),0),NETWORKDAYS.INTL(DATE($B$3,12,23),DATE($B$3,12,23),1,'Non-working days'!$A$6:$A$45)=0),"",IF(COUNTIFS('Leave log'!$A$7:$A$306,Employees!$A$23,'Leave log'!$B$7:$B$306,"&lt;="&amp;DATE($B$3,12,23),'Leave log'!$C$7:$C$306,"&gt;="&amp;DATE($B$3,12,23),'Leave log'!$F$7:$F$306,"Approved")&gt;0,"A",""))="A","A",IF(OR(DATE($B$3,12,23)&gt;EOMONTH(DATE($B$3,12,1),0),NETWORKDAYS.INTL(DATE($B$3,12,23),DATE($B$3,12,23),1,'Non-working days'!$A$6:$A$45)=0),"",IF(COUNTIFS('Leave log'!$A$7:$A$306,Employees!$A$23,'Leave log'!$B$7:$B$306,"&lt;="&amp;DATE($B$3,12,23),'Leave log'!$C$7:$C$306,"&gt;="&amp;DATE($B$3,12,23),'Leave log'!$F$7:$F$306,"Pending")&gt;0,"P",""))))</f>
        <v/>
      </c>
      <c r="Y398" s="23" t="str">
        <f>IF(A398="","",IF(IF(OR(DATE($B$3,12,24)&gt;EOMONTH(DATE($B$3,12,1),0),NETWORKDAYS.INTL(DATE($B$3,12,24),DATE($B$3,12,24),1,'Non-working days'!$A$6:$A$45)=0),"",IF(COUNTIFS('Leave log'!$A$7:$A$306,Employees!$A$23,'Leave log'!$B$7:$B$306,"&lt;="&amp;DATE($B$3,12,24),'Leave log'!$C$7:$C$306,"&gt;="&amp;DATE($B$3,12,24),'Leave log'!$F$7:$F$306,"Approved")&gt;0,"A",""))="A","A",IF(OR(DATE($B$3,12,24)&gt;EOMONTH(DATE($B$3,12,1),0),NETWORKDAYS.INTL(DATE($B$3,12,24),DATE($B$3,12,24),1,'Non-working days'!$A$6:$A$45)=0),"",IF(COUNTIFS('Leave log'!$A$7:$A$306,Employees!$A$23,'Leave log'!$B$7:$B$306,"&lt;="&amp;DATE($B$3,12,24),'Leave log'!$C$7:$C$306,"&gt;="&amp;DATE($B$3,12,24),'Leave log'!$F$7:$F$306,"Pending")&gt;0,"P",""))))</f>
        <v/>
      </c>
      <c r="Z398" s="23" t="str">
        <f>IF(A398="","",IF(IF(OR(DATE($B$3,12,25)&gt;EOMONTH(DATE($B$3,12,1),0),NETWORKDAYS.INTL(DATE($B$3,12,25),DATE($B$3,12,25),1,'Non-working days'!$A$6:$A$45)=0),"",IF(COUNTIFS('Leave log'!$A$7:$A$306,Employees!$A$23,'Leave log'!$B$7:$B$306,"&lt;="&amp;DATE($B$3,12,25),'Leave log'!$C$7:$C$306,"&gt;="&amp;DATE($B$3,12,25),'Leave log'!$F$7:$F$306,"Approved")&gt;0,"A",""))="A","A",IF(OR(DATE($B$3,12,25)&gt;EOMONTH(DATE($B$3,12,1),0),NETWORKDAYS.INTL(DATE($B$3,12,25),DATE($B$3,12,25),1,'Non-working days'!$A$6:$A$45)=0),"",IF(COUNTIFS('Leave log'!$A$7:$A$306,Employees!$A$23,'Leave log'!$B$7:$B$306,"&lt;="&amp;DATE($B$3,12,25),'Leave log'!$C$7:$C$306,"&gt;="&amp;DATE($B$3,12,25),'Leave log'!$F$7:$F$306,"Pending")&gt;0,"P",""))))</f>
        <v/>
      </c>
      <c r="AA398" s="23" t="str">
        <f>IF(A398="","",IF(IF(OR(DATE($B$3,12,26)&gt;EOMONTH(DATE($B$3,12,1),0),NETWORKDAYS.INTL(DATE($B$3,12,26),DATE($B$3,12,26),1,'Non-working days'!$A$6:$A$45)=0),"",IF(COUNTIFS('Leave log'!$A$7:$A$306,Employees!$A$23,'Leave log'!$B$7:$B$306,"&lt;="&amp;DATE($B$3,12,26),'Leave log'!$C$7:$C$306,"&gt;="&amp;DATE($B$3,12,26),'Leave log'!$F$7:$F$306,"Approved")&gt;0,"A",""))="A","A",IF(OR(DATE($B$3,12,26)&gt;EOMONTH(DATE($B$3,12,1),0),NETWORKDAYS.INTL(DATE($B$3,12,26),DATE($B$3,12,26),1,'Non-working days'!$A$6:$A$45)=0),"",IF(COUNTIFS('Leave log'!$A$7:$A$306,Employees!$A$23,'Leave log'!$B$7:$B$306,"&lt;="&amp;DATE($B$3,12,26),'Leave log'!$C$7:$C$306,"&gt;="&amp;DATE($B$3,12,26),'Leave log'!$F$7:$F$306,"Pending")&gt;0,"P",""))))</f>
        <v/>
      </c>
      <c r="AB398" s="23" t="str">
        <f>IF(A398="","",IF(IF(OR(DATE($B$3,12,27)&gt;EOMONTH(DATE($B$3,12,1),0),NETWORKDAYS.INTL(DATE($B$3,12,27),DATE($B$3,12,27),1,'Non-working days'!$A$6:$A$45)=0),"",IF(COUNTIFS('Leave log'!$A$7:$A$306,Employees!$A$23,'Leave log'!$B$7:$B$306,"&lt;="&amp;DATE($B$3,12,27),'Leave log'!$C$7:$C$306,"&gt;="&amp;DATE($B$3,12,27),'Leave log'!$F$7:$F$306,"Approved")&gt;0,"A",""))="A","A",IF(OR(DATE($B$3,12,27)&gt;EOMONTH(DATE($B$3,12,1),0),NETWORKDAYS.INTL(DATE($B$3,12,27),DATE($B$3,12,27),1,'Non-working days'!$A$6:$A$45)=0),"",IF(COUNTIFS('Leave log'!$A$7:$A$306,Employees!$A$23,'Leave log'!$B$7:$B$306,"&lt;="&amp;DATE($B$3,12,27),'Leave log'!$C$7:$C$306,"&gt;="&amp;DATE($B$3,12,27),'Leave log'!$F$7:$F$306,"Pending")&gt;0,"P",""))))</f>
        <v/>
      </c>
      <c r="AC398" s="23" t="str">
        <f>IF(A398="","",IF(IF(OR(DATE($B$3,12,28)&gt;EOMONTH(DATE($B$3,12,1),0),NETWORKDAYS.INTL(DATE($B$3,12,28),DATE($B$3,12,28),1,'Non-working days'!$A$6:$A$45)=0),"",IF(COUNTIFS('Leave log'!$A$7:$A$306,Employees!$A$23,'Leave log'!$B$7:$B$306,"&lt;="&amp;DATE($B$3,12,28),'Leave log'!$C$7:$C$306,"&gt;="&amp;DATE($B$3,12,28),'Leave log'!$F$7:$F$306,"Approved")&gt;0,"A",""))="A","A",IF(OR(DATE($B$3,12,28)&gt;EOMONTH(DATE($B$3,12,1),0),NETWORKDAYS.INTL(DATE($B$3,12,28),DATE($B$3,12,28),1,'Non-working days'!$A$6:$A$45)=0),"",IF(COUNTIFS('Leave log'!$A$7:$A$306,Employees!$A$23,'Leave log'!$B$7:$B$306,"&lt;="&amp;DATE($B$3,12,28),'Leave log'!$C$7:$C$306,"&gt;="&amp;DATE($B$3,12,28),'Leave log'!$F$7:$F$306,"Pending")&gt;0,"P",""))))</f>
        <v/>
      </c>
      <c r="AD398" s="23" t="str">
        <f>IF(A398="","",IF(IF(OR(DATE($B$3,12,29)&gt;EOMONTH(DATE($B$3,12,1),0),NETWORKDAYS.INTL(DATE($B$3,12,29),DATE($B$3,12,29),1,'Non-working days'!$A$6:$A$45)=0),"",IF(COUNTIFS('Leave log'!$A$7:$A$306,Employees!$A$23,'Leave log'!$B$7:$B$306,"&lt;="&amp;DATE($B$3,12,29),'Leave log'!$C$7:$C$306,"&gt;="&amp;DATE($B$3,12,29),'Leave log'!$F$7:$F$306,"Approved")&gt;0,"A",""))="A","A",IF(OR(DATE($B$3,12,29)&gt;EOMONTH(DATE($B$3,12,1),0),NETWORKDAYS.INTL(DATE($B$3,12,29),DATE($B$3,12,29),1,'Non-working days'!$A$6:$A$45)=0),"",IF(COUNTIFS('Leave log'!$A$7:$A$306,Employees!$A$23,'Leave log'!$B$7:$B$306,"&lt;="&amp;DATE($B$3,12,29),'Leave log'!$C$7:$C$306,"&gt;="&amp;DATE($B$3,12,29),'Leave log'!$F$7:$F$306,"Pending")&gt;0,"P",""))))</f>
        <v/>
      </c>
      <c r="AE398" s="23" t="str">
        <f>IF(A398="","",IF(IF(OR(DATE($B$3,12,30)&gt;EOMONTH(DATE($B$3,12,1),0),NETWORKDAYS.INTL(DATE($B$3,12,30),DATE($B$3,12,30),1,'Non-working days'!$A$6:$A$45)=0),"",IF(COUNTIFS('Leave log'!$A$7:$A$306,Employees!$A$23,'Leave log'!$B$7:$B$306,"&lt;="&amp;DATE($B$3,12,30),'Leave log'!$C$7:$C$306,"&gt;="&amp;DATE($B$3,12,30),'Leave log'!$F$7:$F$306,"Approved")&gt;0,"A",""))="A","A",IF(OR(DATE($B$3,12,30)&gt;EOMONTH(DATE($B$3,12,1),0),NETWORKDAYS.INTL(DATE($B$3,12,30),DATE($B$3,12,30),1,'Non-working days'!$A$6:$A$45)=0),"",IF(COUNTIFS('Leave log'!$A$7:$A$306,Employees!$A$23,'Leave log'!$B$7:$B$306,"&lt;="&amp;DATE($B$3,12,30),'Leave log'!$C$7:$C$306,"&gt;="&amp;DATE($B$3,12,30),'Leave log'!$F$7:$F$306,"Pending")&gt;0,"P",""))))</f>
        <v/>
      </c>
      <c r="AF398" s="23" t="str">
        <f>IF(A398="","",IF(IF(OR(DATE($B$3,12,31)&gt;EOMONTH(DATE($B$3,12,1),0),NETWORKDAYS.INTL(DATE($B$3,12,31),DATE($B$3,12,31),1,'Non-working days'!$A$6:$A$45)=0),"",IF(COUNTIFS('Leave log'!$A$7:$A$306,Employees!$A$23,'Leave log'!$B$7:$B$306,"&lt;="&amp;DATE($B$3,12,31),'Leave log'!$C$7:$C$306,"&gt;="&amp;DATE($B$3,12,31),'Leave log'!$F$7:$F$306,"Approved")&gt;0,"A",""))="A","A",IF(OR(DATE($B$3,12,31)&gt;EOMONTH(DATE($B$3,12,1),0),NETWORKDAYS.INTL(DATE($B$3,12,31),DATE($B$3,12,31),1,'Non-working days'!$A$6:$A$45)=0),"",IF(COUNTIFS('Leave log'!$A$7:$A$306,Employees!$A$23,'Leave log'!$B$7:$B$306,"&lt;="&amp;DATE($B$3,12,31),'Leave log'!$C$7:$C$306,"&gt;="&amp;DATE($B$3,12,31),'Leave log'!$F$7:$F$306,"Pending")&gt;0,"P",""))))</f>
        <v/>
      </c>
    </row>
    <row r="399" spans="1:32" ht="18" customHeight="1" x14ac:dyDescent="0.3">
      <c r="A399" s="22" t="str">
        <f>IF(Employees!F24="Yes",Employees!B24,"")</f>
        <v/>
      </c>
      <c r="B399" s="23" t="str">
        <f>IF(A399="","",IF(IF(OR(DATE($B$3,12,1)&gt;EOMONTH(DATE($B$3,12,1),0),NETWORKDAYS.INTL(DATE($B$3,12,1),DATE($B$3,12,1),1,'Non-working days'!$A$6:$A$45)=0),"",IF(COUNTIFS('Leave log'!$A$7:$A$306,Employees!$A$24,'Leave log'!$B$7:$B$306,"&lt;="&amp;DATE($B$3,12,1),'Leave log'!$C$7:$C$306,"&gt;="&amp;DATE($B$3,12,1),'Leave log'!$F$7:$F$306,"Approved")&gt;0,"A",""))="A","A",IF(OR(DATE($B$3,12,1)&gt;EOMONTH(DATE($B$3,12,1),0),NETWORKDAYS.INTL(DATE($B$3,12,1),DATE($B$3,12,1),1,'Non-working days'!$A$6:$A$45)=0),"",IF(COUNTIFS('Leave log'!$A$7:$A$306,Employees!$A$24,'Leave log'!$B$7:$B$306,"&lt;="&amp;DATE($B$3,12,1),'Leave log'!$C$7:$C$306,"&gt;="&amp;DATE($B$3,12,1),'Leave log'!$F$7:$F$306,"Pending")&gt;0,"P",""))))</f>
        <v/>
      </c>
      <c r="C399" s="23" t="str">
        <f>IF(A399="","",IF(IF(OR(DATE($B$3,12,2)&gt;EOMONTH(DATE($B$3,12,1),0),NETWORKDAYS.INTL(DATE($B$3,12,2),DATE($B$3,12,2),1,'Non-working days'!$A$6:$A$45)=0),"",IF(COUNTIFS('Leave log'!$A$7:$A$306,Employees!$A$24,'Leave log'!$B$7:$B$306,"&lt;="&amp;DATE($B$3,12,2),'Leave log'!$C$7:$C$306,"&gt;="&amp;DATE($B$3,12,2),'Leave log'!$F$7:$F$306,"Approved")&gt;0,"A",""))="A","A",IF(OR(DATE($B$3,12,2)&gt;EOMONTH(DATE($B$3,12,1),0),NETWORKDAYS.INTL(DATE($B$3,12,2),DATE($B$3,12,2),1,'Non-working days'!$A$6:$A$45)=0),"",IF(COUNTIFS('Leave log'!$A$7:$A$306,Employees!$A$24,'Leave log'!$B$7:$B$306,"&lt;="&amp;DATE($B$3,12,2),'Leave log'!$C$7:$C$306,"&gt;="&amp;DATE($B$3,12,2),'Leave log'!$F$7:$F$306,"Pending")&gt;0,"P",""))))</f>
        <v/>
      </c>
      <c r="D399" s="23" t="str">
        <f>IF(A399="","",IF(IF(OR(DATE($B$3,12,3)&gt;EOMONTH(DATE($B$3,12,1),0),NETWORKDAYS.INTL(DATE($B$3,12,3),DATE($B$3,12,3),1,'Non-working days'!$A$6:$A$45)=0),"",IF(COUNTIFS('Leave log'!$A$7:$A$306,Employees!$A$24,'Leave log'!$B$7:$B$306,"&lt;="&amp;DATE($B$3,12,3),'Leave log'!$C$7:$C$306,"&gt;="&amp;DATE($B$3,12,3),'Leave log'!$F$7:$F$306,"Approved")&gt;0,"A",""))="A","A",IF(OR(DATE($B$3,12,3)&gt;EOMONTH(DATE($B$3,12,1),0),NETWORKDAYS.INTL(DATE($B$3,12,3),DATE($B$3,12,3),1,'Non-working days'!$A$6:$A$45)=0),"",IF(COUNTIFS('Leave log'!$A$7:$A$306,Employees!$A$24,'Leave log'!$B$7:$B$306,"&lt;="&amp;DATE($B$3,12,3),'Leave log'!$C$7:$C$306,"&gt;="&amp;DATE($B$3,12,3),'Leave log'!$F$7:$F$306,"Pending")&gt;0,"P",""))))</f>
        <v/>
      </c>
      <c r="E399" s="23" t="str">
        <f>IF(A399="","",IF(IF(OR(DATE($B$3,12,4)&gt;EOMONTH(DATE($B$3,12,1),0),NETWORKDAYS.INTL(DATE($B$3,12,4),DATE($B$3,12,4),1,'Non-working days'!$A$6:$A$45)=0),"",IF(COUNTIFS('Leave log'!$A$7:$A$306,Employees!$A$24,'Leave log'!$B$7:$B$306,"&lt;="&amp;DATE($B$3,12,4),'Leave log'!$C$7:$C$306,"&gt;="&amp;DATE($B$3,12,4),'Leave log'!$F$7:$F$306,"Approved")&gt;0,"A",""))="A","A",IF(OR(DATE($B$3,12,4)&gt;EOMONTH(DATE($B$3,12,1),0),NETWORKDAYS.INTL(DATE($B$3,12,4),DATE($B$3,12,4),1,'Non-working days'!$A$6:$A$45)=0),"",IF(COUNTIFS('Leave log'!$A$7:$A$306,Employees!$A$24,'Leave log'!$B$7:$B$306,"&lt;="&amp;DATE($B$3,12,4),'Leave log'!$C$7:$C$306,"&gt;="&amp;DATE($B$3,12,4),'Leave log'!$F$7:$F$306,"Pending")&gt;0,"P",""))))</f>
        <v/>
      </c>
      <c r="F399" s="23" t="str">
        <f>IF(A399="","",IF(IF(OR(DATE($B$3,12,5)&gt;EOMONTH(DATE($B$3,12,1),0),NETWORKDAYS.INTL(DATE($B$3,12,5),DATE($B$3,12,5),1,'Non-working days'!$A$6:$A$45)=0),"",IF(COUNTIFS('Leave log'!$A$7:$A$306,Employees!$A$24,'Leave log'!$B$7:$B$306,"&lt;="&amp;DATE($B$3,12,5),'Leave log'!$C$7:$C$306,"&gt;="&amp;DATE($B$3,12,5),'Leave log'!$F$7:$F$306,"Approved")&gt;0,"A",""))="A","A",IF(OR(DATE($B$3,12,5)&gt;EOMONTH(DATE($B$3,12,1),0),NETWORKDAYS.INTL(DATE($B$3,12,5),DATE($B$3,12,5),1,'Non-working days'!$A$6:$A$45)=0),"",IF(COUNTIFS('Leave log'!$A$7:$A$306,Employees!$A$24,'Leave log'!$B$7:$B$306,"&lt;="&amp;DATE($B$3,12,5),'Leave log'!$C$7:$C$306,"&gt;="&amp;DATE($B$3,12,5),'Leave log'!$F$7:$F$306,"Pending")&gt;0,"P",""))))</f>
        <v/>
      </c>
      <c r="G399" s="23" t="str">
        <f>IF(A399="","",IF(IF(OR(DATE($B$3,12,6)&gt;EOMONTH(DATE($B$3,12,1),0),NETWORKDAYS.INTL(DATE($B$3,12,6),DATE($B$3,12,6),1,'Non-working days'!$A$6:$A$45)=0),"",IF(COUNTIFS('Leave log'!$A$7:$A$306,Employees!$A$24,'Leave log'!$B$7:$B$306,"&lt;="&amp;DATE($B$3,12,6),'Leave log'!$C$7:$C$306,"&gt;="&amp;DATE($B$3,12,6),'Leave log'!$F$7:$F$306,"Approved")&gt;0,"A",""))="A","A",IF(OR(DATE($B$3,12,6)&gt;EOMONTH(DATE($B$3,12,1),0),NETWORKDAYS.INTL(DATE($B$3,12,6),DATE($B$3,12,6),1,'Non-working days'!$A$6:$A$45)=0),"",IF(COUNTIFS('Leave log'!$A$7:$A$306,Employees!$A$24,'Leave log'!$B$7:$B$306,"&lt;="&amp;DATE($B$3,12,6),'Leave log'!$C$7:$C$306,"&gt;="&amp;DATE($B$3,12,6),'Leave log'!$F$7:$F$306,"Pending")&gt;0,"P",""))))</f>
        <v/>
      </c>
      <c r="H399" s="23" t="str">
        <f>IF(A399="","",IF(IF(OR(DATE($B$3,12,7)&gt;EOMONTH(DATE($B$3,12,1),0),NETWORKDAYS.INTL(DATE($B$3,12,7),DATE($B$3,12,7),1,'Non-working days'!$A$6:$A$45)=0),"",IF(COUNTIFS('Leave log'!$A$7:$A$306,Employees!$A$24,'Leave log'!$B$7:$B$306,"&lt;="&amp;DATE($B$3,12,7),'Leave log'!$C$7:$C$306,"&gt;="&amp;DATE($B$3,12,7),'Leave log'!$F$7:$F$306,"Approved")&gt;0,"A",""))="A","A",IF(OR(DATE($B$3,12,7)&gt;EOMONTH(DATE($B$3,12,1),0),NETWORKDAYS.INTL(DATE($B$3,12,7),DATE($B$3,12,7),1,'Non-working days'!$A$6:$A$45)=0),"",IF(COUNTIFS('Leave log'!$A$7:$A$306,Employees!$A$24,'Leave log'!$B$7:$B$306,"&lt;="&amp;DATE($B$3,12,7),'Leave log'!$C$7:$C$306,"&gt;="&amp;DATE($B$3,12,7),'Leave log'!$F$7:$F$306,"Pending")&gt;0,"P",""))))</f>
        <v/>
      </c>
      <c r="I399" s="23" t="str">
        <f>IF(A399="","",IF(IF(OR(DATE($B$3,12,8)&gt;EOMONTH(DATE($B$3,12,1),0),NETWORKDAYS.INTL(DATE($B$3,12,8),DATE($B$3,12,8),1,'Non-working days'!$A$6:$A$45)=0),"",IF(COUNTIFS('Leave log'!$A$7:$A$306,Employees!$A$24,'Leave log'!$B$7:$B$306,"&lt;="&amp;DATE($B$3,12,8),'Leave log'!$C$7:$C$306,"&gt;="&amp;DATE($B$3,12,8),'Leave log'!$F$7:$F$306,"Approved")&gt;0,"A",""))="A","A",IF(OR(DATE($B$3,12,8)&gt;EOMONTH(DATE($B$3,12,1),0),NETWORKDAYS.INTL(DATE($B$3,12,8),DATE($B$3,12,8),1,'Non-working days'!$A$6:$A$45)=0),"",IF(COUNTIFS('Leave log'!$A$7:$A$306,Employees!$A$24,'Leave log'!$B$7:$B$306,"&lt;="&amp;DATE($B$3,12,8),'Leave log'!$C$7:$C$306,"&gt;="&amp;DATE($B$3,12,8),'Leave log'!$F$7:$F$306,"Pending")&gt;0,"P",""))))</f>
        <v/>
      </c>
      <c r="J399" s="23" t="str">
        <f>IF(A399="","",IF(IF(OR(DATE($B$3,12,9)&gt;EOMONTH(DATE($B$3,12,1),0),NETWORKDAYS.INTL(DATE($B$3,12,9),DATE($B$3,12,9),1,'Non-working days'!$A$6:$A$45)=0),"",IF(COUNTIFS('Leave log'!$A$7:$A$306,Employees!$A$24,'Leave log'!$B$7:$B$306,"&lt;="&amp;DATE($B$3,12,9),'Leave log'!$C$7:$C$306,"&gt;="&amp;DATE($B$3,12,9),'Leave log'!$F$7:$F$306,"Approved")&gt;0,"A",""))="A","A",IF(OR(DATE($B$3,12,9)&gt;EOMONTH(DATE($B$3,12,1),0),NETWORKDAYS.INTL(DATE($B$3,12,9),DATE($B$3,12,9),1,'Non-working days'!$A$6:$A$45)=0),"",IF(COUNTIFS('Leave log'!$A$7:$A$306,Employees!$A$24,'Leave log'!$B$7:$B$306,"&lt;="&amp;DATE($B$3,12,9),'Leave log'!$C$7:$C$306,"&gt;="&amp;DATE($B$3,12,9),'Leave log'!$F$7:$F$306,"Pending")&gt;0,"P",""))))</f>
        <v/>
      </c>
      <c r="K399" s="23" t="str">
        <f>IF(A399="","",IF(IF(OR(DATE($B$3,12,10)&gt;EOMONTH(DATE($B$3,12,1),0),NETWORKDAYS.INTL(DATE($B$3,12,10),DATE($B$3,12,10),1,'Non-working days'!$A$6:$A$45)=0),"",IF(COUNTIFS('Leave log'!$A$7:$A$306,Employees!$A$24,'Leave log'!$B$7:$B$306,"&lt;="&amp;DATE($B$3,12,10),'Leave log'!$C$7:$C$306,"&gt;="&amp;DATE($B$3,12,10),'Leave log'!$F$7:$F$306,"Approved")&gt;0,"A",""))="A","A",IF(OR(DATE($B$3,12,10)&gt;EOMONTH(DATE($B$3,12,1),0),NETWORKDAYS.INTL(DATE($B$3,12,10),DATE($B$3,12,10),1,'Non-working days'!$A$6:$A$45)=0),"",IF(COUNTIFS('Leave log'!$A$7:$A$306,Employees!$A$24,'Leave log'!$B$7:$B$306,"&lt;="&amp;DATE($B$3,12,10),'Leave log'!$C$7:$C$306,"&gt;="&amp;DATE($B$3,12,10),'Leave log'!$F$7:$F$306,"Pending")&gt;0,"P",""))))</f>
        <v/>
      </c>
      <c r="L399" s="23" t="str">
        <f>IF(A399="","",IF(IF(OR(DATE($B$3,12,11)&gt;EOMONTH(DATE($B$3,12,1),0),NETWORKDAYS.INTL(DATE($B$3,12,11),DATE($B$3,12,11),1,'Non-working days'!$A$6:$A$45)=0),"",IF(COUNTIFS('Leave log'!$A$7:$A$306,Employees!$A$24,'Leave log'!$B$7:$B$306,"&lt;="&amp;DATE($B$3,12,11),'Leave log'!$C$7:$C$306,"&gt;="&amp;DATE($B$3,12,11),'Leave log'!$F$7:$F$306,"Approved")&gt;0,"A",""))="A","A",IF(OR(DATE($B$3,12,11)&gt;EOMONTH(DATE($B$3,12,1),0),NETWORKDAYS.INTL(DATE($B$3,12,11),DATE($B$3,12,11),1,'Non-working days'!$A$6:$A$45)=0),"",IF(COUNTIFS('Leave log'!$A$7:$A$306,Employees!$A$24,'Leave log'!$B$7:$B$306,"&lt;="&amp;DATE($B$3,12,11),'Leave log'!$C$7:$C$306,"&gt;="&amp;DATE($B$3,12,11),'Leave log'!$F$7:$F$306,"Pending")&gt;0,"P",""))))</f>
        <v/>
      </c>
      <c r="M399" s="23" t="str">
        <f>IF(A399="","",IF(IF(OR(DATE($B$3,12,12)&gt;EOMONTH(DATE($B$3,12,1),0),NETWORKDAYS.INTL(DATE($B$3,12,12),DATE($B$3,12,12),1,'Non-working days'!$A$6:$A$45)=0),"",IF(COUNTIFS('Leave log'!$A$7:$A$306,Employees!$A$24,'Leave log'!$B$7:$B$306,"&lt;="&amp;DATE($B$3,12,12),'Leave log'!$C$7:$C$306,"&gt;="&amp;DATE($B$3,12,12),'Leave log'!$F$7:$F$306,"Approved")&gt;0,"A",""))="A","A",IF(OR(DATE($B$3,12,12)&gt;EOMONTH(DATE($B$3,12,1),0),NETWORKDAYS.INTL(DATE($B$3,12,12),DATE($B$3,12,12),1,'Non-working days'!$A$6:$A$45)=0),"",IF(COUNTIFS('Leave log'!$A$7:$A$306,Employees!$A$24,'Leave log'!$B$7:$B$306,"&lt;="&amp;DATE($B$3,12,12),'Leave log'!$C$7:$C$306,"&gt;="&amp;DATE($B$3,12,12),'Leave log'!$F$7:$F$306,"Pending")&gt;0,"P",""))))</f>
        <v/>
      </c>
      <c r="N399" s="23" t="str">
        <f>IF(A399="","",IF(IF(OR(DATE($B$3,12,13)&gt;EOMONTH(DATE($B$3,12,1),0),NETWORKDAYS.INTL(DATE($B$3,12,13),DATE($B$3,12,13),1,'Non-working days'!$A$6:$A$45)=0),"",IF(COUNTIFS('Leave log'!$A$7:$A$306,Employees!$A$24,'Leave log'!$B$7:$B$306,"&lt;="&amp;DATE($B$3,12,13),'Leave log'!$C$7:$C$306,"&gt;="&amp;DATE($B$3,12,13),'Leave log'!$F$7:$F$306,"Approved")&gt;0,"A",""))="A","A",IF(OR(DATE($B$3,12,13)&gt;EOMONTH(DATE($B$3,12,1),0),NETWORKDAYS.INTL(DATE($B$3,12,13),DATE($B$3,12,13),1,'Non-working days'!$A$6:$A$45)=0),"",IF(COUNTIFS('Leave log'!$A$7:$A$306,Employees!$A$24,'Leave log'!$B$7:$B$306,"&lt;="&amp;DATE($B$3,12,13),'Leave log'!$C$7:$C$306,"&gt;="&amp;DATE($B$3,12,13),'Leave log'!$F$7:$F$306,"Pending")&gt;0,"P",""))))</f>
        <v/>
      </c>
      <c r="O399" s="23" t="str">
        <f>IF(A399="","",IF(IF(OR(DATE($B$3,12,14)&gt;EOMONTH(DATE($B$3,12,1),0),NETWORKDAYS.INTL(DATE($B$3,12,14),DATE($B$3,12,14),1,'Non-working days'!$A$6:$A$45)=0),"",IF(COUNTIFS('Leave log'!$A$7:$A$306,Employees!$A$24,'Leave log'!$B$7:$B$306,"&lt;="&amp;DATE($B$3,12,14),'Leave log'!$C$7:$C$306,"&gt;="&amp;DATE($B$3,12,14),'Leave log'!$F$7:$F$306,"Approved")&gt;0,"A",""))="A","A",IF(OR(DATE($B$3,12,14)&gt;EOMONTH(DATE($B$3,12,1),0),NETWORKDAYS.INTL(DATE($B$3,12,14),DATE($B$3,12,14),1,'Non-working days'!$A$6:$A$45)=0),"",IF(COUNTIFS('Leave log'!$A$7:$A$306,Employees!$A$24,'Leave log'!$B$7:$B$306,"&lt;="&amp;DATE($B$3,12,14),'Leave log'!$C$7:$C$306,"&gt;="&amp;DATE($B$3,12,14),'Leave log'!$F$7:$F$306,"Pending")&gt;0,"P",""))))</f>
        <v/>
      </c>
      <c r="P399" s="23" t="str">
        <f>IF(A399="","",IF(IF(OR(DATE($B$3,12,15)&gt;EOMONTH(DATE($B$3,12,1),0),NETWORKDAYS.INTL(DATE($B$3,12,15),DATE($B$3,12,15),1,'Non-working days'!$A$6:$A$45)=0),"",IF(COUNTIFS('Leave log'!$A$7:$A$306,Employees!$A$24,'Leave log'!$B$7:$B$306,"&lt;="&amp;DATE($B$3,12,15),'Leave log'!$C$7:$C$306,"&gt;="&amp;DATE($B$3,12,15),'Leave log'!$F$7:$F$306,"Approved")&gt;0,"A",""))="A","A",IF(OR(DATE($B$3,12,15)&gt;EOMONTH(DATE($B$3,12,1),0),NETWORKDAYS.INTL(DATE($B$3,12,15),DATE($B$3,12,15),1,'Non-working days'!$A$6:$A$45)=0),"",IF(COUNTIFS('Leave log'!$A$7:$A$306,Employees!$A$24,'Leave log'!$B$7:$B$306,"&lt;="&amp;DATE($B$3,12,15),'Leave log'!$C$7:$C$306,"&gt;="&amp;DATE($B$3,12,15),'Leave log'!$F$7:$F$306,"Pending")&gt;0,"P",""))))</f>
        <v/>
      </c>
      <c r="Q399" s="23" t="str">
        <f>IF(A399="","",IF(IF(OR(DATE($B$3,12,16)&gt;EOMONTH(DATE($B$3,12,1),0),NETWORKDAYS.INTL(DATE($B$3,12,16),DATE($B$3,12,16),1,'Non-working days'!$A$6:$A$45)=0),"",IF(COUNTIFS('Leave log'!$A$7:$A$306,Employees!$A$24,'Leave log'!$B$7:$B$306,"&lt;="&amp;DATE($B$3,12,16),'Leave log'!$C$7:$C$306,"&gt;="&amp;DATE($B$3,12,16),'Leave log'!$F$7:$F$306,"Approved")&gt;0,"A",""))="A","A",IF(OR(DATE($B$3,12,16)&gt;EOMONTH(DATE($B$3,12,1),0),NETWORKDAYS.INTL(DATE($B$3,12,16),DATE($B$3,12,16),1,'Non-working days'!$A$6:$A$45)=0),"",IF(COUNTIFS('Leave log'!$A$7:$A$306,Employees!$A$24,'Leave log'!$B$7:$B$306,"&lt;="&amp;DATE($B$3,12,16),'Leave log'!$C$7:$C$306,"&gt;="&amp;DATE($B$3,12,16),'Leave log'!$F$7:$F$306,"Pending")&gt;0,"P",""))))</f>
        <v/>
      </c>
      <c r="R399" s="23" t="str">
        <f>IF(A399="","",IF(IF(OR(DATE($B$3,12,17)&gt;EOMONTH(DATE($B$3,12,1),0),NETWORKDAYS.INTL(DATE($B$3,12,17),DATE($B$3,12,17),1,'Non-working days'!$A$6:$A$45)=0),"",IF(COUNTIFS('Leave log'!$A$7:$A$306,Employees!$A$24,'Leave log'!$B$7:$B$306,"&lt;="&amp;DATE($B$3,12,17),'Leave log'!$C$7:$C$306,"&gt;="&amp;DATE($B$3,12,17),'Leave log'!$F$7:$F$306,"Approved")&gt;0,"A",""))="A","A",IF(OR(DATE($B$3,12,17)&gt;EOMONTH(DATE($B$3,12,1),0),NETWORKDAYS.INTL(DATE($B$3,12,17),DATE($B$3,12,17),1,'Non-working days'!$A$6:$A$45)=0),"",IF(COUNTIFS('Leave log'!$A$7:$A$306,Employees!$A$24,'Leave log'!$B$7:$B$306,"&lt;="&amp;DATE($B$3,12,17),'Leave log'!$C$7:$C$306,"&gt;="&amp;DATE($B$3,12,17),'Leave log'!$F$7:$F$306,"Pending")&gt;0,"P",""))))</f>
        <v/>
      </c>
      <c r="S399" s="23" t="str">
        <f>IF(A399="","",IF(IF(OR(DATE($B$3,12,18)&gt;EOMONTH(DATE($B$3,12,1),0),NETWORKDAYS.INTL(DATE($B$3,12,18),DATE($B$3,12,18),1,'Non-working days'!$A$6:$A$45)=0),"",IF(COUNTIFS('Leave log'!$A$7:$A$306,Employees!$A$24,'Leave log'!$B$7:$B$306,"&lt;="&amp;DATE($B$3,12,18),'Leave log'!$C$7:$C$306,"&gt;="&amp;DATE($B$3,12,18),'Leave log'!$F$7:$F$306,"Approved")&gt;0,"A",""))="A","A",IF(OR(DATE($B$3,12,18)&gt;EOMONTH(DATE($B$3,12,1),0),NETWORKDAYS.INTL(DATE($B$3,12,18),DATE($B$3,12,18),1,'Non-working days'!$A$6:$A$45)=0),"",IF(COUNTIFS('Leave log'!$A$7:$A$306,Employees!$A$24,'Leave log'!$B$7:$B$306,"&lt;="&amp;DATE($B$3,12,18),'Leave log'!$C$7:$C$306,"&gt;="&amp;DATE($B$3,12,18),'Leave log'!$F$7:$F$306,"Pending")&gt;0,"P",""))))</f>
        <v/>
      </c>
      <c r="T399" s="23" t="str">
        <f>IF(A399="","",IF(IF(OR(DATE($B$3,12,19)&gt;EOMONTH(DATE($B$3,12,1),0),NETWORKDAYS.INTL(DATE($B$3,12,19),DATE($B$3,12,19),1,'Non-working days'!$A$6:$A$45)=0),"",IF(COUNTIFS('Leave log'!$A$7:$A$306,Employees!$A$24,'Leave log'!$B$7:$B$306,"&lt;="&amp;DATE($B$3,12,19),'Leave log'!$C$7:$C$306,"&gt;="&amp;DATE($B$3,12,19),'Leave log'!$F$7:$F$306,"Approved")&gt;0,"A",""))="A","A",IF(OR(DATE($B$3,12,19)&gt;EOMONTH(DATE($B$3,12,1),0),NETWORKDAYS.INTL(DATE($B$3,12,19),DATE($B$3,12,19),1,'Non-working days'!$A$6:$A$45)=0),"",IF(COUNTIFS('Leave log'!$A$7:$A$306,Employees!$A$24,'Leave log'!$B$7:$B$306,"&lt;="&amp;DATE($B$3,12,19),'Leave log'!$C$7:$C$306,"&gt;="&amp;DATE($B$3,12,19),'Leave log'!$F$7:$F$306,"Pending")&gt;0,"P",""))))</f>
        <v/>
      </c>
      <c r="U399" s="23" t="str">
        <f>IF(A399="","",IF(IF(OR(DATE($B$3,12,20)&gt;EOMONTH(DATE($B$3,12,1),0),NETWORKDAYS.INTL(DATE($B$3,12,20),DATE($B$3,12,20),1,'Non-working days'!$A$6:$A$45)=0),"",IF(COUNTIFS('Leave log'!$A$7:$A$306,Employees!$A$24,'Leave log'!$B$7:$B$306,"&lt;="&amp;DATE($B$3,12,20),'Leave log'!$C$7:$C$306,"&gt;="&amp;DATE($B$3,12,20),'Leave log'!$F$7:$F$306,"Approved")&gt;0,"A",""))="A","A",IF(OR(DATE($B$3,12,20)&gt;EOMONTH(DATE($B$3,12,1),0),NETWORKDAYS.INTL(DATE($B$3,12,20),DATE($B$3,12,20),1,'Non-working days'!$A$6:$A$45)=0),"",IF(COUNTIFS('Leave log'!$A$7:$A$306,Employees!$A$24,'Leave log'!$B$7:$B$306,"&lt;="&amp;DATE($B$3,12,20),'Leave log'!$C$7:$C$306,"&gt;="&amp;DATE($B$3,12,20),'Leave log'!$F$7:$F$306,"Pending")&gt;0,"P",""))))</f>
        <v/>
      </c>
      <c r="V399" s="23" t="str">
        <f>IF(A399="","",IF(IF(OR(DATE($B$3,12,21)&gt;EOMONTH(DATE($B$3,12,1),0),NETWORKDAYS.INTL(DATE($B$3,12,21),DATE($B$3,12,21),1,'Non-working days'!$A$6:$A$45)=0),"",IF(COUNTIFS('Leave log'!$A$7:$A$306,Employees!$A$24,'Leave log'!$B$7:$B$306,"&lt;="&amp;DATE($B$3,12,21),'Leave log'!$C$7:$C$306,"&gt;="&amp;DATE($B$3,12,21),'Leave log'!$F$7:$F$306,"Approved")&gt;0,"A",""))="A","A",IF(OR(DATE($B$3,12,21)&gt;EOMONTH(DATE($B$3,12,1),0),NETWORKDAYS.INTL(DATE($B$3,12,21),DATE($B$3,12,21),1,'Non-working days'!$A$6:$A$45)=0),"",IF(COUNTIFS('Leave log'!$A$7:$A$306,Employees!$A$24,'Leave log'!$B$7:$B$306,"&lt;="&amp;DATE($B$3,12,21),'Leave log'!$C$7:$C$306,"&gt;="&amp;DATE($B$3,12,21),'Leave log'!$F$7:$F$306,"Pending")&gt;0,"P",""))))</f>
        <v/>
      </c>
      <c r="W399" s="23" t="str">
        <f>IF(A399="","",IF(IF(OR(DATE($B$3,12,22)&gt;EOMONTH(DATE($B$3,12,1),0),NETWORKDAYS.INTL(DATE($B$3,12,22),DATE($B$3,12,22),1,'Non-working days'!$A$6:$A$45)=0),"",IF(COUNTIFS('Leave log'!$A$7:$A$306,Employees!$A$24,'Leave log'!$B$7:$B$306,"&lt;="&amp;DATE($B$3,12,22),'Leave log'!$C$7:$C$306,"&gt;="&amp;DATE($B$3,12,22),'Leave log'!$F$7:$F$306,"Approved")&gt;0,"A",""))="A","A",IF(OR(DATE($B$3,12,22)&gt;EOMONTH(DATE($B$3,12,1),0),NETWORKDAYS.INTL(DATE($B$3,12,22),DATE($B$3,12,22),1,'Non-working days'!$A$6:$A$45)=0),"",IF(COUNTIFS('Leave log'!$A$7:$A$306,Employees!$A$24,'Leave log'!$B$7:$B$306,"&lt;="&amp;DATE($B$3,12,22),'Leave log'!$C$7:$C$306,"&gt;="&amp;DATE($B$3,12,22),'Leave log'!$F$7:$F$306,"Pending")&gt;0,"P",""))))</f>
        <v/>
      </c>
      <c r="X399" s="23" t="str">
        <f>IF(A399="","",IF(IF(OR(DATE($B$3,12,23)&gt;EOMONTH(DATE($B$3,12,1),0),NETWORKDAYS.INTL(DATE($B$3,12,23),DATE($B$3,12,23),1,'Non-working days'!$A$6:$A$45)=0),"",IF(COUNTIFS('Leave log'!$A$7:$A$306,Employees!$A$24,'Leave log'!$B$7:$B$306,"&lt;="&amp;DATE($B$3,12,23),'Leave log'!$C$7:$C$306,"&gt;="&amp;DATE($B$3,12,23),'Leave log'!$F$7:$F$306,"Approved")&gt;0,"A",""))="A","A",IF(OR(DATE($B$3,12,23)&gt;EOMONTH(DATE($B$3,12,1),0),NETWORKDAYS.INTL(DATE($B$3,12,23),DATE($B$3,12,23),1,'Non-working days'!$A$6:$A$45)=0),"",IF(COUNTIFS('Leave log'!$A$7:$A$306,Employees!$A$24,'Leave log'!$B$7:$B$306,"&lt;="&amp;DATE($B$3,12,23),'Leave log'!$C$7:$C$306,"&gt;="&amp;DATE($B$3,12,23),'Leave log'!$F$7:$F$306,"Pending")&gt;0,"P",""))))</f>
        <v/>
      </c>
      <c r="Y399" s="23" t="str">
        <f>IF(A399="","",IF(IF(OR(DATE($B$3,12,24)&gt;EOMONTH(DATE($B$3,12,1),0),NETWORKDAYS.INTL(DATE($B$3,12,24),DATE($B$3,12,24),1,'Non-working days'!$A$6:$A$45)=0),"",IF(COUNTIFS('Leave log'!$A$7:$A$306,Employees!$A$24,'Leave log'!$B$7:$B$306,"&lt;="&amp;DATE($B$3,12,24),'Leave log'!$C$7:$C$306,"&gt;="&amp;DATE($B$3,12,24),'Leave log'!$F$7:$F$306,"Approved")&gt;0,"A",""))="A","A",IF(OR(DATE($B$3,12,24)&gt;EOMONTH(DATE($B$3,12,1),0),NETWORKDAYS.INTL(DATE($B$3,12,24),DATE($B$3,12,24),1,'Non-working days'!$A$6:$A$45)=0),"",IF(COUNTIFS('Leave log'!$A$7:$A$306,Employees!$A$24,'Leave log'!$B$7:$B$306,"&lt;="&amp;DATE($B$3,12,24),'Leave log'!$C$7:$C$306,"&gt;="&amp;DATE($B$3,12,24),'Leave log'!$F$7:$F$306,"Pending")&gt;0,"P",""))))</f>
        <v/>
      </c>
      <c r="Z399" s="23" t="str">
        <f>IF(A399="","",IF(IF(OR(DATE($B$3,12,25)&gt;EOMONTH(DATE($B$3,12,1),0),NETWORKDAYS.INTL(DATE($B$3,12,25),DATE($B$3,12,25),1,'Non-working days'!$A$6:$A$45)=0),"",IF(COUNTIFS('Leave log'!$A$7:$A$306,Employees!$A$24,'Leave log'!$B$7:$B$306,"&lt;="&amp;DATE($B$3,12,25),'Leave log'!$C$7:$C$306,"&gt;="&amp;DATE($B$3,12,25),'Leave log'!$F$7:$F$306,"Approved")&gt;0,"A",""))="A","A",IF(OR(DATE($B$3,12,25)&gt;EOMONTH(DATE($B$3,12,1),0),NETWORKDAYS.INTL(DATE($B$3,12,25),DATE($B$3,12,25),1,'Non-working days'!$A$6:$A$45)=0),"",IF(COUNTIFS('Leave log'!$A$7:$A$306,Employees!$A$24,'Leave log'!$B$7:$B$306,"&lt;="&amp;DATE($B$3,12,25),'Leave log'!$C$7:$C$306,"&gt;="&amp;DATE($B$3,12,25),'Leave log'!$F$7:$F$306,"Pending")&gt;0,"P",""))))</f>
        <v/>
      </c>
      <c r="AA399" s="23" t="str">
        <f>IF(A399="","",IF(IF(OR(DATE($B$3,12,26)&gt;EOMONTH(DATE($B$3,12,1),0),NETWORKDAYS.INTL(DATE($B$3,12,26),DATE($B$3,12,26),1,'Non-working days'!$A$6:$A$45)=0),"",IF(COUNTIFS('Leave log'!$A$7:$A$306,Employees!$A$24,'Leave log'!$B$7:$B$306,"&lt;="&amp;DATE($B$3,12,26),'Leave log'!$C$7:$C$306,"&gt;="&amp;DATE($B$3,12,26),'Leave log'!$F$7:$F$306,"Approved")&gt;0,"A",""))="A","A",IF(OR(DATE($B$3,12,26)&gt;EOMONTH(DATE($B$3,12,1),0),NETWORKDAYS.INTL(DATE($B$3,12,26),DATE($B$3,12,26),1,'Non-working days'!$A$6:$A$45)=0),"",IF(COUNTIFS('Leave log'!$A$7:$A$306,Employees!$A$24,'Leave log'!$B$7:$B$306,"&lt;="&amp;DATE($B$3,12,26),'Leave log'!$C$7:$C$306,"&gt;="&amp;DATE($B$3,12,26),'Leave log'!$F$7:$F$306,"Pending")&gt;0,"P",""))))</f>
        <v/>
      </c>
      <c r="AB399" s="23" t="str">
        <f>IF(A399="","",IF(IF(OR(DATE($B$3,12,27)&gt;EOMONTH(DATE($B$3,12,1),0),NETWORKDAYS.INTL(DATE($B$3,12,27),DATE($B$3,12,27),1,'Non-working days'!$A$6:$A$45)=0),"",IF(COUNTIFS('Leave log'!$A$7:$A$306,Employees!$A$24,'Leave log'!$B$7:$B$306,"&lt;="&amp;DATE($B$3,12,27),'Leave log'!$C$7:$C$306,"&gt;="&amp;DATE($B$3,12,27),'Leave log'!$F$7:$F$306,"Approved")&gt;0,"A",""))="A","A",IF(OR(DATE($B$3,12,27)&gt;EOMONTH(DATE($B$3,12,1),0),NETWORKDAYS.INTL(DATE($B$3,12,27),DATE($B$3,12,27),1,'Non-working days'!$A$6:$A$45)=0),"",IF(COUNTIFS('Leave log'!$A$7:$A$306,Employees!$A$24,'Leave log'!$B$7:$B$306,"&lt;="&amp;DATE($B$3,12,27),'Leave log'!$C$7:$C$306,"&gt;="&amp;DATE($B$3,12,27),'Leave log'!$F$7:$F$306,"Pending")&gt;0,"P",""))))</f>
        <v/>
      </c>
      <c r="AC399" s="23" t="str">
        <f>IF(A399="","",IF(IF(OR(DATE($B$3,12,28)&gt;EOMONTH(DATE($B$3,12,1),0),NETWORKDAYS.INTL(DATE($B$3,12,28),DATE($B$3,12,28),1,'Non-working days'!$A$6:$A$45)=0),"",IF(COUNTIFS('Leave log'!$A$7:$A$306,Employees!$A$24,'Leave log'!$B$7:$B$306,"&lt;="&amp;DATE($B$3,12,28),'Leave log'!$C$7:$C$306,"&gt;="&amp;DATE($B$3,12,28),'Leave log'!$F$7:$F$306,"Approved")&gt;0,"A",""))="A","A",IF(OR(DATE($B$3,12,28)&gt;EOMONTH(DATE($B$3,12,1),0),NETWORKDAYS.INTL(DATE($B$3,12,28),DATE($B$3,12,28),1,'Non-working days'!$A$6:$A$45)=0),"",IF(COUNTIFS('Leave log'!$A$7:$A$306,Employees!$A$24,'Leave log'!$B$7:$B$306,"&lt;="&amp;DATE($B$3,12,28),'Leave log'!$C$7:$C$306,"&gt;="&amp;DATE($B$3,12,28),'Leave log'!$F$7:$F$306,"Pending")&gt;0,"P",""))))</f>
        <v/>
      </c>
      <c r="AD399" s="23" t="str">
        <f>IF(A399="","",IF(IF(OR(DATE($B$3,12,29)&gt;EOMONTH(DATE($B$3,12,1),0),NETWORKDAYS.INTL(DATE($B$3,12,29),DATE($B$3,12,29),1,'Non-working days'!$A$6:$A$45)=0),"",IF(COUNTIFS('Leave log'!$A$7:$A$306,Employees!$A$24,'Leave log'!$B$7:$B$306,"&lt;="&amp;DATE($B$3,12,29),'Leave log'!$C$7:$C$306,"&gt;="&amp;DATE($B$3,12,29),'Leave log'!$F$7:$F$306,"Approved")&gt;0,"A",""))="A","A",IF(OR(DATE($B$3,12,29)&gt;EOMONTH(DATE($B$3,12,1),0),NETWORKDAYS.INTL(DATE($B$3,12,29),DATE($B$3,12,29),1,'Non-working days'!$A$6:$A$45)=0),"",IF(COUNTIFS('Leave log'!$A$7:$A$306,Employees!$A$24,'Leave log'!$B$7:$B$306,"&lt;="&amp;DATE($B$3,12,29),'Leave log'!$C$7:$C$306,"&gt;="&amp;DATE($B$3,12,29),'Leave log'!$F$7:$F$306,"Pending")&gt;0,"P",""))))</f>
        <v/>
      </c>
      <c r="AE399" s="23" t="str">
        <f>IF(A399="","",IF(IF(OR(DATE($B$3,12,30)&gt;EOMONTH(DATE($B$3,12,1),0),NETWORKDAYS.INTL(DATE($B$3,12,30),DATE($B$3,12,30),1,'Non-working days'!$A$6:$A$45)=0),"",IF(COUNTIFS('Leave log'!$A$7:$A$306,Employees!$A$24,'Leave log'!$B$7:$B$306,"&lt;="&amp;DATE($B$3,12,30),'Leave log'!$C$7:$C$306,"&gt;="&amp;DATE($B$3,12,30),'Leave log'!$F$7:$F$306,"Approved")&gt;0,"A",""))="A","A",IF(OR(DATE($B$3,12,30)&gt;EOMONTH(DATE($B$3,12,1),0),NETWORKDAYS.INTL(DATE($B$3,12,30),DATE($B$3,12,30),1,'Non-working days'!$A$6:$A$45)=0),"",IF(COUNTIFS('Leave log'!$A$7:$A$306,Employees!$A$24,'Leave log'!$B$7:$B$306,"&lt;="&amp;DATE($B$3,12,30),'Leave log'!$C$7:$C$306,"&gt;="&amp;DATE($B$3,12,30),'Leave log'!$F$7:$F$306,"Pending")&gt;0,"P",""))))</f>
        <v/>
      </c>
      <c r="AF399" s="23" t="str">
        <f>IF(A399="","",IF(IF(OR(DATE($B$3,12,31)&gt;EOMONTH(DATE($B$3,12,1),0),NETWORKDAYS.INTL(DATE($B$3,12,31),DATE($B$3,12,31),1,'Non-working days'!$A$6:$A$45)=0),"",IF(COUNTIFS('Leave log'!$A$7:$A$306,Employees!$A$24,'Leave log'!$B$7:$B$306,"&lt;="&amp;DATE($B$3,12,31),'Leave log'!$C$7:$C$306,"&gt;="&amp;DATE($B$3,12,31),'Leave log'!$F$7:$F$306,"Approved")&gt;0,"A",""))="A","A",IF(OR(DATE($B$3,12,31)&gt;EOMONTH(DATE($B$3,12,1),0),NETWORKDAYS.INTL(DATE($B$3,12,31),DATE($B$3,12,31),1,'Non-working days'!$A$6:$A$45)=0),"",IF(COUNTIFS('Leave log'!$A$7:$A$306,Employees!$A$24,'Leave log'!$B$7:$B$306,"&lt;="&amp;DATE($B$3,12,31),'Leave log'!$C$7:$C$306,"&gt;="&amp;DATE($B$3,12,31),'Leave log'!$F$7:$F$306,"Pending")&gt;0,"P",""))))</f>
        <v/>
      </c>
    </row>
    <row r="400" spans="1:32" ht="18" customHeight="1" x14ac:dyDescent="0.3">
      <c r="A400" s="22" t="str">
        <f>IF(Employees!F25="Yes",Employees!B25,"")</f>
        <v/>
      </c>
      <c r="B400" s="23" t="str">
        <f>IF(A400="","",IF(IF(OR(DATE($B$3,12,1)&gt;EOMONTH(DATE($B$3,12,1),0),NETWORKDAYS.INTL(DATE($B$3,12,1),DATE($B$3,12,1),1,'Non-working days'!$A$6:$A$45)=0),"",IF(COUNTIFS('Leave log'!$A$7:$A$306,Employees!$A$25,'Leave log'!$B$7:$B$306,"&lt;="&amp;DATE($B$3,12,1),'Leave log'!$C$7:$C$306,"&gt;="&amp;DATE($B$3,12,1),'Leave log'!$F$7:$F$306,"Approved")&gt;0,"A",""))="A","A",IF(OR(DATE($B$3,12,1)&gt;EOMONTH(DATE($B$3,12,1),0),NETWORKDAYS.INTL(DATE($B$3,12,1),DATE($B$3,12,1),1,'Non-working days'!$A$6:$A$45)=0),"",IF(COUNTIFS('Leave log'!$A$7:$A$306,Employees!$A$25,'Leave log'!$B$7:$B$306,"&lt;="&amp;DATE($B$3,12,1),'Leave log'!$C$7:$C$306,"&gt;="&amp;DATE($B$3,12,1),'Leave log'!$F$7:$F$306,"Pending")&gt;0,"P",""))))</f>
        <v/>
      </c>
      <c r="C400" s="23" t="str">
        <f>IF(A400="","",IF(IF(OR(DATE($B$3,12,2)&gt;EOMONTH(DATE($B$3,12,1),0),NETWORKDAYS.INTL(DATE($B$3,12,2),DATE($B$3,12,2),1,'Non-working days'!$A$6:$A$45)=0),"",IF(COUNTIFS('Leave log'!$A$7:$A$306,Employees!$A$25,'Leave log'!$B$7:$B$306,"&lt;="&amp;DATE($B$3,12,2),'Leave log'!$C$7:$C$306,"&gt;="&amp;DATE($B$3,12,2),'Leave log'!$F$7:$F$306,"Approved")&gt;0,"A",""))="A","A",IF(OR(DATE($B$3,12,2)&gt;EOMONTH(DATE($B$3,12,1),0),NETWORKDAYS.INTL(DATE($B$3,12,2),DATE($B$3,12,2),1,'Non-working days'!$A$6:$A$45)=0),"",IF(COUNTIFS('Leave log'!$A$7:$A$306,Employees!$A$25,'Leave log'!$B$7:$B$306,"&lt;="&amp;DATE($B$3,12,2),'Leave log'!$C$7:$C$306,"&gt;="&amp;DATE($B$3,12,2),'Leave log'!$F$7:$F$306,"Pending")&gt;0,"P",""))))</f>
        <v/>
      </c>
      <c r="D400" s="23" t="str">
        <f>IF(A400="","",IF(IF(OR(DATE($B$3,12,3)&gt;EOMONTH(DATE($B$3,12,1),0),NETWORKDAYS.INTL(DATE($B$3,12,3),DATE($B$3,12,3),1,'Non-working days'!$A$6:$A$45)=0),"",IF(COUNTIFS('Leave log'!$A$7:$A$306,Employees!$A$25,'Leave log'!$B$7:$B$306,"&lt;="&amp;DATE($B$3,12,3),'Leave log'!$C$7:$C$306,"&gt;="&amp;DATE($B$3,12,3),'Leave log'!$F$7:$F$306,"Approved")&gt;0,"A",""))="A","A",IF(OR(DATE($B$3,12,3)&gt;EOMONTH(DATE($B$3,12,1),0),NETWORKDAYS.INTL(DATE($B$3,12,3),DATE($B$3,12,3),1,'Non-working days'!$A$6:$A$45)=0),"",IF(COUNTIFS('Leave log'!$A$7:$A$306,Employees!$A$25,'Leave log'!$B$7:$B$306,"&lt;="&amp;DATE($B$3,12,3),'Leave log'!$C$7:$C$306,"&gt;="&amp;DATE($B$3,12,3),'Leave log'!$F$7:$F$306,"Pending")&gt;0,"P",""))))</f>
        <v/>
      </c>
      <c r="E400" s="23" t="str">
        <f>IF(A400="","",IF(IF(OR(DATE($B$3,12,4)&gt;EOMONTH(DATE($B$3,12,1),0),NETWORKDAYS.INTL(DATE($B$3,12,4),DATE($B$3,12,4),1,'Non-working days'!$A$6:$A$45)=0),"",IF(COUNTIFS('Leave log'!$A$7:$A$306,Employees!$A$25,'Leave log'!$B$7:$B$306,"&lt;="&amp;DATE($B$3,12,4),'Leave log'!$C$7:$C$306,"&gt;="&amp;DATE($B$3,12,4),'Leave log'!$F$7:$F$306,"Approved")&gt;0,"A",""))="A","A",IF(OR(DATE($B$3,12,4)&gt;EOMONTH(DATE($B$3,12,1),0),NETWORKDAYS.INTL(DATE($B$3,12,4),DATE($B$3,12,4),1,'Non-working days'!$A$6:$A$45)=0),"",IF(COUNTIFS('Leave log'!$A$7:$A$306,Employees!$A$25,'Leave log'!$B$7:$B$306,"&lt;="&amp;DATE($B$3,12,4),'Leave log'!$C$7:$C$306,"&gt;="&amp;DATE($B$3,12,4),'Leave log'!$F$7:$F$306,"Pending")&gt;0,"P",""))))</f>
        <v/>
      </c>
      <c r="F400" s="23" t="str">
        <f>IF(A400="","",IF(IF(OR(DATE($B$3,12,5)&gt;EOMONTH(DATE($B$3,12,1),0),NETWORKDAYS.INTL(DATE($B$3,12,5),DATE($B$3,12,5),1,'Non-working days'!$A$6:$A$45)=0),"",IF(COUNTIFS('Leave log'!$A$7:$A$306,Employees!$A$25,'Leave log'!$B$7:$B$306,"&lt;="&amp;DATE($B$3,12,5),'Leave log'!$C$7:$C$306,"&gt;="&amp;DATE($B$3,12,5),'Leave log'!$F$7:$F$306,"Approved")&gt;0,"A",""))="A","A",IF(OR(DATE($B$3,12,5)&gt;EOMONTH(DATE($B$3,12,1),0),NETWORKDAYS.INTL(DATE($B$3,12,5),DATE($B$3,12,5),1,'Non-working days'!$A$6:$A$45)=0),"",IF(COUNTIFS('Leave log'!$A$7:$A$306,Employees!$A$25,'Leave log'!$B$7:$B$306,"&lt;="&amp;DATE($B$3,12,5),'Leave log'!$C$7:$C$306,"&gt;="&amp;DATE($B$3,12,5),'Leave log'!$F$7:$F$306,"Pending")&gt;0,"P",""))))</f>
        <v/>
      </c>
      <c r="G400" s="23" t="str">
        <f>IF(A400="","",IF(IF(OR(DATE($B$3,12,6)&gt;EOMONTH(DATE($B$3,12,1),0),NETWORKDAYS.INTL(DATE($B$3,12,6),DATE($B$3,12,6),1,'Non-working days'!$A$6:$A$45)=0),"",IF(COUNTIFS('Leave log'!$A$7:$A$306,Employees!$A$25,'Leave log'!$B$7:$B$306,"&lt;="&amp;DATE($B$3,12,6),'Leave log'!$C$7:$C$306,"&gt;="&amp;DATE($B$3,12,6),'Leave log'!$F$7:$F$306,"Approved")&gt;0,"A",""))="A","A",IF(OR(DATE($B$3,12,6)&gt;EOMONTH(DATE($B$3,12,1),0),NETWORKDAYS.INTL(DATE($B$3,12,6),DATE($B$3,12,6),1,'Non-working days'!$A$6:$A$45)=0),"",IF(COUNTIFS('Leave log'!$A$7:$A$306,Employees!$A$25,'Leave log'!$B$7:$B$306,"&lt;="&amp;DATE($B$3,12,6),'Leave log'!$C$7:$C$306,"&gt;="&amp;DATE($B$3,12,6),'Leave log'!$F$7:$F$306,"Pending")&gt;0,"P",""))))</f>
        <v/>
      </c>
      <c r="H400" s="23" t="str">
        <f>IF(A400="","",IF(IF(OR(DATE($B$3,12,7)&gt;EOMONTH(DATE($B$3,12,1),0),NETWORKDAYS.INTL(DATE($B$3,12,7),DATE($B$3,12,7),1,'Non-working days'!$A$6:$A$45)=0),"",IF(COUNTIFS('Leave log'!$A$7:$A$306,Employees!$A$25,'Leave log'!$B$7:$B$306,"&lt;="&amp;DATE($B$3,12,7),'Leave log'!$C$7:$C$306,"&gt;="&amp;DATE($B$3,12,7),'Leave log'!$F$7:$F$306,"Approved")&gt;0,"A",""))="A","A",IF(OR(DATE($B$3,12,7)&gt;EOMONTH(DATE($B$3,12,1),0),NETWORKDAYS.INTL(DATE($B$3,12,7),DATE($B$3,12,7),1,'Non-working days'!$A$6:$A$45)=0),"",IF(COUNTIFS('Leave log'!$A$7:$A$306,Employees!$A$25,'Leave log'!$B$7:$B$306,"&lt;="&amp;DATE($B$3,12,7),'Leave log'!$C$7:$C$306,"&gt;="&amp;DATE($B$3,12,7),'Leave log'!$F$7:$F$306,"Pending")&gt;0,"P",""))))</f>
        <v/>
      </c>
      <c r="I400" s="23" t="str">
        <f>IF(A400="","",IF(IF(OR(DATE($B$3,12,8)&gt;EOMONTH(DATE($B$3,12,1),0),NETWORKDAYS.INTL(DATE($B$3,12,8),DATE($B$3,12,8),1,'Non-working days'!$A$6:$A$45)=0),"",IF(COUNTIFS('Leave log'!$A$7:$A$306,Employees!$A$25,'Leave log'!$B$7:$B$306,"&lt;="&amp;DATE($B$3,12,8),'Leave log'!$C$7:$C$306,"&gt;="&amp;DATE($B$3,12,8),'Leave log'!$F$7:$F$306,"Approved")&gt;0,"A",""))="A","A",IF(OR(DATE($B$3,12,8)&gt;EOMONTH(DATE($B$3,12,1),0),NETWORKDAYS.INTL(DATE($B$3,12,8),DATE($B$3,12,8),1,'Non-working days'!$A$6:$A$45)=0),"",IF(COUNTIFS('Leave log'!$A$7:$A$306,Employees!$A$25,'Leave log'!$B$7:$B$306,"&lt;="&amp;DATE($B$3,12,8),'Leave log'!$C$7:$C$306,"&gt;="&amp;DATE($B$3,12,8),'Leave log'!$F$7:$F$306,"Pending")&gt;0,"P",""))))</f>
        <v/>
      </c>
      <c r="J400" s="23" t="str">
        <f>IF(A400="","",IF(IF(OR(DATE($B$3,12,9)&gt;EOMONTH(DATE($B$3,12,1),0),NETWORKDAYS.INTL(DATE($B$3,12,9),DATE($B$3,12,9),1,'Non-working days'!$A$6:$A$45)=0),"",IF(COUNTIFS('Leave log'!$A$7:$A$306,Employees!$A$25,'Leave log'!$B$7:$B$306,"&lt;="&amp;DATE($B$3,12,9),'Leave log'!$C$7:$C$306,"&gt;="&amp;DATE($B$3,12,9),'Leave log'!$F$7:$F$306,"Approved")&gt;0,"A",""))="A","A",IF(OR(DATE($B$3,12,9)&gt;EOMONTH(DATE($B$3,12,1),0),NETWORKDAYS.INTL(DATE($B$3,12,9),DATE($B$3,12,9),1,'Non-working days'!$A$6:$A$45)=0),"",IF(COUNTIFS('Leave log'!$A$7:$A$306,Employees!$A$25,'Leave log'!$B$7:$B$306,"&lt;="&amp;DATE($B$3,12,9),'Leave log'!$C$7:$C$306,"&gt;="&amp;DATE($B$3,12,9),'Leave log'!$F$7:$F$306,"Pending")&gt;0,"P",""))))</f>
        <v/>
      </c>
      <c r="K400" s="23" t="str">
        <f>IF(A400="","",IF(IF(OR(DATE($B$3,12,10)&gt;EOMONTH(DATE($B$3,12,1),0),NETWORKDAYS.INTL(DATE($B$3,12,10),DATE($B$3,12,10),1,'Non-working days'!$A$6:$A$45)=0),"",IF(COUNTIFS('Leave log'!$A$7:$A$306,Employees!$A$25,'Leave log'!$B$7:$B$306,"&lt;="&amp;DATE($B$3,12,10),'Leave log'!$C$7:$C$306,"&gt;="&amp;DATE($B$3,12,10),'Leave log'!$F$7:$F$306,"Approved")&gt;0,"A",""))="A","A",IF(OR(DATE($B$3,12,10)&gt;EOMONTH(DATE($B$3,12,1),0),NETWORKDAYS.INTL(DATE($B$3,12,10),DATE($B$3,12,10),1,'Non-working days'!$A$6:$A$45)=0),"",IF(COUNTIFS('Leave log'!$A$7:$A$306,Employees!$A$25,'Leave log'!$B$7:$B$306,"&lt;="&amp;DATE($B$3,12,10),'Leave log'!$C$7:$C$306,"&gt;="&amp;DATE($B$3,12,10),'Leave log'!$F$7:$F$306,"Pending")&gt;0,"P",""))))</f>
        <v/>
      </c>
      <c r="L400" s="23" t="str">
        <f>IF(A400="","",IF(IF(OR(DATE($B$3,12,11)&gt;EOMONTH(DATE($B$3,12,1),0),NETWORKDAYS.INTL(DATE($B$3,12,11),DATE($B$3,12,11),1,'Non-working days'!$A$6:$A$45)=0),"",IF(COUNTIFS('Leave log'!$A$7:$A$306,Employees!$A$25,'Leave log'!$B$7:$B$306,"&lt;="&amp;DATE($B$3,12,11),'Leave log'!$C$7:$C$306,"&gt;="&amp;DATE($B$3,12,11),'Leave log'!$F$7:$F$306,"Approved")&gt;0,"A",""))="A","A",IF(OR(DATE($B$3,12,11)&gt;EOMONTH(DATE($B$3,12,1),0),NETWORKDAYS.INTL(DATE($B$3,12,11),DATE($B$3,12,11),1,'Non-working days'!$A$6:$A$45)=0),"",IF(COUNTIFS('Leave log'!$A$7:$A$306,Employees!$A$25,'Leave log'!$B$7:$B$306,"&lt;="&amp;DATE($B$3,12,11),'Leave log'!$C$7:$C$306,"&gt;="&amp;DATE($B$3,12,11),'Leave log'!$F$7:$F$306,"Pending")&gt;0,"P",""))))</f>
        <v/>
      </c>
      <c r="M400" s="23" t="str">
        <f>IF(A400="","",IF(IF(OR(DATE($B$3,12,12)&gt;EOMONTH(DATE($B$3,12,1),0),NETWORKDAYS.INTL(DATE($B$3,12,12),DATE($B$3,12,12),1,'Non-working days'!$A$6:$A$45)=0),"",IF(COUNTIFS('Leave log'!$A$7:$A$306,Employees!$A$25,'Leave log'!$B$7:$B$306,"&lt;="&amp;DATE($B$3,12,12),'Leave log'!$C$7:$C$306,"&gt;="&amp;DATE($B$3,12,12),'Leave log'!$F$7:$F$306,"Approved")&gt;0,"A",""))="A","A",IF(OR(DATE($B$3,12,12)&gt;EOMONTH(DATE($B$3,12,1),0),NETWORKDAYS.INTL(DATE($B$3,12,12),DATE($B$3,12,12),1,'Non-working days'!$A$6:$A$45)=0),"",IF(COUNTIFS('Leave log'!$A$7:$A$306,Employees!$A$25,'Leave log'!$B$7:$B$306,"&lt;="&amp;DATE($B$3,12,12),'Leave log'!$C$7:$C$306,"&gt;="&amp;DATE($B$3,12,12),'Leave log'!$F$7:$F$306,"Pending")&gt;0,"P",""))))</f>
        <v/>
      </c>
      <c r="N400" s="23" t="str">
        <f>IF(A400="","",IF(IF(OR(DATE($B$3,12,13)&gt;EOMONTH(DATE($B$3,12,1),0),NETWORKDAYS.INTL(DATE($B$3,12,13),DATE($B$3,12,13),1,'Non-working days'!$A$6:$A$45)=0),"",IF(COUNTIFS('Leave log'!$A$7:$A$306,Employees!$A$25,'Leave log'!$B$7:$B$306,"&lt;="&amp;DATE($B$3,12,13),'Leave log'!$C$7:$C$306,"&gt;="&amp;DATE($B$3,12,13),'Leave log'!$F$7:$F$306,"Approved")&gt;0,"A",""))="A","A",IF(OR(DATE($B$3,12,13)&gt;EOMONTH(DATE($B$3,12,1),0),NETWORKDAYS.INTL(DATE($B$3,12,13),DATE($B$3,12,13),1,'Non-working days'!$A$6:$A$45)=0),"",IF(COUNTIFS('Leave log'!$A$7:$A$306,Employees!$A$25,'Leave log'!$B$7:$B$306,"&lt;="&amp;DATE($B$3,12,13),'Leave log'!$C$7:$C$306,"&gt;="&amp;DATE($B$3,12,13),'Leave log'!$F$7:$F$306,"Pending")&gt;0,"P",""))))</f>
        <v/>
      </c>
      <c r="O400" s="23" t="str">
        <f>IF(A400="","",IF(IF(OR(DATE($B$3,12,14)&gt;EOMONTH(DATE($B$3,12,1),0),NETWORKDAYS.INTL(DATE($B$3,12,14),DATE($B$3,12,14),1,'Non-working days'!$A$6:$A$45)=0),"",IF(COUNTIFS('Leave log'!$A$7:$A$306,Employees!$A$25,'Leave log'!$B$7:$B$306,"&lt;="&amp;DATE($B$3,12,14),'Leave log'!$C$7:$C$306,"&gt;="&amp;DATE($B$3,12,14),'Leave log'!$F$7:$F$306,"Approved")&gt;0,"A",""))="A","A",IF(OR(DATE($B$3,12,14)&gt;EOMONTH(DATE($B$3,12,1),0),NETWORKDAYS.INTL(DATE($B$3,12,14),DATE($B$3,12,14),1,'Non-working days'!$A$6:$A$45)=0),"",IF(COUNTIFS('Leave log'!$A$7:$A$306,Employees!$A$25,'Leave log'!$B$7:$B$306,"&lt;="&amp;DATE($B$3,12,14),'Leave log'!$C$7:$C$306,"&gt;="&amp;DATE($B$3,12,14),'Leave log'!$F$7:$F$306,"Pending")&gt;0,"P",""))))</f>
        <v/>
      </c>
      <c r="P400" s="23" t="str">
        <f>IF(A400="","",IF(IF(OR(DATE($B$3,12,15)&gt;EOMONTH(DATE($B$3,12,1),0),NETWORKDAYS.INTL(DATE($B$3,12,15),DATE($B$3,12,15),1,'Non-working days'!$A$6:$A$45)=0),"",IF(COUNTIFS('Leave log'!$A$7:$A$306,Employees!$A$25,'Leave log'!$B$7:$B$306,"&lt;="&amp;DATE($B$3,12,15),'Leave log'!$C$7:$C$306,"&gt;="&amp;DATE($B$3,12,15),'Leave log'!$F$7:$F$306,"Approved")&gt;0,"A",""))="A","A",IF(OR(DATE($B$3,12,15)&gt;EOMONTH(DATE($B$3,12,1),0),NETWORKDAYS.INTL(DATE($B$3,12,15),DATE($B$3,12,15),1,'Non-working days'!$A$6:$A$45)=0),"",IF(COUNTIFS('Leave log'!$A$7:$A$306,Employees!$A$25,'Leave log'!$B$7:$B$306,"&lt;="&amp;DATE($B$3,12,15),'Leave log'!$C$7:$C$306,"&gt;="&amp;DATE($B$3,12,15),'Leave log'!$F$7:$F$306,"Pending")&gt;0,"P",""))))</f>
        <v/>
      </c>
      <c r="Q400" s="23" t="str">
        <f>IF(A400="","",IF(IF(OR(DATE($B$3,12,16)&gt;EOMONTH(DATE($B$3,12,1),0),NETWORKDAYS.INTL(DATE($B$3,12,16),DATE($B$3,12,16),1,'Non-working days'!$A$6:$A$45)=0),"",IF(COUNTIFS('Leave log'!$A$7:$A$306,Employees!$A$25,'Leave log'!$B$7:$B$306,"&lt;="&amp;DATE($B$3,12,16),'Leave log'!$C$7:$C$306,"&gt;="&amp;DATE($B$3,12,16),'Leave log'!$F$7:$F$306,"Approved")&gt;0,"A",""))="A","A",IF(OR(DATE($B$3,12,16)&gt;EOMONTH(DATE($B$3,12,1),0),NETWORKDAYS.INTL(DATE($B$3,12,16),DATE($B$3,12,16),1,'Non-working days'!$A$6:$A$45)=0),"",IF(COUNTIFS('Leave log'!$A$7:$A$306,Employees!$A$25,'Leave log'!$B$7:$B$306,"&lt;="&amp;DATE($B$3,12,16),'Leave log'!$C$7:$C$306,"&gt;="&amp;DATE($B$3,12,16),'Leave log'!$F$7:$F$306,"Pending")&gt;0,"P",""))))</f>
        <v/>
      </c>
      <c r="R400" s="23" t="str">
        <f>IF(A400="","",IF(IF(OR(DATE($B$3,12,17)&gt;EOMONTH(DATE($B$3,12,1),0),NETWORKDAYS.INTL(DATE($B$3,12,17),DATE($B$3,12,17),1,'Non-working days'!$A$6:$A$45)=0),"",IF(COUNTIFS('Leave log'!$A$7:$A$306,Employees!$A$25,'Leave log'!$B$7:$B$306,"&lt;="&amp;DATE($B$3,12,17),'Leave log'!$C$7:$C$306,"&gt;="&amp;DATE($B$3,12,17),'Leave log'!$F$7:$F$306,"Approved")&gt;0,"A",""))="A","A",IF(OR(DATE($B$3,12,17)&gt;EOMONTH(DATE($B$3,12,1),0),NETWORKDAYS.INTL(DATE($B$3,12,17),DATE($B$3,12,17),1,'Non-working days'!$A$6:$A$45)=0),"",IF(COUNTIFS('Leave log'!$A$7:$A$306,Employees!$A$25,'Leave log'!$B$7:$B$306,"&lt;="&amp;DATE($B$3,12,17),'Leave log'!$C$7:$C$306,"&gt;="&amp;DATE($B$3,12,17),'Leave log'!$F$7:$F$306,"Pending")&gt;0,"P",""))))</f>
        <v/>
      </c>
      <c r="S400" s="23" t="str">
        <f>IF(A400="","",IF(IF(OR(DATE($B$3,12,18)&gt;EOMONTH(DATE($B$3,12,1),0),NETWORKDAYS.INTL(DATE($B$3,12,18),DATE($B$3,12,18),1,'Non-working days'!$A$6:$A$45)=0),"",IF(COUNTIFS('Leave log'!$A$7:$A$306,Employees!$A$25,'Leave log'!$B$7:$B$306,"&lt;="&amp;DATE($B$3,12,18),'Leave log'!$C$7:$C$306,"&gt;="&amp;DATE($B$3,12,18),'Leave log'!$F$7:$F$306,"Approved")&gt;0,"A",""))="A","A",IF(OR(DATE($B$3,12,18)&gt;EOMONTH(DATE($B$3,12,1),0),NETWORKDAYS.INTL(DATE($B$3,12,18),DATE($B$3,12,18),1,'Non-working days'!$A$6:$A$45)=0),"",IF(COUNTIFS('Leave log'!$A$7:$A$306,Employees!$A$25,'Leave log'!$B$7:$B$306,"&lt;="&amp;DATE($B$3,12,18),'Leave log'!$C$7:$C$306,"&gt;="&amp;DATE($B$3,12,18),'Leave log'!$F$7:$F$306,"Pending")&gt;0,"P",""))))</f>
        <v/>
      </c>
      <c r="T400" s="23" t="str">
        <f>IF(A400="","",IF(IF(OR(DATE($B$3,12,19)&gt;EOMONTH(DATE($B$3,12,1),0),NETWORKDAYS.INTL(DATE($B$3,12,19),DATE($B$3,12,19),1,'Non-working days'!$A$6:$A$45)=0),"",IF(COUNTIFS('Leave log'!$A$7:$A$306,Employees!$A$25,'Leave log'!$B$7:$B$306,"&lt;="&amp;DATE($B$3,12,19),'Leave log'!$C$7:$C$306,"&gt;="&amp;DATE($B$3,12,19),'Leave log'!$F$7:$F$306,"Approved")&gt;0,"A",""))="A","A",IF(OR(DATE($B$3,12,19)&gt;EOMONTH(DATE($B$3,12,1),0),NETWORKDAYS.INTL(DATE($B$3,12,19),DATE($B$3,12,19),1,'Non-working days'!$A$6:$A$45)=0),"",IF(COUNTIFS('Leave log'!$A$7:$A$306,Employees!$A$25,'Leave log'!$B$7:$B$306,"&lt;="&amp;DATE($B$3,12,19),'Leave log'!$C$7:$C$306,"&gt;="&amp;DATE($B$3,12,19),'Leave log'!$F$7:$F$306,"Pending")&gt;0,"P",""))))</f>
        <v/>
      </c>
      <c r="U400" s="23" t="str">
        <f>IF(A400="","",IF(IF(OR(DATE($B$3,12,20)&gt;EOMONTH(DATE($B$3,12,1),0),NETWORKDAYS.INTL(DATE($B$3,12,20),DATE($B$3,12,20),1,'Non-working days'!$A$6:$A$45)=0),"",IF(COUNTIFS('Leave log'!$A$7:$A$306,Employees!$A$25,'Leave log'!$B$7:$B$306,"&lt;="&amp;DATE($B$3,12,20),'Leave log'!$C$7:$C$306,"&gt;="&amp;DATE($B$3,12,20),'Leave log'!$F$7:$F$306,"Approved")&gt;0,"A",""))="A","A",IF(OR(DATE($B$3,12,20)&gt;EOMONTH(DATE($B$3,12,1),0),NETWORKDAYS.INTL(DATE($B$3,12,20),DATE($B$3,12,20),1,'Non-working days'!$A$6:$A$45)=0),"",IF(COUNTIFS('Leave log'!$A$7:$A$306,Employees!$A$25,'Leave log'!$B$7:$B$306,"&lt;="&amp;DATE($B$3,12,20),'Leave log'!$C$7:$C$306,"&gt;="&amp;DATE($B$3,12,20),'Leave log'!$F$7:$F$306,"Pending")&gt;0,"P",""))))</f>
        <v/>
      </c>
      <c r="V400" s="23" t="str">
        <f>IF(A400="","",IF(IF(OR(DATE($B$3,12,21)&gt;EOMONTH(DATE($B$3,12,1),0),NETWORKDAYS.INTL(DATE($B$3,12,21),DATE($B$3,12,21),1,'Non-working days'!$A$6:$A$45)=0),"",IF(COUNTIFS('Leave log'!$A$7:$A$306,Employees!$A$25,'Leave log'!$B$7:$B$306,"&lt;="&amp;DATE($B$3,12,21),'Leave log'!$C$7:$C$306,"&gt;="&amp;DATE($B$3,12,21),'Leave log'!$F$7:$F$306,"Approved")&gt;0,"A",""))="A","A",IF(OR(DATE($B$3,12,21)&gt;EOMONTH(DATE($B$3,12,1),0),NETWORKDAYS.INTL(DATE($B$3,12,21),DATE($B$3,12,21),1,'Non-working days'!$A$6:$A$45)=0),"",IF(COUNTIFS('Leave log'!$A$7:$A$306,Employees!$A$25,'Leave log'!$B$7:$B$306,"&lt;="&amp;DATE($B$3,12,21),'Leave log'!$C$7:$C$306,"&gt;="&amp;DATE($B$3,12,21),'Leave log'!$F$7:$F$306,"Pending")&gt;0,"P",""))))</f>
        <v/>
      </c>
      <c r="W400" s="23" t="str">
        <f>IF(A400="","",IF(IF(OR(DATE($B$3,12,22)&gt;EOMONTH(DATE($B$3,12,1),0),NETWORKDAYS.INTL(DATE($B$3,12,22),DATE($B$3,12,22),1,'Non-working days'!$A$6:$A$45)=0),"",IF(COUNTIFS('Leave log'!$A$7:$A$306,Employees!$A$25,'Leave log'!$B$7:$B$306,"&lt;="&amp;DATE($B$3,12,22),'Leave log'!$C$7:$C$306,"&gt;="&amp;DATE($B$3,12,22),'Leave log'!$F$7:$F$306,"Approved")&gt;0,"A",""))="A","A",IF(OR(DATE($B$3,12,22)&gt;EOMONTH(DATE($B$3,12,1),0),NETWORKDAYS.INTL(DATE($B$3,12,22),DATE($B$3,12,22),1,'Non-working days'!$A$6:$A$45)=0),"",IF(COUNTIFS('Leave log'!$A$7:$A$306,Employees!$A$25,'Leave log'!$B$7:$B$306,"&lt;="&amp;DATE($B$3,12,22),'Leave log'!$C$7:$C$306,"&gt;="&amp;DATE($B$3,12,22),'Leave log'!$F$7:$F$306,"Pending")&gt;0,"P",""))))</f>
        <v/>
      </c>
      <c r="X400" s="23" t="str">
        <f>IF(A400="","",IF(IF(OR(DATE($B$3,12,23)&gt;EOMONTH(DATE($B$3,12,1),0),NETWORKDAYS.INTL(DATE($B$3,12,23),DATE($B$3,12,23),1,'Non-working days'!$A$6:$A$45)=0),"",IF(COUNTIFS('Leave log'!$A$7:$A$306,Employees!$A$25,'Leave log'!$B$7:$B$306,"&lt;="&amp;DATE($B$3,12,23),'Leave log'!$C$7:$C$306,"&gt;="&amp;DATE($B$3,12,23),'Leave log'!$F$7:$F$306,"Approved")&gt;0,"A",""))="A","A",IF(OR(DATE($B$3,12,23)&gt;EOMONTH(DATE($B$3,12,1),0),NETWORKDAYS.INTL(DATE($B$3,12,23),DATE($B$3,12,23),1,'Non-working days'!$A$6:$A$45)=0),"",IF(COUNTIFS('Leave log'!$A$7:$A$306,Employees!$A$25,'Leave log'!$B$7:$B$306,"&lt;="&amp;DATE($B$3,12,23),'Leave log'!$C$7:$C$306,"&gt;="&amp;DATE($B$3,12,23),'Leave log'!$F$7:$F$306,"Pending")&gt;0,"P",""))))</f>
        <v/>
      </c>
      <c r="Y400" s="23" t="str">
        <f>IF(A400="","",IF(IF(OR(DATE($B$3,12,24)&gt;EOMONTH(DATE($B$3,12,1),0),NETWORKDAYS.INTL(DATE($B$3,12,24),DATE($B$3,12,24),1,'Non-working days'!$A$6:$A$45)=0),"",IF(COUNTIFS('Leave log'!$A$7:$A$306,Employees!$A$25,'Leave log'!$B$7:$B$306,"&lt;="&amp;DATE($B$3,12,24),'Leave log'!$C$7:$C$306,"&gt;="&amp;DATE($B$3,12,24),'Leave log'!$F$7:$F$306,"Approved")&gt;0,"A",""))="A","A",IF(OR(DATE($B$3,12,24)&gt;EOMONTH(DATE($B$3,12,1),0),NETWORKDAYS.INTL(DATE($B$3,12,24),DATE($B$3,12,24),1,'Non-working days'!$A$6:$A$45)=0),"",IF(COUNTIFS('Leave log'!$A$7:$A$306,Employees!$A$25,'Leave log'!$B$7:$B$306,"&lt;="&amp;DATE($B$3,12,24),'Leave log'!$C$7:$C$306,"&gt;="&amp;DATE($B$3,12,24),'Leave log'!$F$7:$F$306,"Pending")&gt;0,"P",""))))</f>
        <v/>
      </c>
      <c r="Z400" s="23" t="str">
        <f>IF(A400="","",IF(IF(OR(DATE($B$3,12,25)&gt;EOMONTH(DATE($B$3,12,1),0),NETWORKDAYS.INTL(DATE($B$3,12,25),DATE($B$3,12,25),1,'Non-working days'!$A$6:$A$45)=0),"",IF(COUNTIFS('Leave log'!$A$7:$A$306,Employees!$A$25,'Leave log'!$B$7:$B$306,"&lt;="&amp;DATE($B$3,12,25),'Leave log'!$C$7:$C$306,"&gt;="&amp;DATE($B$3,12,25),'Leave log'!$F$7:$F$306,"Approved")&gt;0,"A",""))="A","A",IF(OR(DATE($B$3,12,25)&gt;EOMONTH(DATE($B$3,12,1),0),NETWORKDAYS.INTL(DATE($B$3,12,25),DATE($B$3,12,25),1,'Non-working days'!$A$6:$A$45)=0),"",IF(COUNTIFS('Leave log'!$A$7:$A$306,Employees!$A$25,'Leave log'!$B$7:$B$306,"&lt;="&amp;DATE($B$3,12,25),'Leave log'!$C$7:$C$306,"&gt;="&amp;DATE($B$3,12,25),'Leave log'!$F$7:$F$306,"Pending")&gt;0,"P",""))))</f>
        <v/>
      </c>
      <c r="AA400" s="23" t="str">
        <f>IF(A400="","",IF(IF(OR(DATE($B$3,12,26)&gt;EOMONTH(DATE($B$3,12,1),0),NETWORKDAYS.INTL(DATE($B$3,12,26),DATE($B$3,12,26),1,'Non-working days'!$A$6:$A$45)=0),"",IF(COUNTIFS('Leave log'!$A$7:$A$306,Employees!$A$25,'Leave log'!$B$7:$B$306,"&lt;="&amp;DATE($B$3,12,26),'Leave log'!$C$7:$C$306,"&gt;="&amp;DATE($B$3,12,26),'Leave log'!$F$7:$F$306,"Approved")&gt;0,"A",""))="A","A",IF(OR(DATE($B$3,12,26)&gt;EOMONTH(DATE($B$3,12,1),0),NETWORKDAYS.INTL(DATE($B$3,12,26),DATE($B$3,12,26),1,'Non-working days'!$A$6:$A$45)=0),"",IF(COUNTIFS('Leave log'!$A$7:$A$306,Employees!$A$25,'Leave log'!$B$7:$B$306,"&lt;="&amp;DATE($B$3,12,26),'Leave log'!$C$7:$C$306,"&gt;="&amp;DATE($B$3,12,26),'Leave log'!$F$7:$F$306,"Pending")&gt;0,"P",""))))</f>
        <v/>
      </c>
      <c r="AB400" s="23" t="str">
        <f>IF(A400="","",IF(IF(OR(DATE($B$3,12,27)&gt;EOMONTH(DATE($B$3,12,1),0),NETWORKDAYS.INTL(DATE($B$3,12,27),DATE($B$3,12,27),1,'Non-working days'!$A$6:$A$45)=0),"",IF(COUNTIFS('Leave log'!$A$7:$A$306,Employees!$A$25,'Leave log'!$B$7:$B$306,"&lt;="&amp;DATE($B$3,12,27),'Leave log'!$C$7:$C$306,"&gt;="&amp;DATE($B$3,12,27),'Leave log'!$F$7:$F$306,"Approved")&gt;0,"A",""))="A","A",IF(OR(DATE($B$3,12,27)&gt;EOMONTH(DATE($B$3,12,1),0),NETWORKDAYS.INTL(DATE($B$3,12,27),DATE($B$3,12,27),1,'Non-working days'!$A$6:$A$45)=0),"",IF(COUNTIFS('Leave log'!$A$7:$A$306,Employees!$A$25,'Leave log'!$B$7:$B$306,"&lt;="&amp;DATE($B$3,12,27),'Leave log'!$C$7:$C$306,"&gt;="&amp;DATE($B$3,12,27),'Leave log'!$F$7:$F$306,"Pending")&gt;0,"P",""))))</f>
        <v/>
      </c>
      <c r="AC400" s="23" t="str">
        <f>IF(A400="","",IF(IF(OR(DATE($B$3,12,28)&gt;EOMONTH(DATE($B$3,12,1),0),NETWORKDAYS.INTL(DATE($B$3,12,28),DATE($B$3,12,28),1,'Non-working days'!$A$6:$A$45)=0),"",IF(COUNTIFS('Leave log'!$A$7:$A$306,Employees!$A$25,'Leave log'!$B$7:$B$306,"&lt;="&amp;DATE($B$3,12,28),'Leave log'!$C$7:$C$306,"&gt;="&amp;DATE($B$3,12,28),'Leave log'!$F$7:$F$306,"Approved")&gt;0,"A",""))="A","A",IF(OR(DATE($B$3,12,28)&gt;EOMONTH(DATE($B$3,12,1),0),NETWORKDAYS.INTL(DATE($B$3,12,28),DATE($B$3,12,28),1,'Non-working days'!$A$6:$A$45)=0),"",IF(COUNTIFS('Leave log'!$A$7:$A$306,Employees!$A$25,'Leave log'!$B$7:$B$306,"&lt;="&amp;DATE($B$3,12,28),'Leave log'!$C$7:$C$306,"&gt;="&amp;DATE($B$3,12,28),'Leave log'!$F$7:$F$306,"Pending")&gt;0,"P",""))))</f>
        <v/>
      </c>
      <c r="AD400" s="23" t="str">
        <f>IF(A400="","",IF(IF(OR(DATE($B$3,12,29)&gt;EOMONTH(DATE($B$3,12,1),0),NETWORKDAYS.INTL(DATE($B$3,12,29),DATE($B$3,12,29),1,'Non-working days'!$A$6:$A$45)=0),"",IF(COUNTIFS('Leave log'!$A$7:$A$306,Employees!$A$25,'Leave log'!$B$7:$B$306,"&lt;="&amp;DATE($B$3,12,29),'Leave log'!$C$7:$C$306,"&gt;="&amp;DATE($B$3,12,29),'Leave log'!$F$7:$F$306,"Approved")&gt;0,"A",""))="A","A",IF(OR(DATE($B$3,12,29)&gt;EOMONTH(DATE($B$3,12,1),0),NETWORKDAYS.INTL(DATE($B$3,12,29),DATE($B$3,12,29),1,'Non-working days'!$A$6:$A$45)=0),"",IF(COUNTIFS('Leave log'!$A$7:$A$306,Employees!$A$25,'Leave log'!$B$7:$B$306,"&lt;="&amp;DATE($B$3,12,29),'Leave log'!$C$7:$C$306,"&gt;="&amp;DATE($B$3,12,29),'Leave log'!$F$7:$F$306,"Pending")&gt;0,"P",""))))</f>
        <v/>
      </c>
      <c r="AE400" s="23" t="str">
        <f>IF(A400="","",IF(IF(OR(DATE($B$3,12,30)&gt;EOMONTH(DATE($B$3,12,1),0),NETWORKDAYS.INTL(DATE($B$3,12,30),DATE($B$3,12,30),1,'Non-working days'!$A$6:$A$45)=0),"",IF(COUNTIFS('Leave log'!$A$7:$A$306,Employees!$A$25,'Leave log'!$B$7:$B$306,"&lt;="&amp;DATE($B$3,12,30),'Leave log'!$C$7:$C$306,"&gt;="&amp;DATE($B$3,12,30),'Leave log'!$F$7:$F$306,"Approved")&gt;0,"A",""))="A","A",IF(OR(DATE($B$3,12,30)&gt;EOMONTH(DATE($B$3,12,1),0),NETWORKDAYS.INTL(DATE($B$3,12,30),DATE($B$3,12,30),1,'Non-working days'!$A$6:$A$45)=0),"",IF(COUNTIFS('Leave log'!$A$7:$A$306,Employees!$A$25,'Leave log'!$B$7:$B$306,"&lt;="&amp;DATE($B$3,12,30),'Leave log'!$C$7:$C$306,"&gt;="&amp;DATE($B$3,12,30),'Leave log'!$F$7:$F$306,"Pending")&gt;0,"P",""))))</f>
        <v/>
      </c>
      <c r="AF400" s="23" t="str">
        <f>IF(A400="","",IF(IF(OR(DATE($B$3,12,31)&gt;EOMONTH(DATE($B$3,12,1),0),NETWORKDAYS.INTL(DATE($B$3,12,31),DATE($B$3,12,31),1,'Non-working days'!$A$6:$A$45)=0),"",IF(COUNTIFS('Leave log'!$A$7:$A$306,Employees!$A$25,'Leave log'!$B$7:$B$306,"&lt;="&amp;DATE($B$3,12,31),'Leave log'!$C$7:$C$306,"&gt;="&amp;DATE($B$3,12,31),'Leave log'!$F$7:$F$306,"Approved")&gt;0,"A",""))="A","A",IF(OR(DATE($B$3,12,31)&gt;EOMONTH(DATE($B$3,12,1),0),NETWORKDAYS.INTL(DATE($B$3,12,31),DATE($B$3,12,31),1,'Non-working days'!$A$6:$A$45)=0),"",IF(COUNTIFS('Leave log'!$A$7:$A$306,Employees!$A$25,'Leave log'!$B$7:$B$306,"&lt;="&amp;DATE($B$3,12,31),'Leave log'!$C$7:$C$306,"&gt;="&amp;DATE($B$3,12,31),'Leave log'!$F$7:$F$306,"Pending")&gt;0,"P",""))))</f>
        <v/>
      </c>
    </row>
    <row r="401" spans="1:32" ht="18" customHeight="1" x14ac:dyDescent="0.3">
      <c r="A401" s="22" t="str">
        <f>IF(Employees!F26="Yes",Employees!B26,"")</f>
        <v/>
      </c>
      <c r="B401" s="23" t="str">
        <f>IF(A401="","",IF(IF(OR(DATE($B$3,12,1)&gt;EOMONTH(DATE($B$3,12,1),0),NETWORKDAYS.INTL(DATE($B$3,12,1),DATE($B$3,12,1),1,'Non-working days'!$A$6:$A$45)=0),"",IF(COUNTIFS('Leave log'!$A$7:$A$306,Employees!$A$26,'Leave log'!$B$7:$B$306,"&lt;="&amp;DATE($B$3,12,1),'Leave log'!$C$7:$C$306,"&gt;="&amp;DATE($B$3,12,1),'Leave log'!$F$7:$F$306,"Approved")&gt;0,"A",""))="A","A",IF(OR(DATE($B$3,12,1)&gt;EOMONTH(DATE($B$3,12,1),0),NETWORKDAYS.INTL(DATE($B$3,12,1),DATE($B$3,12,1),1,'Non-working days'!$A$6:$A$45)=0),"",IF(COUNTIFS('Leave log'!$A$7:$A$306,Employees!$A$26,'Leave log'!$B$7:$B$306,"&lt;="&amp;DATE($B$3,12,1),'Leave log'!$C$7:$C$306,"&gt;="&amp;DATE($B$3,12,1),'Leave log'!$F$7:$F$306,"Pending")&gt;0,"P",""))))</f>
        <v/>
      </c>
      <c r="C401" s="23" t="str">
        <f>IF(A401="","",IF(IF(OR(DATE($B$3,12,2)&gt;EOMONTH(DATE($B$3,12,1),0),NETWORKDAYS.INTL(DATE($B$3,12,2),DATE($B$3,12,2),1,'Non-working days'!$A$6:$A$45)=0),"",IF(COUNTIFS('Leave log'!$A$7:$A$306,Employees!$A$26,'Leave log'!$B$7:$B$306,"&lt;="&amp;DATE($B$3,12,2),'Leave log'!$C$7:$C$306,"&gt;="&amp;DATE($B$3,12,2),'Leave log'!$F$7:$F$306,"Approved")&gt;0,"A",""))="A","A",IF(OR(DATE($B$3,12,2)&gt;EOMONTH(DATE($B$3,12,1),0),NETWORKDAYS.INTL(DATE($B$3,12,2),DATE($B$3,12,2),1,'Non-working days'!$A$6:$A$45)=0),"",IF(COUNTIFS('Leave log'!$A$7:$A$306,Employees!$A$26,'Leave log'!$B$7:$B$306,"&lt;="&amp;DATE($B$3,12,2),'Leave log'!$C$7:$C$306,"&gt;="&amp;DATE($B$3,12,2),'Leave log'!$F$7:$F$306,"Pending")&gt;0,"P",""))))</f>
        <v/>
      </c>
      <c r="D401" s="23" t="str">
        <f>IF(A401="","",IF(IF(OR(DATE($B$3,12,3)&gt;EOMONTH(DATE($B$3,12,1),0),NETWORKDAYS.INTL(DATE($B$3,12,3),DATE($B$3,12,3),1,'Non-working days'!$A$6:$A$45)=0),"",IF(COUNTIFS('Leave log'!$A$7:$A$306,Employees!$A$26,'Leave log'!$B$7:$B$306,"&lt;="&amp;DATE($B$3,12,3),'Leave log'!$C$7:$C$306,"&gt;="&amp;DATE($B$3,12,3),'Leave log'!$F$7:$F$306,"Approved")&gt;0,"A",""))="A","A",IF(OR(DATE($B$3,12,3)&gt;EOMONTH(DATE($B$3,12,1),0),NETWORKDAYS.INTL(DATE($B$3,12,3),DATE($B$3,12,3),1,'Non-working days'!$A$6:$A$45)=0),"",IF(COUNTIFS('Leave log'!$A$7:$A$306,Employees!$A$26,'Leave log'!$B$7:$B$306,"&lt;="&amp;DATE($B$3,12,3),'Leave log'!$C$7:$C$306,"&gt;="&amp;DATE($B$3,12,3),'Leave log'!$F$7:$F$306,"Pending")&gt;0,"P",""))))</f>
        <v/>
      </c>
      <c r="E401" s="23" t="str">
        <f>IF(A401="","",IF(IF(OR(DATE($B$3,12,4)&gt;EOMONTH(DATE($B$3,12,1),0),NETWORKDAYS.INTL(DATE($B$3,12,4),DATE($B$3,12,4),1,'Non-working days'!$A$6:$A$45)=0),"",IF(COUNTIFS('Leave log'!$A$7:$A$306,Employees!$A$26,'Leave log'!$B$7:$B$306,"&lt;="&amp;DATE($B$3,12,4),'Leave log'!$C$7:$C$306,"&gt;="&amp;DATE($B$3,12,4),'Leave log'!$F$7:$F$306,"Approved")&gt;0,"A",""))="A","A",IF(OR(DATE($B$3,12,4)&gt;EOMONTH(DATE($B$3,12,1),0),NETWORKDAYS.INTL(DATE($B$3,12,4),DATE($B$3,12,4),1,'Non-working days'!$A$6:$A$45)=0),"",IF(COUNTIFS('Leave log'!$A$7:$A$306,Employees!$A$26,'Leave log'!$B$7:$B$306,"&lt;="&amp;DATE($B$3,12,4),'Leave log'!$C$7:$C$306,"&gt;="&amp;DATE($B$3,12,4),'Leave log'!$F$7:$F$306,"Pending")&gt;0,"P",""))))</f>
        <v/>
      </c>
      <c r="F401" s="23" t="str">
        <f>IF(A401="","",IF(IF(OR(DATE($B$3,12,5)&gt;EOMONTH(DATE($B$3,12,1),0),NETWORKDAYS.INTL(DATE($B$3,12,5),DATE($B$3,12,5),1,'Non-working days'!$A$6:$A$45)=0),"",IF(COUNTIFS('Leave log'!$A$7:$A$306,Employees!$A$26,'Leave log'!$B$7:$B$306,"&lt;="&amp;DATE($B$3,12,5),'Leave log'!$C$7:$C$306,"&gt;="&amp;DATE($B$3,12,5),'Leave log'!$F$7:$F$306,"Approved")&gt;0,"A",""))="A","A",IF(OR(DATE($B$3,12,5)&gt;EOMONTH(DATE($B$3,12,1),0),NETWORKDAYS.INTL(DATE($B$3,12,5),DATE($B$3,12,5),1,'Non-working days'!$A$6:$A$45)=0),"",IF(COUNTIFS('Leave log'!$A$7:$A$306,Employees!$A$26,'Leave log'!$B$7:$B$306,"&lt;="&amp;DATE($B$3,12,5),'Leave log'!$C$7:$C$306,"&gt;="&amp;DATE($B$3,12,5),'Leave log'!$F$7:$F$306,"Pending")&gt;0,"P",""))))</f>
        <v/>
      </c>
      <c r="G401" s="23" t="str">
        <f>IF(A401="","",IF(IF(OR(DATE($B$3,12,6)&gt;EOMONTH(DATE($B$3,12,1),0),NETWORKDAYS.INTL(DATE($B$3,12,6),DATE($B$3,12,6),1,'Non-working days'!$A$6:$A$45)=0),"",IF(COUNTIFS('Leave log'!$A$7:$A$306,Employees!$A$26,'Leave log'!$B$7:$B$306,"&lt;="&amp;DATE($B$3,12,6),'Leave log'!$C$7:$C$306,"&gt;="&amp;DATE($B$3,12,6),'Leave log'!$F$7:$F$306,"Approved")&gt;0,"A",""))="A","A",IF(OR(DATE($B$3,12,6)&gt;EOMONTH(DATE($B$3,12,1),0),NETWORKDAYS.INTL(DATE($B$3,12,6),DATE($B$3,12,6),1,'Non-working days'!$A$6:$A$45)=0),"",IF(COUNTIFS('Leave log'!$A$7:$A$306,Employees!$A$26,'Leave log'!$B$7:$B$306,"&lt;="&amp;DATE($B$3,12,6),'Leave log'!$C$7:$C$306,"&gt;="&amp;DATE($B$3,12,6),'Leave log'!$F$7:$F$306,"Pending")&gt;0,"P",""))))</f>
        <v/>
      </c>
      <c r="H401" s="23" t="str">
        <f>IF(A401="","",IF(IF(OR(DATE($B$3,12,7)&gt;EOMONTH(DATE($B$3,12,1),0),NETWORKDAYS.INTL(DATE($B$3,12,7),DATE($B$3,12,7),1,'Non-working days'!$A$6:$A$45)=0),"",IF(COUNTIFS('Leave log'!$A$7:$A$306,Employees!$A$26,'Leave log'!$B$7:$B$306,"&lt;="&amp;DATE($B$3,12,7),'Leave log'!$C$7:$C$306,"&gt;="&amp;DATE($B$3,12,7),'Leave log'!$F$7:$F$306,"Approved")&gt;0,"A",""))="A","A",IF(OR(DATE($B$3,12,7)&gt;EOMONTH(DATE($B$3,12,1),0),NETWORKDAYS.INTL(DATE($B$3,12,7),DATE($B$3,12,7),1,'Non-working days'!$A$6:$A$45)=0),"",IF(COUNTIFS('Leave log'!$A$7:$A$306,Employees!$A$26,'Leave log'!$B$7:$B$306,"&lt;="&amp;DATE($B$3,12,7),'Leave log'!$C$7:$C$306,"&gt;="&amp;DATE($B$3,12,7),'Leave log'!$F$7:$F$306,"Pending")&gt;0,"P",""))))</f>
        <v/>
      </c>
      <c r="I401" s="23" t="str">
        <f>IF(A401="","",IF(IF(OR(DATE($B$3,12,8)&gt;EOMONTH(DATE($B$3,12,1),0),NETWORKDAYS.INTL(DATE($B$3,12,8),DATE($B$3,12,8),1,'Non-working days'!$A$6:$A$45)=0),"",IF(COUNTIFS('Leave log'!$A$7:$A$306,Employees!$A$26,'Leave log'!$B$7:$B$306,"&lt;="&amp;DATE($B$3,12,8),'Leave log'!$C$7:$C$306,"&gt;="&amp;DATE($B$3,12,8),'Leave log'!$F$7:$F$306,"Approved")&gt;0,"A",""))="A","A",IF(OR(DATE($B$3,12,8)&gt;EOMONTH(DATE($B$3,12,1),0),NETWORKDAYS.INTL(DATE($B$3,12,8),DATE($B$3,12,8),1,'Non-working days'!$A$6:$A$45)=0),"",IF(COUNTIFS('Leave log'!$A$7:$A$306,Employees!$A$26,'Leave log'!$B$7:$B$306,"&lt;="&amp;DATE($B$3,12,8),'Leave log'!$C$7:$C$306,"&gt;="&amp;DATE($B$3,12,8),'Leave log'!$F$7:$F$306,"Pending")&gt;0,"P",""))))</f>
        <v/>
      </c>
      <c r="J401" s="23" t="str">
        <f>IF(A401="","",IF(IF(OR(DATE($B$3,12,9)&gt;EOMONTH(DATE($B$3,12,1),0),NETWORKDAYS.INTL(DATE($B$3,12,9),DATE($B$3,12,9),1,'Non-working days'!$A$6:$A$45)=0),"",IF(COUNTIFS('Leave log'!$A$7:$A$306,Employees!$A$26,'Leave log'!$B$7:$B$306,"&lt;="&amp;DATE($B$3,12,9),'Leave log'!$C$7:$C$306,"&gt;="&amp;DATE($B$3,12,9),'Leave log'!$F$7:$F$306,"Approved")&gt;0,"A",""))="A","A",IF(OR(DATE($B$3,12,9)&gt;EOMONTH(DATE($B$3,12,1),0),NETWORKDAYS.INTL(DATE($B$3,12,9),DATE($B$3,12,9),1,'Non-working days'!$A$6:$A$45)=0),"",IF(COUNTIFS('Leave log'!$A$7:$A$306,Employees!$A$26,'Leave log'!$B$7:$B$306,"&lt;="&amp;DATE($B$3,12,9),'Leave log'!$C$7:$C$306,"&gt;="&amp;DATE($B$3,12,9),'Leave log'!$F$7:$F$306,"Pending")&gt;0,"P",""))))</f>
        <v/>
      </c>
      <c r="K401" s="23" t="str">
        <f>IF(A401="","",IF(IF(OR(DATE($B$3,12,10)&gt;EOMONTH(DATE($B$3,12,1),0),NETWORKDAYS.INTL(DATE($B$3,12,10),DATE($B$3,12,10),1,'Non-working days'!$A$6:$A$45)=0),"",IF(COUNTIFS('Leave log'!$A$7:$A$306,Employees!$A$26,'Leave log'!$B$7:$B$306,"&lt;="&amp;DATE($B$3,12,10),'Leave log'!$C$7:$C$306,"&gt;="&amp;DATE($B$3,12,10),'Leave log'!$F$7:$F$306,"Approved")&gt;0,"A",""))="A","A",IF(OR(DATE($B$3,12,10)&gt;EOMONTH(DATE($B$3,12,1),0),NETWORKDAYS.INTL(DATE($B$3,12,10),DATE($B$3,12,10),1,'Non-working days'!$A$6:$A$45)=0),"",IF(COUNTIFS('Leave log'!$A$7:$A$306,Employees!$A$26,'Leave log'!$B$7:$B$306,"&lt;="&amp;DATE($B$3,12,10),'Leave log'!$C$7:$C$306,"&gt;="&amp;DATE($B$3,12,10),'Leave log'!$F$7:$F$306,"Pending")&gt;0,"P",""))))</f>
        <v/>
      </c>
      <c r="L401" s="23" t="str">
        <f>IF(A401="","",IF(IF(OR(DATE($B$3,12,11)&gt;EOMONTH(DATE($B$3,12,1),0),NETWORKDAYS.INTL(DATE($B$3,12,11),DATE($B$3,12,11),1,'Non-working days'!$A$6:$A$45)=0),"",IF(COUNTIFS('Leave log'!$A$7:$A$306,Employees!$A$26,'Leave log'!$B$7:$B$306,"&lt;="&amp;DATE($B$3,12,11),'Leave log'!$C$7:$C$306,"&gt;="&amp;DATE($B$3,12,11),'Leave log'!$F$7:$F$306,"Approved")&gt;0,"A",""))="A","A",IF(OR(DATE($B$3,12,11)&gt;EOMONTH(DATE($B$3,12,1),0),NETWORKDAYS.INTL(DATE($B$3,12,11),DATE($B$3,12,11),1,'Non-working days'!$A$6:$A$45)=0),"",IF(COUNTIFS('Leave log'!$A$7:$A$306,Employees!$A$26,'Leave log'!$B$7:$B$306,"&lt;="&amp;DATE($B$3,12,11),'Leave log'!$C$7:$C$306,"&gt;="&amp;DATE($B$3,12,11),'Leave log'!$F$7:$F$306,"Pending")&gt;0,"P",""))))</f>
        <v/>
      </c>
      <c r="M401" s="23" t="str">
        <f>IF(A401="","",IF(IF(OR(DATE($B$3,12,12)&gt;EOMONTH(DATE($B$3,12,1),0),NETWORKDAYS.INTL(DATE($B$3,12,12),DATE($B$3,12,12),1,'Non-working days'!$A$6:$A$45)=0),"",IF(COUNTIFS('Leave log'!$A$7:$A$306,Employees!$A$26,'Leave log'!$B$7:$B$306,"&lt;="&amp;DATE($B$3,12,12),'Leave log'!$C$7:$C$306,"&gt;="&amp;DATE($B$3,12,12),'Leave log'!$F$7:$F$306,"Approved")&gt;0,"A",""))="A","A",IF(OR(DATE($B$3,12,12)&gt;EOMONTH(DATE($B$3,12,1),0),NETWORKDAYS.INTL(DATE($B$3,12,12),DATE($B$3,12,12),1,'Non-working days'!$A$6:$A$45)=0),"",IF(COUNTIFS('Leave log'!$A$7:$A$306,Employees!$A$26,'Leave log'!$B$7:$B$306,"&lt;="&amp;DATE($B$3,12,12),'Leave log'!$C$7:$C$306,"&gt;="&amp;DATE($B$3,12,12),'Leave log'!$F$7:$F$306,"Pending")&gt;0,"P",""))))</f>
        <v/>
      </c>
      <c r="N401" s="23" t="str">
        <f>IF(A401="","",IF(IF(OR(DATE($B$3,12,13)&gt;EOMONTH(DATE($B$3,12,1),0),NETWORKDAYS.INTL(DATE($B$3,12,13),DATE($B$3,12,13),1,'Non-working days'!$A$6:$A$45)=0),"",IF(COUNTIFS('Leave log'!$A$7:$A$306,Employees!$A$26,'Leave log'!$B$7:$B$306,"&lt;="&amp;DATE($B$3,12,13),'Leave log'!$C$7:$C$306,"&gt;="&amp;DATE($B$3,12,13),'Leave log'!$F$7:$F$306,"Approved")&gt;0,"A",""))="A","A",IF(OR(DATE($B$3,12,13)&gt;EOMONTH(DATE($B$3,12,1),0),NETWORKDAYS.INTL(DATE($B$3,12,13),DATE($B$3,12,13),1,'Non-working days'!$A$6:$A$45)=0),"",IF(COUNTIFS('Leave log'!$A$7:$A$306,Employees!$A$26,'Leave log'!$B$7:$B$306,"&lt;="&amp;DATE($B$3,12,13),'Leave log'!$C$7:$C$306,"&gt;="&amp;DATE($B$3,12,13),'Leave log'!$F$7:$F$306,"Pending")&gt;0,"P",""))))</f>
        <v/>
      </c>
      <c r="O401" s="23" t="str">
        <f>IF(A401="","",IF(IF(OR(DATE($B$3,12,14)&gt;EOMONTH(DATE($B$3,12,1),0),NETWORKDAYS.INTL(DATE($B$3,12,14),DATE($B$3,12,14),1,'Non-working days'!$A$6:$A$45)=0),"",IF(COUNTIFS('Leave log'!$A$7:$A$306,Employees!$A$26,'Leave log'!$B$7:$B$306,"&lt;="&amp;DATE($B$3,12,14),'Leave log'!$C$7:$C$306,"&gt;="&amp;DATE($B$3,12,14),'Leave log'!$F$7:$F$306,"Approved")&gt;0,"A",""))="A","A",IF(OR(DATE($B$3,12,14)&gt;EOMONTH(DATE($B$3,12,1),0),NETWORKDAYS.INTL(DATE($B$3,12,14),DATE($B$3,12,14),1,'Non-working days'!$A$6:$A$45)=0),"",IF(COUNTIFS('Leave log'!$A$7:$A$306,Employees!$A$26,'Leave log'!$B$7:$B$306,"&lt;="&amp;DATE($B$3,12,14),'Leave log'!$C$7:$C$306,"&gt;="&amp;DATE($B$3,12,14),'Leave log'!$F$7:$F$306,"Pending")&gt;0,"P",""))))</f>
        <v/>
      </c>
      <c r="P401" s="23" t="str">
        <f>IF(A401="","",IF(IF(OR(DATE($B$3,12,15)&gt;EOMONTH(DATE($B$3,12,1),0),NETWORKDAYS.INTL(DATE($B$3,12,15),DATE($B$3,12,15),1,'Non-working days'!$A$6:$A$45)=0),"",IF(COUNTIFS('Leave log'!$A$7:$A$306,Employees!$A$26,'Leave log'!$B$7:$B$306,"&lt;="&amp;DATE($B$3,12,15),'Leave log'!$C$7:$C$306,"&gt;="&amp;DATE($B$3,12,15),'Leave log'!$F$7:$F$306,"Approved")&gt;0,"A",""))="A","A",IF(OR(DATE($B$3,12,15)&gt;EOMONTH(DATE($B$3,12,1),0),NETWORKDAYS.INTL(DATE($B$3,12,15),DATE($B$3,12,15),1,'Non-working days'!$A$6:$A$45)=0),"",IF(COUNTIFS('Leave log'!$A$7:$A$306,Employees!$A$26,'Leave log'!$B$7:$B$306,"&lt;="&amp;DATE($B$3,12,15),'Leave log'!$C$7:$C$306,"&gt;="&amp;DATE($B$3,12,15),'Leave log'!$F$7:$F$306,"Pending")&gt;0,"P",""))))</f>
        <v/>
      </c>
      <c r="Q401" s="23" t="str">
        <f>IF(A401="","",IF(IF(OR(DATE($B$3,12,16)&gt;EOMONTH(DATE($B$3,12,1),0),NETWORKDAYS.INTL(DATE($B$3,12,16),DATE($B$3,12,16),1,'Non-working days'!$A$6:$A$45)=0),"",IF(COUNTIFS('Leave log'!$A$7:$A$306,Employees!$A$26,'Leave log'!$B$7:$B$306,"&lt;="&amp;DATE($B$3,12,16),'Leave log'!$C$7:$C$306,"&gt;="&amp;DATE($B$3,12,16),'Leave log'!$F$7:$F$306,"Approved")&gt;0,"A",""))="A","A",IF(OR(DATE($B$3,12,16)&gt;EOMONTH(DATE($B$3,12,1),0),NETWORKDAYS.INTL(DATE($B$3,12,16),DATE($B$3,12,16),1,'Non-working days'!$A$6:$A$45)=0),"",IF(COUNTIFS('Leave log'!$A$7:$A$306,Employees!$A$26,'Leave log'!$B$7:$B$306,"&lt;="&amp;DATE($B$3,12,16),'Leave log'!$C$7:$C$306,"&gt;="&amp;DATE($B$3,12,16),'Leave log'!$F$7:$F$306,"Pending")&gt;0,"P",""))))</f>
        <v/>
      </c>
      <c r="R401" s="23" t="str">
        <f>IF(A401="","",IF(IF(OR(DATE($B$3,12,17)&gt;EOMONTH(DATE($B$3,12,1),0),NETWORKDAYS.INTL(DATE($B$3,12,17),DATE($B$3,12,17),1,'Non-working days'!$A$6:$A$45)=0),"",IF(COUNTIFS('Leave log'!$A$7:$A$306,Employees!$A$26,'Leave log'!$B$7:$B$306,"&lt;="&amp;DATE($B$3,12,17),'Leave log'!$C$7:$C$306,"&gt;="&amp;DATE($B$3,12,17),'Leave log'!$F$7:$F$306,"Approved")&gt;0,"A",""))="A","A",IF(OR(DATE($B$3,12,17)&gt;EOMONTH(DATE($B$3,12,1),0),NETWORKDAYS.INTL(DATE($B$3,12,17),DATE($B$3,12,17),1,'Non-working days'!$A$6:$A$45)=0),"",IF(COUNTIFS('Leave log'!$A$7:$A$306,Employees!$A$26,'Leave log'!$B$7:$B$306,"&lt;="&amp;DATE($B$3,12,17),'Leave log'!$C$7:$C$306,"&gt;="&amp;DATE($B$3,12,17),'Leave log'!$F$7:$F$306,"Pending")&gt;0,"P",""))))</f>
        <v/>
      </c>
      <c r="S401" s="23" t="str">
        <f>IF(A401="","",IF(IF(OR(DATE($B$3,12,18)&gt;EOMONTH(DATE($B$3,12,1),0),NETWORKDAYS.INTL(DATE($B$3,12,18),DATE($B$3,12,18),1,'Non-working days'!$A$6:$A$45)=0),"",IF(COUNTIFS('Leave log'!$A$7:$A$306,Employees!$A$26,'Leave log'!$B$7:$B$306,"&lt;="&amp;DATE($B$3,12,18),'Leave log'!$C$7:$C$306,"&gt;="&amp;DATE($B$3,12,18),'Leave log'!$F$7:$F$306,"Approved")&gt;0,"A",""))="A","A",IF(OR(DATE($B$3,12,18)&gt;EOMONTH(DATE($B$3,12,1),0),NETWORKDAYS.INTL(DATE($B$3,12,18),DATE($B$3,12,18),1,'Non-working days'!$A$6:$A$45)=0),"",IF(COUNTIFS('Leave log'!$A$7:$A$306,Employees!$A$26,'Leave log'!$B$7:$B$306,"&lt;="&amp;DATE($B$3,12,18),'Leave log'!$C$7:$C$306,"&gt;="&amp;DATE($B$3,12,18),'Leave log'!$F$7:$F$306,"Pending")&gt;0,"P",""))))</f>
        <v/>
      </c>
      <c r="T401" s="23" t="str">
        <f>IF(A401="","",IF(IF(OR(DATE($B$3,12,19)&gt;EOMONTH(DATE($B$3,12,1),0),NETWORKDAYS.INTL(DATE($B$3,12,19),DATE($B$3,12,19),1,'Non-working days'!$A$6:$A$45)=0),"",IF(COUNTIFS('Leave log'!$A$7:$A$306,Employees!$A$26,'Leave log'!$B$7:$B$306,"&lt;="&amp;DATE($B$3,12,19),'Leave log'!$C$7:$C$306,"&gt;="&amp;DATE($B$3,12,19),'Leave log'!$F$7:$F$306,"Approved")&gt;0,"A",""))="A","A",IF(OR(DATE($B$3,12,19)&gt;EOMONTH(DATE($B$3,12,1),0),NETWORKDAYS.INTL(DATE($B$3,12,19),DATE($B$3,12,19),1,'Non-working days'!$A$6:$A$45)=0),"",IF(COUNTIFS('Leave log'!$A$7:$A$306,Employees!$A$26,'Leave log'!$B$7:$B$306,"&lt;="&amp;DATE($B$3,12,19),'Leave log'!$C$7:$C$306,"&gt;="&amp;DATE($B$3,12,19),'Leave log'!$F$7:$F$306,"Pending")&gt;0,"P",""))))</f>
        <v/>
      </c>
      <c r="U401" s="23" t="str">
        <f>IF(A401="","",IF(IF(OR(DATE($B$3,12,20)&gt;EOMONTH(DATE($B$3,12,1),0),NETWORKDAYS.INTL(DATE($B$3,12,20),DATE($B$3,12,20),1,'Non-working days'!$A$6:$A$45)=0),"",IF(COUNTIFS('Leave log'!$A$7:$A$306,Employees!$A$26,'Leave log'!$B$7:$B$306,"&lt;="&amp;DATE($B$3,12,20),'Leave log'!$C$7:$C$306,"&gt;="&amp;DATE($B$3,12,20),'Leave log'!$F$7:$F$306,"Approved")&gt;0,"A",""))="A","A",IF(OR(DATE($B$3,12,20)&gt;EOMONTH(DATE($B$3,12,1),0),NETWORKDAYS.INTL(DATE($B$3,12,20),DATE($B$3,12,20),1,'Non-working days'!$A$6:$A$45)=0),"",IF(COUNTIFS('Leave log'!$A$7:$A$306,Employees!$A$26,'Leave log'!$B$7:$B$306,"&lt;="&amp;DATE($B$3,12,20),'Leave log'!$C$7:$C$306,"&gt;="&amp;DATE($B$3,12,20),'Leave log'!$F$7:$F$306,"Pending")&gt;0,"P",""))))</f>
        <v/>
      </c>
      <c r="V401" s="23" t="str">
        <f>IF(A401="","",IF(IF(OR(DATE($B$3,12,21)&gt;EOMONTH(DATE($B$3,12,1),0),NETWORKDAYS.INTL(DATE($B$3,12,21),DATE($B$3,12,21),1,'Non-working days'!$A$6:$A$45)=0),"",IF(COUNTIFS('Leave log'!$A$7:$A$306,Employees!$A$26,'Leave log'!$B$7:$B$306,"&lt;="&amp;DATE($B$3,12,21),'Leave log'!$C$7:$C$306,"&gt;="&amp;DATE($B$3,12,21),'Leave log'!$F$7:$F$306,"Approved")&gt;0,"A",""))="A","A",IF(OR(DATE($B$3,12,21)&gt;EOMONTH(DATE($B$3,12,1),0),NETWORKDAYS.INTL(DATE($B$3,12,21),DATE($B$3,12,21),1,'Non-working days'!$A$6:$A$45)=0),"",IF(COUNTIFS('Leave log'!$A$7:$A$306,Employees!$A$26,'Leave log'!$B$7:$B$306,"&lt;="&amp;DATE($B$3,12,21),'Leave log'!$C$7:$C$306,"&gt;="&amp;DATE($B$3,12,21),'Leave log'!$F$7:$F$306,"Pending")&gt;0,"P",""))))</f>
        <v/>
      </c>
      <c r="W401" s="23" t="str">
        <f>IF(A401="","",IF(IF(OR(DATE($B$3,12,22)&gt;EOMONTH(DATE($B$3,12,1),0),NETWORKDAYS.INTL(DATE($B$3,12,22),DATE($B$3,12,22),1,'Non-working days'!$A$6:$A$45)=0),"",IF(COUNTIFS('Leave log'!$A$7:$A$306,Employees!$A$26,'Leave log'!$B$7:$B$306,"&lt;="&amp;DATE($B$3,12,22),'Leave log'!$C$7:$C$306,"&gt;="&amp;DATE($B$3,12,22),'Leave log'!$F$7:$F$306,"Approved")&gt;0,"A",""))="A","A",IF(OR(DATE($B$3,12,22)&gt;EOMONTH(DATE($B$3,12,1),0),NETWORKDAYS.INTL(DATE($B$3,12,22),DATE($B$3,12,22),1,'Non-working days'!$A$6:$A$45)=0),"",IF(COUNTIFS('Leave log'!$A$7:$A$306,Employees!$A$26,'Leave log'!$B$7:$B$306,"&lt;="&amp;DATE($B$3,12,22),'Leave log'!$C$7:$C$306,"&gt;="&amp;DATE($B$3,12,22),'Leave log'!$F$7:$F$306,"Pending")&gt;0,"P",""))))</f>
        <v/>
      </c>
      <c r="X401" s="23" t="str">
        <f>IF(A401="","",IF(IF(OR(DATE($B$3,12,23)&gt;EOMONTH(DATE($B$3,12,1),0),NETWORKDAYS.INTL(DATE($B$3,12,23),DATE($B$3,12,23),1,'Non-working days'!$A$6:$A$45)=0),"",IF(COUNTIFS('Leave log'!$A$7:$A$306,Employees!$A$26,'Leave log'!$B$7:$B$306,"&lt;="&amp;DATE($B$3,12,23),'Leave log'!$C$7:$C$306,"&gt;="&amp;DATE($B$3,12,23),'Leave log'!$F$7:$F$306,"Approved")&gt;0,"A",""))="A","A",IF(OR(DATE($B$3,12,23)&gt;EOMONTH(DATE($B$3,12,1),0),NETWORKDAYS.INTL(DATE($B$3,12,23),DATE($B$3,12,23),1,'Non-working days'!$A$6:$A$45)=0),"",IF(COUNTIFS('Leave log'!$A$7:$A$306,Employees!$A$26,'Leave log'!$B$7:$B$306,"&lt;="&amp;DATE($B$3,12,23),'Leave log'!$C$7:$C$306,"&gt;="&amp;DATE($B$3,12,23),'Leave log'!$F$7:$F$306,"Pending")&gt;0,"P",""))))</f>
        <v/>
      </c>
      <c r="Y401" s="23" t="str">
        <f>IF(A401="","",IF(IF(OR(DATE($B$3,12,24)&gt;EOMONTH(DATE($B$3,12,1),0),NETWORKDAYS.INTL(DATE($B$3,12,24),DATE($B$3,12,24),1,'Non-working days'!$A$6:$A$45)=0),"",IF(COUNTIFS('Leave log'!$A$7:$A$306,Employees!$A$26,'Leave log'!$B$7:$B$306,"&lt;="&amp;DATE($B$3,12,24),'Leave log'!$C$7:$C$306,"&gt;="&amp;DATE($B$3,12,24),'Leave log'!$F$7:$F$306,"Approved")&gt;0,"A",""))="A","A",IF(OR(DATE($B$3,12,24)&gt;EOMONTH(DATE($B$3,12,1),0),NETWORKDAYS.INTL(DATE($B$3,12,24),DATE($B$3,12,24),1,'Non-working days'!$A$6:$A$45)=0),"",IF(COUNTIFS('Leave log'!$A$7:$A$306,Employees!$A$26,'Leave log'!$B$7:$B$306,"&lt;="&amp;DATE($B$3,12,24),'Leave log'!$C$7:$C$306,"&gt;="&amp;DATE($B$3,12,24),'Leave log'!$F$7:$F$306,"Pending")&gt;0,"P",""))))</f>
        <v/>
      </c>
      <c r="Z401" s="23" t="str">
        <f>IF(A401="","",IF(IF(OR(DATE($B$3,12,25)&gt;EOMONTH(DATE($B$3,12,1),0),NETWORKDAYS.INTL(DATE($B$3,12,25),DATE($B$3,12,25),1,'Non-working days'!$A$6:$A$45)=0),"",IF(COUNTIFS('Leave log'!$A$7:$A$306,Employees!$A$26,'Leave log'!$B$7:$B$306,"&lt;="&amp;DATE($B$3,12,25),'Leave log'!$C$7:$C$306,"&gt;="&amp;DATE($B$3,12,25),'Leave log'!$F$7:$F$306,"Approved")&gt;0,"A",""))="A","A",IF(OR(DATE($B$3,12,25)&gt;EOMONTH(DATE($B$3,12,1),0),NETWORKDAYS.INTL(DATE($B$3,12,25),DATE($B$3,12,25),1,'Non-working days'!$A$6:$A$45)=0),"",IF(COUNTIFS('Leave log'!$A$7:$A$306,Employees!$A$26,'Leave log'!$B$7:$B$306,"&lt;="&amp;DATE($B$3,12,25),'Leave log'!$C$7:$C$306,"&gt;="&amp;DATE($B$3,12,25),'Leave log'!$F$7:$F$306,"Pending")&gt;0,"P",""))))</f>
        <v/>
      </c>
      <c r="AA401" s="23" t="str">
        <f>IF(A401="","",IF(IF(OR(DATE($B$3,12,26)&gt;EOMONTH(DATE($B$3,12,1),0),NETWORKDAYS.INTL(DATE($B$3,12,26),DATE($B$3,12,26),1,'Non-working days'!$A$6:$A$45)=0),"",IF(COUNTIFS('Leave log'!$A$7:$A$306,Employees!$A$26,'Leave log'!$B$7:$B$306,"&lt;="&amp;DATE($B$3,12,26),'Leave log'!$C$7:$C$306,"&gt;="&amp;DATE($B$3,12,26),'Leave log'!$F$7:$F$306,"Approved")&gt;0,"A",""))="A","A",IF(OR(DATE($B$3,12,26)&gt;EOMONTH(DATE($B$3,12,1),0),NETWORKDAYS.INTL(DATE($B$3,12,26),DATE($B$3,12,26),1,'Non-working days'!$A$6:$A$45)=0),"",IF(COUNTIFS('Leave log'!$A$7:$A$306,Employees!$A$26,'Leave log'!$B$7:$B$306,"&lt;="&amp;DATE($B$3,12,26),'Leave log'!$C$7:$C$306,"&gt;="&amp;DATE($B$3,12,26),'Leave log'!$F$7:$F$306,"Pending")&gt;0,"P",""))))</f>
        <v/>
      </c>
      <c r="AB401" s="23" t="str">
        <f>IF(A401="","",IF(IF(OR(DATE($B$3,12,27)&gt;EOMONTH(DATE($B$3,12,1),0),NETWORKDAYS.INTL(DATE($B$3,12,27),DATE($B$3,12,27),1,'Non-working days'!$A$6:$A$45)=0),"",IF(COUNTIFS('Leave log'!$A$7:$A$306,Employees!$A$26,'Leave log'!$B$7:$B$306,"&lt;="&amp;DATE($B$3,12,27),'Leave log'!$C$7:$C$306,"&gt;="&amp;DATE($B$3,12,27),'Leave log'!$F$7:$F$306,"Approved")&gt;0,"A",""))="A","A",IF(OR(DATE($B$3,12,27)&gt;EOMONTH(DATE($B$3,12,1),0),NETWORKDAYS.INTL(DATE($B$3,12,27),DATE($B$3,12,27),1,'Non-working days'!$A$6:$A$45)=0),"",IF(COUNTIFS('Leave log'!$A$7:$A$306,Employees!$A$26,'Leave log'!$B$7:$B$306,"&lt;="&amp;DATE($B$3,12,27),'Leave log'!$C$7:$C$306,"&gt;="&amp;DATE($B$3,12,27),'Leave log'!$F$7:$F$306,"Pending")&gt;0,"P",""))))</f>
        <v/>
      </c>
      <c r="AC401" s="23" t="str">
        <f>IF(A401="","",IF(IF(OR(DATE($B$3,12,28)&gt;EOMONTH(DATE($B$3,12,1),0),NETWORKDAYS.INTL(DATE($B$3,12,28),DATE($B$3,12,28),1,'Non-working days'!$A$6:$A$45)=0),"",IF(COUNTIFS('Leave log'!$A$7:$A$306,Employees!$A$26,'Leave log'!$B$7:$B$306,"&lt;="&amp;DATE($B$3,12,28),'Leave log'!$C$7:$C$306,"&gt;="&amp;DATE($B$3,12,28),'Leave log'!$F$7:$F$306,"Approved")&gt;0,"A",""))="A","A",IF(OR(DATE($B$3,12,28)&gt;EOMONTH(DATE($B$3,12,1),0),NETWORKDAYS.INTL(DATE($B$3,12,28),DATE($B$3,12,28),1,'Non-working days'!$A$6:$A$45)=0),"",IF(COUNTIFS('Leave log'!$A$7:$A$306,Employees!$A$26,'Leave log'!$B$7:$B$306,"&lt;="&amp;DATE($B$3,12,28),'Leave log'!$C$7:$C$306,"&gt;="&amp;DATE($B$3,12,28),'Leave log'!$F$7:$F$306,"Pending")&gt;0,"P",""))))</f>
        <v/>
      </c>
      <c r="AD401" s="23" t="str">
        <f>IF(A401="","",IF(IF(OR(DATE($B$3,12,29)&gt;EOMONTH(DATE($B$3,12,1),0),NETWORKDAYS.INTL(DATE($B$3,12,29),DATE($B$3,12,29),1,'Non-working days'!$A$6:$A$45)=0),"",IF(COUNTIFS('Leave log'!$A$7:$A$306,Employees!$A$26,'Leave log'!$B$7:$B$306,"&lt;="&amp;DATE($B$3,12,29),'Leave log'!$C$7:$C$306,"&gt;="&amp;DATE($B$3,12,29),'Leave log'!$F$7:$F$306,"Approved")&gt;0,"A",""))="A","A",IF(OR(DATE($B$3,12,29)&gt;EOMONTH(DATE($B$3,12,1),0),NETWORKDAYS.INTL(DATE($B$3,12,29),DATE($B$3,12,29),1,'Non-working days'!$A$6:$A$45)=0),"",IF(COUNTIFS('Leave log'!$A$7:$A$306,Employees!$A$26,'Leave log'!$B$7:$B$306,"&lt;="&amp;DATE($B$3,12,29),'Leave log'!$C$7:$C$306,"&gt;="&amp;DATE($B$3,12,29),'Leave log'!$F$7:$F$306,"Pending")&gt;0,"P",""))))</f>
        <v/>
      </c>
      <c r="AE401" s="23" t="str">
        <f>IF(A401="","",IF(IF(OR(DATE($B$3,12,30)&gt;EOMONTH(DATE($B$3,12,1),0),NETWORKDAYS.INTL(DATE($B$3,12,30),DATE($B$3,12,30),1,'Non-working days'!$A$6:$A$45)=0),"",IF(COUNTIFS('Leave log'!$A$7:$A$306,Employees!$A$26,'Leave log'!$B$7:$B$306,"&lt;="&amp;DATE($B$3,12,30),'Leave log'!$C$7:$C$306,"&gt;="&amp;DATE($B$3,12,30),'Leave log'!$F$7:$F$306,"Approved")&gt;0,"A",""))="A","A",IF(OR(DATE($B$3,12,30)&gt;EOMONTH(DATE($B$3,12,1),0),NETWORKDAYS.INTL(DATE($B$3,12,30),DATE($B$3,12,30),1,'Non-working days'!$A$6:$A$45)=0),"",IF(COUNTIFS('Leave log'!$A$7:$A$306,Employees!$A$26,'Leave log'!$B$7:$B$306,"&lt;="&amp;DATE($B$3,12,30),'Leave log'!$C$7:$C$306,"&gt;="&amp;DATE($B$3,12,30),'Leave log'!$F$7:$F$306,"Pending")&gt;0,"P",""))))</f>
        <v/>
      </c>
      <c r="AF401" s="23" t="str">
        <f>IF(A401="","",IF(IF(OR(DATE($B$3,12,31)&gt;EOMONTH(DATE($B$3,12,1),0),NETWORKDAYS.INTL(DATE($B$3,12,31),DATE($B$3,12,31),1,'Non-working days'!$A$6:$A$45)=0),"",IF(COUNTIFS('Leave log'!$A$7:$A$306,Employees!$A$26,'Leave log'!$B$7:$B$306,"&lt;="&amp;DATE($B$3,12,31),'Leave log'!$C$7:$C$306,"&gt;="&amp;DATE($B$3,12,31),'Leave log'!$F$7:$F$306,"Approved")&gt;0,"A",""))="A","A",IF(OR(DATE($B$3,12,31)&gt;EOMONTH(DATE($B$3,12,1),0),NETWORKDAYS.INTL(DATE($B$3,12,31),DATE($B$3,12,31),1,'Non-working days'!$A$6:$A$45)=0),"",IF(COUNTIFS('Leave log'!$A$7:$A$306,Employees!$A$26,'Leave log'!$B$7:$B$306,"&lt;="&amp;DATE($B$3,12,31),'Leave log'!$C$7:$C$306,"&gt;="&amp;DATE($B$3,12,31),'Leave log'!$F$7:$F$306,"Pending")&gt;0,"P",""))))</f>
        <v/>
      </c>
    </row>
    <row r="402" spans="1:32" ht="18" customHeight="1" x14ac:dyDescent="0.3">
      <c r="A402" s="22" t="str">
        <f>IF(Employees!F27="Yes",Employees!B27,"")</f>
        <v/>
      </c>
      <c r="B402" s="23" t="str">
        <f>IF(A402="","",IF(IF(OR(DATE($B$3,12,1)&gt;EOMONTH(DATE($B$3,12,1),0),NETWORKDAYS.INTL(DATE($B$3,12,1),DATE($B$3,12,1),1,'Non-working days'!$A$6:$A$45)=0),"",IF(COUNTIFS('Leave log'!$A$7:$A$306,Employees!$A$27,'Leave log'!$B$7:$B$306,"&lt;="&amp;DATE($B$3,12,1),'Leave log'!$C$7:$C$306,"&gt;="&amp;DATE($B$3,12,1),'Leave log'!$F$7:$F$306,"Approved")&gt;0,"A",""))="A","A",IF(OR(DATE($B$3,12,1)&gt;EOMONTH(DATE($B$3,12,1),0),NETWORKDAYS.INTL(DATE($B$3,12,1),DATE($B$3,12,1),1,'Non-working days'!$A$6:$A$45)=0),"",IF(COUNTIFS('Leave log'!$A$7:$A$306,Employees!$A$27,'Leave log'!$B$7:$B$306,"&lt;="&amp;DATE($B$3,12,1),'Leave log'!$C$7:$C$306,"&gt;="&amp;DATE($B$3,12,1),'Leave log'!$F$7:$F$306,"Pending")&gt;0,"P",""))))</f>
        <v/>
      </c>
      <c r="C402" s="23" t="str">
        <f>IF(A402="","",IF(IF(OR(DATE($B$3,12,2)&gt;EOMONTH(DATE($B$3,12,1),0),NETWORKDAYS.INTL(DATE($B$3,12,2),DATE($B$3,12,2),1,'Non-working days'!$A$6:$A$45)=0),"",IF(COUNTIFS('Leave log'!$A$7:$A$306,Employees!$A$27,'Leave log'!$B$7:$B$306,"&lt;="&amp;DATE($B$3,12,2),'Leave log'!$C$7:$C$306,"&gt;="&amp;DATE($B$3,12,2),'Leave log'!$F$7:$F$306,"Approved")&gt;0,"A",""))="A","A",IF(OR(DATE($B$3,12,2)&gt;EOMONTH(DATE($B$3,12,1),0),NETWORKDAYS.INTL(DATE($B$3,12,2),DATE($B$3,12,2),1,'Non-working days'!$A$6:$A$45)=0),"",IF(COUNTIFS('Leave log'!$A$7:$A$306,Employees!$A$27,'Leave log'!$B$7:$B$306,"&lt;="&amp;DATE($B$3,12,2),'Leave log'!$C$7:$C$306,"&gt;="&amp;DATE($B$3,12,2),'Leave log'!$F$7:$F$306,"Pending")&gt;0,"P",""))))</f>
        <v/>
      </c>
      <c r="D402" s="23" t="str">
        <f>IF(A402="","",IF(IF(OR(DATE($B$3,12,3)&gt;EOMONTH(DATE($B$3,12,1),0),NETWORKDAYS.INTL(DATE($B$3,12,3),DATE($B$3,12,3),1,'Non-working days'!$A$6:$A$45)=0),"",IF(COUNTIFS('Leave log'!$A$7:$A$306,Employees!$A$27,'Leave log'!$B$7:$B$306,"&lt;="&amp;DATE($B$3,12,3),'Leave log'!$C$7:$C$306,"&gt;="&amp;DATE($B$3,12,3),'Leave log'!$F$7:$F$306,"Approved")&gt;0,"A",""))="A","A",IF(OR(DATE($B$3,12,3)&gt;EOMONTH(DATE($B$3,12,1),0),NETWORKDAYS.INTL(DATE($B$3,12,3),DATE($B$3,12,3),1,'Non-working days'!$A$6:$A$45)=0),"",IF(COUNTIFS('Leave log'!$A$7:$A$306,Employees!$A$27,'Leave log'!$B$7:$B$306,"&lt;="&amp;DATE($B$3,12,3),'Leave log'!$C$7:$C$306,"&gt;="&amp;DATE($B$3,12,3),'Leave log'!$F$7:$F$306,"Pending")&gt;0,"P",""))))</f>
        <v/>
      </c>
      <c r="E402" s="23" t="str">
        <f>IF(A402="","",IF(IF(OR(DATE($B$3,12,4)&gt;EOMONTH(DATE($B$3,12,1),0),NETWORKDAYS.INTL(DATE($B$3,12,4),DATE($B$3,12,4),1,'Non-working days'!$A$6:$A$45)=0),"",IF(COUNTIFS('Leave log'!$A$7:$A$306,Employees!$A$27,'Leave log'!$B$7:$B$306,"&lt;="&amp;DATE($B$3,12,4),'Leave log'!$C$7:$C$306,"&gt;="&amp;DATE($B$3,12,4),'Leave log'!$F$7:$F$306,"Approved")&gt;0,"A",""))="A","A",IF(OR(DATE($B$3,12,4)&gt;EOMONTH(DATE($B$3,12,1),0),NETWORKDAYS.INTL(DATE($B$3,12,4),DATE($B$3,12,4),1,'Non-working days'!$A$6:$A$45)=0),"",IF(COUNTIFS('Leave log'!$A$7:$A$306,Employees!$A$27,'Leave log'!$B$7:$B$306,"&lt;="&amp;DATE($B$3,12,4),'Leave log'!$C$7:$C$306,"&gt;="&amp;DATE($B$3,12,4),'Leave log'!$F$7:$F$306,"Pending")&gt;0,"P",""))))</f>
        <v/>
      </c>
      <c r="F402" s="23" t="str">
        <f>IF(A402="","",IF(IF(OR(DATE($B$3,12,5)&gt;EOMONTH(DATE($B$3,12,1),0),NETWORKDAYS.INTL(DATE($B$3,12,5),DATE($B$3,12,5),1,'Non-working days'!$A$6:$A$45)=0),"",IF(COUNTIFS('Leave log'!$A$7:$A$306,Employees!$A$27,'Leave log'!$B$7:$B$306,"&lt;="&amp;DATE($B$3,12,5),'Leave log'!$C$7:$C$306,"&gt;="&amp;DATE($B$3,12,5),'Leave log'!$F$7:$F$306,"Approved")&gt;0,"A",""))="A","A",IF(OR(DATE($B$3,12,5)&gt;EOMONTH(DATE($B$3,12,1),0),NETWORKDAYS.INTL(DATE($B$3,12,5),DATE($B$3,12,5),1,'Non-working days'!$A$6:$A$45)=0),"",IF(COUNTIFS('Leave log'!$A$7:$A$306,Employees!$A$27,'Leave log'!$B$7:$B$306,"&lt;="&amp;DATE($B$3,12,5),'Leave log'!$C$7:$C$306,"&gt;="&amp;DATE($B$3,12,5),'Leave log'!$F$7:$F$306,"Pending")&gt;0,"P",""))))</f>
        <v/>
      </c>
      <c r="G402" s="23" t="str">
        <f>IF(A402="","",IF(IF(OR(DATE($B$3,12,6)&gt;EOMONTH(DATE($B$3,12,1),0),NETWORKDAYS.INTL(DATE($B$3,12,6),DATE($B$3,12,6),1,'Non-working days'!$A$6:$A$45)=0),"",IF(COUNTIFS('Leave log'!$A$7:$A$306,Employees!$A$27,'Leave log'!$B$7:$B$306,"&lt;="&amp;DATE($B$3,12,6),'Leave log'!$C$7:$C$306,"&gt;="&amp;DATE($B$3,12,6),'Leave log'!$F$7:$F$306,"Approved")&gt;0,"A",""))="A","A",IF(OR(DATE($B$3,12,6)&gt;EOMONTH(DATE($B$3,12,1),0),NETWORKDAYS.INTL(DATE($B$3,12,6),DATE($B$3,12,6),1,'Non-working days'!$A$6:$A$45)=0),"",IF(COUNTIFS('Leave log'!$A$7:$A$306,Employees!$A$27,'Leave log'!$B$7:$B$306,"&lt;="&amp;DATE($B$3,12,6),'Leave log'!$C$7:$C$306,"&gt;="&amp;DATE($B$3,12,6),'Leave log'!$F$7:$F$306,"Pending")&gt;0,"P",""))))</f>
        <v/>
      </c>
      <c r="H402" s="23" t="str">
        <f>IF(A402="","",IF(IF(OR(DATE($B$3,12,7)&gt;EOMONTH(DATE($B$3,12,1),0),NETWORKDAYS.INTL(DATE($B$3,12,7),DATE($B$3,12,7),1,'Non-working days'!$A$6:$A$45)=0),"",IF(COUNTIFS('Leave log'!$A$7:$A$306,Employees!$A$27,'Leave log'!$B$7:$B$306,"&lt;="&amp;DATE($B$3,12,7),'Leave log'!$C$7:$C$306,"&gt;="&amp;DATE($B$3,12,7),'Leave log'!$F$7:$F$306,"Approved")&gt;0,"A",""))="A","A",IF(OR(DATE($B$3,12,7)&gt;EOMONTH(DATE($B$3,12,1),0),NETWORKDAYS.INTL(DATE($B$3,12,7),DATE($B$3,12,7),1,'Non-working days'!$A$6:$A$45)=0),"",IF(COUNTIFS('Leave log'!$A$7:$A$306,Employees!$A$27,'Leave log'!$B$7:$B$306,"&lt;="&amp;DATE($B$3,12,7),'Leave log'!$C$7:$C$306,"&gt;="&amp;DATE($B$3,12,7),'Leave log'!$F$7:$F$306,"Pending")&gt;0,"P",""))))</f>
        <v/>
      </c>
      <c r="I402" s="23" t="str">
        <f>IF(A402="","",IF(IF(OR(DATE($B$3,12,8)&gt;EOMONTH(DATE($B$3,12,1),0),NETWORKDAYS.INTL(DATE($B$3,12,8),DATE($B$3,12,8),1,'Non-working days'!$A$6:$A$45)=0),"",IF(COUNTIFS('Leave log'!$A$7:$A$306,Employees!$A$27,'Leave log'!$B$7:$B$306,"&lt;="&amp;DATE($B$3,12,8),'Leave log'!$C$7:$C$306,"&gt;="&amp;DATE($B$3,12,8),'Leave log'!$F$7:$F$306,"Approved")&gt;0,"A",""))="A","A",IF(OR(DATE($B$3,12,8)&gt;EOMONTH(DATE($B$3,12,1),0),NETWORKDAYS.INTL(DATE($B$3,12,8),DATE($B$3,12,8),1,'Non-working days'!$A$6:$A$45)=0),"",IF(COUNTIFS('Leave log'!$A$7:$A$306,Employees!$A$27,'Leave log'!$B$7:$B$306,"&lt;="&amp;DATE($B$3,12,8),'Leave log'!$C$7:$C$306,"&gt;="&amp;DATE($B$3,12,8),'Leave log'!$F$7:$F$306,"Pending")&gt;0,"P",""))))</f>
        <v/>
      </c>
      <c r="J402" s="23" t="str">
        <f>IF(A402="","",IF(IF(OR(DATE($B$3,12,9)&gt;EOMONTH(DATE($B$3,12,1),0),NETWORKDAYS.INTL(DATE($B$3,12,9),DATE($B$3,12,9),1,'Non-working days'!$A$6:$A$45)=0),"",IF(COUNTIFS('Leave log'!$A$7:$A$306,Employees!$A$27,'Leave log'!$B$7:$B$306,"&lt;="&amp;DATE($B$3,12,9),'Leave log'!$C$7:$C$306,"&gt;="&amp;DATE($B$3,12,9),'Leave log'!$F$7:$F$306,"Approved")&gt;0,"A",""))="A","A",IF(OR(DATE($B$3,12,9)&gt;EOMONTH(DATE($B$3,12,1),0),NETWORKDAYS.INTL(DATE($B$3,12,9),DATE($B$3,12,9),1,'Non-working days'!$A$6:$A$45)=0),"",IF(COUNTIFS('Leave log'!$A$7:$A$306,Employees!$A$27,'Leave log'!$B$7:$B$306,"&lt;="&amp;DATE($B$3,12,9),'Leave log'!$C$7:$C$306,"&gt;="&amp;DATE($B$3,12,9),'Leave log'!$F$7:$F$306,"Pending")&gt;0,"P",""))))</f>
        <v/>
      </c>
      <c r="K402" s="23" t="str">
        <f>IF(A402="","",IF(IF(OR(DATE($B$3,12,10)&gt;EOMONTH(DATE($B$3,12,1),0),NETWORKDAYS.INTL(DATE($B$3,12,10),DATE($B$3,12,10),1,'Non-working days'!$A$6:$A$45)=0),"",IF(COUNTIFS('Leave log'!$A$7:$A$306,Employees!$A$27,'Leave log'!$B$7:$B$306,"&lt;="&amp;DATE($B$3,12,10),'Leave log'!$C$7:$C$306,"&gt;="&amp;DATE($B$3,12,10),'Leave log'!$F$7:$F$306,"Approved")&gt;0,"A",""))="A","A",IF(OR(DATE($B$3,12,10)&gt;EOMONTH(DATE($B$3,12,1),0),NETWORKDAYS.INTL(DATE($B$3,12,10),DATE($B$3,12,10),1,'Non-working days'!$A$6:$A$45)=0),"",IF(COUNTIFS('Leave log'!$A$7:$A$306,Employees!$A$27,'Leave log'!$B$7:$B$306,"&lt;="&amp;DATE($B$3,12,10),'Leave log'!$C$7:$C$306,"&gt;="&amp;DATE($B$3,12,10),'Leave log'!$F$7:$F$306,"Pending")&gt;0,"P",""))))</f>
        <v/>
      </c>
      <c r="L402" s="23" t="str">
        <f>IF(A402="","",IF(IF(OR(DATE($B$3,12,11)&gt;EOMONTH(DATE($B$3,12,1),0),NETWORKDAYS.INTL(DATE($B$3,12,11),DATE($B$3,12,11),1,'Non-working days'!$A$6:$A$45)=0),"",IF(COUNTIFS('Leave log'!$A$7:$A$306,Employees!$A$27,'Leave log'!$B$7:$B$306,"&lt;="&amp;DATE($B$3,12,11),'Leave log'!$C$7:$C$306,"&gt;="&amp;DATE($B$3,12,11),'Leave log'!$F$7:$F$306,"Approved")&gt;0,"A",""))="A","A",IF(OR(DATE($B$3,12,11)&gt;EOMONTH(DATE($B$3,12,1),0),NETWORKDAYS.INTL(DATE($B$3,12,11),DATE($B$3,12,11),1,'Non-working days'!$A$6:$A$45)=0),"",IF(COUNTIFS('Leave log'!$A$7:$A$306,Employees!$A$27,'Leave log'!$B$7:$B$306,"&lt;="&amp;DATE($B$3,12,11),'Leave log'!$C$7:$C$306,"&gt;="&amp;DATE($B$3,12,11),'Leave log'!$F$7:$F$306,"Pending")&gt;0,"P",""))))</f>
        <v/>
      </c>
      <c r="M402" s="23" t="str">
        <f>IF(A402="","",IF(IF(OR(DATE($B$3,12,12)&gt;EOMONTH(DATE($B$3,12,1),0),NETWORKDAYS.INTL(DATE($B$3,12,12),DATE($B$3,12,12),1,'Non-working days'!$A$6:$A$45)=0),"",IF(COUNTIFS('Leave log'!$A$7:$A$306,Employees!$A$27,'Leave log'!$B$7:$B$306,"&lt;="&amp;DATE($B$3,12,12),'Leave log'!$C$7:$C$306,"&gt;="&amp;DATE($B$3,12,12),'Leave log'!$F$7:$F$306,"Approved")&gt;0,"A",""))="A","A",IF(OR(DATE($B$3,12,12)&gt;EOMONTH(DATE($B$3,12,1),0),NETWORKDAYS.INTL(DATE($B$3,12,12),DATE($B$3,12,12),1,'Non-working days'!$A$6:$A$45)=0),"",IF(COUNTIFS('Leave log'!$A$7:$A$306,Employees!$A$27,'Leave log'!$B$7:$B$306,"&lt;="&amp;DATE($B$3,12,12),'Leave log'!$C$7:$C$306,"&gt;="&amp;DATE($B$3,12,12),'Leave log'!$F$7:$F$306,"Pending")&gt;0,"P",""))))</f>
        <v/>
      </c>
      <c r="N402" s="23" t="str">
        <f>IF(A402="","",IF(IF(OR(DATE($B$3,12,13)&gt;EOMONTH(DATE($B$3,12,1),0),NETWORKDAYS.INTL(DATE($B$3,12,13),DATE($B$3,12,13),1,'Non-working days'!$A$6:$A$45)=0),"",IF(COUNTIFS('Leave log'!$A$7:$A$306,Employees!$A$27,'Leave log'!$B$7:$B$306,"&lt;="&amp;DATE($B$3,12,13),'Leave log'!$C$7:$C$306,"&gt;="&amp;DATE($B$3,12,13),'Leave log'!$F$7:$F$306,"Approved")&gt;0,"A",""))="A","A",IF(OR(DATE($B$3,12,13)&gt;EOMONTH(DATE($B$3,12,1),0),NETWORKDAYS.INTL(DATE($B$3,12,13),DATE($B$3,12,13),1,'Non-working days'!$A$6:$A$45)=0),"",IF(COUNTIFS('Leave log'!$A$7:$A$306,Employees!$A$27,'Leave log'!$B$7:$B$306,"&lt;="&amp;DATE($B$3,12,13),'Leave log'!$C$7:$C$306,"&gt;="&amp;DATE($B$3,12,13),'Leave log'!$F$7:$F$306,"Pending")&gt;0,"P",""))))</f>
        <v/>
      </c>
      <c r="O402" s="23" t="str">
        <f>IF(A402="","",IF(IF(OR(DATE($B$3,12,14)&gt;EOMONTH(DATE($B$3,12,1),0),NETWORKDAYS.INTL(DATE($B$3,12,14),DATE($B$3,12,14),1,'Non-working days'!$A$6:$A$45)=0),"",IF(COUNTIFS('Leave log'!$A$7:$A$306,Employees!$A$27,'Leave log'!$B$7:$B$306,"&lt;="&amp;DATE($B$3,12,14),'Leave log'!$C$7:$C$306,"&gt;="&amp;DATE($B$3,12,14),'Leave log'!$F$7:$F$306,"Approved")&gt;0,"A",""))="A","A",IF(OR(DATE($B$3,12,14)&gt;EOMONTH(DATE($B$3,12,1),0),NETWORKDAYS.INTL(DATE($B$3,12,14),DATE($B$3,12,14),1,'Non-working days'!$A$6:$A$45)=0),"",IF(COUNTIFS('Leave log'!$A$7:$A$306,Employees!$A$27,'Leave log'!$B$7:$B$306,"&lt;="&amp;DATE($B$3,12,14),'Leave log'!$C$7:$C$306,"&gt;="&amp;DATE($B$3,12,14),'Leave log'!$F$7:$F$306,"Pending")&gt;0,"P",""))))</f>
        <v/>
      </c>
      <c r="P402" s="23" t="str">
        <f>IF(A402="","",IF(IF(OR(DATE($B$3,12,15)&gt;EOMONTH(DATE($B$3,12,1),0),NETWORKDAYS.INTL(DATE($B$3,12,15),DATE($B$3,12,15),1,'Non-working days'!$A$6:$A$45)=0),"",IF(COUNTIFS('Leave log'!$A$7:$A$306,Employees!$A$27,'Leave log'!$B$7:$B$306,"&lt;="&amp;DATE($B$3,12,15),'Leave log'!$C$7:$C$306,"&gt;="&amp;DATE($B$3,12,15),'Leave log'!$F$7:$F$306,"Approved")&gt;0,"A",""))="A","A",IF(OR(DATE($B$3,12,15)&gt;EOMONTH(DATE($B$3,12,1),0),NETWORKDAYS.INTL(DATE($B$3,12,15),DATE($B$3,12,15),1,'Non-working days'!$A$6:$A$45)=0),"",IF(COUNTIFS('Leave log'!$A$7:$A$306,Employees!$A$27,'Leave log'!$B$7:$B$306,"&lt;="&amp;DATE($B$3,12,15),'Leave log'!$C$7:$C$306,"&gt;="&amp;DATE($B$3,12,15),'Leave log'!$F$7:$F$306,"Pending")&gt;0,"P",""))))</f>
        <v/>
      </c>
      <c r="Q402" s="23" t="str">
        <f>IF(A402="","",IF(IF(OR(DATE($B$3,12,16)&gt;EOMONTH(DATE($B$3,12,1),0),NETWORKDAYS.INTL(DATE($B$3,12,16),DATE($B$3,12,16),1,'Non-working days'!$A$6:$A$45)=0),"",IF(COUNTIFS('Leave log'!$A$7:$A$306,Employees!$A$27,'Leave log'!$B$7:$B$306,"&lt;="&amp;DATE($B$3,12,16),'Leave log'!$C$7:$C$306,"&gt;="&amp;DATE($B$3,12,16),'Leave log'!$F$7:$F$306,"Approved")&gt;0,"A",""))="A","A",IF(OR(DATE($B$3,12,16)&gt;EOMONTH(DATE($B$3,12,1),0),NETWORKDAYS.INTL(DATE($B$3,12,16),DATE($B$3,12,16),1,'Non-working days'!$A$6:$A$45)=0),"",IF(COUNTIFS('Leave log'!$A$7:$A$306,Employees!$A$27,'Leave log'!$B$7:$B$306,"&lt;="&amp;DATE($B$3,12,16),'Leave log'!$C$7:$C$306,"&gt;="&amp;DATE($B$3,12,16),'Leave log'!$F$7:$F$306,"Pending")&gt;0,"P",""))))</f>
        <v/>
      </c>
      <c r="R402" s="23" t="str">
        <f>IF(A402="","",IF(IF(OR(DATE($B$3,12,17)&gt;EOMONTH(DATE($B$3,12,1),0),NETWORKDAYS.INTL(DATE($B$3,12,17),DATE($B$3,12,17),1,'Non-working days'!$A$6:$A$45)=0),"",IF(COUNTIFS('Leave log'!$A$7:$A$306,Employees!$A$27,'Leave log'!$B$7:$B$306,"&lt;="&amp;DATE($B$3,12,17),'Leave log'!$C$7:$C$306,"&gt;="&amp;DATE($B$3,12,17),'Leave log'!$F$7:$F$306,"Approved")&gt;0,"A",""))="A","A",IF(OR(DATE($B$3,12,17)&gt;EOMONTH(DATE($B$3,12,1),0),NETWORKDAYS.INTL(DATE($B$3,12,17),DATE($B$3,12,17),1,'Non-working days'!$A$6:$A$45)=0),"",IF(COUNTIFS('Leave log'!$A$7:$A$306,Employees!$A$27,'Leave log'!$B$7:$B$306,"&lt;="&amp;DATE($B$3,12,17),'Leave log'!$C$7:$C$306,"&gt;="&amp;DATE($B$3,12,17),'Leave log'!$F$7:$F$306,"Pending")&gt;0,"P",""))))</f>
        <v/>
      </c>
      <c r="S402" s="23" t="str">
        <f>IF(A402="","",IF(IF(OR(DATE($B$3,12,18)&gt;EOMONTH(DATE($B$3,12,1),0),NETWORKDAYS.INTL(DATE($B$3,12,18),DATE($B$3,12,18),1,'Non-working days'!$A$6:$A$45)=0),"",IF(COUNTIFS('Leave log'!$A$7:$A$306,Employees!$A$27,'Leave log'!$B$7:$B$306,"&lt;="&amp;DATE($B$3,12,18),'Leave log'!$C$7:$C$306,"&gt;="&amp;DATE($B$3,12,18),'Leave log'!$F$7:$F$306,"Approved")&gt;0,"A",""))="A","A",IF(OR(DATE($B$3,12,18)&gt;EOMONTH(DATE($B$3,12,1),0),NETWORKDAYS.INTL(DATE($B$3,12,18),DATE($B$3,12,18),1,'Non-working days'!$A$6:$A$45)=0),"",IF(COUNTIFS('Leave log'!$A$7:$A$306,Employees!$A$27,'Leave log'!$B$7:$B$306,"&lt;="&amp;DATE($B$3,12,18),'Leave log'!$C$7:$C$306,"&gt;="&amp;DATE($B$3,12,18),'Leave log'!$F$7:$F$306,"Pending")&gt;0,"P",""))))</f>
        <v/>
      </c>
      <c r="T402" s="23" t="str">
        <f>IF(A402="","",IF(IF(OR(DATE($B$3,12,19)&gt;EOMONTH(DATE($B$3,12,1),0),NETWORKDAYS.INTL(DATE($B$3,12,19),DATE($B$3,12,19),1,'Non-working days'!$A$6:$A$45)=0),"",IF(COUNTIFS('Leave log'!$A$7:$A$306,Employees!$A$27,'Leave log'!$B$7:$B$306,"&lt;="&amp;DATE($B$3,12,19),'Leave log'!$C$7:$C$306,"&gt;="&amp;DATE($B$3,12,19),'Leave log'!$F$7:$F$306,"Approved")&gt;0,"A",""))="A","A",IF(OR(DATE($B$3,12,19)&gt;EOMONTH(DATE($B$3,12,1),0),NETWORKDAYS.INTL(DATE($B$3,12,19),DATE($B$3,12,19),1,'Non-working days'!$A$6:$A$45)=0),"",IF(COUNTIFS('Leave log'!$A$7:$A$306,Employees!$A$27,'Leave log'!$B$7:$B$306,"&lt;="&amp;DATE($B$3,12,19),'Leave log'!$C$7:$C$306,"&gt;="&amp;DATE($B$3,12,19),'Leave log'!$F$7:$F$306,"Pending")&gt;0,"P",""))))</f>
        <v/>
      </c>
      <c r="U402" s="23" t="str">
        <f>IF(A402="","",IF(IF(OR(DATE($B$3,12,20)&gt;EOMONTH(DATE($B$3,12,1),0),NETWORKDAYS.INTL(DATE($B$3,12,20),DATE($B$3,12,20),1,'Non-working days'!$A$6:$A$45)=0),"",IF(COUNTIFS('Leave log'!$A$7:$A$306,Employees!$A$27,'Leave log'!$B$7:$B$306,"&lt;="&amp;DATE($B$3,12,20),'Leave log'!$C$7:$C$306,"&gt;="&amp;DATE($B$3,12,20),'Leave log'!$F$7:$F$306,"Approved")&gt;0,"A",""))="A","A",IF(OR(DATE($B$3,12,20)&gt;EOMONTH(DATE($B$3,12,1),0),NETWORKDAYS.INTL(DATE($B$3,12,20),DATE($B$3,12,20),1,'Non-working days'!$A$6:$A$45)=0),"",IF(COUNTIFS('Leave log'!$A$7:$A$306,Employees!$A$27,'Leave log'!$B$7:$B$306,"&lt;="&amp;DATE($B$3,12,20),'Leave log'!$C$7:$C$306,"&gt;="&amp;DATE($B$3,12,20),'Leave log'!$F$7:$F$306,"Pending")&gt;0,"P",""))))</f>
        <v/>
      </c>
      <c r="V402" s="23" t="str">
        <f>IF(A402="","",IF(IF(OR(DATE($B$3,12,21)&gt;EOMONTH(DATE($B$3,12,1),0),NETWORKDAYS.INTL(DATE($B$3,12,21),DATE($B$3,12,21),1,'Non-working days'!$A$6:$A$45)=0),"",IF(COUNTIFS('Leave log'!$A$7:$A$306,Employees!$A$27,'Leave log'!$B$7:$B$306,"&lt;="&amp;DATE($B$3,12,21),'Leave log'!$C$7:$C$306,"&gt;="&amp;DATE($B$3,12,21),'Leave log'!$F$7:$F$306,"Approved")&gt;0,"A",""))="A","A",IF(OR(DATE($B$3,12,21)&gt;EOMONTH(DATE($B$3,12,1),0),NETWORKDAYS.INTL(DATE($B$3,12,21),DATE($B$3,12,21),1,'Non-working days'!$A$6:$A$45)=0),"",IF(COUNTIFS('Leave log'!$A$7:$A$306,Employees!$A$27,'Leave log'!$B$7:$B$306,"&lt;="&amp;DATE($B$3,12,21),'Leave log'!$C$7:$C$306,"&gt;="&amp;DATE($B$3,12,21),'Leave log'!$F$7:$F$306,"Pending")&gt;0,"P",""))))</f>
        <v/>
      </c>
      <c r="W402" s="23" t="str">
        <f>IF(A402="","",IF(IF(OR(DATE($B$3,12,22)&gt;EOMONTH(DATE($B$3,12,1),0),NETWORKDAYS.INTL(DATE($B$3,12,22),DATE($B$3,12,22),1,'Non-working days'!$A$6:$A$45)=0),"",IF(COUNTIFS('Leave log'!$A$7:$A$306,Employees!$A$27,'Leave log'!$B$7:$B$306,"&lt;="&amp;DATE($B$3,12,22),'Leave log'!$C$7:$C$306,"&gt;="&amp;DATE($B$3,12,22),'Leave log'!$F$7:$F$306,"Approved")&gt;0,"A",""))="A","A",IF(OR(DATE($B$3,12,22)&gt;EOMONTH(DATE($B$3,12,1),0),NETWORKDAYS.INTL(DATE($B$3,12,22),DATE($B$3,12,22),1,'Non-working days'!$A$6:$A$45)=0),"",IF(COUNTIFS('Leave log'!$A$7:$A$306,Employees!$A$27,'Leave log'!$B$7:$B$306,"&lt;="&amp;DATE($B$3,12,22),'Leave log'!$C$7:$C$306,"&gt;="&amp;DATE($B$3,12,22),'Leave log'!$F$7:$F$306,"Pending")&gt;0,"P",""))))</f>
        <v/>
      </c>
      <c r="X402" s="23" t="str">
        <f>IF(A402="","",IF(IF(OR(DATE($B$3,12,23)&gt;EOMONTH(DATE($B$3,12,1),0),NETWORKDAYS.INTL(DATE($B$3,12,23),DATE($B$3,12,23),1,'Non-working days'!$A$6:$A$45)=0),"",IF(COUNTIFS('Leave log'!$A$7:$A$306,Employees!$A$27,'Leave log'!$B$7:$B$306,"&lt;="&amp;DATE($B$3,12,23),'Leave log'!$C$7:$C$306,"&gt;="&amp;DATE($B$3,12,23),'Leave log'!$F$7:$F$306,"Approved")&gt;0,"A",""))="A","A",IF(OR(DATE($B$3,12,23)&gt;EOMONTH(DATE($B$3,12,1),0),NETWORKDAYS.INTL(DATE($B$3,12,23),DATE($B$3,12,23),1,'Non-working days'!$A$6:$A$45)=0),"",IF(COUNTIFS('Leave log'!$A$7:$A$306,Employees!$A$27,'Leave log'!$B$7:$B$306,"&lt;="&amp;DATE($B$3,12,23),'Leave log'!$C$7:$C$306,"&gt;="&amp;DATE($B$3,12,23),'Leave log'!$F$7:$F$306,"Pending")&gt;0,"P",""))))</f>
        <v/>
      </c>
      <c r="Y402" s="23" t="str">
        <f>IF(A402="","",IF(IF(OR(DATE($B$3,12,24)&gt;EOMONTH(DATE($B$3,12,1),0),NETWORKDAYS.INTL(DATE($B$3,12,24),DATE($B$3,12,24),1,'Non-working days'!$A$6:$A$45)=0),"",IF(COUNTIFS('Leave log'!$A$7:$A$306,Employees!$A$27,'Leave log'!$B$7:$B$306,"&lt;="&amp;DATE($B$3,12,24),'Leave log'!$C$7:$C$306,"&gt;="&amp;DATE($B$3,12,24),'Leave log'!$F$7:$F$306,"Approved")&gt;0,"A",""))="A","A",IF(OR(DATE($B$3,12,24)&gt;EOMONTH(DATE($B$3,12,1),0),NETWORKDAYS.INTL(DATE($B$3,12,24),DATE($B$3,12,24),1,'Non-working days'!$A$6:$A$45)=0),"",IF(COUNTIFS('Leave log'!$A$7:$A$306,Employees!$A$27,'Leave log'!$B$7:$B$306,"&lt;="&amp;DATE($B$3,12,24),'Leave log'!$C$7:$C$306,"&gt;="&amp;DATE($B$3,12,24),'Leave log'!$F$7:$F$306,"Pending")&gt;0,"P",""))))</f>
        <v/>
      </c>
      <c r="Z402" s="23" t="str">
        <f>IF(A402="","",IF(IF(OR(DATE($B$3,12,25)&gt;EOMONTH(DATE($B$3,12,1),0),NETWORKDAYS.INTL(DATE($B$3,12,25),DATE($B$3,12,25),1,'Non-working days'!$A$6:$A$45)=0),"",IF(COUNTIFS('Leave log'!$A$7:$A$306,Employees!$A$27,'Leave log'!$B$7:$B$306,"&lt;="&amp;DATE($B$3,12,25),'Leave log'!$C$7:$C$306,"&gt;="&amp;DATE($B$3,12,25),'Leave log'!$F$7:$F$306,"Approved")&gt;0,"A",""))="A","A",IF(OR(DATE($B$3,12,25)&gt;EOMONTH(DATE($B$3,12,1),0),NETWORKDAYS.INTL(DATE($B$3,12,25),DATE($B$3,12,25),1,'Non-working days'!$A$6:$A$45)=0),"",IF(COUNTIFS('Leave log'!$A$7:$A$306,Employees!$A$27,'Leave log'!$B$7:$B$306,"&lt;="&amp;DATE($B$3,12,25),'Leave log'!$C$7:$C$306,"&gt;="&amp;DATE($B$3,12,25),'Leave log'!$F$7:$F$306,"Pending")&gt;0,"P",""))))</f>
        <v/>
      </c>
      <c r="AA402" s="23" t="str">
        <f>IF(A402="","",IF(IF(OR(DATE($B$3,12,26)&gt;EOMONTH(DATE($B$3,12,1),0),NETWORKDAYS.INTL(DATE($B$3,12,26),DATE($B$3,12,26),1,'Non-working days'!$A$6:$A$45)=0),"",IF(COUNTIFS('Leave log'!$A$7:$A$306,Employees!$A$27,'Leave log'!$B$7:$B$306,"&lt;="&amp;DATE($B$3,12,26),'Leave log'!$C$7:$C$306,"&gt;="&amp;DATE($B$3,12,26),'Leave log'!$F$7:$F$306,"Approved")&gt;0,"A",""))="A","A",IF(OR(DATE($B$3,12,26)&gt;EOMONTH(DATE($B$3,12,1),0),NETWORKDAYS.INTL(DATE($B$3,12,26),DATE($B$3,12,26),1,'Non-working days'!$A$6:$A$45)=0),"",IF(COUNTIFS('Leave log'!$A$7:$A$306,Employees!$A$27,'Leave log'!$B$7:$B$306,"&lt;="&amp;DATE($B$3,12,26),'Leave log'!$C$7:$C$306,"&gt;="&amp;DATE($B$3,12,26),'Leave log'!$F$7:$F$306,"Pending")&gt;0,"P",""))))</f>
        <v/>
      </c>
      <c r="AB402" s="23" t="str">
        <f>IF(A402="","",IF(IF(OR(DATE($B$3,12,27)&gt;EOMONTH(DATE($B$3,12,1),0),NETWORKDAYS.INTL(DATE($B$3,12,27),DATE($B$3,12,27),1,'Non-working days'!$A$6:$A$45)=0),"",IF(COUNTIFS('Leave log'!$A$7:$A$306,Employees!$A$27,'Leave log'!$B$7:$B$306,"&lt;="&amp;DATE($B$3,12,27),'Leave log'!$C$7:$C$306,"&gt;="&amp;DATE($B$3,12,27),'Leave log'!$F$7:$F$306,"Approved")&gt;0,"A",""))="A","A",IF(OR(DATE($B$3,12,27)&gt;EOMONTH(DATE($B$3,12,1),0),NETWORKDAYS.INTL(DATE($B$3,12,27),DATE($B$3,12,27),1,'Non-working days'!$A$6:$A$45)=0),"",IF(COUNTIFS('Leave log'!$A$7:$A$306,Employees!$A$27,'Leave log'!$B$7:$B$306,"&lt;="&amp;DATE($B$3,12,27),'Leave log'!$C$7:$C$306,"&gt;="&amp;DATE($B$3,12,27),'Leave log'!$F$7:$F$306,"Pending")&gt;0,"P",""))))</f>
        <v/>
      </c>
      <c r="AC402" s="23" t="str">
        <f>IF(A402="","",IF(IF(OR(DATE($B$3,12,28)&gt;EOMONTH(DATE($B$3,12,1),0),NETWORKDAYS.INTL(DATE($B$3,12,28),DATE($B$3,12,28),1,'Non-working days'!$A$6:$A$45)=0),"",IF(COUNTIFS('Leave log'!$A$7:$A$306,Employees!$A$27,'Leave log'!$B$7:$B$306,"&lt;="&amp;DATE($B$3,12,28),'Leave log'!$C$7:$C$306,"&gt;="&amp;DATE($B$3,12,28),'Leave log'!$F$7:$F$306,"Approved")&gt;0,"A",""))="A","A",IF(OR(DATE($B$3,12,28)&gt;EOMONTH(DATE($B$3,12,1),0),NETWORKDAYS.INTL(DATE($B$3,12,28),DATE($B$3,12,28),1,'Non-working days'!$A$6:$A$45)=0),"",IF(COUNTIFS('Leave log'!$A$7:$A$306,Employees!$A$27,'Leave log'!$B$7:$B$306,"&lt;="&amp;DATE($B$3,12,28),'Leave log'!$C$7:$C$306,"&gt;="&amp;DATE($B$3,12,28),'Leave log'!$F$7:$F$306,"Pending")&gt;0,"P",""))))</f>
        <v/>
      </c>
      <c r="AD402" s="23" t="str">
        <f>IF(A402="","",IF(IF(OR(DATE($B$3,12,29)&gt;EOMONTH(DATE($B$3,12,1),0),NETWORKDAYS.INTL(DATE($B$3,12,29),DATE($B$3,12,29),1,'Non-working days'!$A$6:$A$45)=0),"",IF(COUNTIFS('Leave log'!$A$7:$A$306,Employees!$A$27,'Leave log'!$B$7:$B$306,"&lt;="&amp;DATE($B$3,12,29),'Leave log'!$C$7:$C$306,"&gt;="&amp;DATE($B$3,12,29),'Leave log'!$F$7:$F$306,"Approved")&gt;0,"A",""))="A","A",IF(OR(DATE($B$3,12,29)&gt;EOMONTH(DATE($B$3,12,1),0),NETWORKDAYS.INTL(DATE($B$3,12,29),DATE($B$3,12,29),1,'Non-working days'!$A$6:$A$45)=0),"",IF(COUNTIFS('Leave log'!$A$7:$A$306,Employees!$A$27,'Leave log'!$B$7:$B$306,"&lt;="&amp;DATE($B$3,12,29),'Leave log'!$C$7:$C$306,"&gt;="&amp;DATE($B$3,12,29),'Leave log'!$F$7:$F$306,"Pending")&gt;0,"P",""))))</f>
        <v/>
      </c>
      <c r="AE402" s="23" t="str">
        <f>IF(A402="","",IF(IF(OR(DATE($B$3,12,30)&gt;EOMONTH(DATE($B$3,12,1),0),NETWORKDAYS.INTL(DATE($B$3,12,30),DATE($B$3,12,30),1,'Non-working days'!$A$6:$A$45)=0),"",IF(COUNTIFS('Leave log'!$A$7:$A$306,Employees!$A$27,'Leave log'!$B$7:$B$306,"&lt;="&amp;DATE($B$3,12,30),'Leave log'!$C$7:$C$306,"&gt;="&amp;DATE($B$3,12,30),'Leave log'!$F$7:$F$306,"Approved")&gt;0,"A",""))="A","A",IF(OR(DATE($B$3,12,30)&gt;EOMONTH(DATE($B$3,12,1),0),NETWORKDAYS.INTL(DATE($B$3,12,30),DATE($B$3,12,30),1,'Non-working days'!$A$6:$A$45)=0),"",IF(COUNTIFS('Leave log'!$A$7:$A$306,Employees!$A$27,'Leave log'!$B$7:$B$306,"&lt;="&amp;DATE($B$3,12,30),'Leave log'!$C$7:$C$306,"&gt;="&amp;DATE($B$3,12,30),'Leave log'!$F$7:$F$306,"Pending")&gt;0,"P",""))))</f>
        <v/>
      </c>
      <c r="AF402" s="23" t="str">
        <f>IF(A402="","",IF(IF(OR(DATE($B$3,12,31)&gt;EOMONTH(DATE($B$3,12,1),0),NETWORKDAYS.INTL(DATE($B$3,12,31),DATE($B$3,12,31),1,'Non-working days'!$A$6:$A$45)=0),"",IF(COUNTIFS('Leave log'!$A$7:$A$306,Employees!$A$27,'Leave log'!$B$7:$B$306,"&lt;="&amp;DATE($B$3,12,31),'Leave log'!$C$7:$C$306,"&gt;="&amp;DATE($B$3,12,31),'Leave log'!$F$7:$F$306,"Approved")&gt;0,"A",""))="A","A",IF(OR(DATE($B$3,12,31)&gt;EOMONTH(DATE($B$3,12,1),0),NETWORKDAYS.INTL(DATE($B$3,12,31),DATE($B$3,12,31),1,'Non-working days'!$A$6:$A$45)=0),"",IF(COUNTIFS('Leave log'!$A$7:$A$306,Employees!$A$27,'Leave log'!$B$7:$B$306,"&lt;="&amp;DATE($B$3,12,31),'Leave log'!$C$7:$C$306,"&gt;="&amp;DATE($B$3,12,31),'Leave log'!$F$7:$F$306,"Pending")&gt;0,"P",""))))</f>
        <v/>
      </c>
    </row>
    <row r="403" spans="1:32" ht="18" customHeight="1" x14ac:dyDescent="0.3">
      <c r="A403" s="22" t="str">
        <f>IF(Employees!F28="Yes",Employees!B28,"")</f>
        <v/>
      </c>
      <c r="B403" s="23" t="str">
        <f>IF(A403="","",IF(IF(OR(DATE($B$3,12,1)&gt;EOMONTH(DATE($B$3,12,1),0),NETWORKDAYS.INTL(DATE($B$3,12,1),DATE($B$3,12,1),1,'Non-working days'!$A$6:$A$45)=0),"",IF(COUNTIFS('Leave log'!$A$7:$A$306,Employees!$A$28,'Leave log'!$B$7:$B$306,"&lt;="&amp;DATE($B$3,12,1),'Leave log'!$C$7:$C$306,"&gt;="&amp;DATE($B$3,12,1),'Leave log'!$F$7:$F$306,"Approved")&gt;0,"A",""))="A","A",IF(OR(DATE($B$3,12,1)&gt;EOMONTH(DATE($B$3,12,1),0),NETWORKDAYS.INTL(DATE($B$3,12,1),DATE($B$3,12,1),1,'Non-working days'!$A$6:$A$45)=0),"",IF(COUNTIFS('Leave log'!$A$7:$A$306,Employees!$A$28,'Leave log'!$B$7:$B$306,"&lt;="&amp;DATE($B$3,12,1),'Leave log'!$C$7:$C$306,"&gt;="&amp;DATE($B$3,12,1),'Leave log'!$F$7:$F$306,"Pending")&gt;0,"P",""))))</f>
        <v/>
      </c>
      <c r="C403" s="23" t="str">
        <f>IF(A403="","",IF(IF(OR(DATE($B$3,12,2)&gt;EOMONTH(DATE($B$3,12,1),0),NETWORKDAYS.INTL(DATE($B$3,12,2),DATE($B$3,12,2),1,'Non-working days'!$A$6:$A$45)=0),"",IF(COUNTIFS('Leave log'!$A$7:$A$306,Employees!$A$28,'Leave log'!$B$7:$B$306,"&lt;="&amp;DATE($B$3,12,2),'Leave log'!$C$7:$C$306,"&gt;="&amp;DATE($B$3,12,2),'Leave log'!$F$7:$F$306,"Approved")&gt;0,"A",""))="A","A",IF(OR(DATE($B$3,12,2)&gt;EOMONTH(DATE($B$3,12,1),0),NETWORKDAYS.INTL(DATE($B$3,12,2),DATE($B$3,12,2),1,'Non-working days'!$A$6:$A$45)=0),"",IF(COUNTIFS('Leave log'!$A$7:$A$306,Employees!$A$28,'Leave log'!$B$7:$B$306,"&lt;="&amp;DATE($B$3,12,2),'Leave log'!$C$7:$C$306,"&gt;="&amp;DATE($B$3,12,2),'Leave log'!$F$7:$F$306,"Pending")&gt;0,"P",""))))</f>
        <v/>
      </c>
      <c r="D403" s="23" t="str">
        <f>IF(A403="","",IF(IF(OR(DATE($B$3,12,3)&gt;EOMONTH(DATE($B$3,12,1),0),NETWORKDAYS.INTL(DATE($B$3,12,3),DATE($B$3,12,3),1,'Non-working days'!$A$6:$A$45)=0),"",IF(COUNTIFS('Leave log'!$A$7:$A$306,Employees!$A$28,'Leave log'!$B$7:$B$306,"&lt;="&amp;DATE($B$3,12,3),'Leave log'!$C$7:$C$306,"&gt;="&amp;DATE($B$3,12,3),'Leave log'!$F$7:$F$306,"Approved")&gt;0,"A",""))="A","A",IF(OR(DATE($B$3,12,3)&gt;EOMONTH(DATE($B$3,12,1),0),NETWORKDAYS.INTL(DATE($B$3,12,3),DATE($B$3,12,3),1,'Non-working days'!$A$6:$A$45)=0),"",IF(COUNTIFS('Leave log'!$A$7:$A$306,Employees!$A$28,'Leave log'!$B$7:$B$306,"&lt;="&amp;DATE($B$3,12,3),'Leave log'!$C$7:$C$306,"&gt;="&amp;DATE($B$3,12,3),'Leave log'!$F$7:$F$306,"Pending")&gt;0,"P",""))))</f>
        <v/>
      </c>
      <c r="E403" s="23" t="str">
        <f>IF(A403="","",IF(IF(OR(DATE($B$3,12,4)&gt;EOMONTH(DATE($B$3,12,1),0),NETWORKDAYS.INTL(DATE($B$3,12,4),DATE($B$3,12,4),1,'Non-working days'!$A$6:$A$45)=0),"",IF(COUNTIFS('Leave log'!$A$7:$A$306,Employees!$A$28,'Leave log'!$B$7:$B$306,"&lt;="&amp;DATE($B$3,12,4),'Leave log'!$C$7:$C$306,"&gt;="&amp;DATE($B$3,12,4),'Leave log'!$F$7:$F$306,"Approved")&gt;0,"A",""))="A","A",IF(OR(DATE($B$3,12,4)&gt;EOMONTH(DATE($B$3,12,1),0),NETWORKDAYS.INTL(DATE($B$3,12,4),DATE($B$3,12,4),1,'Non-working days'!$A$6:$A$45)=0),"",IF(COUNTIFS('Leave log'!$A$7:$A$306,Employees!$A$28,'Leave log'!$B$7:$B$306,"&lt;="&amp;DATE($B$3,12,4),'Leave log'!$C$7:$C$306,"&gt;="&amp;DATE($B$3,12,4),'Leave log'!$F$7:$F$306,"Pending")&gt;0,"P",""))))</f>
        <v/>
      </c>
      <c r="F403" s="23" t="str">
        <f>IF(A403="","",IF(IF(OR(DATE($B$3,12,5)&gt;EOMONTH(DATE($B$3,12,1),0),NETWORKDAYS.INTL(DATE($B$3,12,5),DATE($B$3,12,5),1,'Non-working days'!$A$6:$A$45)=0),"",IF(COUNTIFS('Leave log'!$A$7:$A$306,Employees!$A$28,'Leave log'!$B$7:$B$306,"&lt;="&amp;DATE($B$3,12,5),'Leave log'!$C$7:$C$306,"&gt;="&amp;DATE($B$3,12,5),'Leave log'!$F$7:$F$306,"Approved")&gt;0,"A",""))="A","A",IF(OR(DATE($B$3,12,5)&gt;EOMONTH(DATE($B$3,12,1),0),NETWORKDAYS.INTL(DATE($B$3,12,5),DATE($B$3,12,5),1,'Non-working days'!$A$6:$A$45)=0),"",IF(COUNTIFS('Leave log'!$A$7:$A$306,Employees!$A$28,'Leave log'!$B$7:$B$306,"&lt;="&amp;DATE($B$3,12,5),'Leave log'!$C$7:$C$306,"&gt;="&amp;DATE($B$3,12,5),'Leave log'!$F$7:$F$306,"Pending")&gt;0,"P",""))))</f>
        <v/>
      </c>
      <c r="G403" s="23" t="str">
        <f>IF(A403="","",IF(IF(OR(DATE($B$3,12,6)&gt;EOMONTH(DATE($B$3,12,1),0),NETWORKDAYS.INTL(DATE($B$3,12,6),DATE($B$3,12,6),1,'Non-working days'!$A$6:$A$45)=0),"",IF(COUNTIFS('Leave log'!$A$7:$A$306,Employees!$A$28,'Leave log'!$B$7:$B$306,"&lt;="&amp;DATE($B$3,12,6),'Leave log'!$C$7:$C$306,"&gt;="&amp;DATE($B$3,12,6),'Leave log'!$F$7:$F$306,"Approved")&gt;0,"A",""))="A","A",IF(OR(DATE($B$3,12,6)&gt;EOMONTH(DATE($B$3,12,1),0),NETWORKDAYS.INTL(DATE($B$3,12,6),DATE($B$3,12,6),1,'Non-working days'!$A$6:$A$45)=0),"",IF(COUNTIFS('Leave log'!$A$7:$A$306,Employees!$A$28,'Leave log'!$B$7:$B$306,"&lt;="&amp;DATE($B$3,12,6),'Leave log'!$C$7:$C$306,"&gt;="&amp;DATE($B$3,12,6),'Leave log'!$F$7:$F$306,"Pending")&gt;0,"P",""))))</f>
        <v/>
      </c>
      <c r="H403" s="23" t="str">
        <f>IF(A403="","",IF(IF(OR(DATE($B$3,12,7)&gt;EOMONTH(DATE($B$3,12,1),0),NETWORKDAYS.INTL(DATE($B$3,12,7),DATE($B$3,12,7),1,'Non-working days'!$A$6:$A$45)=0),"",IF(COUNTIFS('Leave log'!$A$7:$A$306,Employees!$A$28,'Leave log'!$B$7:$B$306,"&lt;="&amp;DATE($B$3,12,7),'Leave log'!$C$7:$C$306,"&gt;="&amp;DATE($B$3,12,7),'Leave log'!$F$7:$F$306,"Approved")&gt;0,"A",""))="A","A",IF(OR(DATE($B$3,12,7)&gt;EOMONTH(DATE($B$3,12,1),0),NETWORKDAYS.INTL(DATE($B$3,12,7),DATE($B$3,12,7),1,'Non-working days'!$A$6:$A$45)=0),"",IF(COUNTIFS('Leave log'!$A$7:$A$306,Employees!$A$28,'Leave log'!$B$7:$B$306,"&lt;="&amp;DATE($B$3,12,7),'Leave log'!$C$7:$C$306,"&gt;="&amp;DATE($B$3,12,7),'Leave log'!$F$7:$F$306,"Pending")&gt;0,"P",""))))</f>
        <v/>
      </c>
      <c r="I403" s="23" t="str">
        <f>IF(A403="","",IF(IF(OR(DATE($B$3,12,8)&gt;EOMONTH(DATE($B$3,12,1),0),NETWORKDAYS.INTL(DATE($B$3,12,8),DATE($B$3,12,8),1,'Non-working days'!$A$6:$A$45)=0),"",IF(COUNTIFS('Leave log'!$A$7:$A$306,Employees!$A$28,'Leave log'!$B$7:$B$306,"&lt;="&amp;DATE($B$3,12,8),'Leave log'!$C$7:$C$306,"&gt;="&amp;DATE($B$3,12,8),'Leave log'!$F$7:$F$306,"Approved")&gt;0,"A",""))="A","A",IF(OR(DATE($B$3,12,8)&gt;EOMONTH(DATE($B$3,12,1),0),NETWORKDAYS.INTL(DATE($B$3,12,8),DATE($B$3,12,8),1,'Non-working days'!$A$6:$A$45)=0),"",IF(COUNTIFS('Leave log'!$A$7:$A$306,Employees!$A$28,'Leave log'!$B$7:$B$306,"&lt;="&amp;DATE($B$3,12,8),'Leave log'!$C$7:$C$306,"&gt;="&amp;DATE($B$3,12,8),'Leave log'!$F$7:$F$306,"Pending")&gt;0,"P",""))))</f>
        <v/>
      </c>
      <c r="J403" s="23" t="str">
        <f>IF(A403="","",IF(IF(OR(DATE($B$3,12,9)&gt;EOMONTH(DATE($B$3,12,1),0),NETWORKDAYS.INTL(DATE($B$3,12,9),DATE($B$3,12,9),1,'Non-working days'!$A$6:$A$45)=0),"",IF(COUNTIFS('Leave log'!$A$7:$A$306,Employees!$A$28,'Leave log'!$B$7:$B$306,"&lt;="&amp;DATE($B$3,12,9),'Leave log'!$C$7:$C$306,"&gt;="&amp;DATE($B$3,12,9),'Leave log'!$F$7:$F$306,"Approved")&gt;0,"A",""))="A","A",IF(OR(DATE($B$3,12,9)&gt;EOMONTH(DATE($B$3,12,1),0),NETWORKDAYS.INTL(DATE($B$3,12,9),DATE($B$3,12,9),1,'Non-working days'!$A$6:$A$45)=0),"",IF(COUNTIFS('Leave log'!$A$7:$A$306,Employees!$A$28,'Leave log'!$B$7:$B$306,"&lt;="&amp;DATE($B$3,12,9),'Leave log'!$C$7:$C$306,"&gt;="&amp;DATE($B$3,12,9),'Leave log'!$F$7:$F$306,"Pending")&gt;0,"P",""))))</f>
        <v/>
      </c>
      <c r="K403" s="23" t="str">
        <f>IF(A403="","",IF(IF(OR(DATE($B$3,12,10)&gt;EOMONTH(DATE($B$3,12,1),0),NETWORKDAYS.INTL(DATE($B$3,12,10),DATE($B$3,12,10),1,'Non-working days'!$A$6:$A$45)=0),"",IF(COUNTIFS('Leave log'!$A$7:$A$306,Employees!$A$28,'Leave log'!$B$7:$B$306,"&lt;="&amp;DATE($B$3,12,10),'Leave log'!$C$7:$C$306,"&gt;="&amp;DATE($B$3,12,10),'Leave log'!$F$7:$F$306,"Approved")&gt;0,"A",""))="A","A",IF(OR(DATE($B$3,12,10)&gt;EOMONTH(DATE($B$3,12,1),0),NETWORKDAYS.INTL(DATE($B$3,12,10),DATE($B$3,12,10),1,'Non-working days'!$A$6:$A$45)=0),"",IF(COUNTIFS('Leave log'!$A$7:$A$306,Employees!$A$28,'Leave log'!$B$7:$B$306,"&lt;="&amp;DATE($B$3,12,10),'Leave log'!$C$7:$C$306,"&gt;="&amp;DATE($B$3,12,10),'Leave log'!$F$7:$F$306,"Pending")&gt;0,"P",""))))</f>
        <v/>
      </c>
      <c r="L403" s="23" t="str">
        <f>IF(A403="","",IF(IF(OR(DATE($B$3,12,11)&gt;EOMONTH(DATE($B$3,12,1),0),NETWORKDAYS.INTL(DATE($B$3,12,11),DATE($B$3,12,11),1,'Non-working days'!$A$6:$A$45)=0),"",IF(COUNTIFS('Leave log'!$A$7:$A$306,Employees!$A$28,'Leave log'!$B$7:$B$306,"&lt;="&amp;DATE($B$3,12,11),'Leave log'!$C$7:$C$306,"&gt;="&amp;DATE($B$3,12,11),'Leave log'!$F$7:$F$306,"Approved")&gt;0,"A",""))="A","A",IF(OR(DATE($B$3,12,11)&gt;EOMONTH(DATE($B$3,12,1),0),NETWORKDAYS.INTL(DATE($B$3,12,11),DATE($B$3,12,11),1,'Non-working days'!$A$6:$A$45)=0),"",IF(COUNTIFS('Leave log'!$A$7:$A$306,Employees!$A$28,'Leave log'!$B$7:$B$306,"&lt;="&amp;DATE($B$3,12,11),'Leave log'!$C$7:$C$306,"&gt;="&amp;DATE($B$3,12,11),'Leave log'!$F$7:$F$306,"Pending")&gt;0,"P",""))))</f>
        <v/>
      </c>
      <c r="M403" s="23" t="str">
        <f>IF(A403="","",IF(IF(OR(DATE($B$3,12,12)&gt;EOMONTH(DATE($B$3,12,1),0),NETWORKDAYS.INTL(DATE($B$3,12,12),DATE($B$3,12,12),1,'Non-working days'!$A$6:$A$45)=0),"",IF(COUNTIFS('Leave log'!$A$7:$A$306,Employees!$A$28,'Leave log'!$B$7:$B$306,"&lt;="&amp;DATE($B$3,12,12),'Leave log'!$C$7:$C$306,"&gt;="&amp;DATE($B$3,12,12),'Leave log'!$F$7:$F$306,"Approved")&gt;0,"A",""))="A","A",IF(OR(DATE($B$3,12,12)&gt;EOMONTH(DATE($B$3,12,1),0),NETWORKDAYS.INTL(DATE($B$3,12,12),DATE($B$3,12,12),1,'Non-working days'!$A$6:$A$45)=0),"",IF(COUNTIFS('Leave log'!$A$7:$A$306,Employees!$A$28,'Leave log'!$B$7:$B$306,"&lt;="&amp;DATE($B$3,12,12),'Leave log'!$C$7:$C$306,"&gt;="&amp;DATE($B$3,12,12),'Leave log'!$F$7:$F$306,"Pending")&gt;0,"P",""))))</f>
        <v/>
      </c>
      <c r="N403" s="23" t="str">
        <f>IF(A403="","",IF(IF(OR(DATE($B$3,12,13)&gt;EOMONTH(DATE($B$3,12,1),0),NETWORKDAYS.INTL(DATE($B$3,12,13),DATE($B$3,12,13),1,'Non-working days'!$A$6:$A$45)=0),"",IF(COUNTIFS('Leave log'!$A$7:$A$306,Employees!$A$28,'Leave log'!$B$7:$B$306,"&lt;="&amp;DATE($B$3,12,13),'Leave log'!$C$7:$C$306,"&gt;="&amp;DATE($B$3,12,13),'Leave log'!$F$7:$F$306,"Approved")&gt;0,"A",""))="A","A",IF(OR(DATE($B$3,12,13)&gt;EOMONTH(DATE($B$3,12,1),0),NETWORKDAYS.INTL(DATE($B$3,12,13),DATE($B$3,12,13),1,'Non-working days'!$A$6:$A$45)=0),"",IF(COUNTIFS('Leave log'!$A$7:$A$306,Employees!$A$28,'Leave log'!$B$7:$B$306,"&lt;="&amp;DATE($B$3,12,13),'Leave log'!$C$7:$C$306,"&gt;="&amp;DATE($B$3,12,13),'Leave log'!$F$7:$F$306,"Pending")&gt;0,"P",""))))</f>
        <v/>
      </c>
      <c r="O403" s="23" t="str">
        <f>IF(A403="","",IF(IF(OR(DATE($B$3,12,14)&gt;EOMONTH(DATE($B$3,12,1),0),NETWORKDAYS.INTL(DATE($B$3,12,14),DATE($B$3,12,14),1,'Non-working days'!$A$6:$A$45)=0),"",IF(COUNTIFS('Leave log'!$A$7:$A$306,Employees!$A$28,'Leave log'!$B$7:$B$306,"&lt;="&amp;DATE($B$3,12,14),'Leave log'!$C$7:$C$306,"&gt;="&amp;DATE($B$3,12,14),'Leave log'!$F$7:$F$306,"Approved")&gt;0,"A",""))="A","A",IF(OR(DATE($B$3,12,14)&gt;EOMONTH(DATE($B$3,12,1),0),NETWORKDAYS.INTL(DATE($B$3,12,14),DATE($B$3,12,14),1,'Non-working days'!$A$6:$A$45)=0),"",IF(COUNTIFS('Leave log'!$A$7:$A$306,Employees!$A$28,'Leave log'!$B$7:$B$306,"&lt;="&amp;DATE($B$3,12,14),'Leave log'!$C$7:$C$306,"&gt;="&amp;DATE($B$3,12,14),'Leave log'!$F$7:$F$306,"Pending")&gt;0,"P",""))))</f>
        <v/>
      </c>
      <c r="P403" s="23" t="str">
        <f>IF(A403="","",IF(IF(OR(DATE($B$3,12,15)&gt;EOMONTH(DATE($B$3,12,1),0),NETWORKDAYS.INTL(DATE($B$3,12,15),DATE($B$3,12,15),1,'Non-working days'!$A$6:$A$45)=0),"",IF(COUNTIFS('Leave log'!$A$7:$A$306,Employees!$A$28,'Leave log'!$B$7:$B$306,"&lt;="&amp;DATE($B$3,12,15),'Leave log'!$C$7:$C$306,"&gt;="&amp;DATE($B$3,12,15),'Leave log'!$F$7:$F$306,"Approved")&gt;0,"A",""))="A","A",IF(OR(DATE($B$3,12,15)&gt;EOMONTH(DATE($B$3,12,1),0),NETWORKDAYS.INTL(DATE($B$3,12,15),DATE($B$3,12,15),1,'Non-working days'!$A$6:$A$45)=0),"",IF(COUNTIFS('Leave log'!$A$7:$A$306,Employees!$A$28,'Leave log'!$B$7:$B$306,"&lt;="&amp;DATE($B$3,12,15),'Leave log'!$C$7:$C$306,"&gt;="&amp;DATE($B$3,12,15),'Leave log'!$F$7:$F$306,"Pending")&gt;0,"P",""))))</f>
        <v/>
      </c>
      <c r="Q403" s="23" t="str">
        <f>IF(A403="","",IF(IF(OR(DATE($B$3,12,16)&gt;EOMONTH(DATE($B$3,12,1),0),NETWORKDAYS.INTL(DATE($B$3,12,16),DATE($B$3,12,16),1,'Non-working days'!$A$6:$A$45)=0),"",IF(COUNTIFS('Leave log'!$A$7:$A$306,Employees!$A$28,'Leave log'!$B$7:$B$306,"&lt;="&amp;DATE($B$3,12,16),'Leave log'!$C$7:$C$306,"&gt;="&amp;DATE($B$3,12,16),'Leave log'!$F$7:$F$306,"Approved")&gt;0,"A",""))="A","A",IF(OR(DATE($B$3,12,16)&gt;EOMONTH(DATE($B$3,12,1),0),NETWORKDAYS.INTL(DATE($B$3,12,16),DATE($B$3,12,16),1,'Non-working days'!$A$6:$A$45)=0),"",IF(COUNTIFS('Leave log'!$A$7:$A$306,Employees!$A$28,'Leave log'!$B$7:$B$306,"&lt;="&amp;DATE($B$3,12,16),'Leave log'!$C$7:$C$306,"&gt;="&amp;DATE($B$3,12,16),'Leave log'!$F$7:$F$306,"Pending")&gt;0,"P",""))))</f>
        <v/>
      </c>
      <c r="R403" s="23" t="str">
        <f>IF(A403="","",IF(IF(OR(DATE($B$3,12,17)&gt;EOMONTH(DATE($B$3,12,1),0),NETWORKDAYS.INTL(DATE($B$3,12,17),DATE($B$3,12,17),1,'Non-working days'!$A$6:$A$45)=0),"",IF(COUNTIFS('Leave log'!$A$7:$A$306,Employees!$A$28,'Leave log'!$B$7:$B$306,"&lt;="&amp;DATE($B$3,12,17),'Leave log'!$C$7:$C$306,"&gt;="&amp;DATE($B$3,12,17),'Leave log'!$F$7:$F$306,"Approved")&gt;0,"A",""))="A","A",IF(OR(DATE($B$3,12,17)&gt;EOMONTH(DATE($B$3,12,1),0),NETWORKDAYS.INTL(DATE($B$3,12,17),DATE($B$3,12,17),1,'Non-working days'!$A$6:$A$45)=0),"",IF(COUNTIFS('Leave log'!$A$7:$A$306,Employees!$A$28,'Leave log'!$B$7:$B$306,"&lt;="&amp;DATE($B$3,12,17),'Leave log'!$C$7:$C$306,"&gt;="&amp;DATE($B$3,12,17),'Leave log'!$F$7:$F$306,"Pending")&gt;0,"P",""))))</f>
        <v/>
      </c>
      <c r="S403" s="23" t="str">
        <f>IF(A403="","",IF(IF(OR(DATE($B$3,12,18)&gt;EOMONTH(DATE($B$3,12,1),0),NETWORKDAYS.INTL(DATE($B$3,12,18),DATE($B$3,12,18),1,'Non-working days'!$A$6:$A$45)=0),"",IF(COUNTIFS('Leave log'!$A$7:$A$306,Employees!$A$28,'Leave log'!$B$7:$B$306,"&lt;="&amp;DATE($B$3,12,18),'Leave log'!$C$7:$C$306,"&gt;="&amp;DATE($B$3,12,18),'Leave log'!$F$7:$F$306,"Approved")&gt;0,"A",""))="A","A",IF(OR(DATE($B$3,12,18)&gt;EOMONTH(DATE($B$3,12,1),0),NETWORKDAYS.INTL(DATE($B$3,12,18),DATE($B$3,12,18),1,'Non-working days'!$A$6:$A$45)=0),"",IF(COUNTIFS('Leave log'!$A$7:$A$306,Employees!$A$28,'Leave log'!$B$7:$B$306,"&lt;="&amp;DATE($B$3,12,18),'Leave log'!$C$7:$C$306,"&gt;="&amp;DATE($B$3,12,18),'Leave log'!$F$7:$F$306,"Pending")&gt;0,"P",""))))</f>
        <v/>
      </c>
      <c r="T403" s="23" t="str">
        <f>IF(A403="","",IF(IF(OR(DATE($B$3,12,19)&gt;EOMONTH(DATE($B$3,12,1),0),NETWORKDAYS.INTL(DATE($B$3,12,19),DATE($B$3,12,19),1,'Non-working days'!$A$6:$A$45)=0),"",IF(COUNTIFS('Leave log'!$A$7:$A$306,Employees!$A$28,'Leave log'!$B$7:$B$306,"&lt;="&amp;DATE($B$3,12,19),'Leave log'!$C$7:$C$306,"&gt;="&amp;DATE($B$3,12,19),'Leave log'!$F$7:$F$306,"Approved")&gt;0,"A",""))="A","A",IF(OR(DATE($B$3,12,19)&gt;EOMONTH(DATE($B$3,12,1),0),NETWORKDAYS.INTL(DATE($B$3,12,19),DATE($B$3,12,19),1,'Non-working days'!$A$6:$A$45)=0),"",IF(COUNTIFS('Leave log'!$A$7:$A$306,Employees!$A$28,'Leave log'!$B$7:$B$306,"&lt;="&amp;DATE($B$3,12,19),'Leave log'!$C$7:$C$306,"&gt;="&amp;DATE($B$3,12,19),'Leave log'!$F$7:$F$306,"Pending")&gt;0,"P",""))))</f>
        <v/>
      </c>
      <c r="U403" s="23" t="str">
        <f>IF(A403="","",IF(IF(OR(DATE($B$3,12,20)&gt;EOMONTH(DATE($B$3,12,1),0),NETWORKDAYS.INTL(DATE($B$3,12,20),DATE($B$3,12,20),1,'Non-working days'!$A$6:$A$45)=0),"",IF(COUNTIFS('Leave log'!$A$7:$A$306,Employees!$A$28,'Leave log'!$B$7:$B$306,"&lt;="&amp;DATE($B$3,12,20),'Leave log'!$C$7:$C$306,"&gt;="&amp;DATE($B$3,12,20),'Leave log'!$F$7:$F$306,"Approved")&gt;0,"A",""))="A","A",IF(OR(DATE($B$3,12,20)&gt;EOMONTH(DATE($B$3,12,1),0),NETWORKDAYS.INTL(DATE($B$3,12,20),DATE($B$3,12,20),1,'Non-working days'!$A$6:$A$45)=0),"",IF(COUNTIFS('Leave log'!$A$7:$A$306,Employees!$A$28,'Leave log'!$B$7:$B$306,"&lt;="&amp;DATE($B$3,12,20),'Leave log'!$C$7:$C$306,"&gt;="&amp;DATE($B$3,12,20),'Leave log'!$F$7:$F$306,"Pending")&gt;0,"P",""))))</f>
        <v/>
      </c>
      <c r="V403" s="23" t="str">
        <f>IF(A403="","",IF(IF(OR(DATE($B$3,12,21)&gt;EOMONTH(DATE($B$3,12,1),0),NETWORKDAYS.INTL(DATE($B$3,12,21),DATE($B$3,12,21),1,'Non-working days'!$A$6:$A$45)=0),"",IF(COUNTIFS('Leave log'!$A$7:$A$306,Employees!$A$28,'Leave log'!$B$7:$B$306,"&lt;="&amp;DATE($B$3,12,21),'Leave log'!$C$7:$C$306,"&gt;="&amp;DATE($B$3,12,21),'Leave log'!$F$7:$F$306,"Approved")&gt;0,"A",""))="A","A",IF(OR(DATE($B$3,12,21)&gt;EOMONTH(DATE($B$3,12,1),0),NETWORKDAYS.INTL(DATE($B$3,12,21),DATE($B$3,12,21),1,'Non-working days'!$A$6:$A$45)=0),"",IF(COUNTIFS('Leave log'!$A$7:$A$306,Employees!$A$28,'Leave log'!$B$7:$B$306,"&lt;="&amp;DATE($B$3,12,21),'Leave log'!$C$7:$C$306,"&gt;="&amp;DATE($B$3,12,21),'Leave log'!$F$7:$F$306,"Pending")&gt;0,"P",""))))</f>
        <v/>
      </c>
      <c r="W403" s="23" t="str">
        <f>IF(A403="","",IF(IF(OR(DATE($B$3,12,22)&gt;EOMONTH(DATE($B$3,12,1),0),NETWORKDAYS.INTL(DATE($B$3,12,22),DATE($B$3,12,22),1,'Non-working days'!$A$6:$A$45)=0),"",IF(COUNTIFS('Leave log'!$A$7:$A$306,Employees!$A$28,'Leave log'!$B$7:$B$306,"&lt;="&amp;DATE($B$3,12,22),'Leave log'!$C$7:$C$306,"&gt;="&amp;DATE($B$3,12,22),'Leave log'!$F$7:$F$306,"Approved")&gt;0,"A",""))="A","A",IF(OR(DATE($B$3,12,22)&gt;EOMONTH(DATE($B$3,12,1),0),NETWORKDAYS.INTL(DATE($B$3,12,22),DATE($B$3,12,22),1,'Non-working days'!$A$6:$A$45)=0),"",IF(COUNTIFS('Leave log'!$A$7:$A$306,Employees!$A$28,'Leave log'!$B$7:$B$306,"&lt;="&amp;DATE($B$3,12,22),'Leave log'!$C$7:$C$306,"&gt;="&amp;DATE($B$3,12,22),'Leave log'!$F$7:$F$306,"Pending")&gt;0,"P",""))))</f>
        <v/>
      </c>
      <c r="X403" s="23" t="str">
        <f>IF(A403="","",IF(IF(OR(DATE($B$3,12,23)&gt;EOMONTH(DATE($B$3,12,1),0),NETWORKDAYS.INTL(DATE($B$3,12,23),DATE($B$3,12,23),1,'Non-working days'!$A$6:$A$45)=0),"",IF(COUNTIFS('Leave log'!$A$7:$A$306,Employees!$A$28,'Leave log'!$B$7:$B$306,"&lt;="&amp;DATE($B$3,12,23),'Leave log'!$C$7:$C$306,"&gt;="&amp;DATE($B$3,12,23),'Leave log'!$F$7:$F$306,"Approved")&gt;0,"A",""))="A","A",IF(OR(DATE($B$3,12,23)&gt;EOMONTH(DATE($B$3,12,1),0),NETWORKDAYS.INTL(DATE($B$3,12,23),DATE($B$3,12,23),1,'Non-working days'!$A$6:$A$45)=0),"",IF(COUNTIFS('Leave log'!$A$7:$A$306,Employees!$A$28,'Leave log'!$B$7:$B$306,"&lt;="&amp;DATE($B$3,12,23),'Leave log'!$C$7:$C$306,"&gt;="&amp;DATE($B$3,12,23),'Leave log'!$F$7:$F$306,"Pending")&gt;0,"P",""))))</f>
        <v/>
      </c>
      <c r="Y403" s="23" t="str">
        <f>IF(A403="","",IF(IF(OR(DATE($B$3,12,24)&gt;EOMONTH(DATE($B$3,12,1),0),NETWORKDAYS.INTL(DATE($B$3,12,24),DATE($B$3,12,24),1,'Non-working days'!$A$6:$A$45)=0),"",IF(COUNTIFS('Leave log'!$A$7:$A$306,Employees!$A$28,'Leave log'!$B$7:$B$306,"&lt;="&amp;DATE($B$3,12,24),'Leave log'!$C$7:$C$306,"&gt;="&amp;DATE($B$3,12,24),'Leave log'!$F$7:$F$306,"Approved")&gt;0,"A",""))="A","A",IF(OR(DATE($B$3,12,24)&gt;EOMONTH(DATE($B$3,12,1),0),NETWORKDAYS.INTL(DATE($B$3,12,24),DATE($B$3,12,24),1,'Non-working days'!$A$6:$A$45)=0),"",IF(COUNTIFS('Leave log'!$A$7:$A$306,Employees!$A$28,'Leave log'!$B$7:$B$306,"&lt;="&amp;DATE($B$3,12,24),'Leave log'!$C$7:$C$306,"&gt;="&amp;DATE($B$3,12,24),'Leave log'!$F$7:$F$306,"Pending")&gt;0,"P",""))))</f>
        <v/>
      </c>
      <c r="Z403" s="23" t="str">
        <f>IF(A403="","",IF(IF(OR(DATE($B$3,12,25)&gt;EOMONTH(DATE($B$3,12,1),0),NETWORKDAYS.INTL(DATE($B$3,12,25),DATE($B$3,12,25),1,'Non-working days'!$A$6:$A$45)=0),"",IF(COUNTIFS('Leave log'!$A$7:$A$306,Employees!$A$28,'Leave log'!$B$7:$B$306,"&lt;="&amp;DATE($B$3,12,25),'Leave log'!$C$7:$C$306,"&gt;="&amp;DATE($B$3,12,25),'Leave log'!$F$7:$F$306,"Approved")&gt;0,"A",""))="A","A",IF(OR(DATE($B$3,12,25)&gt;EOMONTH(DATE($B$3,12,1),0),NETWORKDAYS.INTL(DATE($B$3,12,25),DATE($B$3,12,25),1,'Non-working days'!$A$6:$A$45)=0),"",IF(COUNTIFS('Leave log'!$A$7:$A$306,Employees!$A$28,'Leave log'!$B$7:$B$306,"&lt;="&amp;DATE($B$3,12,25),'Leave log'!$C$7:$C$306,"&gt;="&amp;DATE($B$3,12,25),'Leave log'!$F$7:$F$306,"Pending")&gt;0,"P",""))))</f>
        <v/>
      </c>
      <c r="AA403" s="23" t="str">
        <f>IF(A403="","",IF(IF(OR(DATE($B$3,12,26)&gt;EOMONTH(DATE($B$3,12,1),0),NETWORKDAYS.INTL(DATE($B$3,12,26),DATE($B$3,12,26),1,'Non-working days'!$A$6:$A$45)=0),"",IF(COUNTIFS('Leave log'!$A$7:$A$306,Employees!$A$28,'Leave log'!$B$7:$B$306,"&lt;="&amp;DATE($B$3,12,26),'Leave log'!$C$7:$C$306,"&gt;="&amp;DATE($B$3,12,26),'Leave log'!$F$7:$F$306,"Approved")&gt;0,"A",""))="A","A",IF(OR(DATE($B$3,12,26)&gt;EOMONTH(DATE($B$3,12,1),0),NETWORKDAYS.INTL(DATE($B$3,12,26),DATE($B$3,12,26),1,'Non-working days'!$A$6:$A$45)=0),"",IF(COUNTIFS('Leave log'!$A$7:$A$306,Employees!$A$28,'Leave log'!$B$7:$B$306,"&lt;="&amp;DATE($B$3,12,26),'Leave log'!$C$7:$C$306,"&gt;="&amp;DATE($B$3,12,26),'Leave log'!$F$7:$F$306,"Pending")&gt;0,"P",""))))</f>
        <v/>
      </c>
      <c r="AB403" s="23" t="str">
        <f>IF(A403="","",IF(IF(OR(DATE($B$3,12,27)&gt;EOMONTH(DATE($B$3,12,1),0),NETWORKDAYS.INTL(DATE($B$3,12,27),DATE($B$3,12,27),1,'Non-working days'!$A$6:$A$45)=0),"",IF(COUNTIFS('Leave log'!$A$7:$A$306,Employees!$A$28,'Leave log'!$B$7:$B$306,"&lt;="&amp;DATE($B$3,12,27),'Leave log'!$C$7:$C$306,"&gt;="&amp;DATE($B$3,12,27),'Leave log'!$F$7:$F$306,"Approved")&gt;0,"A",""))="A","A",IF(OR(DATE($B$3,12,27)&gt;EOMONTH(DATE($B$3,12,1),0),NETWORKDAYS.INTL(DATE($B$3,12,27),DATE($B$3,12,27),1,'Non-working days'!$A$6:$A$45)=0),"",IF(COUNTIFS('Leave log'!$A$7:$A$306,Employees!$A$28,'Leave log'!$B$7:$B$306,"&lt;="&amp;DATE($B$3,12,27),'Leave log'!$C$7:$C$306,"&gt;="&amp;DATE($B$3,12,27),'Leave log'!$F$7:$F$306,"Pending")&gt;0,"P",""))))</f>
        <v/>
      </c>
      <c r="AC403" s="23" t="str">
        <f>IF(A403="","",IF(IF(OR(DATE($B$3,12,28)&gt;EOMONTH(DATE($B$3,12,1),0),NETWORKDAYS.INTL(DATE($B$3,12,28),DATE($B$3,12,28),1,'Non-working days'!$A$6:$A$45)=0),"",IF(COUNTIFS('Leave log'!$A$7:$A$306,Employees!$A$28,'Leave log'!$B$7:$B$306,"&lt;="&amp;DATE($B$3,12,28),'Leave log'!$C$7:$C$306,"&gt;="&amp;DATE($B$3,12,28),'Leave log'!$F$7:$F$306,"Approved")&gt;0,"A",""))="A","A",IF(OR(DATE($B$3,12,28)&gt;EOMONTH(DATE($B$3,12,1),0),NETWORKDAYS.INTL(DATE($B$3,12,28),DATE($B$3,12,28),1,'Non-working days'!$A$6:$A$45)=0),"",IF(COUNTIFS('Leave log'!$A$7:$A$306,Employees!$A$28,'Leave log'!$B$7:$B$306,"&lt;="&amp;DATE($B$3,12,28),'Leave log'!$C$7:$C$306,"&gt;="&amp;DATE($B$3,12,28),'Leave log'!$F$7:$F$306,"Pending")&gt;0,"P",""))))</f>
        <v/>
      </c>
      <c r="AD403" s="23" t="str">
        <f>IF(A403="","",IF(IF(OR(DATE($B$3,12,29)&gt;EOMONTH(DATE($B$3,12,1),0),NETWORKDAYS.INTL(DATE($B$3,12,29),DATE($B$3,12,29),1,'Non-working days'!$A$6:$A$45)=0),"",IF(COUNTIFS('Leave log'!$A$7:$A$306,Employees!$A$28,'Leave log'!$B$7:$B$306,"&lt;="&amp;DATE($B$3,12,29),'Leave log'!$C$7:$C$306,"&gt;="&amp;DATE($B$3,12,29),'Leave log'!$F$7:$F$306,"Approved")&gt;0,"A",""))="A","A",IF(OR(DATE($B$3,12,29)&gt;EOMONTH(DATE($B$3,12,1),0),NETWORKDAYS.INTL(DATE($B$3,12,29),DATE($B$3,12,29),1,'Non-working days'!$A$6:$A$45)=0),"",IF(COUNTIFS('Leave log'!$A$7:$A$306,Employees!$A$28,'Leave log'!$B$7:$B$306,"&lt;="&amp;DATE($B$3,12,29),'Leave log'!$C$7:$C$306,"&gt;="&amp;DATE($B$3,12,29),'Leave log'!$F$7:$F$306,"Pending")&gt;0,"P",""))))</f>
        <v/>
      </c>
      <c r="AE403" s="23" t="str">
        <f>IF(A403="","",IF(IF(OR(DATE($B$3,12,30)&gt;EOMONTH(DATE($B$3,12,1),0),NETWORKDAYS.INTL(DATE($B$3,12,30),DATE($B$3,12,30),1,'Non-working days'!$A$6:$A$45)=0),"",IF(COUNTIFS('Leave log'!$A$7:$A$306,Employees!$A$28,'Leave log'!$B$7:$B$306,"&lt;="&amp;DATE($B$3,12,30),'Leave log'!$C$7:$C$306,"&gt;="&amp;DATE($B$3,12,30),'Leave log'!$F$7:$F$306,"Approved")&gt;0,"A",""))="A","A",IF(OR(DATE($B$3,12,30)&gt;EOMONTH(DATE($B$3,12,1),0),NETWORKDAYS.INTL(DATE($B$3,12,30),DATE($B$3,12,30),1,'Non-working days'!$A$6:$A$45)=0),"",IF(COUNTIFS('Leave log'!$A$7:$A$306,Employees!$A$28,'Leave log'!$B$7:$B$306,"&lt;="&amp;DATE($B$3,12,30),'Leave log'!$C$7:$C$306,"&gt;="&amp;DATE($B$3,12,30),'Leave log'!$F$7:$F$306,"Pending")&gt;0,"P",""))))</f>
        <v/>
      </c>
      <c r="AF403" s="23" t="str">
        <f>IF(A403="","",IF(IF(OR(DATE($B$3,12,31)&gt;EOMONTH(DATE($B$3,12,1),0),NETWORKDAYS.INTL(DATE($B$3,12,31),DATE($B$3,12,31),1,'Non-working days'!$A$6:$A$45)=0),"",IF(COUNTIFS('Leave log'!$A$7:$A$306,Employees!$A$28,'Leave log'!$B$7:$B$306,"&lt;="&amp;DATE($B$3,12,31),'Leave log'!$C$7:$C$306,"&gt;="&amp;DATE($B$3,12,31),'Leave log'!$F$7:$F$306,"Approved")&gt;0,"A",""))="A","A",IF(OR(DATE($B$3,12,31)&gt;EOMONTH(DATE($B$3,12,1),0),NETWORKDAYS.INTL(DATE($B$3,12,31),DATE($B$3,12,31),1,'Non-working days'!$A$6:$A$45)=0),"",IF(COUNTIFS('Leave log'!$A$7:$A$306,Employees!$A$28,'Leave log'!$B$7:$B$306,"&lt;="&amp;DATE($B$3,12,31),'Leave log'!$C$7:$C$306,"&gt;="&amp;DATE($B$3,12,31),'Leave log'!$F$7:$F$306,"Pending")&gt;0,"P",""))))</f>
        <v/>
      </c>
    </row>
    <row r="404" spans="1:32" ht="18" customHeight="1" x14ac:dyDescent="0.3">
      <c r="A404" s="22" t="str">
        <f>IF(Employees!F29="Yes",Employees!B29,"")</f>
        <v/>
      </c>
      <c r="B404" s="23" t="str">
        <f>IF(A404="","",IF(IF(OR(DATE($B$3,12,1)&gt;EOMONTH(DATE($B$3,12,1),0),NETWORKDAYS.INTL(DATE($B$3,12,1),DATE($B$3,12,1),1,'Non-working days'!$A$6:$A$45)=0),"",IF(COUNTIFS('Leave log'!$A$7:$A$306,Employees!$A$29,'Leave log'!$B$7:$B$306,"&lt;="&amp;DATE($B$3,12,1),'Leave log'!$C$7:$C$306,"&gt;="&amp;DATE($B$3,12,1),'Leave log'!$F$7:$F$306,"Approved")&gt;0,"A",""))="A","A",IF(OR(DATE($B$3,12,1)&gt;EOMONTH(DATE($B$3,12,1),0),NETWORKDAYS.INTL(DATE($B$3,12,1),DATE($B$3,12,1),1,'Non-working days'!$A$6:$A$45)=0),"",IF(COUNTIFS('Leave log'!$A$7:$A$306,Employees!$A$29,'Leave log'!$B$7:$B$306,"&lt;="&amp;DATE($B$3,12,1),'Leave log'!$C$7:$C$306,"&gt;="&amp;DATE($B$3,12,1),'Leave log'!$F$7:$F$306,"Pending")&gt;0,"P",""))))</f>
        <v/>
      </c>
      <c r="C404" s="23" t="str">
        <f>IF(A404="","",IF(IF(OR(DATE($B$3,12,2)&gt;EOMONTH(DATE($B$3,12,1),0),NETWORKDAYS.INTL(DATE($B$3,12,2),DATE($B$3,12,2),1,'Non-working days'!$A$6:$A$45)=0),"",IF(COUNTIFS('Leave log'!$A$7:$A$306,Employees!$A$29,'Leave log'!$B$7:$B$306,"&lt;="&amp;DATE($B$3,12,2),'Leave log'!$C$7:$C$306,"&gt;="&amp;DATE($B$3,12,2),'Leave log'!$F$7:$F$306,"Approved")&gt;0,"A",""))="A","A",IF(OR(DATE($B$3,12,2)&gt;EOMONTH(DATE($B$3,12,1),0),NETWORKDAYS.INTL(DATE($B$3,12,2),DATE($B$3,12,2),1,'Non-working days'!$A$6:$A$45)=0),"",IF(COUNTIFS('Leave log'!$A$7:$A$306,Employees!$A$29,'Leave log'!$B$7:$B$306,"&lt;="&amp;DATE($B$3,12,2),'Leave log'!$C$7:$C$306,"&gt;="&amp;DATE($B$3,12,2),'Leave log'!$F$7:$F$306,"Pending")&gt;0,"P",""))))</f>
        <v/>
      </c>
      <c r="D404" s="23" t="str">
        <f>IF(A404="","",IF(IF(OR(DATE($B$3,12,3)&gt;EOMONTH(DATE($B$3,12,1),0),NETWORKDAYS.INTL(DATE($B$3,12,3),DATE($B$3,12,3),1,'Non-working days'!$A$6:$A$45)=0),"",IF(COUNTIFS('Leave log'!$A$7:$A$306,Employees!$A$29,'Leave log'!$B$7:$B$306,"&lt;="&amp;DATE($B$3,12,3),'Leave log'!$C$7:$C$306,"&gt;="&amp;DATE($B$3,12,3),'Leave log'!$F$7:$F$306,"Approved")&gt;0,"A",""))="A","A",IF(OR(DATE($B$3,12,3)&gt;EOMONTH(DATE($B$3,12,1),0),NETWORKDAYS.INTL(DATE($B$3,12,3),DATE($B$3,12,3),1,'Non-working days'!$A$6:$A$45)=0),"",IF(COUNTIFS('Leave log'!$A$7:$A$306,Employees!$A$29,'Leave log'!$B$7:$B$306,"&lt;="&amp;DATE($B$3,12,3),'Leave log'!$C$7:$C$306,"&gt;="&amp;DATE($B$3,12,3),'Leave log'!$F$7:$F$306,"Pending")&gt;0,"P",""))))</f>
        <v/>
      </c>
      <c r="E404" s="23" t="str">
        <f>IF(A404="","",IF(IF(OR(DATE($B$3,12,4)&gt;EOMONTH(DATE($B$3,12,1),0),NETWORKDAYS.INTL(DATE($B$3,12,4),DATE($B$3,12,4),1,'Non-working days'!$A$6:$A$45)=0),"",IF(COUNTIFS('Leave log'!$A$7:$A$306,Employees!$A$29,'Leave log'!$B$7:$B$306,"&lt;="&amp;DATE($B$3,12,4),'Leave log'!$C$7:$C$306,"&gt;="&amp;DATE($B$3,12,4),'Leave log'!$F$7:$F$306,"Approved")&gt;0,"A",""))="A","A",IF(OR(DATE($B$3,12,4)&gt;EOMONTH(DATE($B$3,12,1),0),NETWORKDAYS.INTL(DATE($B$3,12,4),DATE($B$3,12,4),1,'Non-working days'!$A$6:$A$45)=0),"",IF(COUNTIFS('Leave log'!$A$7:$A$306,Employees!$A$29,'Leave log'!$B$7:$B$306,"&lt;="&amp;DATE($B$3,12,4),'Leave log'!$C$7:$C$306,"&gt;="&amp;DATE($B$3,12,4),'Leave log'!$F$7:$F$306,"Pending")&gt;0,"P",""))))</f>
        <v/>
      </c>
      <c r="F404" s="23" t="str">
        <f>IF(A404="","",IF(IF(OR(DATE($B$3,12,5)&gt;EOMONTH(DATE($B$3,12,1),0),NETWORKDAYS.INTL(DATE($B$3,12,5),DATE($B$3,12,5),1,'Non-working days'!$A$6:$A$45)=0),"",IF(COUNTIFS('Leave log'!$A$7:$A$306,Employees!$A$29,'Leave log'!$B$7:$B$306,"&lt;="&amp;DATE($B$3,12,5),'Leave log'!$C$7:$C$306,"&gt;="&amp;DATE($B$3,12,5),'Leave log'!$F$7:$F$306,"Approved")&gt;0,"A",""))="A","A",IF(OR(DATE($B$3,12,5)&gt;EOMONTH(DATE($B$3,12,1),0),NETWORKDAYS.INTL(DATE($B$3,12,5),DATE($B$3,12,5),1,'Non-working days'!$A$6:$A$45)=0),"",IF(COUNTIFS('Leave log'!$A$7:$A$306,Employees!$A$29,'Leave log'!$B$7:$B$306,"&lt;="&amp;DATE($B$3,12,5),'Leave log'!$C$7:$C$306,"&gt;="&amp;DATE($B$3,12,5),'Leave log'!$F$7:$F$306,"Pending")&gt;0,"P",""))))</f>
        <v/>
      </c>
      <c r="G404" s="23" t="str">
        <f>IF(A404="","",IF(IF(OR(DATE($B$3,12,6)&gt;EOMONTH(DATE($B$3,12,1),0),NETWORKDAYS.INTL(DATE($B$3,12,6),DATE($B$3,12,6),1,'Non-working days'!$A$6:$A$45)=0),"",IF(COUNTIFS('Leave log'!$A$7:$A$306,Employees!$A$29,'Leave log'!$B$7:$B$306,"&lt;="&amp;DATE($B$3,12,6),'Leave log'!$C$7:$C$306,"&gt;="&amp;DATE($B$3,12,6),'Leave log'!$F$7:$F$306,"Approved")&gt;0,"A",""))="A","A",IF(OR(DATE($B$3,12,6)&gt;EOMONTH(DATE($B$3,12,1),0),NETWORKDAYS.INTL(DATE($B$3,12,6),DATE($B$3,12,6),1,'Non-working days'!$A$6:$A$45)=0),"",IF(COUNTIFS('Leave log'!$A$7:$A$306,Employees!$A$29,'Leave log'!$B$7:$B$306,"&lt;="&amp;DATE($B$3,12,6),'Leave log'!$C$7:$C$306,"&gt;="&amp;DATE($B$3,12,6),'Leave log'!$F$7:$F$306,"Pending")&gt;0,"P",""))))</f>
        <v/>
      </c>
      <c r="H404" s="23" t="str">
        <f>IF(A404="","",IF(IF(OR(DATE($B$3,12,7)&gt;EOMONTH(DATE($B$3,12,1),0),NETWORKDAYS.INTL(DATE($B$3,12,7),DATE($B$3,12,7),1,'Non-working days'!$A$6:$A$45)=0),"",IF(COUNTIFS('Leave log'!$A$7:$A$306,Employees!$A$29,'Leave log'!$B$7:$B$306,"&lt;="&amp;DATE($B$3,12,7),'Leave log'!$C$7:$C$306,"&gt;="&amp;DATE($B$3,12,7),'Leave log'!$F$7:$F$306,"Approved")&gt;0,"A",""))="A","A",IF(OR(DATE($B$3,12,7)&gt;EOMONTH(DATE($B$3,12,1),0),NETWORKDAYS.INTL(DATE($B$3,12,7),DATE($B$3,12,7),1,'Non-working days'!$A$6:$A$45)=0),"",IF(COUNTIFS('Leave log'!$A$7:$A$306,Employees!$A$29,'Leave log'!$B$7:$B$306,"&lt;="&amp;DATE($B$3,12,7),'Leave log'!$C$7:$C$306,"&gt;="&amp;DATE($B$3,12,7),'Leave log'!$F$7:$F$306,"Pending")&gt;0,"P",""))))</f>
        <v/>
      </c>
      <c r="I404" s="23" t="str">
        <f>IF(A404="","",IF(IF(OR(DATE($B$3,12,8)&gt;EOMONTH(DATE($B$3,12,1),0),NETWORKDAYS.INTL(DATE($B$3,12,8),DATE($B$3,12,8),1,'Non-working days'!$A$6:$A$45)=0),"",IF(COUNTIFS('Leave log'!$A$7:$A$306,Employees!$A$29,'Leave log'!$B$7:$B$306,"&lt;="&amp;DATE($B$3,12,8),'Leave log'!$C$7:$C$306,"&gt;="&amp;DATE($B$3,12,8),'Leave log'!$F$7:$F$306,"Approved")&gt;0,"A",""))="A","A",IF(OR(DATE($B$3,12,8)&gt;EOMONTH(DATE($B$3,12,1),0),NETWORKDAYS.INTL(DATE($B$3,12,8),DATE($B$3,12,8),1,'Non-working days'!$A$6:$A$45)=0),"",IF(COUNTIFS('Leave log'!$A$7:$A$306,Employees!$A$29,'Leave log'!$B$7:$B$306,"&lt;="&amp;DATE($B$3,12,8),'Leave log'!$C$7:$C$306,"&gt;="&amp;DATE($B$3,12,8),'Leave log'!$F$7:$F$306,"Pending")&gt;0,"P",""))))</f>
        <v/>
      </c>
      <c r="J404" s="23" t="str">
        <f>IF(A404="","",IF(IF(OR(DATE($B$3,12,9)&gt;EOMONTH(DATE($B$3,12,1),0),NETWORKDAYS.INTL(DATE($B$3,12,9),DATE($B$3,12,9),1,'Non-working days'!$A$6:$A$45)=0),"",IF(COUNTIFS('Leave log'!$A$7:$A$306,Employees!$A$29,'Leave log'!$B$7:$B$306,"&lt;="&amp;DATE($B$3,12,9),'Leave log'!$C$7:$C$306,"&gt;="&amp;DATE($B$3,12,9),'Leave log'!$F$7:$F$306,"Approved")&gt;0,"A",""))="A","A",IF(OR(DATE($B$3,12,9)&gt;EOMONTH(DATE($B$3,12,1),0),NETWORKDAYS.INTL(DATE($B$3,12,9),DATE($B$3,12,9),1,'Non-working days'!$A$6:$A$45)=0),"",IF(COUNTIFS('Leave log'!$A$7:$A$306,Employees!$A$29,'Leave log'!$B$7:$B$306,"&lt;="&amp;DATE($B$3,12,9),'Leave log'!$C$7:$C$306,"&gt;="&amp;DATE($B$3,12,9),'Leave log'!$F$7:$F$306,"Pending")&gt;0,"P",""))))</f>
        <v/>
      </c>
      <c r="K404" s="23" t="str">
        <f>IF(A404="","",IF(IF(OR(DATE($B$3,12,10)&gt;EOMONTH(DATE($B$3,12,1),0),NETWORKDAYS.INTL(DATE($B$3,12,10),DATE($B$3,12,10),1,'Non-working days'!$A$6:$A$45)=0),"",IF(COUNTIFS('Leave log'!$A$7:$A$306,Employees!$A$29,'Leave log'!$B$7:$B$306,"&lt;="&amp;DATE($B$3,12,10),'Leave log'!$C$7:$C$306,"&gt;="&amp;DATE($B$3,12,10),'Leave log'!$F$7:$F$306,"Approved")&gt;0,"A",""))="A","A",IF(OR(DATE($B$3,12,10)&gt;EOMONTH(DATE($B$3,12,1),0),NETWORKDAYS.INTL(DATE($B$3,12,10),DATE($B$3,12,10),1,'Non-working days'!$A$6:$A$45)=0),"",IF(COUNTIFS('Leave log'!$A$7:$A$306,Employees!$A$29,'Leave log'!$B$7:$B$306,"&lt;="&amp;DATE($B$3,12,10),'Leave log'!$C$7:$C$306,"&gt;="&amp;DATE($B$3,12,10),'Leave log'!$F$7:$F$306,"Pending")&gt;0,"P",""))))</f>
        <v/>
      </c>
      <c r="L404" s="23" t="str">
        <f>IF(A404="","",IF(IF(OR(DATE($B$3,12,11)&gt;EOMONTH(DATE($B$3,12,1),0),NETWORKDAYS.INTL(DATE($B$3,12,11),DATE($B$3,12,11),1,'Non-working days'!$A$6:$A$45)=0),"",IF(COUNTIFS('Leave log'!$A$7:$A$306,Employees!$A$29,'Leave log'!$B$7:$B$306,"&lt;="&amp;DATE($B$3,12,11),'Leave log'!$C$7:$C$306,"&gt;="&amp;DATE($B$3,12,11),'Leave log'!$F$7:$F$306,"Approved")&gt;0,"A",""))="A","A",IF(OR(DATE($B$3,12,11)&gt;EOMONTH(DATE($B$3,12,1),0),NETWORKDAYS.INTL(DATE($B$3,12,11),DATE($B$3,12,11),1,'Non-working days'!$A$6:$A$45)=0),"",IF(COUNTIFS('Leave log'!$A$7:$A$306,Employees!$A$29,'Leave log'!$B$7:$B$306,"&lt;="&amp;DATE($B$3,12,11),'Leave log'!$C$7:$C$306,"&gt;="&amp;DATE($B$3,12,11),'Leave log'!$F$7:$F$306,"Pending")&gt;0,"P",""))))</f>
        <v/>
      </c>
      <c r="M404" s="23" t="str">
        <f>IF(A404="","",IF(IF(OR(DATE($B$3,12,12)&gt;EOMONTH(DATE($B$3,12,1),0),NETWORKDAYS.INTL(DATE($B$3,12,12),DATE($B$3,12,12),1,'Non-working days'!$A$6:$A$45)=0),"",IF(COUNTIFS('Leave log'!$A$7:$A$306,Employees!$A$29,'Leave log'!$B$7:$B$306,"&lt;="&amp;DATE($B$3,12,12),'Leave log'!$C$7:$C$306,"&gt;="&amp;DATE($B$3,12,12),'Leave log'!$F$7:$F$306,"Approved")&gt;0,"A",""))="A","A",IF(OR(DATE($B$3,12,12)&gt;EOMONTH(DATE($B$3,12,1),0),NETWORKDAYS.INTL(DATE($B$3,12,12),DATE($B$3,12,12),1,'Non-working days'!$A$6:$A$45)=0),"",IF(COUNTIFS('Leave log'!$A$7:$A$306,Employees!$A$29,'Leave log'!$B$7:$B$306,"&lt;="&amp;DATE($B$3,12,12),'Leave log'!$C$7:$C$306,"&gt;="&amp;DATE($B$3,12,12),'Leave log'!$F$7:$F$306,"Pending")&gt;0,"P",""))))</f>
        <v/>
      </c>
      <c r="N404" s="23" t="str">
        <f>IF(A404="","",IF(IF(OR(DATE($B$3,12,13)&gt;EOMONTH(DATE($B$3,12,1),0),NETWORKDAYS.INTL(DATE($B$3,12,13),DATE($B$3,12,13),1,'Non-working days'!$A$6:$A$45)=0),"",IF(COUNTIFS('Leave log'!$A$7:$A$306,Employees!$A$29,'Leave log'!$B$7:$B$306,"&lt;="&amp;DATE($B$3,12,13),'Leave log'!$C$7:$C$306,"&gt;="&amp;DATE($B$3,12,13),'Leave log'!$F$7:$F$306,"Approved")&gt;0,"A",""))="A","A",IF(OR(DATE($B$3,12,13)&gt;EOMONTH(DATE($B$3,12,1),0),NETWORKDAYS.INTL(DATE($B$3,12,13),DATE($B$3,12,13),1,'Non-working days'!$A$6:$A$45)=0),"",IF(COUNTIFS('Leave log'!$A$7:$A$306,Employees!$A$29,'Leave log'!$B$7:$B$306,"&lt;="&amp;DATE($B$3,12,13),'Leave log'!$C$7:$C$306,"&gt;="&amp;DATE($B$3,12,13),'Leave log'!$F$7:$F$306,"Pending")&gt;0,"P",""))))</f>
        <v/>
      </c>
      <c r="O404" s="23" t="str">
        <f>IF(A404="","",IF(IF(OR(DATE($B$3,12,14)&gt;EOMONTH(DATE($B$3,12,1),0),NETWORKDAYS.INTL(DATE($B$3,12,14),DATE($B$3,12,14),1,'Non-working days'!$A$6:$A$45)=0),"",IF(COUNTIFS('Leave log'!$A$7:$A$306,Employees!$A$29,'Leave log'!$B$7:$B$306,"&lt;="&amp;DATE($B$3,12,14),'Leave log'!$C$7:$C$306,"&gt;="&amp;DATE($B$3,12,14),'Leave log'!$F$7:$F$306,"Approved")&gt;0,"A",""))="A","A",IF(OR(DATE($B$3,12,14)&gt;EOMONTH(DATE($B$3,12,1),0),NETWORKDAYS.INTL(DATE($B$3,12,14),DATE($B$3,12,14),1,'Non-working days'!$A$6:$A$45)=0),"",IF(COUNTIFS('Leave log'!$A$7:$A$306,Employees!$A$29,'Leave log'!$B$7:$B$306,"&lt;="&amp;DATE($B$3,12,14),'Leave log'!$C$7:$C$306,"&gt;="&amp;DATE($B$3,12,14),'Leave log'!$F$7:$F$306,"Pending")&gt;0,"P",""))))</f>
        <v/>
      </c>
      <c r="P404" s="23" t="str">
        <f>IF(A404="","",IF(IF(OR(DATE($B$3,12,15)&gt;EOMONTH(DATE($B$3,12,1),0),NETWORKDAYS.INTL(DATE($B$3,12,15),DATE($B$3,12,15),1,'Non-working days'!$A$6:$A$45)=0),"",IF(COUNTIFS('Leave log'!$A$7:$A$306,Employees!$A$29,'Leave log'!$B$7:$B$306,"&lt;="&amp;DATE($B$3,12,15),'Leave log'!$C$7:$C$306,"&gt;="&amp;DATE($B$3,12,15),'Leave log'!$F$7:$F$306,"Approved")&gt;0,"A",""))="A","A",IF(OR(DATE($B$3,12,15)&gt;EOMONTH(DATE($B$3,12,1),0),NETWORKDAYS.INTL(DATE($B$3,12,15),DATE($B$3,12,15),1,'Non-working days'!$A$6:$A$45)=0),"",IF(COUNTIFS('Leave log'!$A$7:$A$306,Employees!$A$29,'Leave log'!$B$7:$B$306,"&lt;="&amp;DATE($B$3,12,15),'Leave log'!$C$7:$C$306,"&gt;="&amp;DATE($B$3,12,15),'Leave log'!$F$7:$F$306,"Pending")&gt;0,"P",""))))</f>
        <v/>
      </c>
      <c r="Q404" s="23" t="str">
        <f>IF(A404="","",IF(IF(OR(DATE($B$3,12,16)&gt;EOMONTH(DATE($B$3,12,1),0),NETWORKDAYS.INTL(DATE($B$3,12,16),DATE($B$3,12,16),1,'Non-working days'!$A$6:$A$45)=0),"",IF(COUNTIFS('Leave log'!$A$7:$A$306,Employees!$A$29,'Leave log'!$B$7:$B$306,"&lt;="&amp;DATE($B$3,12,16),'Leave log'!$C$7:$C$306,"&gt;="&amp;DATE($B$3,12,16),'Leave log'!$F$7:$F$306,"Approved")&gt;0,"A",""))="A","A",IF(OR(DATE($B$3,12,16)&gt;EOMONTH(DATE($B$3,12,1),0),NETWORKDAYS.INTL(DATE($B$3,12,16),DATE($B$3,12,16),1,'Non-working days'!$A$6:$A$45)=0),"",IF(COUNTIFS('Leave log'!$A$7:$A$306,Employees!$A$29,'Leave log'!$B$7:$B$306,"&lt;="&amp;DATE($B$3,12,16),'Leave log'!$C$7:$C$306,"&gt;="&amp;DATE($B$3,12,16),'Leave log'!$F$7:$F$306,"Pending")&gt;0,"P",""))))</f>
        <v/>
      </c>
      <c r="R404" s="23" t="str">
        <f>IF(A404="","",IF(IF(OR(DATE($B$3,12,17)&gt;EOMONTH(DATE($B$3,12,1),0),NETWORKDAYS.INTL(DATE($B$3,12,17),DATE($B$3,12,17),1,'Non-working days'!$A$6:$A$45)=0),"",IF(COUNTIFS('Leave log'!$A$7:$A$306,Employees!$A$29,'Leave log'!$B$7:$B$306,"&lt;="&amp;DATE($B$3,12,17),'Leave log'!$C$7:$C$306,"&gt;="&amp;DATE($B$3,12,17),'Leave log'!$F$7:$F$306,"Approved")&gt;0,"A",""))="A","A",IF(OR(DATE($B$3,12,17)&gt;EOMONTH(DATE($B$3,12,1),0),NETWORKDAYS.INTL(DATE($B$3,12,17),DATE($B$3,12,17),1,'Non-working days'!$A$6:$A$45)=0),"",IF(COUNTIFS('Leave log'!$A$7:$A$306,Employees!$A$29,'Leave log'!$B$7:$B$306,"&lt;="&amp;DATE($B$3,12,17),'Leave log'!$C$7:$C$306,"&gt;="&amp;DATE($B$3,12,17),'Leave log'!$F$7:$F$306,"Pending")&gt;0,"P",""))))</f>
        <v/>
      </c>
      <c r="S404" s="23" t="str">
        <f>IF(A404="","",IF(IF(OR(DATE($B$3,12,18)&gt;EOMONTH(DATE($B$3,12,1),0),NETWORKDAYS.INTL(DATE($B$3,12,18),DATE($B$3,12,18),1,'Non-working days'!$A$6:$A$45)=0),"",IF(COUNTIFS('Leave log'!$A$7:$A$306,Employees!$A$29,'Leave log'!$B$7:$B$306,"&lt;="&amp;DATE($B$3,12,18),'Leave log'!$C$7:$C$306,"&gt;="&amp;DATE($B$3,12,18),'Leave log'!$F$7:$F$306,"Approved")&gt;0,"A",""))="A","A",IF(OR(DATE($B$3,12,18)&gt;EOMONTH(DATE($B$3,12,1),0),NETWORKDAYS.INTL(DATE($B$3,12,18),DATE($B$3,12,18),1,'Non-working days'!$A$6:$A$45)=0),"",IF(COUNTIFS('Leave log'!$A$7:$A$306,Employees!$A$29,'Leave log'!$B$7:$B$306,"&lt;="&amp;DATE($B$3,12,18),'Leave log'!$C$7:$C$306,"&gt;="&amp;DATE($B$3,12,18),'Leave log'!$F$7:$F$306,"Pending")&gt;0,"P",""))))</f>
        <v/>
      </c>
      <c r="T404" s="23" t="str">
        <f>IF(A404="","",IF(IF(OR(DATE($B$3,12,19)&gt;EOMONTH(DATE($B$3,12,1),0),NETWORKDAYS.INTL(DATE($B$3,12,19),DATE($B$3,12,19),1,'Non-working days'!$A$6:$A$45)=0),"",IF(COUNTIFS('Leave log'!$A$7:$A$306,Employees!$A$29,'Leave log'!$B$7:$B$306,"&lt;="&amp;DATE($B$3,12,19),'Leave log'!$C$7:$C$306,"&gt;="&amp;DATE($B$3,12,19),'Leave log'!$F$7:$F$306,"Approved")&gt;0,"A",""))="A","A",IF(OR(DATE($B$3,12,19)&gt;EOMONTH(DATE($B$3,12,1),0),NETWORKDAYS.INTL(DATE($B$3,12,19),DATE($B$3,12,19),1,'Non-working days'!$A$6:$A$45)=0),"",IF(COUNTIFS('Leave log'!$A$7:$A$306,Employees!$A$29,'Leave log'!$B$7:$B$306,"&lt;="&amp;DATE($B$3,12,19),'Leave log'!$C$7:$C$306,"&gt;="&amp;DATE($B$3,12,19),'Leave log'!$F$7:$F$306,"Pending")&gt;0,"P",""))))</f>
        <v/>
      </c>
      <c r="U404" s="23" t="str">
        <f>IF(A404="","",IF(IF(OR(DATE($B$3,12,20)&gt;EOMONTH(DATE($B$3,12,1),0),NETWORKDAYS.INTL(DATE($B$3,12,20),DATE($B$3,12,20),1,'Non-working days'!$A$6:$A$45)=0),"",IF(COUNTIFS('Leave log'!$A$7:$A$306,Employees!$A$29,'Leave log'!$B$7:$B$306,"&lt;="&amp;DATE($B$3,12,20),'Leave log'!$C$7:$C$306,"&gt;="&amp;DATE($B$3,12,20),'Leave log'!$F$7:$F$306,"Approved")&gt;0,"A",""))="A","A",IF(OR(DATE($B$3,12,20)&gt;EOMONTH(DATE($B$3,12,1),0),NETWORKDAYS.INTL(DATE($B$3,12,20),DATE($B$3,12,20),1,'Non-working days'!$A$6:$A$45)=0),"",IF(COUNTIFS('Leave log'!$A$7:$A$306,Employees!$A$29,'Leave log'!$B$7:$B$306,"&lt;="&amp;DATE($B$3,12,20),'Leave log'!$C$7:$C$306,"&gt;="&amp;DATE($B$3,12,20),'Leave log'!$F$7:$F$306,"Pending")&gt;0,"P",""))))</f>
        <v/>
      </c>
      <c r="V404" s="23" t="str">
        <f>IF(A404="","",IF(IF(OR(DATE($B$3,12,21)&gt;EOMONTH(DATE($B$3,12,1),0),NETWORKDAYS.INTL(DATE($B$3,12,21),DATE($B$3,12,21),1,'Non-working days'!$A$6:$A$45)=0),"",IF(COUNTIFS('Leave log'!$A$7:$A$306,Employees!$A$29,'Leave log'!$B$7:$B$306,"&lt;="&amp;DATE($B$3,12,21),'Leave log'!$C$7:$C$306,"&gt;="&amp;DATE($B$3,12,21),'Leave log'!$F$7:$F$306,"Approved")&gt;0,"A",""))="A","A",IF(OR(DATE($B$3,12,21)&gt;EOMONTH(DATE($B$3,12,1),0),NETWORKDAYS.INTL(DATE($B$3,12,21),DATE($B$3,12,21),1,'Non-working days'!$A$6:$A$45)=0),"",IF(COUNTIFS('Leave log'!$A$7:$A$306,Employees!$A$29,'Leave log'!$B$7:$B$306,"&lt;="&amp;DATE($B$3,12,21),'Leave log'!$C$7:$C$306,"&gt;="&amp;DATE($B$3,12,21),'Leave log'!$F$7:$F$306,"Pending")&gt;0,"P",""))))</f>
        <v/>
      </c>
      <c r="W404" s="23" t="str">
        <f>IF(A404="","",IF(IF(OR(DATE($B$3,12,22)&gt;EOMONTH(DATE($B$3,12,1),0),NETWORKDAYS.INTL(DATE($B$3,12,22),DATE($B$3,12,22),1,'Non-working days'!$A$6:$A$45)=0),"",IF(COUNTIFS('Leave log'!$A$7:$A$306,Employees!$A$29,'Leave log'!$B$7:$B$306,"&lt;="&amp;DATE($B$3,12,22),'Leave log'!$C$7:$C$306,"&gt;="&amp;DATE($B$3,12,22),'Leave log'!$F$7:$F$306,"Approved")&gt;0,"A",""))="A","A",IF(OR(DATE($B$3,12,22)&gt;EOMONTH(DATE($B$3,12,1),0),NETWORKDAYS.INTL(DATE($B$3,12,22),DATE($B$3,12,22),1,'Non-working days'!$A$6:$A$45)=0),"",IF(COUNTIFS('Leave log'!$A$7:$A$306,Employees!$A$29,'Leave log'!$B$7:$B$306,"&lt;="&amp;DATE($B$3,12,22),'Leave log'!$C$7:$C$306,"&gt;="&amp;DATE($B$3,12,22),'Leave log'!$F$7:$F$306,"Pending")&gt;0,"P",""))))</f>
        <v/>
      </c>
      <c r="X404" s="23" t="str">
        <f>IF(A404="","",IF(IF(OR(DATE($B$3,12,23)&gt;EOMONTH(DATE($B$3,12,1),0),NETWORKDAYS.INTL(DATE($B$3,12,23),DATE($B$3,12,23),1,'Non-working days'!$A$6:$A$45)=0),"",IF(COUNTIFS('Leave log'!$A$7:$A$306,Employees!$A$29,'Leave log'!$B$7:$B$306,"&lt;="&amp;DATE($B$3,12,23),'Leave log'!$C$7:$C$306,"&gt;="&amp;DATE($B$3,12,23),'Leave log'!$F$7:$F$306,"Approved")&gt;0,"A",""))="A","A",IF(OR(DATE($B$3,12,23)&gt;EOMONTH(DATE($B$3,12,1),0),NETWORKDAYS.INTL(DATE($B$3,12,23),DATE($B$3,12,23),1,'Non-working days'!$A$6:$A$45)=0),"",IF(COUNTIFS('Leave log'!$A$7:$A$306,Employees!$A$29,'Leave log'!$B$7:$B$306,"&lt;="&amp;DATE($B$3,12,23),'Leave log'!$C$7:$C$306,"&gt;="&amp;DATE($B$3,12,23),'Leave log'!$F$7:$F$306,"Pending")&gt;0,"P",""))))</f>
        <v/>
      </c>
      <c r="Y404" s="23" t="str">
        <f>IF(A404="","",IF(IF(OR(DATE($B$3,12,24)&gt;EOMONTH(DATE($B$3,12,1),0),NETWORKDAYS.INTL(DATE($B$3,12,24),DATE($B$3,12,24),1,'Non-working days'!$A$6:$A$45)=0),"",IF(COUNTIFS('Leave log'!$A$7:$A$306,Employees!$A$29,'Leave log'!$B$7:$B$306,"&lt;="&amp;DATE($B$3,12,24),'Leave log'!$C$7:$C$306,"&gt;="&amp;DATE($B$3,12,24),'Leave log'!$F$7:$F$306,"Approved")&gt;0,"A",""))="A","A",IF(OR(DATE($B$3,12,24)&gt;EOMONTH(DATE($B$3,12,1),0),NETWORKDAYS.INTL(DATE($B$3,12,24),DATE($B$3,12,24),1,'Non-working days'!$A$6:$A$45)=0),"",IF(COUNTIFS('Leave log'!$A$7:$A$306,Employees!$A$29,'Leave log'!$B$7:$B$306,"&lt;="&amp;DATE($B$3,12,24),'Leave log'!$C$7:$C$306,"&gt;="&amp;DATE($B$3,12,24),'Leave log'!$F$7:$F$306,"Pending")&gt;0,"P",""))))</f>
        <v/>
      </c>
      <c r="Z404" s="23" t="str">
        <f>IF(A404="","",IF(IF(OR(DATE($B$3,12,25)&gt;EOMONTH(DATE($B$3,12,1),0),NETWORKDAYS.INTL(DATE($B$3,12,25),DATE($B$3,12,25),1,'Non-working days'!$A$6:$A$45)=0),"",IF(COUNTIFS('Leave log'!$A$7:$A$306,Employees!$A$29,'Leave log'!$B$7:$B$306,"&lt;="&amp;DATE($B$3,12,25),'Leave log'!$C$7:$C$306,"&gt;="&amp;DATE($B$3,12,25),'Leave log'!$F$7:$F$306,"Approved")&gt;0,"A",""))="A","A",IF(OR(DATE($B$3,12,25)&gt;EOMONTH(DATE($B$3,12,1),0),NETWORKDAYS.INTL(DATE($B$3,12,25),DATE($B$3,12,25),1,'Non-working days'!$A$6:$A$45)=0),"",IF(COUNTIFS('Leave log'!$A$7:$A$306,Employees!$A$29,'Leave log'!$B$7:$B$306,"&lt;="&amp;DATE($B$3,12,25),'Leave log'!$C$7:$C$306,"&gt;="&amp;DATE($B$3,12,25),'Leave log'!$F$7:$F$306,"Pending")&gt;0,"P",""))))</f>
        <v/>
      </c>
      <c r="AA404" s="23" t="str">
        <f>IF(A404="","",IF(IF(OR(DATE($B$3,12,26)&gt;EOMONTH(DATE($B$3,12,1),0),NETWORKDAYS.INTL(DATE($B$3,12,26),DATE($B$3,12,26),1,'Non-working days'!$A$6:$A$45)=0),"",IF(COUNTIFS('Leave log'!$A$7:$A$306,Employees!$A$29,'Leave log'!$B$7:$B$306,"&lt;="&amp;DATE($B$3,12,26),'Leave log'!$C$7:$C$306,"&gt;="&amp;DATE($B$3,12,26),'Leave log'!$F$7:$F$306,"Approved")&gt;0,"A",""))="A","A",IF(OR(DATE($B$3,12,26)&gt;EOMONTH(DATE($B$3,12,1),0),NETWORKDAYS.INTL(DATE($B$3,12,26),DATE($B$3,12,26),1,'Non-working days'!$A$6:$A$45)=0),"",IF(COUNTIFS('Leave log'!$A$7:$A$306,Employees!$A$29,'Leave log'!$B$7:$B$306,"&lt;="&amp;DATE($B$3,12,26),'Leave log'!$C$7:$C$306,"&gt;="&amp;DATE($B$3,12,26),'Leave log'!$F$7:$F$306,"Pending")&gt;0,"P",""))))</f>
        <v/>
      </c>
      <c r="AB404" s="23" t="str">
        <f>IF(A404="","",IF(IF(OR(DATE($B$3,12,27)&gt;EOMONTH(DATE($B$3,12,1),0),NETWORKDAYS.INTL(DATE($B$3,12,27),DATE($B$3,12,27),1,'Non-working days'!$A$6:$A$45)=0),"",IF(COUNTIFS('Leave log'!$A$7:$A$306,Employees!$A$29,'Leave log'!$B$7:$B$306,"&lt;="&amp;DATE($B$3,12,27),'Leave log'!$C$7:$C$306,"&gt;="&amp;DATE($B$3,12,27),'Leave log'!$F$7:$F$306,"Approved")&gt;0,"A",""))="A","A",IF(OR(DATE($B$3,12,27)&gt;EOMONTH(DATE($B$3,12,1),0),NETWORKDAYS.INTL(DATE($B$3,12,27),DATE($B$3,12,27),1,'Non-working days'!$A$6:$A$45)=0),"",IF(COUNTIFS('Leave log'!$A$7:$A$306,Employees!$A$29,'Leave log'!$B$7:$B$306,"&lt;="&amp;DATE($B$3,12,27),'Leave log'!$C$7:$C$306,"&gt;="&amp;DATE($B$3,12,27),'Leave log'!$F$7:$F$306,"Pending")&gt;0,"P",""))))</f>
        <v/>
      </c>
      <c r="AC404" s="23" t="str">
        <f>IF(A404="","",IF(IF(OR(DATE($B$3,12,28)&gt;EOMONTH(DATE($B$3,12,1),0),NETWORKDAYS.INTL(DATE($B$3,12,28),DATE($B$3,12,28),1,'Non-working days'!$A$6:$A$45)=0),"",IF(COUNTIFS('Leave log'!$A$7:$A$306,Employees!$A$29,'Leave log'!$B$7:$B$306,"&lt;="&amp;DATE($B$3,12,28),'Leave log'!$C$7:$C$306,"&gt;="&amp;DATE($B$3,12,28),'Leave log'!$F$7:$F$306,"Approved")&gt;0,"A",""))="A","A",IF(OR(DATE($B$3,12,28)&gt;EOMONTH(DATE($B$3,12,1),0),NETWORKDAYS.INTL(DATE($B$3,12,28),DATE($B$3,12,28),1,'Non-working days'!$A$6:$A$45)=0),"",IF(COUNTIFS('Leave log'!$A$7:$A$306,Employees!$A$29,'Leave log'!$B$7:$B$306,"&lt;="&amp;DATE($B$3,12,28),'Leave log'!$C$7:$C$306,"&gt;="&amp;DATE($B$3,12,28),'Leave log'!$F$7:$F$306,"Pending")&gt;0,"P",""))))</f>
        <v/>
      </c>
      <c r="AD404" s="23" t="str">
        <f>IF(A404="","",IF(IF(OR(DATE($B$3,12,29)&gt;EOMONTH(DATE($B$3,12,1),0),NETWORKDAYS.INTL(DATE($B$3,12,29),DATE($B$3,12,29),1,'Non-working days'!$A$6:$A$45)=0),"",IF(COUNTIFS('Leave log'!$A$7:$A$306,Employees!$A$29,'Leave log'!$B$7:$B$306,"&lt;="&amp;DATE($B$3,12,29),'Leave log'!$C$7:$C$306,"&gt;="&amp;DATE($B$3,12,29),'Leave log'!$F$7:$F$306,"Approved")&gt;0,"A",""))="A","A",IF(OR(DATE($B$3,12,29)&gt;EOMONTH(DATE($B$3,12,1),0),NETWORKDAYS.INTL(DATE($B$3,12,29),DATE($B$3,12,29),1,'Non-working days'!$A$6:$A$45)=0),"",IF(COUNTIFS('Leave log'!$A$7:$A$306,Employees!$A$29,'Leave log'!$B$7:$B$306,"&lt;="&amp;DATE($B$3,12,29),'Leave log'!$C$7:$C$306,"&gt;="&amp;DATE($B$3,12,29),'Leave log'!$F$7:$F$306,"Pending")&gt;0,"P",""))))</f>
        <v/>
      </c>
      <c r="AE404" s="23" t="str">
        <f>IF(A404="","",IF(IF(OR(DATE($B$3,12,30)&gt;EOMONTH(DATE($B$3,12,1),0),NETWORKDAYS.INTL(DATE($B$3,12,30),DATE($B$3,12,30),1,'Non-working days'!$A$6:$A$45)=0),"",IF(COUNTIFS('Leave log'!$A$7:$A$306,Employees!$A$29,'Leave log'!$B$7:$B$306,"&lt;="&amp;DATE($B$3,12,30),'Leave log'!$C$7:$C$306,"&gt;="&amp;DATE($B$3,12,30),'Leave log'!$F$7:$F$306,"Approved")&gt;0,"A",""))="A","A",IF(OR(DATE($B$3,12,30)&gt;EOMONTH(DATE($B$3,12,1),0),NETWORKDAYS.INTL(DATE($B$3,12,30),DATE($B$3,12,30),1,'Non-working days'!$A$6:$A$45)=0),"",IF(COUNTIFS('Leave log'!$A$7:$A$306,Employees!$A$29,'Leave log'!$B$7:$B$306,"&lt;="&amp;DATE($B$3,12,30),'Leave log'!$C$7:$C$306,"&gt;="&amp;DATE($B$3,12,30),'Leave log'!$F$7:$F$306,"Pending")&gt;0,"P",""))))</f>
        <v/>
      </c>
      <c r="AF404" s="23" t="str">
        <f>IF(A404="","",IF(IF(OR(DATE($B$3,12,31)&gt;EOMONTH(DATE($B$3,12,1),0),NETWORKDAYS.INTL(DATE($B$3,12,31),DATE($B$3,12,31),1,'Non-working days'!$A$6:$A$45)=0),"",IF(COUNTIFS('Leave log'!$A$7:$A$306,Employees!$A$29,'Leave log'!$B$7:$B$306,"&lt;="&amp;DATE($B$3,12,31),'Leave log'!$C$7:$C$306,"&gt;="&amp;DATE($B$3,12,31),'Leave log'!$F$7:$F$306,"Approved")&gt;0,"A",""))="A","A",IF(OR(DATE($B$3,12,31)&gt;EOMONTH(DATE($B$3,12,1),0),NETWORKDAYS.INTL(DATE($B$3,12,31),DATE($B$3,12,31),1,'Non-working days'!$A$6:$A$45)=0),"",IF(COUNTIFS('Leave log'!$A$7:$A$306,Employees!$A$29,'Leave log'!$B$7:$B$306,"&lt;="&amp;DATE($B$3,12,31),'Leave log'!$C$7:$C$306,"&gt;="&amp;DATE($B$3,12,31),'Leave log'!$F$7:$F$306,"Pending")&gt;0,"P",""))))</f>
        <v/>
      </c>
    </row>
    <row r="405" spans="1:32" ht="18" customHeight="1" x14ac:dyDescent="0.3">
      <c r="A405" s="22" t="str">
        <f>IF(Employees!F30="Yes",Employees!B30,"")</f>
        <v/>
      </c>
      <c r="B405" s="23" t="str">
        <f>IF(A405="","",IF(IF(OR(DATE($B$3,12,1)&gt;EOMONTH(DATE($B$3,12,1),0),NETWORKDAYS.INTL(DATE($B$3,12,1),DATE($B$3,12,1),1,'Non-working days'!$A$6:$A$45)=0),"",IF(COUNTIFS('Leave log'!$A$7:$A$306,Employees!$A$30,'Leave log'!$B$7:$B$306,"&lt;="&amp;DATE($B$3,12,1),'Leave log'!$C$7:$C$306,"&gt;="&amp;DATE($B$3,12,1),'Leave log'!$F$7:$F$306,"Approved")&gt;0,"A",""))="A","A",IF(OR(DATE($B$3,12,1)&gt;EOMONTH(DATE($B$3,12,1),0),NETWORKDAYS.INTL(DATE($B$3,12,1),DATE($B$3,12,1),1,'Non-working days'!$A$6:$A$45)=0),"",IF(COUNTIFS('Leave log'!$A$7:$A$306,Employees!$A$30,'Leave log'!$B$7:$B$306,"&lt;="&amp;DATE($B$3,12,1),'Leave log'!$C$7:$C$306,"&gt;="&amp;DATE($B$3,12,1),'Leave log'!$F$7:$F$306,"Pending")&gt;0,"P",""))))</f>
        <v/>
      </c>
      <c r="C405" s="23" t="str">
        <f>IF(A405="","",IF(IF(OR(DATE($B$3,12,2)&gt;EOMONTH(DATE($B$3,12,1),0),NETWORKDAYS.INTL(DATE($B$3,12,2),DATE($B$3,12,2),1,'Non-working days'!$A$6:$A$45)=0),"",IF(COUNTIFS('Leave log'!$A$7:$A$306,Employees!$A$30,'Leave log'!$B$7:$B$306,"&lt;="&amp;DATE($B$3,12,2),'Leave log'!$C$7:$C$306,"&gt;="&amp;DATE($B$3,12,2),'Leave log'!$F$7:$F$306,"Approved")&gt;0,"A",""))="A","A",IF(OR(DATE($B$3,12,2)&gt;EOMONTH(DATE($B$3,12,1),0),NETWORKDAYS.INTL(DATE($B$3,12,2),DATE($B$3,12,2),1,'Non-working days'!$A$6:$A$45)=0),"",IF(COUNTIFS('Leave log'!$A$7:$A$306,Employees!$A$30,'Leave log'!$B$7:$B$306,"&lt;="&amp;DATE($B$3,12,2),'Leave log'!$C$7:$C$306,"&gt;="&amp;DATE($B$3,12,2),'Leave log'!$F$7:$F$306,"Pending")&gt;0,"P",""))))</f>
        <v/>
      </c>
      <c r="D405" s="23" t="str">
        <f>IF(A405="","",IF(IF(OR(DATE($B$3,12,3)&gt;EOMONTH(DATE($B$3,12,1),0),NETWORKDAYS.INTL(DATE($B$3,12,3),DATE($B$3,12,3),1,'Non-working days'!$A$6:$A$45)=0),"",IF(COUNTIFS('Leave log'!$A$7:$A$306,Employees!$A$30,'Leave log'!$B$7:$B$306,"&lt;="&amp;DATE($B$3,12,3),'Leave log'!$C$7:$C$306,"&gt;="&amp;DATE($B$3,12,3),'Leave log'!$F$7:$F$306,"Approved")&gt;0,"A",""))="A","A",IF(OR(DATE($B$3,12,3)&gt;EOMONTH(DATE($B$3,12,1),0),NETWORKDAYS.INTL(DATE($B$3,12,3),DATE($B$3,12,3),1,'Non-working days'!$A$6:$A$45)=0),"",IF(COUNTIFS('Leave log'!$A$7:$A$306,Employees!$A$30,'Leave log'!$B$7:$B$306,"&lt;="&amp;DATE($B$3,12,3),'Leave log'!$C$7:$C$306,"&gt;="&amp;DATE($B$3,12,3),'Leave log'!$F$7:$F$306,"Pending")&gt;0,"P",""))))</f>
        <v/>
      </c>
      <c r="E405" s="23" t="str">
        <f>IF(A405="","",IF(IF(OR(DATE($B$3,12,4)&gt;EOMONTH(DATE($B$3,12,1),0),NETWORKDAYS.INTL(DATE($B$3,12,4),DATE($B$3,12,4),1,'Non-working days'!$A$6:$A$45)=0),"",IF(COUNTIFS('Leave log'!$A$7:$A$306,Employees!$A$30,'Leave log'!$B$7:$B$306,"&lt;="&amp;DATE($B$3,12,4),'Leave log'!$C$7:$C$306,"&gt;="&amp;DATE($B$3,12,4),'Leave log'!$F$7:$F$306,"Approved")&gt;0,"A",""))="A","A",IF(OR(DATE($B$3,12,4)&gt;EOMONTH(DATE($B$3,12,1),0),NETWORKDAYS.INTL(DATE($B$3,12,4),DATE($B$3,12,4),1,'Non-working days'!$A$6:$A$45)=0),"",IF(COUNTIFS('Leave log'!$A$7:$A$306,Employees!$A$30,'Leave log'!$B$7:$B$306,"&lt;="&amp;DATE($B$3,12,4),'Leave log'!$C$7:$C$306,"&gt;="&amp;DATE($B$3,12,4),'Leave log'!$F$7:$F$306,"Pending")&gt;0,"P",""))))</f>
        <v/>
      </c>
      <c r="F405" s="23" t="str">
        <f>IF(A405="","",IF(IF(OR(DATE($B$3,12,5)&gt;EOMONTH(DATE($B$3,12,1),0),NETWORKDAYS.INTL(DATE($B$3,12,5),DATE($B$3,12,5),1,'Non-working days'!$A$6:$A$45)=0),"",IF(COUNTIFS('Leave log'!$A$7:$A$306,Employees!$A$30,'Leave log'!$B$7:$B$306,"&lt;="&amp;DATE($B$3,12,5),'Leave log'!$C$7:$C$306,"&gt;="&amp;DATE($B$3,12,5),'Leave log'!$F$7:$F$306,"Approved")&gt;0,"A",""))="A","A",IF(OR(DATE($B$3,12,5)&gt;EOMONTH(DATE($B$3,12,1),0),NETWORKDAYS.INTL(DATE($B$3,12,5),DATE($B$3,12,5),1,'Non-working days'!$A$6:$A$45)=0),"",IF(COUNTIFS('Leave log'!$A$7:$A$306,Employees!$A$30,'Leave log'!$B$7:$B$306,"&lt;="&amp;DATE($B$3,12,5),'Leave log'!$C$7:$C$306,"&gt;="&amp;DATE($B$3,12,5),'Leave log'!$F$7:$F$306,"Pending")&gt;0,"P",""))))</f>
        <v/>
      </c>
      <c r="G405" s="23" t="str">
        <f>IF(A405="","",IF(IF(OR(DATE($B$3,12,6)&gt;EOMONTH(DATE($B$3,12,1),0),NETWORKDAYS.INTL(DATE($B$3,12,6),DATE($B$3,12,6),1,'Non-working days'!$A$6:$A$45)=0),"",IF(COUNTIFS('Leave log'!$A$7:$A$306,Employees!$A$30,'Leave log'!$B$7:$B$306,"&lt;="&amp;DATE($B$3,12,6),'Leave log'!$C$7:$C$306,"&gt;="&amp;DATE($B$3,12,6),'Leave log'!$F$7:$F$306,"Approved")&gt;0,"A",""))="A","A",IF(OR(DATE($B$3,12,6)&gt;EOMONTH(DATE($B$3,12,1),0),NETWORKDAYS.INTL(DATE($B$3,12,6),DATE($B$3,12,6),1,'Non-working days'!$A$6:$A$45)=0),"",IF(COUNTIFS('Leave log'!$A$7:$A$306,Employees!$A$30,'Leave log'!$B$7:$B$306,"&lt;="&amp;DATE($B$3,12,6),'Leave log'!$C$7:$C$306,"&gt;="&amp;DATE($B$3,12,6),'Leave log'!$F$7:$F$306,"Pending")&gt;0,"P",""))))</f>
        <v/>
      </c>
      <c r="H405" s="23" t="str">
        <f>IF(A405="","",IF(IF(OR(DATE($B$3,12,7)&gt;EOMONTH(DATE($B$3,12,1),0),NETWORKDAYS.INTL(DATE($B$3,12,7),DATE($B$3,12,7),1,'Non-working days'!$A$6:$A$45)=0),"",IF(COUNTIFS('Leave log'!$A$7:$A$306,Employees!$A$30,'Leave log'!$B$7:$B$306,"&lt;="&amp;DATE($B$3,12,7),'Leave log'!$C$7:$C$306,"&gt;="&amp;DATE($B$3,12,7),'Leave log'!$F$7:$F$306,"Approved")&gt;0,"A",""))="A","A",IF(OR(DATE($B$3,12,7)&gt;EOMONTH(DATE($B$3,12,1),0),NETWORKDAYS.INTL(DATE($B$3,12,7),DATE($B$3,12,7),1,'Non-working days'!$A$6:$A$45)=0),"",IF(COUNTIFS('Leave log'!$A$7:$A$306,Employees!$A$30,'Leave log'!$B$7:$B$306,"&lt;="&amp;DATE($B$3,12,7),'Leave log'!$C$7:$C$306,"&gt;="&amp;DATE($B$3,12,7),'Leave log'!$F$7:$F$306,"Pending")&gt;0,"P",""))))</f>
        <v/>
      </c>
      <c r="I405" s="23" t="str">
        <f>IF(A405="","",IF(IF(OR(DATE($B$3,12,8)&gt;EOMONTH(DATE($B$3,12,1),0),NETWORKDAYS.INTL(DATE($B$3,12,8),DATE($B$3,12,8),1,'Non-working days'!$A$6:$A$45)=0),"",IF(COUNTIFS('Leave log'!$A$7:$A$306,Employees!$A$30,'Leave log'!$B$7:$B$306,"&lt;="&amp;DATE($B$3,12,8),'Leave log'!$C$7:$C$306,"&gt;="&amp;DATE($B$3,12,8),'Leave log'!$F$7:$F$306,"Approved")&gt;0,"A",""))="A","A",IF(OR(DATE($B$3,12,8)&gt;EOMONTH(DATE($B$3,12,1),0),NETWORKDAYS.INTL(DATE($B$3,12,8),DATE($B$3,12,8),1,'Non-working days'!$A$6:$A$45)=0),"",IF(COUNTIFS('Leave log'!$A$7:$A$306,Employees!$A$30,'Leave log'!$B$7:$B$306,"&lt;="&amp;DATE($B$3,12,8),'Leave log'!$C$7:$C$306,"&gt;="&amp;DATE($B$3,12,8),'Leave log'!$F$7:$F$306,"Pending")&gt;0,"P",""))))</f>
        <v/>
      </c>
      <c r="J405" s="23" t="str">
        <f>IF(A405="","",IF(IF(OR(DATE($B$3,12,9)&gt;EOMONTH(DATE($B$3,12,1),0),NETWORKDAYS.INTL(DATE($B$3,12,9),DATE($B$3,12,9),1,'Non-working days'!$A$6:$A$45)=0),"",IF(COUNTIFS('Leave log'!$A$7:$A$306,Employees!$A$30,'Leave log'!$B$7:$B$306,"&lt;="&amp;DATE($B$3,12,9),'Leave log'!$C$7:$C$306,"&gt;="&amp;DATE($B$3,12,9),'Leave log'!$F$7:$F$306,"Approved")&gt;0,"A",""))="A","A",IF(OR(DATE($B$3,12,9)&gt;EOMONTH(DATE($B$3,12,1),0),NETWORKDAYS.INTL(DATE($B$3,12,9),DATE($B$3,12,9),1,'Non-working days'!$A$6:$A$45)=0),"",IF(COUNTIFS('Leave log'!$A$7:$A$306,Employees!$A$30,'Leave log'!$B$7:$B$306,"&lt;="&amp;DATE($B$3,12,9),'Leave log'!$C$7:$C$306,"&gt;="&amp;DATE($B$3,12,9),'Leave log'!$F$7:$F$306,"Pending")&gt;0,"P",""))))</f>
        <v/>
      </c>
      <c r="K405" s="23" t="str">
        <f>IF(A405="","",IF(IF(OR(DATE($B$3,12,10)&gt;EOMONTH(DATE($B$3,12,1),0),NETWORKDAYS.INTL(DATE($B$3,12,10),DATE($B$3,12,10),1,'Non-working days'!$A$6:$A$45)=0),"",IF(COUNTIFS('Leave log'!$A$7:$A$306,Employees!$A$30,'Leave log'!$B$7:$B$306,"&lt;="&amp;DATE($B$3,12,10),'Leave log'!$C$7:$C$306,"&gt;="&amp;DATE($B$3,12,10),'Leave log'!$F$7:$F$306,"Approved")&gt;0,"A",""))="A","A",IF(OR(DATE($B$3,12,10)&gt;EOMONTH(DATE($B$3,12,1),0),NETWORKDAYS.INTL(DATE($B$3,12,10),DATE($B$3,12,10),1,'Non-working days'!$A$6:$A$45)=0),"",IF(COUNTIFS('Leave log'!$A$7:$A$306,Employees!$A$30,'Leave log'!$B$7:$B$306,"&lt;="&amp;DATE($B$3,12,10),'Leave log'!$C$7:$C$306,"&gt;="&amp;DATE($B$3,12,10),'Leave log'!$F$7:$F$306,"Pending")&gt;0,"P",""))))</f>
        <v/>
      </c>
      <c r="L405" s="23" t="str">
        <f>IF(A405="","",IF(IF(OR(DATE($B$3,12,11)&gt;EOMONTH(DATE($B$3,12,1),0),NETWORKDAYS.INTL(DATE($B$3,12,11),DATE($B$3,12,11),1,'Non-working days'!$A$6:$A$45)=0),"",IF(COUNTIFS('Leave log'!$A$7:$A$306,Employees!$A$30,'Leave log'!$B$7:$B$306,"&lt;="&amp;DATE($B$3,12,11),'Leave log'!$C$7:$C$306,"&gt;="&amp;DATE($B$3,12,11),'Leave log'!$F$7:$F$306,"Approved")&gt;0,"A",""))="A","A",IF(OR(DATE($B$3,12,11)&gt;EOMONTH(DATE($B$3,12,1),0),NETWORKDAYS.INTL(DATE($B$3,12,11),DATE($B$3,12,11),1,'Non-working days'!$A$6:$A$45)=0),"",IF(COUNTIFS('Leave log'!$A$7:$A$306,Employees!$A$30,'Leave log'!$B$7:$B$306,"&lt;="&amp;DATE($B$3,12,11),'Leave log'!$C$7:$C$306,"&gt;="&amp;DATE($B$3,12,11),'Leave log'!$F$7:$F$306,"Pending")&gt;0,"P",""))))</f>
        <v/>
      </c>
      <c r="M405" s="23" t="str">
        <f>IF(A405="","",IF(IF(OR(DATE($B$3,12,12)&gt;EOMONTH(DATE($B$3,12,1),0),NETWORKDAYS.INTL(DATE($B$3,12,12),DATE($B$3,12,12),1,'Non-working days'!$A$6:$A$45)=0),"",IF(COUNTIFS('Leave log'!$A$7:$A$306,Employees!$A$30,'Leave log'!$B$7:$B$306,"&lt;="&amp;DATE($B$3,12,12),'Leave log'!$C$7:$C$306,"&gt;="&amp;DATE($B$3,12,12),'Leave log'!$F$7:$F$306,"Approved")&gt;0,"A",""))="A","A",IF(OR(DATE($B$3,12,12)&gt;EOMONTH(DATE($B$3,12,1),0),NETWORKDAYS.INTL(DATE($B$3,12,12),DATE($B$3,12,12),1,'Non-working days'!$A$6:$A$45)=0),"",IF(COUNTIFS('Leave log'!$A$7:$A$306,Employees!$A$30,'Leave log'!$B$7:$B$306,"&lt;="&amp;DATE($B$3,12,12),'Leave log'!$C$7:$C$306,"&gt;="&amp;DATE($B$3,12,12),'Leave log'!$F$7:$F$306,"Pending")&gt;0,"P",""))))</f>
        <v/>
      </c>
      <c r="N405" s="23" t="str">
        <f>IF(A405="","",IF(IF(OR(DATE($B$3,12,13)&gt;EOMONTH(DATE($B$3,12,1),0),NETWORKDAYS.INTL(DATE($B$3,12,13),DATE($B$3,12,13),1,'Non-working days'!$A$6:$A$45)=0),"",IF(COUNTIFS('Leave log'!$A$7:$A$306,Employees!$A$30,'Leave log'!$B$7:$B$306,"&lt;="&amp;DATE($B$3,12,13),'Leave log'!$C$7:$C$306,"&gt;="&amp;DATE($B$3,12,13),'Leave log'!$F$7:$F$306,"Approved")&gt;0,"A",""))="A","A",IF(OR(DATE($B$3,12,13)&gt;EOMONTH(DATE($B$3,12,1),0),NETWORKDAYS.INTL(DATE($B$3,12,13),DATE($B$3,12,13),1,'Non-working days'!$A$6:$A$45)=0),"",IF(COUNTIFS('Leave log'!$A$7:$A$306,Employees!$A$30,'Leave log'!$B$7:$B$306,"&lt;="&amp;DATE($B$3,12,13),'Leave log'!$C$7:$C$306,"&gt;="&amp;DATE($B$3,12,13),'Leave log'!$F$7:$F$306,"Pending")&gt;0,"P",""))))</f>
        <v/>
      </c>
      <c r="O405" s="23" t="str">
        <f>IF(A405="","",IF(IF(OR(DATE($B$3,12,14)&gt;EOMONTH(DATE($B$3,12,1),0),NETWORKDAYS.INTL(DATE($B$3,12,14),DATE($B$3,12,14),1,'Non-working days'!$A$6:$A$45)=0),"",IF(COUNTIFS('Leave log'!$A$7:$A$306,Employees!$A$30,'Leave log'!$B$7:$B$306,"&lt;="&amp;DATE($B$3,12,14),'Leave log'!$C$7:$C$306,"&gt;="&amp;DATE($B$3,12,14),'Leave log'!$F$7:$F$306,"Approved")&gt;0,"A",""))="A","A",IF(OR(DATE($B$3,12,14)&gt;EOMONTH(DATE($B$3,12,1),0),NETWORKDAYS.INTL(DATE($B$3,12,14),DATE($B$3,12,14),1,'Non-working days'!$A$6:$A$45)=0),"",IF(COUNTIFS('Leave log'!$A$7:$A$306,Employees!$A$30,'Leave log'!$B$7:$B$306,"&lt;="&amp;DATE($B$3,12,14),'Leave log'!$C$7:$C$306,"&gt;="&amp;DATE($B$3,12,14),'Leave log'!$F$7:$F$306,"Pending")&gt;0,"P",""))))</f>
        <v/>
      </c>
      <c r="P405" s="23" t="str">
        <f>IF(A405="","",IF(IF(OR(DATE($B$3,12,15)&gt;EOMONTH(DATE($B$3,12,1),0),NETWORKDAYS.INTL(DATE($B$3,12,15),DATE($B$3,12,15),1,'Non-working days'!$A$6:$A$45)=0),"",IF(COUNTIFS('Leave log'!$A$7:$A$306,Employees!$A$30,'Leave log'!$B$7:$B$306,"&lt;="&amp;DATE($B$3,12,15),'Leave log'!$C$7:$C$306,"&gt;="&amp;DATE($B$3,12,15),'Leave log'!$F$7:$F$306,"Approved")&gt;0,"A",""))="A","A",IF(OR(DATE($B$3,12,15)&gt;EOMONTH(DATE($B$3,12,1),0),NETWORKDAYS.INTL(DATE($B$3,12,15),DATE($B$3,12,15),1,'Non-working days'!$A$6:$A$45)=0),"",IF(COUNTIFS('Leave log'!$A$7:$A$306,Employees!$A$30,'Leave log'!$B$7:$B$306,"&lt;="&amp;DATE($B$3,12,15),'Leave log'!$C$7:$C$306,"&gt;="&amp;DATE($B$3,12,15),'Leave log'!$F$7:$F$306,"Pending")&gt;0,"P",""))))</f>
        <v/>
      </c>
      <c r="Q405" s="23" t="str">
        <f>IF(A405="","",IF(IF(OR(DATE($B$3,12,16)&gt;EOMONTH(DATE($B$3,12,1),0),NETWORKDAYS.INTL(DATE($B$3,12,16),DATE($B$3,12,16),1,'Non-working days'!$A$6:$A$45)=0),"",IF(COUNTIFS('Leave log'!$A$7:$A$306,Employees!$A$30,'Leave log'!$B$7:$B$306,"&lt;="&amp;DATE($B$3,12,16),'Leave log'!$C$7:$C$306,"&gt;="&amp;DATE($B$3,12,16),'Leave log'!$F$7:$F$306,"Approved")&gt;0,"A",""))="A","A",IF(OR(DATE($B$3,12,16)&gt;EOMONTH(DATE($B$3,12,1),0),NETWORKDAYS.INTL(DATE($B$3,12,16),DATE($B$3,12,16),1,'Non-working days'!$A$6:$A$45)=0),"",IF(COUNTIFS('Leave log'!$A$7:$A$306,Employees!$A$30,'Leave log'!$B$7:$B$306,"&lt;="&amp;DATE($B$3,12,16),'Leave log'!$C$7:$C$306,"&gt;="&amp;DATE($B$3,12,16),'Leave log'!$F$7:$F$306,"Pending")&gt;0,"P",""))))</f>
        <v/>
      </c>
      <c r="R405" s="23" t="str">
        <f>IF(A405="","",IF(IF(OR(DATE($B$3,12,17)&gt;EOMONTH(DATE($B$3,12,1),0),NETWORKDAYS.INTL(DATE($B$3,12,17),DATE($B$3,12,17),1,'Non-working days'!$A$6:$A$45)=0),"",IF(COUNTIFS('Leave log'!$A$7:$A$306,Employees!$A$30,'Leave log'!$B$7:$B$306,"&lt;="&amp;DATE($B$3,12,17),'Leave log'!$C$7:$C$306,"&gt;="&amp;DATE($B$3,12,17),'Leave log'!$F$7:$F$306,"Approved")&gt;0,"A",""))="A","A",IF(OR(DATE($B$3,12,17)&gt;EOMONTH(DATE($B$3,12,1),0),NETWORKDAYS.INTL(DATE($B$3,12,17),DATE($B$3,12,17),1,'Non-working days'!$A$6:$A$45)=0),"",IF(COUNTIFS('Leave log'!$A$7:$A$306,Employees!$A$30,'Leave log'!$B$7:$B$306,"&lt;="&amp;DATE($B$3,12,17),'Leave log'!$C$7:$C$306,"&gt;="&amp;DATE($B$3,12,17),'Leave log'!$F$7:$F$306,"Pending")&gt;0,"P",""))))</f>
        <v/>
      </c>
      <c r="S405" s="23" t="str">
        <f>IF(A405="","",IF(IF(OR(DATE($B$3,12,18)&gt;EOMONTH(DATE($B$3,12,1),0),NETWORKDAYS.INTL(DATE($B$3,12,18),DATE($B$3,12,18),1,'Non-working days'!$A$6:$A$45)=0),"",IF(COUNTIFS('Leave log'!$A$7:$A$306,Employees!$A$30,'Leave log'!$B$7:$B$306,"&lt;="&amp;DATE($B$3,12,18),'Leave log'!$C$7:$C$306,"&gt;="&amp;DATE($B$3,12,18),'Leave log'!$F$7:$F$306,"Approved")&gt;0,"A",""))="A","A",IF(OR(DATE($B$3,12,18)&gt;EOMONTH(DATE($B$3,12,1),0),NETWORKDAYS.INTL(DATE($B$3,12,18),DATE($B$3,12,18),1,'Non-working days'!$A$6:$A$45)=0),"",IF(COUNTIFS('Leave log'!$A$7:$A$306,Employees!$A$30,'Leave log'!$B$7:$B$306,"&lt;="&amp;DATE($B$3,12,18),'Leave log'!$C$7:$C$306,"&gt;="&amp;DATE($B$3,12,18),'Leave log'!$F$7:$F$306,"Pending")&gt;0,"P",""))))</f>
        <v/>
      </c>
      <c r="T405" s="23" t="str">
        <f>IF(A405="","",IF(IF(OR(DATE($B$3,12,19)&gt;EOMONTH(DATE($B$3,12,1),0),NETWORKDAYS.INTL(DATE($B$3,12,19),DATE($B$3,12,19),1,'Non-working days'!$A$6:$A$45)=0),"",IF(COUNTIFS('Leave log'!$A$7:$A$306,Employees!$A$30,'Leave log'!$B$7:$B$306,"&lt;="&amp;DATE($B$3,12,19),'Leave log'!$C$7:$C$306,"&gt;="&amp;DATE($B$3,12,19),'Leave log'!$F$7:$F$306,"Approved")&gt;0,"A",""))="A","A",IF(OR(DATE($B$3,12,19)&gt;EOMONTH(DATE($B$3,12,1),0),NETWORKDAYS.INTL(DATE($B$3,12,19),DATE($B$3,12,19),1,'Non-working days'!$A$6:$A$45)=0),"",IF(COUNTIFS('Leave log'!$A$7:$A$306,Employees!$A$30,'Leave log'!$B$7:$B$306,"&lt;="&amp;DATE($B$3,12,19),'Leave log'!$C$7:$C$306,"&gt;="&amp;DATE($B$3,12,19),'Leave log'!$F$7:$F$306,"Pending")&gt;0,"P",""))))</f>
        <v/>
      </c>
      <c r="U405" s="23" t="str">
        <f>IF(A405="","",IF(IF(OR(DATE($B$3,12,20)&gt;EOMONTH(DATE($B$3,12,1),0),NETWORKDAYS.INTL(DATE($B$3,12,20),DATE($B$3,12,20),1,'Non-working days'!$A$6:$A$45)=0),"",IF(COUNTIFS('Leave log'!$A$7:$A$306,Employees!$A$30,'Leave log'!$B$7:$B$306,"&lt;="&amp;DATE($B$3,12,20),'Leave log'!$C$7:$C$306,"&gt;="&amp;DATE($B$3,12,20),'Leave log'!$F$7:$F$306,"Approved")&gt;0,"A",""))="A","A",IF(OR(DATE($B$3,12,20)&gt;EOMONTH(DATE($B$3,12,1),0),NETWORKDAYS.INTL(DATE($B$3,12,20),DATE($B$3,12,20),1,'Non-working days'!$A$6:$A$45)=0),"",IF(COUNTIFS('Leave log'!$A$7:$A$306,Employees!$A$30,'Leave log'!$B$7:$B$306,"&lt;="&amp;DATE($B$3,12,20),'Leave log'!$C$7:$C$306,"&gt;="&amp;DATE($B$3,12,20),'Leave log'!$F$7:$F$306,"Pending")&gt;0,"P",""))))</f>
        <v/>
      </c>
      <c r="V405" s="23" t="str">
        <f>IF(A405="","",IF(IF(OR(DATE($B$3,12,21)&gt;EOMONTH(DATE($B$3,12,1),0),NETWORKDAYS.INTL(DATE($B$3,12,21),DATE($B$3,12,21),1,'Non-working days'!$A$6:$A$45)=0),"",IF(COUNTIFS('Leave log'!$A$7:$A$306,Employees!$A$30,'Leave log'!$B$7:$B$306,"&lt;="&amp;DATE($B$3,12,21),'Leave log'!$C$7:$C$306,"&gt;="&amp;DATE($B$3,12,21),'Leave log'!$F$7:$F$306,"Approved")&gt;0,"A",""))="A","A",IF(OR(DATE($B$3,12,21)&gt;EOMONTH(DATE($B$3,12,1),0),NETWORKDAYS.INTL(DATE($B$3,12,21),DATE($B$3,12,21),1,'Non-working days'!$A$6:$A$45)=0),"",IF(COUNTIFS('Leave log'!$A$7:$A$306,Employees!$A$30,'Leave log'!$B$7:$B$306,"&lt;="&amp;DATE($B$3,12,21),'Leave log'!$C$7:$C$306,"&gt;="&amp;DATE($B$3,12,21),'Leave log'!$F$7:$F$306,"Pending")&gt;0,"P",""))))</f>
        <v/>
      </c>
      <c r="W405" s="23" t="str">
        <f>IF(A405="","",IF(IF(OR(DATE($B$3,12,22)&gt;EOMONTH(DATE($B$3,12,1),0),NETWORKDAYS.INTL(DATE($B$3,12,22),DATE($B$3,12,22),1,'Non-working days'!$A$6:$A$45)=0),"",IF(COUNTIFS('Leave log'!$A$7:$A$306,Employees!$A$30,'Leave log'!$B$7:$B$306,"&lt;="&amp;DATE($B$3,12,22),'Leave log'!$C$7:$C$306,"&gt;="&amp;DATE($B$3,12,22),'Leave log'!$F$7:$F$306,"Approved")&gt;0,"A",""))="A","A",IF(OR(DATE($B$3,12,22)&gt;EOMONTH(DATE($B$3,12,1),0),NETWORKDAYS.INTL(DATE($B$3,12,22),DATE($B$3,12,22),1,'Non-working days'!$A$6:$A$45)=0),"",IF(COUNTIFS('Leave log'!$A$7:$A$306,Employees!$A$30,'Leave log'!$B$7:$B$306,"&lt;="&amp;DATE($B$3,12,22),'Leave log'!$C$7:$C$306,"&gt;="&amp;DATE($B$3,12,22),'Leave log'!$F$7:$F$306,"Pending")&gt;0,"P",""))))</f>
        <v/>
      </c>
      <c r="X405" s="23" t="str">
        <f>IF(A405="","",IF(IF(OR(DATE($B$3,12,23)&gt;EOMONTH(DATE($B$3,12,1),0),NETWORKDAYS.INTL(DATE($B$3,12,23),DATE($B$3,12,23),1,'Non-working days'!$A$6:$A$45)=0),"",IF(COUNTIFS('Leave log'!$A$7:$A$306,Employees!$A$30,'Leave log'!$B$7:$B$306,"&lt;="&amp;DATE($B$3,12,23),'Leave log'!$C$7:$C$306,"&gt;="&amp;DATE($B$3,12,23),'Leave log'!$F$7:$F$306,"Approved")&gt;0,"A",""))="A","A",IF(OR(DATE($B$3,12,23)&gt;EOMONTH(DATE($B$3,12,1),0),NETWORKDAYS.INTL(DATE($B$3,12,23),DATE($B$3,12,23),1,'Non-working days'!$A$6:$A$45)=0),"",IF(COUNTIFS('Leave log'!$A$7:$A$306,Employees!$A$30,'Leave log'!$B$7:$B$306,"&lt;="&amp;DATE($B$3,12,23),'Leave log'!$C$7:$C$306,"&gt;="&amp;DATE($B$3,12,23),'Leave log'!$F$7:$F$306,"Pending")&gt;0,"P",""))))</f>
        <v/>
      </c>
      <c r="Y405" s="23" t="str">
        <f>IF(A405="","",IF(IF(OR(DATE($B$3,12,24)&gt;EOMONTH(DATE($B$3,12,1),0),NETWORKDAYS.INTL(DATE($B$3,12,24),DATE($B$3,12,24),1,'Non-working days'!$A$6:$A$45)=0),"",IF(COUNTIFS('Leave log'!$A$7:$A$306,Employees!$A$30,'Leave log'!$B$7:$B$306,"&lt;="&amp;DATE($B$3,12,24),'Leave log'!$C$7:$C$306,"&gt;="&amp;DATE($B$3,12,24),'Leave log'!$F$7:$F$306,"Approved")&gt;0,"A",""))="A","A",IF(OR(DATE($B$3,12,24)&gt;EOMONTH(DATE($B$3,12,1),0),NETWORKDAYS.INTL(DATE($B$3,12,24),DATE($B$3,12,24),1,'Non-working days'!$A$6:$A$45)=0),"",IF(COUNTIFS('Leave log'!$A$7:$A$306,Employees!$A$30,'Leave log'!$B$7:$B$306,"&lt;="&amp;DATE($B$3,12,24),'Leave log'!$C$7:$C$306,"&gt;="&amp;DATE($B$3,12,24),'Leave log'!$F$7:$F$306,"Pending")&gt;0,"P",""))))</f>
        <v/>
      </c>
      <c r="Z405" s="23" t="str">
        <f>IF(A405="","",IF(IF(OR(DATE($B$3,12,25)&gt;EOMONTH(DATE($B$3,12,1),0),NETWORKDAYS.INTL(DATE($B$3,12,25),DATE($B$3,12,25),1,'Non-working days'!$A$6:$A$45)=0),"",IF(COUNTIFS('Leave log'!$A$7:$A$306,Employees!$A$30,'Leave log'!$B$7:$B$306,"&lt;="&amp;DATE($B$3,12,25),'Leave log'!$C$7:$C$306,"&gt;="&amp;DATE($B$3,12,25),'Leave log'!$F$7:$F$306,"Approved")&gt;0,"A",""))="A","A",IF(OR(DATE($B$3,12,25)&gt;EOMONTH(DATE($B$3,12,1),0),NETWORKDAYS.INTL(DATE($B$3,12,25),DATE($B$3,12,25),1,'Non-working days'!$A$6:$A$45)=0),"",IF(COUNTIFS('Leave log'!$A$7:$A$306,Employees!$A$30,'Leave log'!$B$7:$B$306,"&lt;="&amp;DATE($B$3,12,25),'Leave log'!$C$7:$C$306,"&gt;="&amp;DATE($B$3,12,25),'Leave log'!$F$7:$F$306,"Pending")&gt;0,"P",""))))</f>
        <v/>
      </c>
      <c r="AA405" s="23" t="str">
        <f>IF(A405="","",IF(IF(OR(DATE($B$3,12,26)&gt;EOMONTH(DATE($B$3,12,1),0),NETWORKDAYS.INTL(DATE($B$3,12,26),DATE($B$3,12,26),1,'Non-working days'!$A$6:$A$45)=0),"",IF(COUNTIFS('Leave log'!$A$7:$A$306,Employees!$A$30,'Leave log'!$B$7:$B$306,"&lt;="&amp;DATE($B$3,12,26),'Leave log'!$C$7:$C$306,"&gt;="&amp;DATE($B$3,12,26),'Leave log'!$F$7:$F$306,"Approved")&gt;0,"A",""))="A","A",IF(OR(DATE($B$3,12,26)&gt;EOMONTH(DATE($B$3,12,1),0),NETWORKDAYS.INTL(DATE($B$3,12,26),DATE($B$3,12,26),1,'Non-working days'!$A$6:$A$45)=0),"",IF(COUNTIFS('Leave log'!$A$7:$A$306,Employees!$A$30,'Leave log'!$B$7:$B$306,"&lt;="&amp;DATE($B$3,12,26),'Leave log'!$C$7:$C$306,"&gt;="&amp;DATE($B$3,12,26),'Leave log'!$F$7:$F$306,"Pending")&gt;0,"P",""))))</f>
        <v/>
      </c>
      <c r="AB405" s="23" t="str">
        <f>IF(A405="","",IF(IF(OR(DATE($B$3,12,27)&gt;EOMONTH(DATE($B$3,12,1),0),NETWORKDAYS.INTL(DATE($B$3,12,27),DATE($B$3,12,27),1,'Non-working days'!$A$6:$A$45)=0),"",IF(COUNTIFS('Leave log'!$A$7:$A$306,Employees!$A$30,'Leave log'!$B$7:$B$306,"&lt;="&amp;DATE($B$3,12,27),'Leave log'!$C$7:$C$306,"&gt;="&amp;DATE($B$3,12,27),'Leave log'!$F$7:$F$306,"Approved")&gt;0,"A",""))="A","A",IF(OR(DATE($B$3,12,27)&gt;EOMONTH(DATE($B$3,12,1),0),NETWORKDAYS.INTL(DATE($B$3,12,27),DATE($B$3,12,27),1,'Non-working days'!$A$6:$A$45)=0),"",IF(COUNTIFS('Leave log'!$A$7:$A$306,Employees!$A$30,'Leave log'!$B$7:$B$306,"&lt;="&amp;DATE($B$3,12,27),'Leave log'!$C$7:$C$306,"&gt;="&amp;DATE($B$3,12,27),'Leave log'!$F$7:$F$306,"Pending")&gt;0,"P",""))))</f>
        <v/>
      </c>
      <c r="AC405" s="23" t="str">
        <f>IF(A405="","",IF(IF(OR(DATE($B$3,12,28)&gt;EOMONTH(DATE($B$3,12,1),0),NETWORKDAYS.INTL(DATE($B$3,12,28),DATE($B$3,12,28),1,'Non-working days'!$A$6:$A$45)=0),"",IF(COUNTIFS('Leave log'!$A$7:$A$306,Employees!$A$30,'Leave log'!$B$7:$B$306,"&lt;="&amp;DATE($B$3,12,28),'Leave log'!$C$7:$C$306,"&gt;="&amp;DATE($B$3,12,28),'Leave log'!$F$7:$F$306,"Approved")&gt;0,"A",""))="A","A",IF(OR(DATE($B$3,12,28)&gt;EOMONTH(DATE($B$3,12,1),0),NETWORKDAYS.INTL(DATE($B$3,12,28),DATE($B$3,12,28),1,'Non-working days'!$A$6:$A$45)=0),"",IF(COUNTIFS('Leave log'!$A$7:$A$306,Employees!$A$30,'Leave log'!$B$7:$B$306,"&lt;="&amp;DATE($B$3,12,28),'Leave log'!$C$7:$C$306,"&gt;="&amp;DATE($B$3,12,28),'Leave log'!$F$7:$F$306,"Pending")&gt;0,"P",""))))</f>
        <v/>
      </c>
      <c r="AD405" s="23" t="str">
        <f>IF(A405="","",IF(IF(OR(DATE($B$3,12,29)&gt;EOMONTH(DATE($B$3,12,1),0),NETWORKDAYS.INTL(DATE($B$3,12,29),DATE($B$3,12,29),1,'Non-working days'!$A$6:$A$45)=0),"",IF(COUNTIFS('Leave log'!$A$7:$A$306,Employees!$A$30,'Leave log'!$B$7:$B$306,"&lt;="&amp;DATE($B$3,12,29),'Leave log'!$C$7:$C$306,"&gt;="&amp;DATE($B$3,12,29),'Leave log'!$F$7:$F$306,"Approved")&gt;0,"A",""))="A","A",IF(OR(DATE($B$3,12,29)&gt;EOMONTH(DATE($B$3,12,1),0),NETWORKDAYS.INTL(DATE($B$3,12,29),DATE($B$3,12,29),1,'Non-working days'!$A$6:$A$45)=0),"",IF(COUNTIFS('Leave log'!$A$7:$A$306,Employees!$A$30,'Leave log'!$B$7:$B$306,"&lt;="&amp;DATE($B$3,12,29),'Leave log'!$C$7:$C$306,"&gt;="&amp;DATE($B$3,12,29),'Leave log'!$F$7:$F$306,"Pending")&gt;0,"P",""))))</f>
        <v/>
      </c>
      <c r="AE405" s="23" t="str">
        <f>IF(A405="","",IF(IF(OR(DATE($B$3,12,30)&gt;EOMONTH(DATE($B$3,12,1),0),NETWORKDAYS.INTL(DATE($B$3,12,30),DATE($B$3,12,30),1,'Non-working days'!$A$6:$A$45)=0),"",IF(COUNTIFS('Leave log'!$A$7:$A$306,Employees!$A$30,'Leave log'!$B$7:$B$306,"&lt;="&amp;DATE($B$3,12,30),'Leave log'!$C$7:$C$306,"&gt;="&amp;DATE($B$3,12,30),'Leave log'!$F$7:$F$306,"Approved")&gt;0,"A",""))="A","A",IF(OR(DATE($B$3,12,30)&gt;EOMONTH(DATE($B$3,12,1),0),NETWORKDAYS.INTL(DATE($B$3,12,30),DATE($B$3,12,30),1,'Non-working days'!$A$6:$A$45)=0),"",IF(COUNTIFS('Leave log'!$A$7:$A$306,Employees!$A$30,'Leave log'!$B$7:$B$306,"&lt;="&amp;DATE($B$3,12,30),'Leave log'!$C$7:$C$306,"&gt;="&amp;DATE($B$3,12,30),'Leave log'!$F$7:$F$306,"Pending")&gt;0,"P",""))))</f>
        <v/>
      </c>
      <c r="AF405" s="23" t="str">
        <f>IF(A405="","",IF(IF(OR(DATE($B$3,12,31)&gt;EOMONTH(DATE($B$3,12,1),0),NETWORKDAYS.INTL(DATE($B$3,12,31),DATE($B$3,12,31),1,'Non-working days'!$A$6:$A$45)=0),"",IF(COUNTIFS('Leave log'!$A$7:$A$306,Employees!$A$30,'Leave log'!$B$7:$B$306,"&lt;="&amp;DATE($B$3,12,31),'Leave log'!$C$7:$C$306,"&gt;="&amp;DATE($B$3,12,31),'Leave log'!$F$7:$F$306,"Approved")&gt;0,"A",""))="A","A",IF(OR(DATE($B$3,12,31)&gt;EOMONTH(DATE($B$3,12,1),0),NETWORKDAYS.INTL(DATE($B$3,12,31),DATE($B$3,12,31),1,'Non-working days'!$A$6:$A$45)=0),"",IF(COUNTIFS('Leave log'!$A$7:$A$306,Employees!$A$30,'Leave log'!$B$7:$B$306,"&lt;="&amp;DATE($B$3,12,31),'Leave log'!$C$7:$C$306,"&gt;="&amp;DATE($B$3,12,31),'Leave log'!$F$7:$F$306,"Pending")&gt;0,"P",""))))</f>
        <v/>
      </c>
    </row>
    <row r="406" spans="1:32" ht="18" customHeight="1" x14ac:dyDescent="0.3">
      <c r="A406" s="22" t="str">
        <f>IF(Employees!F31="Yes",Employees!B31,"")</f>
        <v/>
      </c>
      <c r="B406" s="23" t="str">
        <f>IF(A406="","",IF(IF(OR(DATE($B$3,12,1)&gt;EOMONTH(DATE($B$3,12,1),0),NETWORKDAYS.INTL(DATE($B$3,12,1),DATE($B$3,12,1),1,'Non-working days'!$A$6:$A$45)=0),"",IF(COUNTIFS('Leave log'!$A$7:$A$306,Employees!$A$31,'Leave log'!$B$7:$B$306,"&lt;="&amp;DATE($B$3,12,1),'Leave log'!$C$7:$C$306,"&gt;="&amp;DATE($B$3,12,1),'Leave log'!$F$7:$F$306,"Approved")&gt;0,"A",""))="A","A",IF(OR(DATE($B$3,12,1)&gt;EOMONTH(DATE($B$3,12,1),0),NETWORKDAYS.INTL(DATE($B$3,12,1),DATE($B$3,12,1),1,'Non-working days'!$A$6:$A$45)=0),"",IF(COUNTIFS('Leave log'!$A$7:$A$306,Employees!$A$31,'Leave log'!$B$7:$B$306,"&lt;="&amp;DATE($B$3,12,1),'Leave log'!$C$7:$C$306,"&gt;="&amp;DATE($B$3,12,1),'Leave log'!$F$7:$F$306,"Pending")&gt;0,"P",""))))</f>
        <v/>
      </c>
      <c r="C406" s="23" t="str">
        <f>IF(A406="","",IF(IF(OR(DATE($B$3,12,2)&gt;EOMONTH(DATE($B$3,12,1),0),NETWORKDAYS.INTL(DATE($B$3,12,2),DATE($B$3,12,2),1,'Non-working days'!$A$6:$A$45)=0),"",IF(COUNTIFS('Leave log'!$A$7:$A$306,Employees!$A$31,'Leave log'!$B$7:$B$306,"&lt;="&amp;DATE($B$3,12,2),'Leave log'!$C$7:$C$306,"&gt;="&amp;DATE($B$3,12,2),'Leave log'!$F$7:$F$306,"Approved")&gt;0,"A",""))="A","A",IF(OR(DATE($B$3,12,2)&gt;EOMONTH(DATE($B$3,12,1),0),NETWORKDAYS.INTL(DATE($B$3,12,2),DATE($B$3,12,2),1,'Non-working days'!$A$6:$A$45)=0),"",IF(COUNTIFS('Leave log'!$A$7:$A$306,Employees!$A$31,'Leave log'!$B$7:$B$306,"&lt;="&amp;DATE($B$3,12,2),'Leave log'!$C$7:$C$306,"&gt;="&amp;DATE($B$3,12,2),'Leave log'!$F$7:$F$306,"Pending")&gt;0,"P",""))))</f>
        <v/>
      </c>
      <c r="D406" s="23" t="str">
        <f>IF(A406="","",IF(IF(OR(DATE($B$3,12,3)&gt;EOMONTH(DATE($B$3,12,1),0),NETWORKDAYS.INTL(DATE($B$3,12,3),DATE($B$3,12,3),1,'Non-working days'!$A$6:$A$45)=0),"",IF(COUNTIFS('Leave log'!$A$7:$A$306,Employees!$A$31,'Leave log'!$B$7:$B$306,"&lt;="&amp;DATE($B$3,12,3),'Leave log'!$C$7:$C$306,"&gt;="&amp;DATE($B$3,12,3),'Leave log'!$F$7:$F$306,"Approved")&gt;0,"A",""))="A","A",IF(OR(DATE($B$3,12,3)&gt;EOMONTH(DATE($B$3,12,1),0),NETWORKDAYS.INTL(DATE($B$3,12,3),DATE($B$3,12,3),1,'Non-working days'!$A$6:$A$45)=0),"",IF(COUNTIFS('Leave log'!$A$7:$A$306,Employees!$A$31,'Leave log'!$B$7:$B$306,"&lt;="&amp;DATE($B$3,12,3),'Leave log'!$C$7:$C$306,"&gt;="&amp;DATE($B$3,12,3),'Leave log'!$F$7:$F$306,"Pending")&gt;0,"P",""))))</f>
        <v/>
      </c>
      <c r="E406" s="23" t="str">
        <f>IF(A406="","",IF(IF(OR(DATE($B$3,12,4)&gt;EOMONTH(DATE($B$3,12,1),0),NETWORKDAYS.INTL(DATE($B$3,12,4),DATE($B$3,12,4),1,'Non-working days'!$A$6:$A$45)=0),"",IF(COUNTIFS('Leave log'!$A$7:$A$306,Employees!$A$31,'Leave log'!$B$7:$B$306,"&lt;="&amp;DATE($B$3,12,4),'Leave log'!$C$7:$C$306,"&gt;="&amp;DATE($B$3,12,4),'Leave log'!$F$7:$F$306,"Approved")&gt;0,"A",""))="A","A",IF(OR(DATE($B$3,12,4)&gt;EOMONTH(DATE($B$3,12,1),0),NETWORKDAYS.INTL(DATE($B$3,12,4),DATE($B$3,12,4),1,'Non-working days'!$A$6:$A$45)=0),"",IF(COUNTIFS('Leave log'!$A$7:$A$306,Employees!$A$31,'Leave log'!$B$7:$B$306,"&lt;="&amp;DATE($B$3,12,4),'Leave log'!$C$7:$C$306,"&gt;="&amp;DATE($B$3,12,4),'Leave log'!$F$7:$F$306,"Pending")&gt;0,"P",""))))</f>
        <v/>
      </c>
      <c r="F406" s="23" t="str">
        <f>IF(A406="","",IF(IF(OR(DATE($B$3,12,5)&gt;EOMONTH(DATE($B$3,12,1),0),NETWORKDAYS.INTL(DATE($B$3,12,5),DATE($B$3,12,5),1,'Non-working days'!$A$6:$A$45)=0),"",IF(COUNTIFS('Leave log'!$A$7:$A$306,Employees!$A$31,'Leave log'!$B$7:$B$306,"&lt;="&amp;DATE($B$3,12,5),'Leave log'!$C$7:$C$306,"&gt;="&amp;DATE($B$3,12,5),'Leave log'!$F$7:$F$306,"Approved")&gt;0,"A",""))="A","A",IF(OR(DATE($B$3,12,5)&gt;EOMONTH(DATE($B$3,12,1),0),NETWORKDAYS.INTL(DATE($B$3,12,5),DATE($B$3,12,5),1,'Non-working days'!$A$6:$A$45)=0),"",IF(COUNTIFS('Leave log'!$A$7:$A$306,Employees!$A$31,'Leave log'!$B$7:$B$306,"&lt;="&amp;DATE($B$3,12,5),'Leave log'!$C$7:$C$306,"&gt;="&amp;DATE($B$3,12,5),'Leave log'!$F$7:$F$306,"Pending")&gt;0,"P",""))))</f>
        <v/>
      </c>
      <c r="G406" s="23" t="str">
        <f>IF(A406="","",IF(IF(OR(DATE($B$3,12,6)&gt;EOMONTH(DATE($B$3,12,1),0),NETWORKDAYS.INTL(DATE($B$3,12,6),DATE($B$3,12,6),1,'Non-working days'!$A$6:$A$45)=0),"",IF(COUNTIFS('Leave log'!$A$7:$A$306,Employees!$A$31,'Leave log'!$B$7:$B$306,"&lt;="&amp;DATE($B$3,12,6),'Leave log'!$C$7:$C$306,"&gt;="&amp;DATE($B$3,12,6),'Leave log'!$F$7:$F$306,"Approved")&gt;0,"A",""))="A","A",IF(OR(DATE($B$3,12,6)&gt;EOMONTH(DATE($B$3,12,1),0),NETWORKDAYS.INTL(DATE($B$3,12,6),DATE($B$3,12,6),1,'Non-working days'!$A$6:$A$45)=0),"",IF(COUNTIFS('Leave log'!$A$7:$A$306,Employees!$A$31,'Leave log'!$B$7:$B$306,"&lt;="&amp;DATE($B$3,12,6),'Leave log'!$C$7:$C$306,"&gt;="&amp;DATE($B$3,12,6),'Leave log'!$F$7:$F$306,"Pending")&gt;0,"P",""))))</f>
        <v/>
      </c>
      <c r="H406" s="23" t="str">
        <f>IF(A406="","",IF(IF(OR(DATE($B$3,12,7)&gt;EOMONTH(DATE($B$3,12,1),0),NETWORKDAYS.INTL(DATE($B$3,12,7),DATE($B$3,12,7),1,'Non-working days'!$A$6:$A$45)=0),"",IF(COUNTIFS('Leave log'!$A$7:$A$306,Employees!$A$31,'Leave log'!$B$7:$B$306,"&lt;="&amp;DATE($B$3,12,7),'Leave log'!$C$7:$C$306,"&gt;="&amp;DATE($B$3,12,7),'Leave log'!$F$7:$F$306,"Approved")&gt;0,"A",""))="A","A",IF(OR(DATE($B$3,12,7)&gt;EOMONTH(DATE($B$3,12,1),0),NETWORKDAYS.INTL(DATE($B$3,12,7),DATE($B$3,12,7),1,'Non-working days'!$A$6:$A$45)=0),"",IF(COUNTIFS('Leave log'!$A$7:$A$306,Employees!$A$31,'Leave log'!$B$7:$B$306,"&lt;="&amp;DATE($B$3,12,7),'Leave log'!$C$7:$C$306,"&gt;="&amp;DATE($B$3,12,7),'Leave log'!$F$7:$F$306,"Pending")&gt;0,"P",""))))</f>
        <v/>
      </c>
      <c r="I406" s="23" t="str">
        <f>IF(A406="","",IF(IF(OR(DATE($B$3,12,8)&gt;EOMONTH(DATE($B$3,12,1),0),NETWORKDAYS.INTL(DATE($B$3,12,8),DATE($B$3,12,8),1,'Non-working days'!$A$6:$A$45)=0),"",IF(COUNTIFS('Leave log'!$A$7:$A$306,Employees!$A$31,'Leave log'!$B$7:$B$306,"&lt;="&amp;DATE($B$3,12,8),'Leave log'!$C$7:$C$306,"&gt;="&amp;DATE($B$3,12,8),'Leave log'!$F$7:$F$306,"Approved")&gt;0,"A",""))="A","A",IF(OR(DATE($B$3,12,8)&gt;EOMONTH(DATE($B$3,12,1),0),NETWORKDAYS.INTL(DATE($B$3,12,8),DATE($B$3,12,8),1,'Non-working days'!$A$6:$A$45)=0),"",IF(COUNTIFS('Leave log'!$A$7:$A$306,Employees!$A$31,'Leave log'!$B$7:$B$306,"&lt;="&amp;DATE($B$3,12,8),'Leave log'!$C$7:$C$306,"&gt;="&amp;DATE($B$3,12,8),'Leave log'!$F$7:$F$306,"Pending")&gt;0,"P",""))))</f>
        <v/>
      </c>
      <c r="J406" s="23" t="str">
        <f>IF(A406="","",IF(IF(OR(DATE($B$3,12,9)&gt;EOMONTH(DATE($B$3,12,1),0),NETWORKDAYS.INTL(DATE($B$3,12,9),DATE($B$3,12,9),1,'Non-working days'!$A$6:$A$45)=0),"",IF(COUNTIFS('Leave log'!$A$7:$A$306,Employees!$A$31,'Leave log'!$B$7:$B$306,"&lt;="&amp;DATE($B$3,12,9),'Leave log'!$C$7:$C$306,"&gt;="&amp;DATE($B$3,12,9),'Leave log'!$F$7:$F$306,"Approved")&gt;0,"A",""))="A","A",IF(OR(DATE($B$3,12,9)&gt;EOMONTH(DATE($B$3,12,1),0),NETWORKDAYS.INTL(DATE($B$3,12,9),DATE($B$3,12,9),1,'Non-working days'!$A$6:$A$45)=0),"",IF(COUNTIFS('Leave log'!$A$7:$A$306,Employees!$A$31,'Leave log'!$B$7:$B$306,"&lt;="&amp;DATE($B$3,12,9),'Leave log'!$C$7:$C$306,"&gt;="&amp;DATE($B$3,12,9),'Leave log'!$F$7:$F$306,"Pending")&gt;0,"P",""))))</f>
        <v/>
      </c>
      <c r="K406" s="23" t="str">
        <f>IF(A406="","",IF(IF(OR(DATE($B$3,12,10)&gt;EOMONTH(DATE($B$3,12,1),0),NETWORKDAYS.INTL(DATE($B$3,12,10),DATE($B$3,12,10),1,'Non-working days'!$A$6:$A$45)=0),"",IF(COUNTIFS('Leave log'!$A$7:$A$306,Employees!$A$31,'Leave log'!$B$7:$B$306,"&lt;="&amp;DATE($B$3,12,10),'Leave log'!$C$7:$C$306,"&gt;="&amp;DATE($B$3,12,10),'Leave log'!$F$7:$F$306,"Approved")&gt;0,"A",""))="A","A",IF(OR(DATE($B$3,12,10)&gt;EOMONTH(DATE($B$3,12,1),0),NETWORKDAYS.INTL(DATE($B$3,12,10),DATE($B$3,12,10),1,'Non-working days'!$A$6:$A$45)=0),"",IF(COUNTIFS('Leave log'!$A$7:$A$306,Employees!$A$31,'Leave log'!$B$7:$B$306,"&lt;="&amp;DATE($B$3,12,10),'Leave log'!$C$7:$C$306,"&gt;="&amp;DATE($B$3,12,10),'Leave log'!$F$7:$F$306,"Pending")&gt;0,"P",""))))</f>
        <v/>
      </c>
      <c r="L406" s="23" t="str">
        <f>IF(A406="","",IF(IF(OR(DATE($B$3,12,11)&gt;EOMONTH(DATE($B$3,12,1),0),NETWORKDAYS.INTL(DATE($B$3,12,11),DATE($B$3,12,11),1,'Non-working days'!$A$6:$A$45)=0),"",IF(COUNTIFS('Leave log'!$A$7:$A$306,Employees!$A$31,'Leave log'!$B$7:$B$306,"&lt;="&amp;DATE($B$3,12,11),'Leave log'!$C$7:$C$306,"&gt;="&amp;DATE($B$3,12,11),'Leave log'!$F$7:$F$306,"Approved")&gt;0,"A",""))="A","A",IF(OR(DATE($B$3,12,11)&gt;EOMONTH(DATE($B$3,12,1),0),NETWORKDAYS.INTL(DATE($B$3,12,11),DATE($B$3,12,11),1,'Non-working days'!$A$6:$A$45)=0),"",IF(COUNTIFS('Leave log'!$A$7:$A$306,Employees!$A$31,'Leave log'!$B$7:$B$306,"&lt;="&amp;DATE($B$3,12,11),'Leave log'!$C$7:$C$306,"&gt;="&amp;DATE($B$3,12,11),'Leave log'!$F$7:$F$306,"Pending")&gt;0,"P",""))))</f>
        <v/>
      </c>
      <c r="M406" s="23" t="str">
        <f>IF(A406="","",IF(IF(OR(DATE($B$3,12,12)&gt;EOMONTH(DATE($B$3,12,1),0),NETWORKDAYS.INTL(DATE($B$3,12,12),DATE($B$3,12,12),1,'Non-working days'!$A$6:$A$45)=0),"",IF(COUNTIFS('Leave log'!$A$7:$A$306,Employees!$A$31,'Leave log'!$B$7:$B$306,"&lt;="&amp;DATE($B$3,12,12),'Leave log'!$C$7:$C$306,"&gt;="&amp;DATE($B$3,12,12),'Leave log'!$F$7:$F$306,"Approved")&gt;0,"A",""))="A","A",IF(OR(DATE($B$3,12,12)&gt;EOMONTH(DATE($B$3,12,1),0),NETWORKDAYS.INTL(DATE($B$3,12,12),DATE($B$3,12,12),1,'Non-working days'!$A$6:$A$45)=0),"",IF(COUNTIFS('Leave log'!$A$7:$A$306,Employees!$A$31,'Leave log'!$B$7:$B$306,"&lt;="&amp;DATE($B$3,12,12),'Leave log'!$C$7:$C$306,"&gt;="&amp;DATE($B$3,12,12),'Leave log'!$F$7:$F$306,"Pending")&gt;0,"P",""))))</f>
        <v/>
      </c>
      <c r="N406" s="23" t="str">
        <f>IF(A406="","",IF(IF(OR(DATE($B$3,12,13)&gt;EOMONTH(DATE($B$3,12,1),0),NETWORKDAYS.INTL(DATE($B$3,12,13),DATE($B$3,12,13),1,'Non-working days'!$A$6:$A$45)=0),"",IF(COUNTIFS('Leave log'!$A$7:$A$306,Employees!$A$31,'Leave log'!$B$7:$B$306,"&lt;="&amp;DATE($B$3,12,13),'Leave log'!$C$7:$C$306,"&gt;="&amp;DATE($B$3,12,13),'Leave log'!$F$7:$F$306,"Approved")&gt;0,"A",""))="A","A",IF(OR(DATE($B$3,12,13)&gt;EOMONTH(DATE($B$3,12,1),0),NETWORKDAYS.INTL(DATE($B$3,12,13),DATE($B$3,12,13),1,'Non-working days'!$A$6:$A$45)=0),"",IF(COUNTIFS('Leave log'!$A$7:$A$306,Employees!$A$31,'Leave log'!$B$7:$B$306,"&lt;="&amp;DATE($B$3,12,13),'Leave log'!$C$7:$C$306,"&gt;="&amp;DATE($B$3,12,13),'Leave log'!$F$7:$F$306,"Pending")&gt;0,"P",""))))</f>
        <v/>
      </c>
      <c r="O406" s="23" t="str">
        <f>IF(A406="","",IF(IF(OR(DATE($B$3,12,14)&gt;EOMONTH(DATE($B$3,12,1),0),NETWORKDAYS.INTL(DATE($B$3,12,14),DATE($B$3,12,14),1,'Non-working days'!$A$6:$A$45)=0),"",IF(COUNTIFS('Leave log'!$A$7:$A$306,Employees!$A$31,'Leave log'!$B$7:$B$306,"&lt;="&amp;DATE($B$3,12,14),'Leave log'!$C$7:$C$306,"&gt;="&amp;DATE($B$3,12,14),'Leave log'!$F$7:$F$306,"Approved")&gt;0,"A",""))="A","A",IF(OR(DATE($B$3,12,14)&gt;EOMONTH(DATE($B$3,12,1),0),NETWORKDAYS.INTL(DATE($B$3,12,14),DATE($B$3,12,14),1,'Non-working days'!$A$6:$A$45)=0),"",IF(COUNTIFS('Leave log'!$A$7:$A$306,Employees!$A$31,'Leave log'!$B$7:$B$306,"&lt;="&amp;DATE($B$3,12,14),'Leave log'!$C$7:$C$306,"&gt;="&amp;DATE($B$3,12,14),'Leave log'!$F$7:$F$306,"Pending")&gt;0,"P",""))))</f>
        <v/>
      </c>
      <c r="P406" s="23" t="str">
        <f>IF(A406="","",IF(IF(OR(DATE($B$3,12,15)&gt;EOMONTH(DATE($B$3,12,1),0),NETWORKDAYS.INTL(DATE($B$3,12,15),DATE($B$3,12,15),1,'Non-working days'!$A$6:$A$45)=0),"",IF(COUNTIFS('Leave log'!$A$7:$A$306,Employees!$A$31,'Leave log'!$B$7:$B$306,"&lt;="&amp;DATE($B$3,12,15),'Leave log'!$C$7:$C$306,"&gt;="&amp;DATE($B$3,12,15),'Leave log'!$F$7:$F$306,"Approved")&gt;0,"A",""))="A","A",IF(OR(DATE($B$3,12,15)&gt;EOMONTH(DATE($B$3,12,1),0),NETWORKDAYS.INTL(DATE($B$3,12,15),DATE($B$3,12,15),1,'Non-working days'!$A$6:$A$45)=0),"",IF(COUNTIFS('Leave log'!$A$7:$A$306,Employees!$A$31,'Leave log'!$B$7:$B$306,"&lt;="&amp;DATE($B$3,12,15),'Leave log'!$C$7:$C$306,"&gt;="&amp;DATE($B$3,12,15),'Leave log'!$F$7:$F$306,"Pending")&gt;0,"P",""))))</f>
        <v/>
      </c>
      <c r="Q406" s="23" t="str">
        <f>IF(A406="","",IF(IF(OR(DATE($B$3,12,16)&gt;EOMONTH(DATE($B$3,12,1),0),NETWORKDAYS.INTL(DATE($B$3,12,16),DATE($B$3,12,16),1,'Non-working days'!$A$6:$A$45)=0),"",IF(COUNTIFS('Leave log'!$A$7:$A$306,Employees!$A$31,'Leave log'!$B$7:$B$306,"&lt;="&amp;DATE($B$3,12,16),'Leave log'!$C$7:$C$306,"&gt;="&amp;DATE($B$3,12,16),'Leave log'!$F$7:$F$306,"Approved")&gt;0,"A",""))="A","A",IF(OR(DATE($B$3,12,16)&gt;EOMONTH(DATE($B$3,12,1),0),NETWORKDAYS.INTL(DATE($B$3,12,16),DATE($B$3,12,16),1,'Non-working days'!$A$6:$A$45)=0),"",IF(COUNTIFS('Leave log'!$A$7:$A$306,Employees!$A$31,'Leave log'!$B$7:$B$306,"&lt;="&amp;DATE($B$3,12,16),'Leave log'!$C$7:$C$306,"&gt;="&amp;DATE($B$3,12,16),'Leave log'!$F$7:$F$306,"Pending")&gt;0,"P",""))))</f>
        <v/>
      </c>
      <c r="R406" s="23" t="str">
        <f>IF(A406="","",IF(IF(OR(DATE($B$3,12,17)&gt;EOMONTH(DATE($B$3,12,1),0),NETWORKDAYS.INTL(DATE($B$3,12,17),DATE($B$3,12,17),1,'Non-working days'!$A$6:$A$45)=0),"",IF(COUNTIFS('Leave log'!$A$7:$A$306,Employees!$A$31,'Leave log'!$B$7:$B$306,"&lt;="&amp;DATE($B$3,12,17),'Leave log'!$C$7:$C$306,"&gt;="&amp;DATE($B$3,12,17),'Leave log'!$F$7:$F$306,"Approved")&gt;0,"A",""))="A","A",IF(OR(DATE($B$3,12,17)&gt;EOMONTH(DATE($B$3,12,1),0),NETWORKDAYS.INTL(DATE($B$3,12,17),DATE($B$3,12,17),1,'Non-working days'!$A$6:$A$45)=0),"",IF(COUNTIFS('Leave log'!$A$7:$A$306,Employees!$A$31,'Leave log'!$B$7:$B$306,"&lt;="&amp;DATE($B$3,12,17),'Leave log'!$C$7:$C$306,"&gt;="&amp;DATE($B$3,12,17),'Leave log'!$F$7:$F$306,"Pending")&gt;0,"P",""))))</f>
        <v/>
      </c>
      <c r="S406" s="23" t="str">
        <f>IF(A406="","",IF(IF(OR(DATE($B$3,12,18)&gt;EOMONTH(DATE($B$3,12,1),0),NETWORKDAYS.INTL(DATE($B$3,12,18),DATE($B$3,12,18),1,'Non-working days'!$A$6:$A$45)=0),"",IF(COUNTIFS('Leave log'!$A$7:$A$306,Employees!$A$31,'Leave log'!$B$7:$B$306,"&lt;="&amp;DATE($B$3,12,18),'Leave log'!$C$7:$C$306,"&gt;="&amp;DATE($B$3,12,18),'Leave log'!$F$7:$F$306,"Approved")&gt;0,"A",""))="A","A",IF(OR(DATE($B$3,12,18)&gt;EOMONTH(DATE($B$3,12,1),0),NETWORKDAYS.INTL(DATE($B$3,12,18),DATE($B$3,12,18),1,'Non-working days'!$A$6:$A$45)=0),"",IF(COUNTIFS('Leave log'!$A$7:$A$306,Employees!$A$31,'Leave log'!$B$7:$B$306,"&lt;="&amp;DATE($B$3,12,18),'Leave log'!$C$7:$C$306,"&gt;="&amp;DATE($B$3,12,18),'Leave log'!$F$7:$F$306,"Pending")&gt;0,"P",""))))</f>
        <v/>
      </c>
      <c r="T406" s="23" t="str">
        <f>IF(A406="","",IF(IF(OR(DATE($B$3,12,19)&gt;EOMONTH(DATE($B$3,12,1),0),NETWORKDAYS.INTL(DATE($B$3,12,19),DATE($B$3,12,19),1,'Non-working days'!$A$6:$A$45)=0),"",IF(COUNTIFS('Leave log'!$A$7:$A$306,Employees!$A$31,'Leave log'!$B$7:$B$306,"&lt;="&amp;DATE($B$3,12,19),'Leave log'!$C$7:$C$306,"&gt;="&amp;DATE($B$3,12,19),'Leave log'!$F$7:$F$306,"Approved")&gt;0,"A",""))="A","A",IF(OR(DATE($B$3,12,19)&gt;EOMONTH(DATE($B$3,12,1),0),NETWORKDAYS.INTL(DATE($B$3,12,19),DATE($B$3,12,19),1,'Non-working days'!$A$6:$A$45)=0),"",IF(COUNTIFS('Leave log'!$A$7:$A$306,Employees!$A$31,'Leave log'!$B$7:$B$306,"&lt;="&amp;DATE($B$3,12,19),'Leave log'!$C$7:$C$306,"&gt;="&amp;DATE($B$3,12,19),'Leave log'!$F$7:$F$306,"Pending")&gt;0,"P",""))))</f>
        <v/>
      </c>
      <c r="U406" s="23" t="str">
        <f>IF(A406="","",IF(IF(OR(DATE($B$3,12,20)&gt;EOMONTH(DATE($B$3,12,1),0),NETWORKDAYS.INTL(DATE($B$3,12,20),DATE($B$3,12,20),1,'Non-working days'!$A$6:$A$45)=0),"",IF(COUNTIFS('Leave log'!$A$7:$A$306,Employees!$A$31,'Leave log'!$B$7:$B$306,"&lt;="&amp;DATE($B$3,12,20),'Leave log'!$C$7:$C$306,"&gt;="&amp;DATE($B$3,12,20),'Leave log'!$F$7:$F$306,"Approved")&gt;0,"A",""))="A","A",IF(OR(DATE($B$3,12,20)&gt;EOMONTH(DATE($B$3,12,1),0),NETWORKDAYS.INTL(DATE($B$3,12,20),DATE($B$3,12,20),1,'Non-working days'!$A$6:$A$45)=0),"",IF(COUNTIFS('Leave log'!$A$7:$A$306,Employees!$A$31,'Leave log'!$B$7:$B$306,"&lt;="&amp;DATE($B$3,12,20),'Leave log'!$C$7:$C$306,"&gt;="&amp;DATE($B$3,12,20),'Leave log'!$F$7:$F$306,"Pending")&gt;0,"P",""))))</f>
        <v/>
      </c>
      <c r="V406" s="23" t="str">
        <f>IF(A406="","",IF(IF(OR(DATE($B$3,12,21)&gt;EOMONTH(DATE($B$3,12,1),0),NETWORKDAYS.INTL(DATE($B$3,12,21),DATE($B$3,12,21),1,'Non-working days'!$A$6:$A$45)=0),"",IF(COUNTIFS('Leave log'!$A$7:$A$306,Employees!$A$31,'Leave log'!$B$7:$B$306,"&lt;="&amp;DATE($B$3,12,21),'Leave log'!$C$7:$C$306,"&gt;="&amp;DATE($B$3,12,21),'Leave log'!$F$7:$F$306,"Approved")&gt;0,"A",""))="A","A",IF(OR(DATE($B$3,12,21)&gt;EOMONTH(DATE($B$3,12,1),0),NETWORKDAYS.INTL(DATE($B$3,12,21),DATE($B$3,12,21),1,'Non-working days'!$A$6:$A$45)=0),"",IF(COUNTIFS('Leave log'!$A$7:$A$306,Employees!$A$31,'Leave log'!$B$7:$B$306,"&lt;="&amp;DATE($B$3,12,21),'Leave log'!$C$7:$C$306,"&gt;="&amp;DATE($B$3,12,21),'Leave log'!$F$7:$F$306,"Pending")&gt;0,"P",""))))</f>
        <v/>
      </c>
      <c r="W406" s="23" t="str">
        <f>IF(A406="","",IF(IF(OR(DATE($B$3,12,22)&gt;EOMONTH(DATE($B$3,12,1),0),NETWORKDAYS.INTL(DATE($B$3,12,22),DATE($B$3,12,22),1,'Non-working days'!$A$6:$A$45)=0),"",IF(COUNTIFS('Leave log'!$A$7:$A$306,Employees!$A$31,'Leave log'!$B$7:$B$306,"&lt;="&amp;DATE($B$3,12,22),'Leave log'!$C$7:$C$306,"&gt;="&amp;DATE($B$3,12,22),'Leave log'!$F$7:$F$306,"Approved")&gt;0,"A",""))="A","A",IF(OR(DATE($B$3,12,22)&gt;EOMONTH(DATE($B$3,12,1),0),NETWORKDAYS.INTL(DATE($B$3,12,22),DATE($B$3,12,22),1,'Non-working days'!$A$6:$A$45)=0),"",IF(COUNTIFS('Leave log'!$A$7:$A$306,Employees!$A$31,'Leave log'!$B$7:$B$306,"&lt;="&amp;DATE($B$3,12,22),'Leave log'!$C$7:$C$306,"&gt;="&amp;DATE($B$3,12,22),'Leave log'!$F$7:$F$306,"Pending")&gt;0,"P",""))))</f>
        <v/>
      </c>
      <c r="X406" s="23" t="str">
        <f>IF(A406="","",IF(IF(OR(DATE($B$3,12,23)&gt;EOMONTH(DATE($B$3,12,1),0),NETWORKDAYS.INTL(DATE($B$3,12,23),DATE($B$3,12,23),1,'Non-working days'!$A$6:$A$45)=0),"",IF(COUNTIFS('Leave log'!$A$7:$A$306,Employees!$A$31,'Leave log'!$B$7:$B$306,"&lt;="&amp;DATE($B$3,12,23),'Leave log'!$C$7:$C$306,"&gt;="&amp;DATE($B$3,12,23),'Leave log'!$F$7:$F$306,"Approved")&gt;0,"A",""))="A","A",IF(OR(DATE($B$3,12,23)&gt;EOMONTH(DATE($B$3,12,1),0),NETWORKDAYS.INTL(DATE($B$3,12,23),DATE($B$3,12,23),1,'Non-working days'!$A$6:$A$45)=0),"",IF(COUNTIFS('Leave log'!$A$7:$A$306,Employees!$A$31,'Leave log'!$B$7:$B$306,"&lt;="&amp;DATE($B$3,12,23),'Leave log'!$C$7:$C$306,"&gt;="&amp;DATE($B$3,12,23),'Leave log'!$F$7:$F$306,"Pending")&gt;0,"P",""))))</f>
        <v/>
      </c>
      <c r="Y406" s="23" t="str">
        <f>IF(A406="","",IF(IF(OR(DATE($B$3,12,24)&gt;EOMONTH(DATE($B$3,12,1),0),NETWORKDAYS.INTL(DATE($B$3,12,24),DATE($B$3,12,24),1,'Non-working days'!$A$6:$A$45)=0),"",IF(COUNTIFS('Leave log'!$A$7:$A$306,Employees!$A$31,'Leave log'!$B$7:$B$306,"&lt;="&amp;DATE($B$3,12,24),'Leave log'!$C$7:$C$306,"&gt;="&amp;DATE($B$3,12,24),'Leave log'!$F$7:$F$306,"Approved")&gt;0,"A",""))="A","A",IF(OR(DATE($B$3,12,24)&gt;EOMONTH(DATE($B$3,12,1),0),NETWORKDAYS.INTL(DATE($B$3,12,24),DATE($B$3,12,24),1,'Non-working days'!$A$6:$A$45)=0),"",IF(COUNTIFS('Leave log'!$A$7:$A$306,Employees!$A$31,'Leave log'!$B$7:$B$306,"&lt;="&amp;DATE($B$3,12,24),'Leave log'!$C$7:$C$306,"&gt;="&amp;DATE($B$3,12,24),'Leave log'!$F$7:$F$306,"Pending")&gt;0,"P",""))))</f>
        <v/>
      </c>
      <c r="Z406" s="23" t="str">
        <f>IF(A406="","",IF(IF(OR(DATE($B$3,12,25)&gt;EOMONTH(DATE($B$3,12,1),0),NETWORKDAYS.INTL(DATE($B$3,12,25),DATE($B$3,12,25),1,'Non-working days'!$A$6:$A$45)=0),"",IF(COUNTIFS('Leave log'!$A$7:$A$306,Employees!$A$31,'Leave log'!$B$7:$B$306,"&lt;="&amp;DATE($B$3,12,25),'Leave log'!$C$7:$C$306,"&gt;="&amp;DATE($B$3,12,25),'Leave log'!$F$7:$F$306,"Approved")&gt;0,"A",""))="A","A",IF(OR(DATE($B$3,12,25)&gt;EOMONTH(DATE($B$3,12,1),0),NETWORKDAYS.INTL(DATE($B$3,12,25),DATE($B$3,12,25),1,'Non-working days'!$A$6:$A$45)=0),"",IF(COUNTIFS('Leave log'!$A$7:$A$306,Employees!$A$31,'Leave log'!$B$7:$B$306,"&lt;="&amp;DATE($B$3,12,25),'Leave log'!$C$7:$C$306,"&gt;="&amp;DATE($B$3,12,25),'Leave log'!$F$7:$F$306,"Pending")&gt;0,"P",""))))</f>
        <v/>
      </c>
      <c r="AA406" s="23" t="str">
        <f>IF(A406="","",IF(IF(OR(DATE($B$3,12,26)&gt;EOMONTH(DATE($B$3,12,1),0),NETWORKDAYS.INTL(DATE($B$3,12,26),DATE($B$3,12,26),1,'Non-working days'!$A$6:$A$45)=0),"",IF(COUNTIFS('Leave log'!$A$7:$A$306,Employees!$A$31,'Leave log'!$B$7:$B$306,"&lt;="&amp;DATE($B$3,12,26),'Leave log'!$C$7:$C$306,"&gt;="&amp;DATE($B$3,12,26),'Leave log'!$F$7:$F$306,"Approved")&gt;0,"A",""))="A","A",IF(OR(DATE($B$3,12,26)&gt;EOMONTH(DATE($B$3,12,1),0),NETWORKDAYS.INTL(DATE($B$3,12,26),DATE($B$3,12,26),1,'Non-working days'!$A$6:$A$45)=0),"",IF(COUNTIFS('Leave log'!$A$7:$A$306,Employees!$A$31,'Leave log'!$B$7:$B$306,"&lt;="&amp;DATE($B$3,12,26),'Leave log'!$C$7:$C$306,"&gt;="&amp;DATE($B$3,12,26),'Leave log'!$F$7:$F$306,"Pending")&gt;0,"P",""))))</f>
        <v/>
      </c>
      <c r="AB406" s="23" t="str">
        <f>IF(A406="","",IF(IF(OR(DATE($B$3,12,27)&gt;EOMONTH(DATE($B$3,12,1),0),NETWORKDAYS.INTL(DATE($B$3,12,27),DATE($B$3,12,27),1,'Non-working days'!$A$6:$A$45)=0),"",IF(COUNTIFS('Leave log'!$A$7:$A$306,Employees!$A$31,'Leave log'!$B$7:$B$306,"&lt;="&amp;DATE($B$3,12,27),'Leave log'!$C$7:$C$306,"&gt;="&amp;DATE($B$3,12,27),'Leave log'!$F$7:$F$306,"Approved")&gt;0,"A",""))="A","A",IF(OR(DATE($B$3,12,27)&gt;EOMONTH(DATE($B$3,12,1),0),NETWORKDAYS.INTL(DATE($B$3,12,27),DATE($B$3,12,27),1,'Non-working days'!$A$6:$A$45)=0),"",IF(COUNTIFS('Leave log'!$A$7:$A$306,Employees!$A$31,'Leave log'!$B$7:$B$306,"&lt;="&amp;DATE($B$3,12,27),'Leave log'!$C$7:$C$306,"&gt;="&amp;DATE($B$3,12,27),'Leave log'!$F$7:$F$306,"Pending")&gt;0,"P",""))))</f>
        <v/>
      </c>
      <c r="AC406" s="23" t="str">
        <f>IF(A406="","",IF(IF(OR(DATE($B$3,12,28)&gt;EOMONTH(DATE($B$3,12,1),0),NETWORKDAYS.INTL(DATE($B$3,12,28),DATE($B$3,12,28),1,'Non-working days'!$A$6:$A$45)=0),"",IF(COUNTIFS('Leave log'!$A$7:$A$306,Employees!$A$31,'Leave log'!$B$7:$B$306,"&lt;="&amp;DATE($B$3,12,28),'Leave log'!$C$7:$C$306,"&gt;="&amp;DATE($B$3,12,28),'Leave log'!$F$7:$F$306,"Approved")&gt;0,"A",""))="A","A",IF(OR(DATE($B$3,12,28)&gt;EOMONTH(DATE($B$3,12,1),0),NETWORKDAYS.INTL(DATE($B$3,12,28),DATE($B$3,12,28),1,'Non-working days'!$A$6:$A$45)=0),"",IF(COUNTIFS('Leave log'!$A$7:$A$306,Employees!$A$31,'Leave log'!$B$7:$B$306,"&lt;="&amp;DATE($B$3,12,28),'Leave log'!$C$7:$C$306,"&gt;="&amp;DATE($B$3,12,28),'Leave log'!$F$7:$F$306,"Pending")&gt;0,"P",""))))</f>
        <v/>
      </c>
      <c r="AD406" s="23" t="str">
        <f>IF(A406="","",IF(IF(OR(DATE($B$3,12,29)&gt;EOMONTH(DATE($B$3,12,1),0),NETWORKDAYS.INTL(DATE($B$3,12,29),DATE($B$3,12,29),1,'Non-working days'!$A$6:$A$45)=0),"",IF(COUNTIFS('Leave log'!$A$7:$A$306,Employees!$A$31,'Leave log'!$B$7:$B$306,"&lt;="&amp;DATE($B$3,12,29),'Leave log'!$C$7:$C$306,"&gt;="&amp;DATE($B$3,12,29),'Leave log'!$F$7:$F$306,"Approved")&gt;0,"A",""))="A","A",IF(OR(DATE($B$3,12,29)&gt;EOMONTH(DATE($B$3,12,1),0),NETWORKDAYS.INTL(DATE($B$3,12,29),DATE($B$3,12,29),1,'Non-working days'!$A$6:$A$45)=0),"",IF(COUNTIFS('Leave log'!$A$7:$A$306,Employees!$A$31,'Leave log'!$B$7:$B$306,"&lt;="&amp;DATE($B$3,12,29),'Leave log'!$C$7:$C$306,"&gt;="&amp;DATE($B$3,12,29),'Leave log'!$F$7:$F$306,"Pending")&gt;0,"P",""))))</f>
        <v/>
      </c>
      <c r="AE406" s="23" t="str">
        <f>IF(A406="","",IF(IF(OR(DATE($B$3,12,30)&gt;EOMONTH(DATE($B$3,12,1),0),NETWORKDAYS.INTL(DATE($B$3,12,30),DATE($B$3,12,30),1,'Non-working days'!$A$6:$A$45)=0),"",IF(COUNTIFS('Leave log'!$A$7:$A$306,Employees!$A$31,'Leave log'!$B$7:$B$306,"&lt;="&amp;DATE($B$3,12,30),'Leave log'!$C$7:$C$306,"&gt;="&amp;DATE($B$3,12,30),'Leave log'!$F$7:$F$306,"Approved")&gt;0,"A",""))="A","A",IF(OR(DATE($B$3,12,30)&gt;EOMONTH(DATE($B$3,12,1),0),NETWORKDAYS.INTL(DATE($B$3,12,30),DATE($B$3,12,30),1,'Non-working days'!$A$6:$A$45)=0),"",IF(COUNTIFS('Leave log'!$A$7:$A$306,Employees!$A$31,'Leave log'!$B$7:$B$306,"&lt;="&amp;DATE($B$3,12,30),'Leave log'!$C$7:$C$306,"&gt;="&amp;DATE($B$3,12,30),'Leave log'!$F$7:$F$306,"Pending")&gt;0,"P",""))))</f>
        <v/>
      </c>
      <c r="AF406" s="23" t="str">
        <f>IF(A406="","",IF(IF(OR(DATE($B$3,12,31)&gt;EOMONTH(DATE($B$3,12,1),0),NETWORKDAYS.INTL(DATE($B$3,12,31),DATE($B$3,12,31),1,'Non-working days'!$A$6:$A$45)=0),"",IF(COUNTIFS('Leave log'!$A$7:$A$306,Employees!$A$31,'Leave log'!$B$7:$B$306,"&lt;="&amp;DATE($B$3,12,31),'Leave log'!$C$7:$C$306,"&gt;="&amp;DATE($B$3,12,31),'Leave log'!$F$7:$F$306,"Approved")&gt;0,"A",""))="A","A",IF(OR(DATE($B$3,12,31)&gt;EOMONTH(DATE($B$3,12,1),0),NETWORKDAYS.INTL(DATE($B$3,12,31),DATE($B$3,12,31),1,'Non-working days'!$A$6:$A$45)=0),"",IF(COUNTIFS('Leave log'!$A$7:$A$306,Employees!$A$31,'Leave log'!$B$7:$B$306,"&lt;="&amp;DATE($B$3,12,31),'Leave log'!$C$7:$C$306,"&gt;="&amp;DATE($B$3,12,31),'Leave log'!$F$7:$F$306,"Pending")&gt;0,"P",""))))</f>
        <v/>
      </c>
    </row>
    <row r="407" spans="1:32" ht="18" customHeight="1" x14ac:dyDescent="0.3">
      <c r="A407" s="22" t="str">
        <f>IF(Employees!F32="Yes",Employees!B32,"")</f>
        <v/>
      </c>
      <c r="B407" s="23" t="str">
        <f>IF(A407="","",IF(IF(OR(DATE($B$3,12,1)&gt;EOMONTH(DATE($B$3,12,1),0),NETWORKDAYS.INTL(DATE($B$3,12,1),DATE($B$3,12,1),1,'Non-working days'!$A$6:$A$45)=0),"",IF(COUNTIFS('Leave log'!$A$7:$A$306,Employees!$A$32,'Leave log'!$B$7:$B$306,"&lt;="&amp;DATE($B$3,12,1),'Leave log'!$C$7:$C$306,"&gt;="&amp;DATE($B$3,12,1),'Leave log'!$F$7:$F$306,"Approved")&gt;0,"A",""))="A","A",IF(OR(DATE($B$3,12,1)&gt;EOMONTH(DATE($B$3,12,1),0),NETWORKDAYS.INTL(DATE($B$3,12,1),DATE($B$3,12,1),1,'Non-working days'!$A$6:$A$45)=0),"",IF(COUNTIFS('Leave log'!$A$7:$A$306,Employees!$A$32,'Leave log'!$B$7:$B$306,"&lt;="&amp;DATE($B$3,12,1),'Leave log'!$C$7:$C$306,"&gt;="&amp;DATE($B$3,12,1),'Leave log'!$F$7:$F$306,"Pending")&gt;0,"P",""))))</f>
        <v/>
      </c>
      <c r="C407" s="23" t="str">
        <f>IF(A407="","",IF(IF(OR(DATE($B$3,12,2)&gt;EOMONTH(DATE($B$3,12,1),0),NETWORKDAYS.INTL(DATE($B$3,12,2),DATE($B$3,12,2),1,'Non-working days'!$A$6:$A$45)=0),"",IF(COUNTIFS('Leave log'!$A$7:$A$306,Employees!$A$32,'Leave log'!$B$7:$B$306,"&lt;="&amp;DATE($B$3,12,2),'Leave log'!$C$7:$C$306,"&gt;="&amp;DATE($B$3,12,2),'Leave log'!$F$7:$F$306,"Approved")&gt;0,"A",""))="A","A",IF(OR(DATE($B$3,12,2)&gt;EOMONTH(DATE($B$3,12,1),0),NETWORKDAYS.INTL(DATE($B$3,12,2),DATE($B$3,12,2),1,'Non-working days'!$A$6:$A$45)=0),"",IF(COUNTIFS('Leave log'!$A$7:$A$306,Employees!$A$32,'Leave log'!$B$7:$B$306,"&lt;="&amp;DATE($B$3,12,2),'Leave log'!$C$7:$C$306,"&gt;="&amp;DATE($B$3,12,2),'Leave log'!$F$7:$F$306,"Pending")&gt;0,"P",""))))</f>
        <v/>
      </c>
      <c r="D407" s="23" t="str">
        <f>IF(A407="","",IF(IF(OR(DATE($B$3,12,3)&gt;EOMONTH(DATE($B$3,12,1),0),NETWORKDAYS.INTL(DATE($B$3,12,3),DATE($B$3,12,3),1,'Non-working days'!$A$6:$A$45)=0),"",IF(COUNTIFS('Leave log'!$A$7:$A$306,Employees!$A$32,'Leave log'!$B$7:$B$306,"&lt;="&amp;DATE($B$3,12,3),'Leave log'!$C$7:$C$306,"&gt;="&amp;DATE($B$3,12,3),'Leave log'!$F$7:$F$306,"Approved")&gt;0,"A",""))="A","A",IF(OR(DATE($B$3,12,3)&gt;EOMONTH(DATE($B$3,12,1),0),NETWORKDAYS.INTL(DATE($B$3,12,3),DATE($B$3,12,3),1,'Non-working days'!$A$6:$A$45)=0),"",IF(COUNTIFS('Leave log'!$A$7:$A$306,Employees!$A$32,'Leave log'!$B$7:$B$306,"&lt;="&amp;DATE($B$3,12,3),'Leave log'!$C$7:$C$306,"&gt;="&amp;DATE($B$3,12,3),'Leave log'!$F$7:$F$306,"Pending")&gt;0,"P",""))))</f>
        <v/>
      </c>
      <c r="E407" s="23" t="str">
        <f>IF(A407="","",IF(IF(OR(DATE($B$3,12,4)&gt;EOMONTH(DATE($B$3,12,1),0),NETWORKDAYS.INTL(DATE($B$3,12,4),DATE($B$3,12,4),1,'Non-working days'!$A$6:$A$45)=0),"",IF(COUNTIFS('Leave log'!$A$7:$A$306,Employees!$A$32,'Leave log'!$B$7:$B$306,"&lt;="&amp;DATE($B$3,12,4),'Leave log'!$C$7:$C$306,"&gt;="&amp;DATE($B$3,12,4),'Leave log'!$F$7:$F$306,"Approved")&gt;0,"A",""))="A","A",IF(OR(DATE($B$3,12,4)&gt;EOMONTH(DATE($B$3,12,1),0),NETWORKDAYS.INTL(DATE($B$3,12,4),DATE($B$3,12,4),1,'Non-working days'!$A$6:$A$45)=0),"",IF(COUNTIFS('Leave log'!$A$7:$A$306,Employees!$A$32,'Leave log'!$B$7:$B$306,"&lt;="&amp;DATE($B$3,12,4),'Leave log'!$C$7:$C$306,"&gt;="&amp;DATE($B$3,12,4),'Leave log'!$F$7:$F$306,"Pending")&gt;0,"P",""))))</f>
        <v/>
      </c>
      <c r="F407" s="23" t="str">
        <f>IF(A407="","",IF(IF(OR(DATE($B$3,12,5)&gt;EOMONTH(DATE($B$3,12,1),0),NETWORKDAYS.INTL(DATE($B$3,12,5),DATE($B$3,12,5),1,'Non-working days'!$A$6:$A$45)=0),"",IF(COUNTIFS('Leave log'!$A$7:$A$306,Employees!$A$32,'Leave log'!$B$7:$B$306,"&lt;="&amp;DATE($B$3,12,5),'Leave log'!$C$7:$C$306,"&gt;="&amp;DATE($B$3,12,5),'Leave log'!$F$7:$F$306,"Approved")&gt;0,"A",""))="A","A",IF(OR(DATE($B$3,12,5)&gt;EOMONTH(DATE($B$3,12,1),0),NETWORKDAYS.INTL(DATE($B$3,12,5),DATE($B$3,12,5),1,'Non-working days'!$A$6:$A$45)=0),"",IF(COUNTIFS('Leave log'!$A$7:$A$306,Employees!$A$32,'Leave log'!$B$7:$B$306,"&lt;="&amp;DATE($B$3,12,5),'Leave log'!$C$7:$C$306,"&gt;="&amp;DATE($B$3,12,5),'Leave log'!$F$7:$F$306,"Pending")&gt;0,"P",""))))</f>
        <v/>
      </c>
      <c r="G407" s="23" t="str">
        <f>IF(A407="","",IF(IF(OR(DATE($B$3,12,6)&gt;EOMONTH(DATE($B$3,12,1),0),NETWORKDAYS.INTL(DATE($B$3,12,6),DATE($B$3,12,6),1,'Non-working days'!$A$6:$A$45)=0),"",IF(COUNTIFS('Leave log'!$A$7:$A$306,Employees!$A$32,'Leave log'!$B$7:$B$306,"&lt;="&amp;DATE($B$3,12,6),'Leave log'!$C$7:$C$306,"&gt;="&amp;DATE($B$3,12,6),'Leave log'!$F$7:$F$306,"Approved")&gt;0,"A",""))="A","A",IF(OR(DATE($B$3,12,6)&gt;EOMONTH(DATE($B$3,12,1),0),NETWORKDAYS.INTL(DATE($B$3,12,6),DATE($B$3,12,6),1,'Non-working days'!$A$6:$A$45)=0),"",IF(COUNTIFS('Leave log'!$A$7:$A$306,Employees!$A$32,'Leave log'!$B$7:$B$306,"&lt;="&amp;DATE($B$3,12,6),'Leave log'!$C$7:$C$306,"&gt;="&amp;DATE($B$3,12,6),'Leave log'!$F$7:$F$306,"Pending")&gt;0,"P",""))))</f>
        <v/>
      </c>
      <c r="H407" s="23" t="str">
        <f>IF(A407="","",IF(IF(OR(DATE($B$3,12,7)&gt;EOMONTH(DATE($B$3,12,1),0),NETWORKDAYS.INTL(DATE($B$3,12,7),DATE($B$3,12,7),1,'Non-working days'!$A$6:$A$45)=0),"",IF(COUNTIFS('Leave log'!$A$7:$A$306,Employees!$A$32,'Leave log'!$B$7:$B$306,"&lt;="&amp;DATE($B$3,12,7),'Leave log'!$C$7:$C$306,"&gt;="&amp;DATE($B$3,12,7),'Leave log'!$F$7:$F$306,"Approved")&gt;0,"A",""))="A","A",IF(OR(DATE($B$3,12,7)&gt;EOMONTH(DATE($B$3,12,1),0),NETWORKDAYS.INTL(DATE($B$3,12,7),DATE($B$3,12,7),1,'Non-working days'!$A$6:$A$45)=0),"",IF(COUNTIFS('Leave log'!$A$7:$A$306,Employees!$A$32,'Leave log'!$B$7:$B$306,"&lt;="&amp;DATE($B$3,12,7),'Leave log'!$C$7:$C$306,"&gt;="&amp;DATE($B$3,12,7),'Leave log'!$F$7:$F$306,"Pending")&gt;0,"P",""))))</f>
        <v/>
      </c>
      <c r="I407" s="23" t="str">
        <f>IF(A407="","",IF(IF(OR(DATE($B$3,12,8)&gt;EOMONTH(DATE($B$3,12,1),0),NETWORKDAYS.INTL(DATE($B$3,12,8),DATE($B$3,12,8),1,'Non-working days'!$A$6:$A$45)=0),"",IF(COUNTIFS('Leave log'!$A$7:$A$306,Employees!$A$32,'Leave log'!$B$7:$B$306,"&lt;="&amp;DATE($B$3,12,8),'Leave log'!$C$7:$C$306,"&gt;="&amp;DATE($B$3,12,8),'Leave log'!$F$7:$F$306,"Approved")&gt;0,"A",""))="A","A",IF(OR(DATE($B$3,12,8)&gt;EOMONTH(DATE($B$3,12,1),0),NETWORKDAYS.INTL(DATE($B$3,12,8),DATE($B$3,12,8),1,'Non-working days'!$A$6:$A$45)=0),"",IF(COUNTIFS('Leave log'!$A$7:$A$306,Employees!$A$32,'Leave log'!$B$7:$B$306,"&lt;="&amp;DATE($B$3,12,8),'Leave log'!$C$7:$C$306,"&gt;="&amp;DATE($B$3,12,8),'Leave log'!$F$7:$F$306,"Pending")&gt;0,"P",""))))</f>
        <v/>
      </c>
      <c r="J407" s="23" t="str">
        <f>IF(A407="","",IF(IF(OR(DATE($B$3,12,9)&gt;EOMONTH(DATE($B$3,12,1),0),NETWORKDAYS.INTL(DATE($B$3,12,9),DATE($B$3,12,9),1,'Non-working days'!$A$6:$A$45)=0),"",IF(COUNTIFS('Leave log'!$A$7:$A$306,Employees!$A$32,'Leave log'!$B$7:$B$306,"&lt;="&amp;DATE($B$3,12,9),'Leave log'!$C$7:$C$306,"&gt;="&amp;DATE($B$3,12,9),'Leave log'!$F$7:$F$306,"Approved")&gt;0,"A",""))="A","A",IF(OR(DATE($B$3,12,9)&gt;EOMONTH(DATE($B$3,12,1),0),NETWORKDAYS.INTL(DATE($B$3,12,9),DATE($B$3,12,9),1,'Non-working days'!$A$6:$A$45)=0),"",IF(COUNTIFS('Leave log'!$A$7:$A$306,Employees!$A$32,'Leave log'!$B$7:$B$306,"&lt;="&amp;DATE($B$3,12,9),'Leave log'!$C$7:$C$306,"&gt;="&amp;DATE($B$3,12,9),'Leave log'!$F$7:$F$306,"Pending")&gt;0,"P",""))))</f>
        <v/>
      </c>
      <c r="K407" s="23" t="str">
        <f>IF(A407="","",IF(IF(OR(DATE($B$3,12,10)&gt;EOMONTH(DATE($B$3,12,1),0),NETWORKDAYS.INTL(DATE($B$3,12,10),DATE($B$3,12,10),1,'Non-working days'!$A$6:$A$45)=0),"",IF(COUNTIFS('Leave log'!$A$7:$A$306,Employees!$A$32,'Leave log'!$B$7:$B$306,"&lt;="&amp;DATE($B$3,12,10),'Leave log'!$C$7:$C$306,"&gt;="&amp;DATE($B$3,12,10),'Leave log'!$F$7:$F$306,"Approved")&gt;0,"A",""))="A","A",IF(OR(DATE($B$3,12,10)&gt;EOMONTH(DATE($B$3,12,1),0),NETWORKDAYS.INTL(DATE($B$3,12,10),DATE($B$3,12,10),1,'Non-working days'!$A$6:$A$45)=0),"",IF(COUNTIFS('Leave log'!$A$7:$A$306,Employees!$A$32,'Leave log'!$B$7:$B$306,"&lt;="&amp;DATE($B$3,12,10),'Leave log'!$C$7:$C$306,"&gt;="&amp;DATE($B$3,12,10),'Leave log'!$F$7:$F$306,"Pending")&gt;0,"P",""))))</f>
        <v/>
      </c>
      <c r="L407" s="23" t="str">
        <f>IF(A407="","",IF(IF(OR(DATE($B$3,12,11)&gt;EOMONTH(DATE($B$3,12,1),0),NETWORKDAYS.INTL(DATE($B$3,12,11),DATE($B$3,12,11),1,'Non-working days'!$A$6:$A$45)=0),"",IF(COUNTIFS('Leave log'!$A$7:$A$306,Employees!$A$32,'Leave log'!$B$7:$B$306,"&lt;="&amp;DATE($B$3,12,11),'Leave log'!$C$7:$C$306,"&gt;="&amp;DATE($B$3,12,11),'Leave log'!$F$7:$F$306,"Approved")&gt;0,"A",""))="A","A",IF(OR(DATE($B$3,12,11)&gt;EOMONTH(DATE($B$3,12,1),0),NETWORKDAYS.INTL(DATE($B$3,12,11),DATE($B$3,12,11),1,'Non-working days'!$A$6:$A$45)=0),"",IF(COUNTIFS('Leave log'!$A$7:$A$306,Employees!$A$32,'Leave log'!$B$7:$B$306,"&lt;="&amp;DATE($B$3,12,11),'Leave log'!$C$7:$C$306,"&gt;="&amp;DATE($B$3,12,11),'Leave log'!$F$7:$F$306,"Pending")&gt;0,"P",""))))</f>
        <v/>
      </c>
      <c r="M407" s="23" t="str">
        <f>IF(A407="","",IF(IF(OR(DATE($B$3,12,12)&gt;EOMONTH(DATE($B$3,12,1),0),NETWORKDAYS.INTL(DATE($B$3,12,12),DATE($B$3,12,12),1,'Non-working days'!$A$6:$A$45)=0),"",IF(COUNTIFS('Leave log'!$A$7:$A$306,Employees!$A$32,'Leave log'!$B$7:$B$306,"&lt;="&amp;DATE($B$3,12,12),'Leave log'!$C$7:$C$306,"&gt;="&amp;DATE($B$3,12,12),'Leave log'!$F$7:$F$306,"Approved")&gt;0,"A",""))="A","A",IF(OR(DATE($B$3,12,12)&gt;EOMONTH(DATE($B$3,12,1),0),NETWORKDAYS.INTL(DATE($B$3,12,12),DATE($B$3,12,12),1,'Non-working days'!$A$6:$A$45)=0),"",IF(COUNTIFS('Leave log'!$A$7:$A$306,Employees!$A$32,'Leave log'!$B$7:$B$306,"&lt;="&amp;DATE($B$3,12,12),'Leave log'!$C$7:$C$306,"&gt;="&amp;DATE($B$3,12,12),'Leave log'!$F$7:$F$306,"Pending")&gt;0,"P",""))))</f>
        <v/>
      </c>
      <c r="N407" s="23" t="str">
        <f>IF(A407="","",IF(IF(OR(DATE($B$3,12,13)&gt;EOMONTH(DATE($B$3,12,1),0),NETWORKDAYS.INTL(DATE($B$3,12,13),DATE($B$3,12,13),1,'Non-working days'!$A$6:$A$45)=0),"",IF(COUNTIFS('Leave log'!$A$7:$A$306,Employees!$A$32,'Leave log'!$B$7:$B$306,"&lt;="&amp;DATE($B$3,12,13),'Leave log'!$C$7:$C$306,"&gt;="&amp;DATE($B$3,12,13),'Leave log'!$F$7:$F$306,"Approved")&gt;0,"A",""))="A","A",IF(OR(DATE($B$3,12,13)&gt;EOMONTH(DATE($B$3,12,1),0),NETWORKDAYS.INTL(DATE($B$3,12,13),DATE($B$3,12,13),1,'Non-working days'!$A$6:$A$45)=0),"",IF(COUNTIFS('Leave log'!$A$7:$A$306,Employees!$A$32,'Leave log'!$B$7:$B$306,"&lt;="&amp;DATE($B$3,12,13),'Leave log'!$C$7:$C$306,"&gt;="&amp;DATE($B$3,12,13),'Leave log'!$F$7:$F$306,"Pending")&gt;0,"P",""))))</f>
        <v/>
      </c>
      <c r="O407" s="23" t="str">
        <f>IF(A407="","",IF(IF(OR(DATE($B$3,12,14)&gt;EOMONTH(DATE($B$3,12,1),0),NETWORKDAYS.INTL(DATE($B$3,12,14),DATE($B$3,12,14),1,'Non-working days'!$A$6:$A$45)=0),"",IF(COUNTIFS('Leave log'!$A$7:$A$306,Employees!$A$32,'Leave log'!$B$7:$B$306,"&lt;="&amp;DATE($B$3,12,14),'Leave log'!$C$7:$C$306,"&gt;="&amp;DATE($B$3,12,14),'Leave log'!$F$7:$F$306,"Approved")&gt;0,"A",""))="A","A",IF(OR(DATE($B$3,12,14)&gt;EOMONTH(DATE($B$3,12,1),0),NETWORKDAYS.INTL(DATE($B$3,12,14),DATE($B$3,12,14),1,'Non-working days'!$A$6:$A$45)=0),"",IF(COUNTIFS('Leave log'!$A$7:$A$306,Employees!$A$32,'Leave log'!$B$7:$B$306,"&lt;="&amp;DATE($B$3,12,14),'Leave log'!$C$7:$C$306,"&gt;="&amp;DATE($B$3,12,14),'Leave log'!$F$7:$F$306,"Pending")&gt;0,"P",""))))</f>
        <v/>
      </c>
      <c r="P407" s="23" t="str">
        <f>IF(A407="","",IF(IF(OR(DATE($B$3,12,15)&gt;EOMONTH(DATE($B$3,12,1),0),NETWORKDAYS.INTL(DATE($B$3,12,15),DATE($B$3,12,15),1,'Non-working days'!$A$6:$A$45)=0),"",IF(COUNTIFS('Leave log'!$A$7:$A$306,Employees!$A$32,'Leave log'!$B$7:$B$306,"&lt;="&amp;DATE($B$3,12,15),'Leave log'!$C$7:$C$306,"&gt;="&amp;DATE($B$3,12,15),'Leave log'!$F$7:$F$306,"Approved")&gt;0,"A",""))="A","A",IF(OR(DATE($B$3,12,15)&gt;EOMONTH(DATE($B$3,12,1),0),NETWORKDAYS.INTL(DATE($B$3,12,15),DATE($B$3,12,15),1,'Non-working days'!$A$6:$A$45)=0),"",IF(COUNTIFS('Leave log'!$A$7:$A$306,Employees!$A$32,'Leave log'!$B$7:$B$306,"&lt;="&amp;DATE($B$3,12,15),'Leave log'!$C$7:$C$306,"&gt;="&amp;DATE($B$3,12,15),'Leave log'!$F$7:$F$306,"Pending")&gt;0,"P",""))))</f>
        <v/>
      </c>
      <c r="Q407" s="23" t="str">
        <f>IF(A407="","",IF(IF(OR(DATE($B$3,12,16)&gt;EOMONTH(DATE($B$3,12,1),0),NETWORKDAYS.INTL(DATE($B$3,12,16),DATE($B$3,12,16),1,'Non-working days'!$A$6:$A$45)=0),"",IF(COUNTIFS('Leave log'!$A$7:$A$306,Employees!$A$32,'Leave log'!$B$7:$B$306,"&lt;="&amp;DATE($B$3,12,16),'Leave log'!$C$7:$C$306,"&gt;="&amp;DATE($B$3,12,16),'Leave log'!$F$7:$F$306,"Approved")&gt;0,"A",""))="A","A",IF(OR(DATE($B$3,12,16)&gt;EOMONTH(DATE($B$3,12,1),0),NETWORKDAYS.INTL(DATE($B$3,12,16),DATE($B$3,12,16),1,'Non-working days'!$A$6:$A$45)=0),"",IF(COUNTIFS('Leave log'!$A$7:$A$306,Employees!$A$32,'Leave log'!$B$7:$B$306,"&lt;="&amp;DATE($B$3,12,16),'Leave log'!$C$7:$C$306,"&gt;="&amp;DATE($B$3,12,16),'Leave log'!$F$7:$F$306,"Pending")&gt;0,"P",""))))</f>
        <v/>
      </c>
      <c r="R407" s="23" t="str">
        <f>IF(A407="","",IF(IF(OR(DATE($B$3,12,17)&gt;EOMONTH(DATE($B$3,12,1),0),NETWORKDAYS.INTL(DATE($B$3,12,17),DATE($B$3,12,17),1,'Non-working days'!$A$6:$A$45)=0),"",IF(COUNTIFS('Leave log'!$A$7:$A$306,Employees!$A$32,'Leave log'!$B$7:$B$306,"&lt;="&amp;DATE($B$3,12,17),'Leave log'!$C$7:$C$306,"&gt;="&amp;DATE($B$3,12,17),'Leave log'!$F$7:$F$306,"Approved")&gt;0,"A",""))="A","A",IF(OR(DATE($B$3,12,17)&gt;EOMONTH(DATE($B$3,12,1),0),NETWORKDAYS.INTL(DATE($B$3,12,17),DATE($B$3,12,17),1,'Non-working days'!$A$6:$A$45)=0),"",IF(COUNTIFS('Leave log'!$A$7:$A$306,Employees!$A$32,'Leave log'!$B$7:$B$306,"&lt;="&amp;DATE($B$3,12,17),'Leave log'!$C$7:$C$306,"&gt;="&amp;DATE($B$3,12,17),'Leave log'!$F$7:$F$306,"Pending")&gt;0,"P",""))))</f>
        <v/>
      </c>
      <c r="S407" s="23" t="str">
        <f>IF(A407="","",IF(IF(OR(DATE($B$3,12,18)&gt;EOMONTH(DATE($B$3,12,1),0),NETWORKDAYS.INTL(DATE($B$3,12,18),DATE($B$3,12,18),1,'Non-working days'!$A$6:$A$45)=0),"",IF(COUNTIFS('Leave log'!$A$7:$A$306,Employees!$A$32,'Leave log'!$B$7:$B$306,"&lt;="&amp;DATE($B$3,12,18),'Leave log'!$C$7:$C$306,"&gt;="&amp;DATE($B$3,12,18),'Leave log'!$F$7:$F$306,"Approved")&gt;0,"A",""))="A","A",IF(OR(DATE($B$3,12,18)&gt;EOMONTH(DATE($B$3,12,1),0),NETWORKDAYS.INTL(DATE($B$3,12,18),DATE($B$3,12,18),1,'Non-working days'!$A$6:$A$45)=0),"",IF(COUNTIFS('Leave log'!$A$7:$A$306,Employees!$A$32,'Leave log'!$B$7:$B$306,"&lt;="&amp;DATE($B$3,12,18),'Leave log'!$C$7:$C$306,"&gt;="&amp;DATE($B$3,12,18),'Leave log'!$F$7:$F$306,"Pending")&gt;0,"P",""))))</f>
        <v/>
      </c>
      <c r="T407" s="23" t="str">
        <f>IF(A407="","",IF(IF(OR(DATE($B$3,12,19)&gt;EOMONTH(DATE($B$3,12,1),0),NETWORKDAYS.INTL(DATE($B$3,12,19),DATE($B$3,12,19),1,'Non-working days'!$A$6:$A$45)=0),"",IF(COUNTIFS('Leave log'!$A$7:$A$306,Employees!$A$32,'Leave log'!$B$7:$B$306,"&lt;="&amp;DATE($B$3,12,19),'Leave log'!$C$7:$C$306,"&gt;="&amp;DATE($B$3,12,19),'Leave log'!$F$7:$F$306,"Approved")&gt;0,"A",""))="A","A",IF(OR(DATE($B$3,12,19)&gt;EOMONTH(DATE($B$3,12,1),0),NETWORKDAYS.INTL(DATE($B$3,12,19),DATE($B$3,12,19),1,'Non-working days'!$A$6:$A$45)=0),"",IF(COUNTIFS('Leave log'!$A$7:$A$306,Employees!$A$32,'Leave log'!$B$7:$B$306,"&lt;="&amp;DATE($B$3,12,19),'Leave log'!$C$7:$C$306,"&gt;="&amp;DATE($B$3,12,19),'Leave log'!$F$7:$F$306,"Pending")&gt;0,"P",""))))</f>
        <v/>
      </c>
      <c r="U407" s="23" t="str">
        <f>IF(A407="","",IF(IF(OR(DATE($B$3,12,20)&gt;EOMONTH(DATE($B$3,12,1),0),NETWORKDAYS.INTL(DATE($B$3,12,20),DATE($B$3,12,20),1,'Non-working days'!$A$6:$A$45)=0),"",IF(COUNTIFS('Leave log'!$A$7:$A$306,Employees!$A$32,'Leave log'!$B$7:$B$306,"&lt;="&amp;DATE($B$3,12,20),'Leave log'!$C$7:$C$306,"&gt;="&amp;DATE($B$3,12,20),'Leave log'!$F$7:$F$306,"Approved")&gt;0,"A",""))="A","A",IF(OR(DATE($B$3,12,20)&gt;EOMONTH(DATE($B$3,12,1),0),NETWORKDAYS.INTL(DATE($B$3,12,20),DATE($B$3,12,20),1,'Non-working days'!$A$6:$A$45)=0),"",IF(COUNTIFS('Leave log'!$A$7:$A$306,Employees!$A$32,'Leave log'!$B$7:$B$306,"&lt;="&amp;DATE($B$3,12,20),'Leave log'!$C$7:$C$306,"&gt;="&amp;DATE($B$3,12,20),'Leave log'!$F$7:$F$306,"Pending")&gt;0,"P",""))))</f>
        <v/>
      </c>
      <c r="V407" s="23" t="str">
        <f>IF(A407="","",IF(IF(OR(DATE($B$3,12,21)&gt;EOMONTH(DATE($B$3,12,1),0),NETWORKDAYS.INTL(DATE($B$3,12,21),DATE($B$3,12,21),1,'Non-working days'!$A$6:$A$45)=0),"",IF(COUNTIFS('Leave log'!$A$7:$A$306,Employees!$A$32,'Leave log'!$B$7:$B$306,"&lt;="&amp;DATE($B$3,12,21),'Leave log'!$C$7:$C$306,"&gt;="&amp;DATE($B$3,12,21),'Leave log'!$F$7:$F$306,"Approved")&gt;0,"A",""))="A","A",IF(OR(DATE($B$3,12,21)&gt;EOMONTH(DATE($B$3,12,1),0),NETWORKDAYS.INTL(DATE($B$3,12,21),DATE($B$3,12,21),1,'Non-working days'!$A$6:$A$45)=0),"",IF(COUNTIFS('Leave log'!$A$7:$A$306,Employees!$A$32,'Leave log'!$B$7:$B$306,"&lt;="&amp;DATE($B$3,12,21),'Leave log'!$C$7:$C$306,"&gt;="&amp;DATE($B$3,12,21),'Leave log'!$F$7:$F$306,"Pending")&gt;0,"P",""))))</f>
        <v/>
      </c>
      <c r="W407" s="23" t="str">
        <f>IF(A407="","",IF(IF(OR(DATE($B$3,12,22)&gt;EOMONTH(DATE($B$3,12,1),0),NETWORKDAYS.INTL(DATE($B$3,12,22),DATE($B$3,12,22),1,'Non-working days'!$A$6:$A$45)=0),"",IF(COUNTIFS('Leave log'!$A$7:$A$306,Employees!$A$32,'Leave log'!$B$7:$B$306,"&lt;="&amp;DATE($B$3,12,22),'Leave log'!$C$7:$C$306,"&gt;="&amp;DATE($B$3,12,22),'Leave log'!$F$7:$F$306,"Approved")&gt;0,"A",""))="A","A",IF(OR(DATE($B$3,12,22)&gt;EOMONTH(DATE($B$3,12,1),0),NETWORKDAYS.INTL(DATE($B$3,12,22),DATE($B$3,12,22),1,'Non-working days'!$A$6:$A$45)=0),"",IF(COUNTIFS('Leave log'!$A$7:$A$306,Employees!$A$32,'Leave log'!$B$7:$B$306,"&lt;="&amp;DATE($B$3,12,22),'Leave log'!$C$7:$C$306,"&gt;="&amp;DATE($B$3,12,22),'Leave log'!$F$7:$F$306,"Pending")&gt;0,"P",""))))</f>
        <v/>
      </c>
      <c r="X407" s="23" t="str">
        <f>IF(A407="","",IF(IF(OR(DATE($B$3,12,23)&gt;EOMONTH(DATE($B$3,12,1),0),NETWORKDAYS.INTL(DATE($B$3,12,23),DATE($B$3,12,23),1,'Non-working days'!$A$6:$A$45)=0),"",IF(COUNTIFS('Leave log'!$A$7:$A$306,Employees!$A$32,'Leave log'!$B$7:$B$306,"&lt;="&amp;DATE($B$3,12,23),'Leave log'!$C$7:$C$306,"&gt;="&amp;DATE($B$3,12,23),'Leave log'!$F$7:$F$306,"Approved")&gt;0,"A",""))="A","A",IF(OR(DATE($B$3,12,23)&gt;EOMONTH(DATE($B$3,12,1),0),NETWORKDAYS.INTL(DATE($B$3,12,23),DATE($B$3,12,23),1,'Non-working days'!$A$6:$A$45)=0),"",IF(COUNTIFS('Leave log'!$A$7:$A$306,Employees!$A$32,'Leave log'!$B$7:$B$306,"&lt;="&amp;DATE($B$3,12,23),'Leave log'!$C$7:$C$306,"&gt;="&amp;DATE($B$3,12,23),'Leave log'!$F$7:$F$306,"Pending")&gt;0,"P",""))))</f>
        <v/>
      </c>
      <c r="Y407" s="23" t="str">
        <f>IF(A407="","",IF(IF(OR(DATE($B$3,12,24)&gt;EOMONTH(DATE($B$3,12,1),0),NETWORKDAYS.INTL(DATE($B$3,12,24),DATE($B$3,12,24),1,'Non-working days'!$A$6:$A$45)=0),"",IF(COUNTIFS('Leave log'!$A$7:$A$306,Employees!$A$32,'Leave log'!$B$7:$B$306,"&lt;="&amp;DATE($B$3,12,24),'Leave log'!$C$7:$C$306,"&gt;="&amp;DATE($B$3,12,24),'Leave log'!$F$7:$F$306,"Approved")&gt;0,"A",""))="A","A",IF(OR(DATE($B$3,12,24)&gt;EOMONTH(DATE($B$3,12,1),0),NETWORKDAYS.INTL(DATE($B$3,12,24),DATE($B$3,12,24),1,'Non-working days'!$A$6:$A$45)=0),"",IF(COUNTIFS('Leave log'!$A$7:$A$306,Employees!$A$32,'Leave log'!$B$7:$B$306,"&lt;="&amp;DATE($B$3,12,24),'Leave log'!$C$7:$C$306,"&gt;="&amp;DATE($B$3,12,24),'Leave log'!$F$7:$F$306,"Pending")&gt;0,"P",""))))</f>
        <v/>
      </c>
      <c r="Z407" s="23" t="str">
        <f>IF(A407="","",IF(IF(OR(DATE($B$3,12,25)&gt;EOMONTH(DATE($B$3,12,1),0),NETWORKDAYS.INTL(DATE($B$3,12,25),DATE($B$3,12,25),1,'Non-working days'!$A$6:$A$45)=0),"",IF(COUNTIFS('Leave log'!$A$7:$A$306,Employees!$A$32,'Leave log'!$B$7:$B$306,"&lt;="&amp;DATE($B$3,12,25),'Leave log'!$C$7:$C$306,"&gt;="&amp;DATE($B$3,12,25),'Leave log'!$F$7:$F$306,"Approved")&gt;0,"A",""))="A","A",IF(OR(DATE($B$3,12,25)&gt;EOMONTH(DATE($B$3,12,1),0),NETWORKDAYS.INTL(DATE($B$3,12,25),DATE($B$3,12,25),1,'Non-working days'!$A$6:$A$45)=0),"",IF(COUNTIFS('Leave log'!$A$7:$A$306,Employees!$A$32,'Leave log'!$B$7:$B$306,"&lt;="&amp;DATE($B$3,12,25),'Leave log'!$C$7:$C$306,"&gt;="&amp;DATE($B$3,12,25),'Leave log'!$F$7:$F$306,"Pending")&gt;0,"P",""))))</f>
        <v/>
      </c>
      <c r="AA407" s="23" t="str">
        <f>IF(A407="","",IF(IF(OR(DATE($B$3,12,26)&gt;EOMONTH(DATE($B$3,12,1),0),NETWORKDAYS.INTL(DATE($B$3,12,26),DATE($B$3,12,26),1,'Non-working days'!$A$6:$A$45)=0),"",IF(COUNTIFS('Leave log'!$A$7:$A$306,Employees!$A$32,'Leave log'!$B$7:$B$306,"&lt;="&amp;DATE($B$3,12,26),'Leave log'!$C$7:$C$306,"&gt;="&amp;DATE($B$3,12,26),'Leave log'!$F$7:$F$306,"Approved")&gt;0,"A",""))="A","A",IF(OR(DATE($B$3,12,26)&gt;EOMONTH(DATE($B$3,12,1),0),NETWORKDAYS.INTL(DATE($B$3,12,26),DATE($B$3,12,26),1,'Non-working days'!$A$6:$A$45)=0),"",IF(COUNTIFS('Leave log'!$A$7:$A$306,Employees!$A$32,'Leave log'!$B$7:$B$306,"&lt;="&amp;DATE($B$3,12,26),'Leave log'!$C$7:$C$306,"&gt;="&amp;DATE($B$3,12,26),'Leave log'!$F$7:$F$306,"Pending")&gt;0,"P",""))))</f>
        <v/>
      </c>
      <c r="AB407" s="23" t="str">
        <f>IF(A407="","",IF(IF(OR(DATE($B$3,12,27)&gt;EOMONTH(DATE($B$3,12,1),0),NETWORKDAYS.INTL(DATE($B$3,12,27),DATE($B$3,12,27),1,'Non-working days'!$A$6:$A$45)=0),"",IF(COUNTIFS('Leave log'!$A$7:$A$306,Employees!$A$32,'Leave log'!$B$7:$B$306,"&lt;="&amp;DATE($B$3,12,27),'Leave log'!$C$7:$C$306,"&gt;="&amp;DATE($B$3,12,27),'Leave log'!$F$7:$F$306,"Approved")&gt;0,"A",""))="A","A",IF(OR(DATE($B$3,12,27)&gt;EOMONTH(DATE($B$3,12,1),0),NETWORKDAYS.INTL(DATE($B$3,12,27),DATE($B$3,12,27),1,'Non-working days'!$A$6:$A$45)=0),"",IF(COUNTIFS('Leave log'!$A$7:$A$306,Employees!$A$32,'Leave log'!$B$7:$B$306,"&lt;="&amp;DATE($B$3,12,27),'Leave log'!$C$7:$C$306,"&gt;="&amp;DATE($B$3,12,27),'Leave log'!$F$7:$F$306,"Pending")&gt;0,"P",""))))</f>
        <v/>
      </c>
      <c r="AC407" s="23" t="str">
        <f>IF(A407="","",IF(IF(OR(DATE($B$3,12,28)&gt;EOMONTH(DATE($B$3,12,1),0),NETWORKDAYS.INTL(DATE($B$3,12,28),DATE($B$3,12,28),1,'Non-working days'!$A$6:$A$45)=0),"",IF(COUNTIFS('Leave log'!$A$7:$A$306,Employees!$A$32,'Leave log'!$B$7:$B$306,"&lt;="&amp;DATE($B$3,12,28),'Leave log'!$C$7:$C$306,"&gt;="&amp;DATE($B$3,12,28),'Leave log'!$F$7:$F$306,"Approved")&gt;0,"A",""))="A","A",IF(OR(DATE($B$3,12,28)&gt;EOMONTH(DATE($B$3,12,1),0),NETWORKDAYS.INTL(DATE($B$3,12,28),DATE($B$3,12,28),1,'Non-working days'!$A$6:$A$45)=0),"",IF(COUNTIFS('Leave log'!$A$7:$A$306,Employees!$A$32,'Leave log'!$B$7:$B$306,"&lt;="&amp;DATE($B$3,12,28),'Leave log'!$C$7:$C$306,"&gt;="&amp;DATE($B$3,12,28),'Leave log'!$F$7:$F$306,"Pending")&gt;0,"P",""))))</f>
        <v/>
      </c>
      <c r="AD407" s="23" t="str">
        <f>IF(A407="","",IF(IF(OR(DATE($B$3,12,29)&gt;EOMONTH(DATE($B$3,12,1),0),NETWORKDAYS.INTL(DATE($B$3,12,29),DATE($B$3,12,29),1,'Non-working days'!$A$6:$A$45)=0),"",IF(COUNTIFS('Leave log'!$A$7:$A$306,Employees!$A$32,'Leave log'!$B$7:$B$306,"&lt;="&amp;DATE($B$3,12,29),'Leave log'!$C$7:$C$306,"&gt;="&amp;DATE($B$3,12,29),'Leave log'!$F$7:$F$306,"Approved")&gt;0,"A",""))="A","A",IF(OR(DATE($B$3,12,29)&gt;EOMONTH(DATE($B$3,12,1),0),NETWORKDAYS.INTL(DATE($B$3,12,29),DATE($B$3,12,29),1,'Non-working days'!$A$6:$A$45)=0),"",IF(COUNTIFS('Leave log'!$A$7:$A$306,Employees!$A$32,'Leave log'!$B$7:$B$306,"&lt;="&amp;DATE($B$3,12,29),'Leave log'!$C$7:$C$306,"&gt;="&amp;DATE($B$3,12,29),'Leave log'!$F$7:$F$306,"Pending")&gt;0,"P",""))))</f>
        <v/>
      </c>
      <c r="AE407" s="23" t="str">
        <f>IF(A407="","",IF(IF(OR(DATE($B$3,12,30)&gt;EOMONTH(DATE($B$3,12,1),0),NETWORKDAYS.INTL(DATE($B$3,12,30),DATE($B$3,12,30),1,'Non-working days'!$A$6:$A$45)=0),"",IF(COUNTIFS('Leave log'!$A$7:$A$306,Employees!$A$32,'Leave log'!$B$7:$B$306,"&lt;="&amp;DATE($B$3,12,30),'Leave log'!$C$7:$C$306,"&gt;="&amp;DATE($B$3,12,30),'Leave log'!$F$7:$F$306,"Approved")&gt;0,"A",""))="A","A",IF(OR(DATE($B$3,12,30)&gt;EOMONTH(DATE($B$3,12,1),0),NETWORKDAYS.INTL(DATE($B$3,12,30),DATE($B$3,12,30),1,'Non-working days'!$A$6:$A$45)=0),"",IF(COUNTIFS('Leave log'!$A$7:$A$306,Employees!$A$32,'Leave log'!$B$7:$B$306,"&lt;="&amp;DATE($B$3,12,30),'Leave log'!$C$7:$C$306,"&gt;="&amp;DATE($B$3,12,30),'Leave log'!$F$7:$F$306,"Pending")&gt;0,"P",""))))</f>
        <v/>
      </c>
      <c r="AF407" s="23" t="str">
        <f>IF(A407="","",IF(IF(OR(DATE($B$3,12,31)&gt;EOMONTH(DATE($B$3,12,1),0),NETWORKDAYS.INTL(DATE($B$3,12,31),DATE($B$3,12,31),1,'Non-working days'!$A$6:$A$45)=0),"",IF(COUNTIFS('Leave log'!$A$7:$A$306,Employees!$A$32,'Leave log'!$B$7:$B$306,"&lt;="&amp;DATE($B$3,12,31),'Leave log'!$C$7:$C$306,"&gt;="&amp;DATE($B$3,12,31),'Leave log'!$F$7:$F$306,"Approved")&gt;0,"A",""))="A","A",IF(OR(DATE($B$3,12,31)&gt;EOMONTH(DATE($B$3,12,1),0),NETWORKDAYS.INTL(DATE($B$3,12,31),DATE($B$3,12,31),1,'Non-working days'!$A$6:$A$45)=0),"",IF(COUNTIFS('Leave log'!$A$7:$A$306,Employees!$A$32,'Leave log'!$B$7:$B$306,"&lt;="&amp;DATE($B$3,12,31),'Leave log'!$C$7:$C$306,"&gt;="&amp;DATE($B$3,12,31),'Leave log'!$F$7:$F$306,"Pending")&gt;0,"P",""))))</f>
        <v/>
      </c>
    </row>
    <row r="408" spans="1:32" ht="18" customHeight="1" x14ac:dyDescent="0.3">
      <c r="A408" s="22" t="str">
        <f>IF(Employees!F33="Yes",Employees!B33,"")</f>
        <v/>
      </c>
      <c r="B408" s="23" t="str">
        <f>IF(A408="","",IF(IF(OR(DATE($B$3,12,1)&gt;EOMONTH(DATE($B$3,12,1),0),NETWORKDAYS.INTL(DATE($B$3,12,1),DATE($B$3,12,1),1,'Non-working days'!$A$6:$A$45)=0),"",IF(COUNTIFS('Leave log'!$A$7:$A$306,Employees!$A$33,'Leave log'!$B$7:$B$306,"&lt;="&amp;DATE($B$3,12,1),'Leave log'!$C$7:$C$306,"&gt;="&amp;DATE($B$3,12,1),'Leave log'!$F$7:$F$306,"Approved")&gt;0,"A",""))="A","A",IF(OR(DATE($B$3,12,1)&gt;EOMONTH(DATE($B$3,12,1),0),NETWORKDAYS.INTL(DATE($B$3,12,1),DATE($B$3,12,1),1,'Non-working days'!$A$6:$A$45)=0),"",IF(COUNTIFS('Leave log'!$A$7:$A$306,Employees!$A$33,'Leave log'!$B$7:$B$306,"&lt;="&amp;DATE($B$3,12,1),'Leave log'!$C$7:$C$306,"&gt;="&amp;DATE($B$3,12,1),'Leave log'!$F$7:$F$306,"Pending")&gt;0,"P",""))))</f>
        <v/>
      </c>
      <c r="C408" s="23" t="str">
        <f>IF(A408="","",IF(IF(OR(DATE($B$3,12,2)&gt;EOMONTH(DATE($B$3,12,1),0),NETWORKDAYS.INTL(DATE($B$3,12,2),DATE($B$3,12,2),1,'Non-working days'!$A$6:$A$45)=0),"",IF(COUNTIFS('Leave log'!$A$7:$A$306,Employees!$A$33,'Leave log'!$B$7:$B$306,"&lt;="&amp;DATE($B$3,12,2),'Leave log'!$C$7:$C$306,"&gt;="&amp;DATE($B$3,12,2),'Leave log'!$F$7:$F$306,"Approved")&gt;0,"A",""))="A","A",IF(OR(DATE($B$3,12,2)&gt;EOMONTH(DATE($B$3,12,1),0),NETWORKDAYS.INTL(DATE($B$3,12,2),DATE($B$3,12,2),1,'Non-working days'!$A$6:$A$45)=0),"",IF(COUNTIFS('Leave log'!$A$7:$A$306,Employees!$A$33,'Leave log'!$B$7:$B$306,"&lt;="&amp;DATE($B$3,12,2),'Leave log'!$C$7:$C$306,"&gt;="&amp;DATE($B$3,12,2),'Leave log'!$F$7:$F$306,"Pending")&gt;0,"P",""))))</f>
        <v/>
      </c>
      <c r="D408" s="23" t="str">
        <f>IF(A408="","",IF(IF(OR(DATE($B$3,12,3)&gt;EOMONTH(DATE($B$3,12,1),0),NETWORKDAYS.INTL(DATE($B$3,12,3),DATE($B$3,12,3),1,'Non-working days'!$A$6:$A$45)=0),"",IF(COUNTIFS('Leave log'!$A$7:$A$306,Employees!$A$33,'Leave log'!$B$7:$B$306,"&lt;="&amp;DATE($B$3,12,3),'Leave log'!$C$7:$C$306,"&gt;="&amp;DATE($B$3,12,3),'Leave log'!$F$7:$F$306,"Approved")&gt;0,"A",""))="A","A",IF(OR(DATE($B$3,12,3)&gt;EOMONTH(DATE($B$3,12,1),0),NETWORKDAYS.INTL(DATE($B$3,12,3),DATE($B$3,12,3),1,'Non-working days'!$A$6:$A$45)=0),"",IF(COUNTIFS('Leave log'!$A$7:$A$306,Employees!$A$33,'Leave log'!$B$7:$B$306,"&lt;="&amp;DATE($B$3,12,3),'Leave log'!$C$7:$C$306,"&gt;="&amp;DATE($B$3,12,3),'Leave log'!$F$7:$F$306,"Pending")&gt;0,"P",""))))</f>
        <v/>
      </c>
      <c r="E408" s="23" t="str">
        <f>IF(A408="","",IF(IF(OR(DATE($B$3,12,4)&gt;EOMONTH(DATE($B$3,12,1),0),NETWORKDAYS.INTL(DATE($B$3,12,4),DATE($B$3,12,4),1,'Non-working days'!$A$6:$A$45)=0),"",IF(COUNTIFS('Leave log'!$A$7:$A$306,Employees!$A$33,'Leave log'!$B$7:$B$306,"&lt;="&amp;DATE($B$3,12,4),'Leave log'!$C$7:$C$306,"&gt;="&amp;DATE($B$3,12,4),'Leave log'!$F$7:$F$306,"Approved")&gt;0,"A",""))="A","A",IF(OR(DATE($B$3,12,4)&gt;EOMONTH(DATE($B$3,12,1),0),NETWORKDAYS.INTL(DATE($B$3,12,4),DATE($B$3,12,4),1,'Non-working days'!$A$6:$A$45)=0),"",IF(COUNTIFS('Leave log'!$A$7:$A$306,Employees!$A$33,'Leave log'!$B$7:$B$306,"&lt;="&amp;DATE($B$3,12,4),'Leave log'!$C$7:$C$306,"&gt;="&amp;DATE($B$3,12,4),'Leave log'!$F$7:$F$306,"Pending")&gt;0,"P",""))))</f>
        <v/>
      </c>
      <c r="F408" s="23" t="str">
        <f>IF(A408="","",IF(IF(OR(DATE($B$3,12,5)&gt;EOMONTH(DATE($B$3,12,1),0),NETWORKDAYS.INTL(DATE($B$3,12,5),DATE($B$3,12,5),1,'Non-working days'!$A$6:$A$45)=0),"",IF(COUNTIFS('Leave log'!$A$7:$A$306,Employees!$A$33,'Leave log'!$B$7:$B$306,"&lt;="&amp;DATE($B$3,12,5),'Leave log'!$C$7:$C$306,"&gt;="&amp;DATE($B$3,12,5),'Leave log'!$F$7:$F$306,"Approved")&gt;0,"A",""))="A","A",IF(OR(DATE($B$3,12,5)&gt;EOMONTH(DATE($B$3,12,1),0),NETWORKDAYS.INTL(DATE($B$3,12,5),DATE($B$3,12,5),1,'Non-working days'!$A$6:$A$45)=0),"",IF(COUNTIFS('Leave log'!$A$7:$A$306,Employees!$A$33,'Leave log'!$B$7:$B$306,"&lt;="&amp;DATE($B$3,12,5),'Leave log'!$C$7:$C$306,"&gt;="&amp;DATE($B$3,12,5),'Leave log'!$F$7:$F$306,"Pending")&gt;0,"P",""))))</f>
        <v/>
      </c>
      <c r="G408" s="23" t="str">
        <f>IF(A408="","",IF(IF(OR(DATE($B$3,12,6)&gt;EOMONTH(DATE($B$3,12,1),0),NETWORKDAYS.INTL(DATE($B$3,12,6),DATE($B$3,12,6),1,'Non-working days'!$A$6:$A$45)=0),"",IF(COUNTIFS('Leave log'!$A$7:$A$306,Employees!$A$33,'Leave log'!$B$7:$B$306,"&lt;="&amp;DATE($B$3,12,6),'Leave log'!$C$7:$C$306,"&gt;="&amp;DATE($B$3,12,6),'Leave log'!$F$7:$F$306,"Approved")&gt;0,"A",""))="A","A",IF(OR(DATE($B$3,12,6)&gt;EOMONTH(DATE($B$3,12,1),0),NETWORKDAYS.INTL(DATE($B$3,12,6),DATE($B$3,12,6),1,'Non-working days'!$A$6:$A$45)=0),"",IF(COUNTIFS('Leave log'!$A$7:$A$306,Employees!$A$33,'Leave log'!$B$7:$B$306,"&lt;="&amp;DATE($B$3,12,6),'Leave log'!$C$7:$C$306,"&gt;="&amp;DATE($B$3,12,6),'Leave log'!$F$7:$F$306,"Pending")&gt;0,"P",""))))</f>
        <v/>
      </c>
      <c r="H408" s="23" t="str">
        <f>IF(A408="","",IF(IF(OR(DATE($B$3,12,7)&gt;EOMONTH(DATE($B$3,12,1),0),NETWORKDAYS.INTL(DATE($B$3,12,7),DATE($B$3,12,7),1,'Non-working days'!$A$6:$A$45)=0),"",IF(COUNTIFS('Leave log'!$A$7:$A$306,Employees!$A$33,'Leave log'!$B$7:$B$306,"&lt;="&amp;DATE($B$3,12,7),'Leave log'!$C$7:$C$306,"&gt;="&amp;DATE($B$3,12,7),'Leave log'!$F$7:$F$306,"Approved")&gt;0,"A",""))="A","A",IF(OR(DATE($B$3,12,7)&gt;EOMONTH(DATE($B$3,12,1),0),NETWORKDAYS.INTL(DATE($B$3,12,7),DATE($B$3,12,7),1,'Non-working days'!$A$6:$A$45)=0),"",IF(COUNTIFS('Leave log'!$A$7:$A$306,Employees!$A$33,'Leave log'!$B$7:$B$306,"&lt;="&amp;DATE($B$3,12,7),'Leave log'!$C$7:$C$306,"&gt;="&amp;DATE($B$3,12,7),'Leave log'!$F$7:$F$306,"Pending")&gt;0,"P",""))))</f>
        <v/>
      </c>
      <c r="I408" s="23" t="str">
        <f>IF(A408="","",IF(IF(OR(DATE($B$3,12,8)&gt;EOMONTH(DATE($B$3,12,1),0),NETWORKDAYS.INTL(DATE($B$3,12,8),DATE($B$3,12,8),1,'Non-working days'!$A$6:$A$45)=0),"",IF(COUNTIFS('Leave log'!$A$7:$A$306,Employees!$A$33,'Leave log'!$B$7:$B$306,"&lt;="&amp;DATE($B$3,12,8),'Leave log'!$C$7:$C$306,"&gt;="&amp;DATE($B$3,12,8),'Leave log'!$F$7:$F$306,"Approved")&gt;0,"A",""))="A","A",IF(OR(DATE($B$3,12,8)&gt;EOMONTH(DATE($B$3,12,1),0),NETWORKDAYS.INTL(DATE($B$3,12,8),DATE($B$3,12,8),1,'Non-working days'!$A$6:$A$45)=0),"",IF(COUNTIFS('Leave log'!$A$7:$A$306,Employees!$A$33,'Leave log'!$B$7:$B$306,"&lt;="&amp;DATE($B$3,12,8),'Leave log'!$C$7:$C$306,"&gt;="&amp;DATE($B$3,12,8),'Leave log'!$F$7:$F$306,"Pending")&gt;0,"P",""))))</f>
        <v/>
      </c>
      <c r="J408" s="23" t="str">
        <f>IF(A408="","",IF(IF(OR(DATE($B$3,12,9)&gt;EOMONTH(DATE($B$3,12,1),0),NETWORKDAYS.INTL(DATE($B$3,12,9),DATE($B$3,12,9),1,'Non-working days'!$A$6:$A$45)=0),"",IF(COUNTIFS('Leave log'!$A$7:$A$306,Employees!$A$33,'Leave log'!$B$7:$B$306,"&lt;="&amp;DATE($B$3,12,9),'Leave log'!$C$7:$C$306,"&gt;="&amp;DATE($B$3,12,9),'Leave log'!$F$7:$F$306,"Approved")&gt;0,"A",""))="A","A",IF(OR(DATE($B$3,12,9)&gt;EOMONTH(DATE($B$3,12,1),0),NETWORKDAYS.INTL(DATE($B$3,12,9),DATE($B$3,12,9),1,'Non-working days'!$A$6:$A$45)=0),"",IF(COUNTIFS('Leave log'!$A$7:$A$306,Employees!$A$33,'Leave log'!$B$7:$B$306,"&lt;="&amp;DATE($B$3,12,9),'Leave log'!$C$7:$C$306,"&gt;="&amp;DATE($B$3,12,9),'Leave log'!$F$7:$F$306,"Pending")&gt;0,"P",""))))</f>
        <v/>
      </c>
      <c r="K408" s="23" t="str">
        <f>IF(A408="","",IF(IF(OR(DATE($B$3,12,10)&gt;EOMONTH(DATE($B$3,12,1),0),NETWORKDAYS.INTL(DATE($B$3,12,10),DATE($B$3,12,10),1,'Non-working days'!$A$6:$A$45)=0),"",IF(COUNTIFS('Leave log'!$A$7:$A$306,Employees!$A$33,'Leave log'!$B$7:$B$306,"&lt;="&amp;DATE($B$3,12,10),'Leave log'!$C$7:$C$306,"&gt;="&amp;DATE($B$3,12,10),'Leave log'!$F$7:$F$306,"Approved")&gt;0,"A",""))="A","A",IF(OR(DATE($B$3,12,10)&gt;EOMONTH(DATE($B$3,12,1),0),NETWORKDAYS.INTL(DATE($B$3,12,10),DATE($B$3,12,10),1,'Non-working days'!$A$6:$A$45)=0),"",IF(COUNTIFS('Leave log'!$A$7:$A$306,Employees!$A$33,'Leave log'!$B$7:$B$306,"&lt;="&amp;DATE($B$3,12,10),'Leave log'!$C$7:$C$306,"&gt;="&amp;DATE($B$3,12,10),'Leave log'!$F$7:$F$306,"Pending")&gt;0,"P",""))))</f>
        <v/>
      </c>
      <c r="L408" s="23" t="str">
        <f>IF(A408="","",IF(IF(OR(DATE($B$3,12,11)&gt;EOMONTH(DATE($B$3,12,1),0),NETWORKDAYS.INTL(DATE($B$3,12,11),DATE($B$3,12,11),1,'Non-working days'!$A$6:$A$45)=0),"",IF(COUNTIFS('Leave log'!$A$7:$A$306,Employees!$A$33,'Leave log'!$B$7:$B$306,"&lt;="&amp;DATE($B$3,12,11),'Leave log'!$C$7:$C$306,"&gt;="&amp;DATE($B$3,12,11),'Leave log'!$F$7:$F$306,"Approved")&gt;0,"A",""))="A","A",IF(OR(DATE($B$3,12,11)&gt;EOMONTH(DATE($B$3,12,1),0),NETWORKDAYS.INTL(DATE($B$3,12,11),DATE($B$3,12,11),1,'Non-working days'!$A$6:$A$45)=0),"",IF(COUNTIFS('Leave log'!$A$7:$A$306,Employees!$A$33,'Leave log'!$B$7:$B$306,"&lt;="&amp;DATE($B$3,12,11),'Leave log'!$C$7:$C$306,"&gt;="&amp;DATE($B$3,12,11),'Leave log'!$F$7:$F$306,"Pending")&gt;0,"P",""))))</f>
        <v/>
      </c>
      <c r="M408" s="23" t="str">
        <f>IF(A408="","",IF(IF(OR(DATE($B$3,12,12)&gt;EOMONTH(DATE($B$3,12,1),0),NETWORKDAYS.INTL(DATE($B$3,12,12),DATE($B$3,12,12),1,'Non-working days'!$A$6:$A$45)=0),"",IF(COUNTIFS('Leave log'!$A$7:$A$306,Employees!$A$33,'Leave log'!$B$7:$B$306,"&lt;="&amp;DATE($B$3,12,12),'Leave log'!$C$7:$C$306,"&gt;="&amp;DATE($B$3,12,12),'Leave log'!$F$7:$F$306,"Approved")&gt;0,"A",""))="A","A",IF(OR(DATE($B$3,12,12)&gt;EOMONTH(DATE($B$3,12,1),0),NETWORKDAYS.INTL(DATE($B$3,12,12),DATE($B$3,12,12),1,'Non-working days'!$A$6:$A$45)=0),"",IF(COUNTIFS('Leave log'!$A$7:$A$306,Employees!$A$33,'Leave log'!$B$7:$B$306,"&lt;="&amp;DATE($B$3,12,12),'Leave log'!$C$7:$C$306,"&gt;="&amp;DATE($B$3,12,12),'Leave log'!$F$7:$F$306,"Pending")&gt;0,"P",""))))</f>
        <v/>
      </c>
      <c r="N408" s="23" t="str">
        <f>IF(A408="","",IF(IF(OR(DATE($B$3,12,13)&gt;EOMONTH(DATE($B$3,12,1),0),NETWORKDAYS.INTL(DATE($B$3,12,13),DATE($B$3,12,13),1,'Non-working days'!$A$6:$A$45)=0),"",IF(COUNTIFS('Leave log'!$A$7:$A$306,Employees!$A$33,'Leave log'!$B$7:$B$306,"&lt;="&amp;DATE($B$3,12,13),'Leave log'!$C$7:$C$306,"&gt;="&amp;DATE($B$3,12,13),'Leave log'!$F$7:$F$306,"Approved")&gt;0,"A",""))="A","A",IF(OR(DATE($B$3,12,13)&gt;EOMONTH(DATE($B$3,12,1),0),NETWORKDAYS.INTL(DATE($B$3,12,13),DATE($B$3,12,13),1,'Non-working days'!$A$6:$A$45)=0),"",IF(COUNTIFS('Leave log'!$A$7:$A$306,Employees!$A$33,'Leave log'!$B$7:$B$306,"&lt;="&amp;DATE($B$3,12,13),'Leave log'!$C$7:$C$306,"&gt;="&amp;DATE($B$3,12,13),'Leave log'!$F$7:$F$306,"Pending")&gt;0,"P",""))))</f>
        <v/>
      </c>
      <c r="O408" s="23" t="str">
        <f>IF(A408="","",IF(IF(OR(DATE($B$3,12,14)&gt;EOMONTH(DATE($B$3,12,1),0),NETWORKDAYS.INTL(DATE($B$3,12,14),DATE($B$3,12,14),1,'Non-working days'!$A$6:$A$45)=0),"",IF(COUNTIFS('Leave log'!$A$7:$A$306,Employees!$A$33,'Leave log'!$B$7:$B$306,"&lt;="&amp;DATE($B$3,12,14),'Leave log'!$C$7:$C$306,"&gt;="&amp;DATE($B$3,12,14),'Leave log'!$F$7:$F$306,"Approved")&gt;0,"A",""))="A","A",IF(OR(DATE($B$3,12,14)&gt;EOMONTH(DATE($B$3,12,1),0),NETWORKDAYS.INTL(DATE($B$3,12,14),DATE($B$3,12,14),1,'Non-working days'!$A$6:$A$45)=0),"",IF(COUNTIFS('Leave log'!$A$7:$A$306,Employees!$A$33,'Leave log'!$B$7:$B$306,"&lt;="&amp;DATE($B$3,12,14),'Leave log'!$C$7:$C$306,"&gt;="&amp;DATE($B$3,12,14),'Leave log'!$F$7:$F$306,"Pending")&gt;0,"P",""))))</f>
        <v/>
      </c>
      <c r="P408" s="23" t="str">
        <f>IF(A408="","",IF(IF(OR(DATE($B$3,12,15)&gt;EOMONTH(DATE($B$3,12,1),0),NETWORKDAYS.INTL(DATE($B$3,12,15),DATE($B$3,12,15),1,'Non-working days'!$A$6:$A$45)=0),"",IF(COUNTIFS('Leave log'!$A$7:$A$306,Employees!$A$33,'Leave log'!$B$7:$B$306,"&lt;="&amp;DATE($B$3,12,15),'Leave log'!$C$7:$C$306,"&gt;="&amp;DATE($B$3,12,15),'Leave log'!$F$7:$F$306,"Approved")&gt;0,"A",""))="A","A",IF(OR(DATE($B$3,12,15)&gt;EOMONTH(DATE($B$3,12,1),0),NETWORKDAYS.INTL(DATE($B$3,12,15),DATE($B$3,12,15),1,'Non-working days'!$A$6:$A$45)=0),"",IF(COUNTIFS('Leave log'!$A$7:$A$306,Employees!$A$33,'Leave log'!$B$7:$B$306,"&lt;="&amp;DATE($B$3,12,15),'Leave log'!$C$7:$C$306,"&gt;="&amp;DATE($B$3,12,15),'Leave log'!$F$7:$F$306,"Pending")&gt;0,"P",""))))</f>
        <v/>
      </c>
      <c r="Q408" s="23" t="str">
        <f>IF(A408="","",IF(IF(OR(DATE($B$3,12,16)&gt;EOMONTH(DATE($B$3,12,1),0),NETWORKDAYS.INTL(DATE($B$3,12,16),DATE($B$3,12,16),1,'Non-working days'!$A$6:$A$45)=0),"",IF(COUNTIFS('Leave log'!$A$7:$A$306,Employees!$A$33,'Leave log'!$B$7:$B$306,"&lt;="&amp;DATE($B$3,12,16),'Leave log'!$C$7:$C$306,"&gt;="&amp;DATE($B$3,12,16),'Leave log'!$F$7:$F$306,"Approved")&gt;0,"A",""))="A","A",IF(OR(DATE($B$3,12,16)&gt;EOMONTH(DATE($B$3,12,1),0),NETWORKDAYS.INTL(DATE($B$3,12,16),DATE($B$3,12,16),1,'Non-working days'!$A$6:$A$45)=0),"",IF(COUNTIFS('Leave log'!$A$7:$A$306,Employees!$A$33,'Leave log'!$B$7:$B$306,"&lt;="&amp;DATE($B$3,12,16),'Leave log'!$C$7:$C$306,"&gt;="&amp;DATE($B$3,12,16),'Leave log'!$F$7:$F$306,"Pending")&gt;0,"P",""))))</f>
        <v/>
      </c>
      <c r="R408" s="23" t="str">
        <f>IF(A408="","",IF(IF(OR(DATE($B$3,12,17)&gt;EOMONTH(DATE($B$3,12,1),0),NETWORKDAYS.INTL(DATE($B$3,12,17),DATE($B$3,12,17),1,'Non-working days'!$A$6:$A$45)=0),"",IF(COUNTIFS('Leave log'!$A$7:$A$306,Employees!$A$33,'Leave log'!$B$7:$B$306,"&lt;="&amp;DATE($B$3,12,17),'Leave log'!$C$7:$C$306,"&gt;="&amp;DATE($B$3,12,17),'Leave log'!$F$7:$F$306,"Approved")&gt;0,"A",""))="A","A",IF(OR(DATE($B$3,12,17)&gt;EOMONTH(DATE($B$3,12,1),0),NETWORKDAYS.INTL(DATE($B$3,12,17),DATE($B$3,12,17),1,'Non-working days'!$A$6:$A$45)=0),"",IF(COUNTIFS('Leave log'!$A$7:$A$306,Employees!$A$33,'Leave log'!$B$7:$B$306,"&lt;="&amp;DATE($B$3,12,17),'Leave log'!$C$7:$C$306,"&gt;="&amp;DATE($B$3,12,17),'Leave log'!$F$7:$F$306,"Pending")&gt;0,"P",""))))</f>
        <v/>
      </c>
      <c r="S408" s="23" t="str">
        <f>IF(A408="","",IF(IF(OR(DATE($B$3,12,18)&gt;EOMONTH(DATE($B$3,12,1),0),NETWORKDAYS.INTL(DATE($B$3,12,18),DATE($B$3,12,18),1,'Non-working days'!$A$6:$A$45)=0),"",IF(COUNTIFS('Leave log'!$A$7:$A$306,Employees!$A$33,'Leave log'!$B$7:$B$306,"&lt;="&amp;DATE($B$3,12,18),'Leave log'!$C$7:$C$306,"&gt;="&amp;DATE($B$3,12,18),'Leave log'!$F$7:$F$306,"Approved")&gt;0,"A",""))="A","A",IF(OR(DATE($B$3,12,18)&gt;EOMONTH(DATE($B$3,12,1),0),NETWORKDAYS.INTL(DATE($B$3,12,18),DATE($B$3,12,18),1,'Non-working days'!$A$6:$A$45)=0),"",IF(COUNTIFS('Leave log'!$A$7:$A$306,Employees!$A$33,'Leave log'!$B$7:$B$306,"&lt;="&amp;DATE($B$3,12,18),'Leave log'!$C$7:$C$306,"&gt;="&amp;DATE($B$3,12,18),'Leave log'!$F$7:$F$306,"Pending")&gt;0,"P",""))))</f>
        <v/>
      </c>
      <c r="T408" s="23" t="str">
        <f>IF(A408="","",IF(IF(OR(DATE($B$3,12,19)&gt;EOMONTH(DATE($B$3,12,1),0),NETWORKDAYS.INTL(DATE($B$3,12,19),DATE($B$3,12,19),1,'Non-working days'!$A$6:$A$45)=0),"",IF(COUNTIFS('Leave log'!$A$7:$A$306,Employees!$A$33,'Leave log'!$B$7:$B$306,"&lt;="&amp;DATE($B$3,12,19),'Leave log'!$C$7:$C$306,"&gt;="&amp;DATE($B$3,12,19),'Leave log'!$F$7:$F$306,"Approved")&gt;0,"A",""))="A","A",IF(OR(DATE($B$3,12,19)&gt;EOMONTH(DATE($B$3,12,1),0),NETWORKDAYS.INTL(DATE($B$3,12,19),DATE($B$3,12,19),1,'Non-working days'!$A$6:$A$45)=0),"",IF(COUNTIFS('Leave log'!$A$7:$A$306,Employees!$A$33,'Leave log'!$B$7:$B$306,"&lt;="&amp;DATE($B$3,12,19),'Leave log'!$C$7:$C$306,"&gt;="&amp;DATE($B$3,12,19),'Leave log'!$F$7:$F$306,"Pending")&gt;0,"P",""))))</f>
        <v/>
      </c>
      <c r="U408" s="23" t="str">
        <f>IF(A408="","",IF(IF(OR(DATE($B$3,12,20)&gt;EOMONTH(DATE($B$3,12,1),0),NETWORKDAYS.INTL(DATE($B$3,12,20),DATE($B$3,12,20),1,'Non-working days'!$A$6:$A$45)=0),"",IF(COUNTIFS('Leave log'!$A$7:$A$306,Employees!$A$33,'Leave log'!$B$7:$B$306,"&lt;="&amp;DATE($B$3,12,20),'Leave log'!$C$7:$C$306,"&gt;="&amp;DATE($B$3,12,20),'Leave log'!$F$7:$F$306,"Approved")&gt;0,"A",""))="A","A",IF(OR(DATE($B$3,12,20)&gt;EOMONTH(DATE($B$3,12,1),0),NETWORKDAYS.INTL(DATE($B$3,12,20),DATE($B$3,12,20),1,'Non-working days'!$A$6:$A$45)=0),"",IF(COUNTIFS('Leave log'!$A$7:$A$306,Employees!$A$33,'Leave log'!$B$7:$B$306,"&lt;="&amp;DATE($B$3,12,20),'Leave log'!$C$7:$C$306,"&gt;="&amp;DATE($B$3,12,20),'Leave log'!$F$7:$F$306,"Pending")&gt;0,"P",""))))</f>
        <v/>
      </c>
      <c r="V408" s="23" t="str">
        <f>IF(A408="","",IF(IF(OR(DATE($B$3,12,21)&gt;EOMONTH(DATE($B$3,12,1),0),NETWORKDAYS.INTL(DATE($B$3,12,21),DATE($B$3,12,21),1,'Non-working days'!$A$6:$A$45)=0),"",IF(COUNTIFS('Leave log'!$A$7:$A$306,Employees!$A$33,'Leave log'!$B$7:$B$306,"&lt;="&amp;DATE($B$3,12,21),'Leave log'!$C$7:$C$306,"&gt;="&amp;DATE($B$3,12,21),'Leave log'!$F$7:$F$306,"Approved")&gt;0,"A",""))="A","A",IF(OR(DATE($B$3,12,21)&gt;EOMONTH(DATE($B$3,12,1),0),NETWORKDAYS.INTL(DATE($B$3,12,21),DATE($B$3,12,21),1,'Non-working days'!$A$6:$A$45)=0),"",IF(COUNTIFS('Leave log'!$A$7:$A$306,Employees!$A$33,'Leave log'!$B$7:$B$306,"&lt;="&amp;DATE($B$3,12,21),'Leave log'!$C$7:$C$306,"&gt;="&amp;DATE($B$3,12,21),'Leave log'!$F$7:$F$306,"Pending")&gt;0,"P",""))))</f>
        <v/>
      </c>
      <c r="W408" s="23" t="str">
        <f>IF(A408="","",IF(IF(OR(DATE($B$3,12,22)&gt;EOMONTH(DATE($B$3,12,1),0),NETWORKDAYS.INTL(DATE($B$3,12,22),DATE($B$3,12,22),1,'Non-working days'!$A$6:$A$45)=0),"",IF(COUNTIFS('Leave log'!$A$7:$A$306,Employees!$A$33,'Leave log'!$B$7:$B$306,"&lt;="&amp;DATE($B$3,12,22),'Leave log'!$C$7:$C$306,"&gt;="&amp;DATE($B$3,12,22),'Leave log'!$F$7:$F$306,"Approved")&gt;0,"A",""))="A","A",IF(OR(DATE($B$3,12,22)&gt;EOMONTH(DATE($B$3,12,1),0),NETWORKDAYS.INTL(DATE($B$3,12,22),DATE($B$3,12,22),1,'Non-working days'!$A$6:$A$45)=0),"",IF(COUNTIFS('Leave log'!$A$7:$A$306,Employees!$A$33,'Leave log'!$B$7:$B$306,"&lt;="&amp;DATE($B$3,12,22),'Leave log'!$C$7:$C$306,"&gt;="&amp;DATE($B$3,12,22),'Leave log'!$F$7:$F$306,"Pending")&gt;0,"P",""))))</f>
        <v/>
      </c>
      <c r="X408" s="23" t="str">
        <f>IF(A408="","",IF(IF(OR(DATE($B$3,12,23)&gt;EOMONTH(DATE($B$3,12,1),0),NETWORKDAYS.INTL(DATE($B$3,12,23),DATE($B$3,12,23),1,'Non-working days'!$A$6:$A$45)=0),"",IF(COUNTIFS('Leave log'!$A$7:$A$306,Employees!$A$33,'Leave log'!$B$7:$B$306,"&lt;="&amp;DATE($B$3,12,23),'Leave log'!$C$7:$C$306,"&gt;="&amp;DATE($B$3,12,23),'Leave log'!$F$7:$F$306,"Approved")&gt;0,"A",""))="A","A",IF(OR(DATE($B$3,12,23)&gt;EOMONTH(DATE($B$3,12,1),0),NETWORKDAYS.INTL(DATE($B$3,12,23),DATE($B$3,12,23),1,'Non-working days'!$A$6:$A$45)=0),"",IF(COUNTIFS('Leave log'!$A$7:$A$306,Employees!$A$33,'Leave log'!$B$7:$B$306,"&lt;="&amp;DATE($B$3,12,23),'Leave log'!$C$7:$C$306,"&gt;="&amp;DATE($B$3,12,23),'Leave log'!$F$7:$F$306,"Pending")&gt;0,"P",""))))</f>
        <v/>
      </c>
      <c r="Y408" s="23" t="str">
        <f>IF(A408="","",IF(IF(OR(DATE($B$3,12,24)&gt;EOMONTH(DATE($B$3,12,1),0),NETWORKDAYS.INTL(DATE($B$3,12,24),DATE($B$3,12,24),1,'Non-working days'!$A$6:$A$45)=0),"",IF(COUNTIFS('Leave log'!$A$7:$A$306,Employees!$A$33,'Leave log'!$B$7:$B$306,"&lt;="&amp;DATE($B$3,12,24),'Leave log'!$C$7:$C$306,"&gt;="&amp;DATE($B$3,12,24),'Leave log'!$F$7:$F$306,"Approved")&gt;0,"A",""))="A","A",IF(OR(DATE($B$3,12,24)&gt;EOMONTH(DATE($B$3,12,1),0),NETWORKDAYS.INTL(DATE($B$3,12,24),DATE($B$3,12,24),1,'Non-working days'!$A$6:$A$45)=0),"",IF(COUNTIFS('Leave log'!$A$7:$A$306,Employees!$A$33,'Leave log'!$B$7:$B$306,"&lt;="&amp;DATE($B$3,12,24),'Leave log'!$C$7:$C$306,"&gt;="&amp;DATE($B$3,12,24),'Leave log'!$F$7:$F$306,"Pending")&gt;0,"P",""))))</f>
        <v/>
      </c>
      <c r="Z408" s="23" t="str">
        <f>IF(A408="","",IF(IF(OR(DATE($B$3,12,25)&gt;EOMONTH(DATE($B$3,12,1),0),NETWORKDAYS.INTL(DATE($B$3,12,25),DATE($B$3,12,25),1,'Non-working days'!$A$6:$A$45)=0),"",IF(COUNTIFS('Leave log'!$A$7:$A$306,Employees!$A$33,'Leave log'!$B$7:$B$306,"&lt;="&amp;DATE($B$3,12,25),'Leave log'!$C$7:$C$306,"&gt;="&amp;DATE($B$3,12,25),'Leave log'!$F$7:$F$306,"Approved")&gt;0,"A",""))="A","A",IF(OR(DATE($B$3,12,25)&gt;EOMONTH(DATE($B$3,12,1),0),NETWORKDAYS.INTL(DATE($B$3,12,25),DATE($B$3,12,25),1,'Non-working days'!$A$6:$A$45)=0),"",IF(COUNTIFS('Leave log'!$A$7:$A$306,Employees!$A$33,'Leave log'!$B$7:$B$306,"&lt;="&amp;DATE($B$3,12,25),'Leave log'!$C$7:$C$306,"&gt;="&amp;DATE($B$3,12,25),'Leave log'!$F$7:$F$306,"Pending")&gt;0,"P",""))))</f>
        <v/>
      </c>
      <c r="AA408" s="23" t="str">
        <f>IF(A408="","",IF(IF(OR(DATE($B$3,12,26)&gt;EOMONTH(DATE($B$3,12,1),0),NETWORKDAYS.INTL(DATE($B$3,12,26),DATE($B$3,12,26),1,'Non-working days'!$A$6:$A$45)=0),"",IF(COUNTIFS('Leave log'!$A$7:$A$306,Employees!$A$33,'Leave log'!$B$7:$B$306,"&lt;="&amp;DATE($B$3,12,26),'Leave log'!$C$7:$C$306,"&gt;="&amp;DATE($B$3,12,26),'Leave log'!$F$7:$F$306,"Approved")&gt;0,"A",""))="A","A",IF(OR(DATE($B$3,12,26)&gt;EOMONTH(DATE($B$3,12,1),0),NETWORKDAYS.INTL(DATE($B$3,12,26),DATE($B$3,12,26),1,'Non-working days'!$A$6:$A$45)=0),"",IF(COUNTIFS('Leave log'!$A$7:$A$306,Employees!$A$33,'Leave log'!$B$7:$B$306,"&lt;="&amp;DATE($B$3,12,26),'Leave log'!$C$7:$C$306,"&gt;="&amp;DATE($B$3,12,26),'Leave log'!$F$7:$F$306,"Pending")&gt;0,"P",""))))</f>
        <v/>
      </c>
      <c r="AB408" s="23" t="str">
        <f>IF(A408="","",IF(IF(OR(DATE($B$3,12,27)&gt;EOMONTH(DATE($B$3,12,1),0),NETWORKDAYS.INTL(DATE($B$3,12,27),DATE($B$3,12,27),1,'Non-working days'!$A$6:$A$45)=0),"",IF(COUNTIFS('Leave log'!$A$7:$A$306,Employees!$A$33,'Leave log'!$B$7:$B$306,"&lt;="&amp;DATE($B$3,12,27),'Leave log'!$C$7:$C$306,"&gt;="&amp;DATE($B$3,12,27),'Leave log'!$F$7:$F$306,"Approved")&gt;0,"A",""))="A","A",IF(OR(DATE($B$3,12,27)&gt;EOMONTH(DATE($B$3,12,1),0),NETWORKDAYS.INTL(DATE($B$3,12,27),DATE($B$3,12,27),1,'Non-working days'!$A$6:$A$45)=0),"",IF(COUNTIFS('Leave log'!$A$7:$A$306,Employees!$A$33,'Leave log'!$B$7:$B$306,"&lt;="&amp;DATE($B$3,12,27),'Leave log'!$C$7:$C$306,"&gt;="&amp;DATE($B$3,12,27),'Leave log'!$F$7:$F$306,"Pending")&gt;0,"P",""))))</f>
        <v/>
      </c>
      <c r="AC408" s="23" t="str">
        <f>IF(A408="","",IF(IF(OR(DATE($B$3,12,28)&gt;EOMONTH(DATE($B$3,12,1),0),NETWORKDAYS.INTL(DATE($B$3,12,28),DATE($B$3,12,28),1,'Non-working days'!$A$6:$A$45)=0),"",IF(COUNTIFS('Leave log'!$A$7:$A$306,Employees!$A$33,'Leave log'!$B$7:$B$306,"&lt;="&amp;DATE($B$3,12,28),'Leave log'!$C$7:$C$306,"&gt;="&amp;DATE($B$3,12,28),'Leave log'!$F$7:$F$306,"Approved")&gt;0,"A",""))="A","A",IF(OR(DATE($B$3,12,28)&gt;EOMONTH(DATE($B$3,12,1),0),NETWORKDAYS.INTL(DATE($B$3,12,28),DATE($B$3,12,28),1,'Non-working days'!$A$6:$A$45)=0),"",IF(COUNTIFS('Leave log'!$A$7:$A$306,Employees!$A$33,'Leave log'!$B$7:$B$306,"&lt;="&amp;DATE($B$3,12,28),'Leave log'!$C$7:$C$306,"&gt;="&amp;DATE($B$3,12,28),'Leave log'!$F$7:$F$306,"Pending")&gt;0,"P",""))))</f>
        <v/>
      </c>
      <c r="AD408" s="23" t="str">
        <f>IF(A408="","",IF(IF(OR(DATE($B$3,12,29)&gt;EOMONTH(DATE($B$3,12,1),0),NETWORKDAYS.INTL(DATE($B$3,12,29),DATE($B$3,12,29),1,'Non-working days'!$A$6:$A$45)=0),"",IF(COUNTIFS('Leave log'!$A$7:$A$306,Employees!$A$33,'Leave log'!$B$7:$B$306,"&lt;="&amp;DATE($B$3,12,29),'Leave log'!$C$7:$C$306,"&gt;="&amp;DATE($B$3,12,29),'Leave log'!$F$7:$F$306,"Approved")&gt;0,"A",""))="A","A",IF(OR(DATE($B$3,12,29)&gt;EOMONTH(DATE($B$3,12,1),0),NETWORKDAYS.INTL(DATE($B$3,12,29),DATE($B$3,12,29),1,'Non-working days'!$A$6:$A$45)=0),"",IF(COUNTIFS('Leave log'!$A$7:$A$306,Employees!$A$33,'Leave log'!$B$7:$B$306,"&lt;="&amp;DATE($B$3,12,29),'Leave log'!$C$7:$C$306,"&gt;="&amp;DATE($B$3,12,29),'Leave log'!$F$7:$F$306,"Pending")&gt;0,"P",""))))</f>
        <v/>
      </c>
      <c r="AE408" s="23" t="str">
        <f>IF(A408="","",IF(IF(OR(DATE($B$3,12,30)&gt;EOMONTH(DATE($B$3,12,1),0),NETWORKDAYS.INTL(DATE($B$3,12,30),DATE($B$3,12,30),1,'Non-working days'!$A$6:$A$45)=0),"",IF(COUNTIFS('Leave log'!$A$7:$A$306,Employees!$A$33,'Leave log'!$B$7:$B$306,"&lt;="&amp;DATE($B$3,12,30),'Leave log'!$C$7:$C$306,"&gt;="&amp;DATE($B$3,12,30),'Leave log'!$F$7:$F$306,"Approved")&gt;0,"A",""))="A","A",IF(OR(DATE($B$3,12,30)&gt;EOMONTH(DATE($B$3,12,1),0),NETWORKDAYS.INTL(DATE($B$3,12,30),DATE($B$3,12,30),1,'Non-working days'!$A$6:$A$45)=0),"",IF(COUNTIFS('Leave log'!$A$7:$A$306,Employees!$A$33,'Leave log'!$B$7:$B$306,"&lt;="&amp;DATE($B$3,12,30),'Leave log'!$C$7:$C$306,"&gt;="&amp;DATE($B$3,12,30),'Leave log'!$F$7:$F$306,"Pending")&gt;0,"P",""))))</f>
        <v/>
      </c>
      <c r="AF408" s="23" t="str">
        <f>IF(A408="","",IF(IF(OR(DATE($B$3,12,31)&gt;EOMONTH(DATE($B$3,12,1),0),NETWORKDAYS.INTL(DATE($B$3,12,31),DATE($B$3,12,31),1,'Non-working days'!$A$6:$A$45)=0),"",IF(COUNTIFS('Leave log'!$A$7:$A$306,Employees!$A$33,'Leave log'!$B$7:$B$306,"&lt;="&amp;DATE($B$3,12,31),'Leave log'!$C$7:$C$306,"&gt;="&amp;DATE($B$3,12,31),'Leave log'!$F$7:$F$306,"Approved")&gt;0,"A",""))="A","A",IF(OR(DATE($B$3,12,31)&gt;EOMONTH(DATE($B$3,12,1),0),NETWORKDAYS.INTL(DATE($B$3,12,31),DATE($B$3,12,31),1,'Non-working days'!$A$6:$A$45)=0),"",IF(COUNTIFS('Leave log'!$A$7:$A$306,Employees!$A$33,'Leave log'!$B$7:$B$306,"&lt;="&amp;DATE($B$3,12,31),'Leave log'!$C$7:$C$306,"&gt;="&amp;DATE($B$3,12,31),'Leave log'!$F$7:$F$306,"Pending")&gt;0,"P",""))))</f>
        <v/>
      </c>
    </row>
    <row r="409" spans="1:32" ht="18" customHeight="1" x14ac:dyDescent="0.3">
      <c r="A409" s="22" t="str">
        <f>IF(Employees!F34="Yes",Employees!B34,"")</f>
        <v/>
      </c>
      <c r="B409" s="23" t="str">
        <f>IF(A409="","",IF(IF(OR(DATE($B$3,12,1)&gt;EOMONTH(DATE($B$3,12,1),0),NETWORKDAYS.INTL(DATE($B$3,12,1),DATE($B$3,12,1),1,'Non-working days'!$A$6:$A$45)=0),"",IF(COUNTIFS('Leave log'!$A$7:$A$306,Employees!$A$34,'Leave log'!$B$7:$B$306,"&lt;="&amp;DATE($B$3,12,1),'Leave log'!$C$7:$C$306,"&gt;="&amp;DATE($B$3,12,1),'Leave log'!$F$7:$F$306,"Approved")&gt;0,"A",""))="A","A",IF(OR(DATE($B$3,12,1)&gt;EOMONTH(DATE($B$3,12,1),0),NETWORKDAYS.INTL(DATE($B$3,12,1),DATE($B$3,12,1),1,'Non-working days'!$A$6:$A$45)=0),"",IF(COUNTIFS('Leave log'!$A$7:$A$306,Employees!$A$34,'Leave log'!$B$7:$B$306,"&lt;="&amp;DATE($B$3,12,1),'Leave log'!$C$7:$C$306,"&gt;="&amp;DATE($B$3,12,1),'Leave log'!$F$7:$F$306,"Pending")&gt;0,"P",""))))</f>
        <v/>
      </c>
      <c r="C409" s="23" t="str">
        <f>IF(A409="","",IF(IF(OR(DATE($B$3,12,2)&gt;EOMONTH(DATE($B$3,12,1),0),NETWORKDAYS.INTL(DATE($B$3,12,2),DATE($B$3,12,2),1,'Non-working days'!$A$6:$A$45)=0),"",IF(COUNTIFS('Leave log'!$A$7:$A$306,Employees!$A$34,'Leave log'!$B$7:$B$306,"&lt;="&amp;DATE($B$3,12,2),'Leave log'!$C$7:$C$306,"&gt;="&amp;DATE($B$3,12,2),'Leave log'!$F$7:$F$306,"Approved")&gt;0,"A",""))="A","A",IF(OR(DATE($B$3,12,2)&gt;EOMONTH(DATE($B$3,12,1),0),NETWORKDAYS.INTL(DATE($B$3,12,2),DATE($B$3,12,2),1,'Non-working days'!$A$6:$A$45)=0),"",IF(COUNTIFS('Leave log'!$A$7:$A$306,Employees!$A$34,'Leave log'!$B$7:$B$306,"&lt;="&amp;DATE($B$3,12,2),'Leave log'!$C$7:$C$306,"&gt;="&amp;DATE($B$3,12,2),'Leave log'!$F$7:$F$306,"Pending")&gt;0,"P",""))))</f>
        <v/>
      </c>
      <c r="D409" s="23" t="str">
        <f>IF(A409="","",IF(IF(OR(DATE($B$3,12,3)&gt;EOMONTH(DATE($B$3,12,1),0),NETWORKDAYS.INTL(DATE($B$3,12,3),DATE($B$3,12,3),1,'Non-working days'!$A$6:$A$45)=0),"",IF(COUNTIFS('Leave log'!$A$7:$A$306,Employees!$A$34,'Leave log'!$B$7:$B$306,"&lt;="&amp;DATE($B$3,12,3),'Leave log'!$C$7:$C$306,"&gt;="&amp;DATE($B$3,12,3),'Leave log'!$F$7:$F$306,"Approved")&gt;0,"A",""))="A","A",IF(OR(DATE($B$3,12,3)&gt;EOMONTH(DATE($B$3,12,1),0),NETWORKDAYS.INTL(DATE($B$3,12,3),DATE($B$3,12,3),1,'Non-working days'!$A$6:$A$45)=0),"",IF(COUNTIFS('Leave log'!$A$7:$A$306,Employees!$A$34,'Leave log'!$B$7:$B$306,"&lt;="&amp;DATE($B$3,12,3),'Leave log'!$C$7:$C$306,"&gt;="&amp;DATE($B$3,12,3),'Leave log'!$F$7:$F$306,"Pending")&gt;0,"P",""))))</f>
        <v/>
      </c>
      <c r="E409" s="23" t="str">
        <f>IF(A409="","",IF(IF(OR(DATE($B$3,12,4)&gt;EOMONTH(DATE($B$3,12,1),0),NETWORKDAYS.INTL(DATE($B$3,12,4),DATE($B$3,12,4),1,'Non-working days'!$A$6:$A$45)=0),"",IF(COUNTIFS('Leave log'!$A$7:$A$306,Employees!$A$34,'Leave log'!$B$7:$B$306,"&lt;="&amp;DATE($B$3,12,4),'Leave log'!$C$7:$C$306,"&gt;="&amp;DATE($B$3,12,4),'Leave log'!$F$7:$F$306,"Approved")&gt;0,"A",""))="A","A",IF(OR(DATE($B$3,12,4)&gt;EOMONTH(DATE($B$3,12,1),0),NETWORKDAYS.INTL(DATE($B$3,12,4),DATE($B$3,12,4),1,'Non-working days'!$A$6:$A$45)=0),"",IF(COUNTIFS('Leave log'!$A$7:$A$306,Employees!$A$34,'Leave log'!$B$7:$B$306,"&lt;="&amp;DATE($B$3,12,4),'Leave log'!$C$7:$C$306,"&gt;="&amp;DATE($B$3,12,4),'Leave log'!$F$7:$F$306,"Pending")&gt;0,"P",""))))</f>
        <v/>
      </c>
      <c r="F409" s="23" t="str">
        <f>IF(A409="","",IF(IF(OR(DATE($B$3,12,5)&gt;EOMONTH(DATE($B$3,12,1),0),NETWORKDAYS.INTL(DATE($B$3,12,5),DATE($B$3,12,5),1,'Non-working days'!$A$6:$A$45)=0),"",IF(COUNTIFS('Leave log'!$A$7:$A$306,Employees!$A$34,'Leave log'!$B$7:$B$306,"&lt;="&amp;DATE($B$3,12,5),'Leave log'!$C$7:$C$306,"&gt;="&amp;DATE($B$3,12,5),'Leave log'!$F$7:$F$306,"Approved")&gt;0,"A",""))="A","A",IF(OR(DATE($B$3,12,5)&gt;EOMONTH(DATE($B$3,12,1),0),NETWORKDAYS.INTL(DATE($B$3,12,5),DATE($B$3,12,5),1,'Non-working days'!$A$6:$A$45)=0),"",IF(COUNTIFS('Leave log'!$A$7:$A$306,Employees!$A$34,'Leave log'!$B$7:$B$306,"&lt;="&amp;DATE($B$3,12,5),'Leave log'!$C$7:$C$306,"&gt;="&amp;DATE($B$3,12,5),'Leave log'!$F$7:$F$306,"Pending")&gt;0,"P",""))))</f>
        <v/>
      </c>
      <c r="G409" s="23" t="str">
        <f>IF(A409="","",IF(IF(OR(DATE($B$3,12,6)&gt;EOMONTH(DATE($B$3,12,1),0),NETWORKDAYS.INTL(DATE($B$3,12,6),DATE($B$3,12,6),1,'Non-working days'!$A$6:$A$45)=0),"",IF(COUNTIFS('Leave log'!$A$7:$A$306,Employees!$A$34,'Leave log'!$B$7:$B$306,"&lt;="&amp;DATE($B$3,12,6),'Leave log'!$C$7:$C$306,"&gt;="&amp;DATE($B$3,12,6),'Leave log'!$F$7:$F$306,"Approved")&gt;0,"A",""))="A","A",IF(OR(DATE($B$3,12,6)&gt;EOMONTH(DATE($B$3,12,1),0),NETWORKDAYS.INTL(DATE($B$3,12,6),DATE($B$3,12,6),1,'Non-working days'!$A$6:$A$45)=0),"",IF(COUNTIFS('Leave log'!$A$7:$A$306,Employees!$A$34,'Leave log'!$B$7:$B$306,"&lt;="&amp;DATE($B$3,12,6),'Leave log'!$C$7:$C$306,"&gt;="&amp;DATE($B$3,12,6),'Leave log'!$F$7:$F$306,"Pending")&gt;0,"P",""))))</f>
        <v/>
      </c>
      <c r="H409" s="23" t="str">
        <f>IF(A409="","",IF(IF(OR(DATE($B$3,12,7)&gt;EOMONTH(DATE($B$3,12,1),0),NETWORKDAYS.INTL(DATE($B$3,12,7),DATE($B$3,12,7),1,'Non-working days'!$A$6:$A$45)=0),"",IF(COUNTIFS('Leave log'!$A$7:$A$306,Employees!$A$34,'Leave log'!$B$7:$B$306,"&lt;="&amp;DATE($B$3,12,7),'Leave log'!$C$7:$C$306,"&gt;="&amp;DATE($B$3,12,7),'Leave log'!$F$7:$F$306,"Approved")&gt;0,"A",""))="A","A",IF(OR(DATE($B$3,12,7)&gt;EOMONTH(DATE($B$3,12,1),0),NETWORKDAYS.INTL(DATE($B$3,12,7),DATE($B$3,12,7),1,'Non-working days'!$A$6:$A$45)=0),"",IF(COUNTIFS('Leave log'!$A$7:$A$306,Employees!$A$34,'Leave log'!$B$7:$B$306,"&lt;="&amp;DATE($B$3,12,7),'Leave log'!$C$7:$C$306,"&gt;="&amp;DATE($B$3,12,7),'Leave log'!$F$7:$F$306,"Pending")&gt;0,"P",""))))</f>
        <v/>
      </c>
      <c r="I409" s="23" t="str">
        <f>IF(A409="","",IF(IF(OR(DATE($B$3,12,8)&gt;EOMONTH(DATE($B$3,12,1),0),NETWORKDAYS.INTL(DATE($B$3,12,8),DATE($B$3,12,8),1,'Non-working days'!$A$6:$A$45)=0),"",IF(COUNTIFS('Leave log'!$A$7:$A$306,Employees!$A$34,'Leave log'!$B$7:$B$306,"&lt;="&amp;DATE($B$3,12,8),'Leave log'!$C$7:$C$306,"&gt;="&amp;DATE($B$3,12,8),'Leave log'!$F$7:$F$306,"Approved")&gt;0,"A",""))="A","A",IF(OR(DATE($B$3,12,8)&gt;EOMONTH(DATE($B$3,12,1),0),NETWORKDAYS.INTL(DATE($B$3,12,8),DATE($B$3,12,8),1,'Non-working days'!$A$6:$A$45)=0),"",IF(COUNTIFS('Leave log'!$A$7:$A$306,Employees!$A$34,'Leave log'!$B$7:$B$306,"&lt;="&amp;DATE($B$3,12,8),'Leave log'!$C$7:$C$306,"&gt;="&amp;DATE($B$3,12,8),'Leave log'!$F$7:$F$306,"Pending")&gt;0,"P",""))))</f>
        <v/>
      </c>
      <c r="J409" s="23" t="str">
        <f>IF(A409="","",IF(IF(OR(DATE($B$3,12,9)&gt;EOMONTH(DATE($B$3,12,1),0),NETWORKDAYS.INTL(DATE($B$3,12,9),DATE($B$3,12,9),1,'Non-working days'!$A$6:$A$45)=0),"",IF(COUNTIFS('Leave log'!$A$7:$A$306,Employees!$A$34,'Leave log'!$B$7:$B$306,"&lt;="&amp;DATE($B$3,12,9),'Leave log'!$C$7:$C$306,"&gt;="&amp;DATE($B$3,12,9),'Leave log'!$F$7:$F$306,"Approved")&gt;0,"A",""))="A","A",IF(OR(DATE($B$3,12,9)&gt;EOMONTH(DATE($B$3,12,1),0),NETWORKDAYS.INTL(DATE($B$3,12,9),DATE($B$3,12,9),1,'Non-working days'!$A$6:$A$45)=0),"",IF(COUNTIFS('Leave log'!$A$7:$A$306,Employees!$A$34,'Leave log'!$B$7:$B$306,"&lt;="&amp;DATE($B$3,12,9),'Leave log'!$C$7:$C$306,"&gt;="&amp;DATE($B$3,12,9),'Leave log'!$F$7:$F$306,"Pending")&gt;0,"P",""))))</f>
        <v/>
      </c>
      <c r="K409" s="23" t="str">
        <f>IF(A409="","",IF(IF(OR(DATE($B$3,12,10)&gt;EOMONTH(DATE($B$3,12,1),0),NETWORKDAYS.INTL(DATE($B$3,12,10),DATE($B$3,12,10),1,'Non-working days'!$A$6:$A$45)=0),"",IF(COUNTIFS('Leave log'!$A$7:$A$306,Employees!$A$34,'Leave log'!$B$7:$B$306,"&lt;="&amp;DATE($B$3,12,10),'Leave log'!$C$7:$C$306,"&gt;="&amp;DATE($B$3,12,10),'Leave log'!$F$7:$F$306,"Approved")&gt;0,"A",""))="A","A",IF(OR(DATE($B$3,12,10)&gt;EOMONTH(DATE($B$3,12,1),0),NETWORKDAYS.INTL(DATE($B$3,12,10),DATE($B$3,12,10),1,'Non-working days'!$A$6:$A$45)=0),"",IF(COUNTIFS('Leave log'!$A$7:$A$306,Employees!$A$34,'Leave log'!$B$7:$B$306,"&lt;="&amp;DATE($B$3,12,10),'Leave log'!$C$7:$C$306,"&gt;="&amp;DATE($B$3,12,10),'Leave log'!$F$7:$F$306,"Pending")&gt;0,"P",""))))</f>
        <v/>
      </c>
      <c r="L409" s="23" t="str">
        <f>IF(A409="","",IF(IF(OR(DATE($B$3,12,11)&gt;EOMONTH(DATE($B$3,12,1),0),NETWORKDAYS.INTL(DATE($B$3,12,11),DATE($B$3,12,11),1,'Non-working days'!$A$6:$A$45)=0),"",IF(COUNTIFS('Leave log'!$A$7:$A$306,Employees!$A$34,'Leave log'!$B$7:$B$306,"&lt;="&amp;DATE($B$3,12,11),'Leave log'!$C$7:$C$306,"&gt;="&amp;DATE($B$3,12,11),'Leave log'!$F$7:$F$306,"Approved")&gt;0,"A",""))="A","A",IF(OR(DATE($B$3,12,11)&gt;EOMONTH(DATE($B$3,12,1),0),NETWORKDAYS.INTL(DATE($B$3,12,11),DATE($B$3,12,11),1,'Non-working days'!$A$6:$A$45)=0),"",IF(COUNTIFS('Leave log'!$A$7:$A$306,Employees!$A$34,'Leave log'!$B$7:$B$306,"&lt;="&amp;DATE($B$3,12,11),'Leave log'!$C$7:$C$306,"&gt;="&amp;DATE($B$3,12,11),'Leave log'!$F$7:$F$306,"Pending")&gt;0,"P",""))))</f>
        <v/>
      </c>
      <c r="M409" s="23" t="str">
        <f>IF(A409="","",IF(IF(OR(DATE($B$3,12,12)&gt;EOMONTH(DATE($B$3,12,1),0),NETWORKDAYS.INTL(DATE($B$3,12,12),DATE($B$3,12,12),1,'Non-working days'!$A$6:$A$45)=0),"",IF(COUNTIFS('Leave log'!$A$7:$A$306,Employees!$A$34,'Leave log'!$B$7:$B$306,"&lt;="&amp;DATE($B$3,12,12),'Leave log'!$C$7:$C$306,"&gt;="&amp;DATE($B$3,12,12),'Leave log'!$F$7:$F$306,"Approved")&gt;0,"A",""))="A","A",IF(OR(DATE($B$3,12,12)&gt;EOMONTH(DATE($B$3,12,1),0),NETWORKDAYS.INTL(DATE($B$3,12,12),DATE($B$3,12,12),1,'Non-working days'!$A$6:$A$45)=0),"",IF(COUNTIFS('Leave log'!$A$7:$A$306,Employees!$A$34,'Leave log'!$B$7:$B$306,"&lt;="&amp;DATE($B$3,12,12),'Leave log'!$C$7:$C$306,"&gt;="&amp;DATE($B$3,12,12),'Leave log'!$F$7:$F$306,"Pending")&gt;0,"P",""))))</f>
        <v/>
      </c>
      <c r="N409" s="23" t="str">
        <f>IF(A409="","",IF(IF(OR(DATE($B$3,12,13)&gt;EOMONTH(DATE($B$3,12,1),0),NETWORKDAYS.INTL(DATE($B$3,12,13),DATE($B$3,12,13),1,'Non-working days'!$A$6:$A$45)=0),"",IF(COUNTIFS('Leave log'!$A$7:$A$306,Employees!$A$34,'Leave log'!$B$7:$B$306,"&lt;="&amp;DATE($B$3,12,13),'Leave log'!$C$7:$C$306,"&gt;="&amp;DATE($B$3,12,13),'Leave log'!$F$7:$F$306,"Approved")&gt;0,"A",""))="A","A",IF(OR(DATE($B$3,12,13)&gt;EOMONTH(DATE($B$3,12,1),0),NETWORKDAYS.INTL(DATE($B$3,12,13),DATE($B$3,12,13),1,'Non-working days'!$A$6:$A$45)=0),"",IF(COUNTIFS('Leave log'!$A$7:$A$306,Employees!$A$34,'Leave log'!$B$7:$B$306,"&lt;="&amp;DATE($B$3,12,13),'Leave log'!$C$7:$C$306,"&gt;="&amp;DATE($B$3,12,13),'Leave log'!$F$7:$F$306,"Pending")&gt;0,"P",""))))</f>
        <v/>
      </c>
      <c r="O409" s="23" t="str">
        <f>IF(A409="","",IF(IF(OR(DATE($B$3,12,14)&gt;EOMONTH(DATE($B$3,12,1),0),NETWORKDAYS.INTL(DATE($B$3,12,14),DATE($B$3,12,14),1,'Non-working days'!$A$6:$A$45)=0),"",IF(COUNTIFS('Leave log'!$A$7:$A$306,Employees!$A$34,'Leave log'!$B$7:$B$306,"&lt;="&amp;DATE($B$3,12,14),'Leave log'!$C$7:$C$306,"&gt;="&amp;DATE($B$3,12,14),'Leave log'!$F$7:$F$306,"Approved")&gt;0,"A",""))="A","A",IF(OR(DATE($B$3,12,14)&gt;EOMONTH(DATE($B$3,12,1),0),NETWORKDAYS.INTL(DATE($B$3,12,14),DATE($B$3,12,14),1,'Non-working days'!$A$6:$A$45)=0),"",IF(COUNTIFS('Leave log'!$A$7:$A$306,Employees!$A$34,'Leave log'!$B$7:$B$306,"&lt;="&amp;DATE($B$3,12,14),'Leave log'!$C$7:$C$306,"&gt;="&amp;DATE($B$3,12,14),'Leave log'!$F$7:$F$306,"Pending")&gt;0,"P",""))))</f>
        <v/>
      </c>
      <c r="P409" s="23" t="str">
        <f>IF(A409="","",IF(IF(OR(DATE($B$3,12,15)&gt;EOMONTH(DATE($B$3,12,1),0),NETWORKDAYS.INTL(DATE($B$3,12,15),DATE($B$3,12,15),1,'Non-working days'!$A$6:$A$45)=0),"",IF(COUNTIFS('Leave log'!$A$7:$A$306,Employees!$A$34,'Leave log'!$B$7:$B$306,"&lt;="&amp;DATE($B$3,12,15),'Leave log'!$C$7:$C$306,"&gt;="&amp;DATE($B$3,12,15),'Leave log'!$F$7:$F$306,"Approved")&gt;0,"A",""))="A","A",IF(OR(DATE($B$3,12,15)&gt;EOMONTH(DATE($B$3,12,1),0),NETWORKDAYS.INTL(DATE($B$3,12,15),DATE($B$3,12,15),1,'Non-working days'!$A$6:$A$45)=0),"",IF(COUNTIFS('Leave log'!$A$7:$A$306,Employees!$A$34,'Leave log'!$B$7:$B$306,"&lt;="&amp;DATE($B$3,12,15),'Leave log'!$C$7:$C$306,"&gt;="&amp;DATE($B$3,12,15),'Leave log'!$F$7:$F$306,"Pending")&gt;0,"P",""))))</f>
        <v/>
      </c>
      <c r="Q409" s="23" t="str">
        <f>IF(A409="","",IF(IF(OR(DATE($B$3,12,16)&gt;EOMONTH(DATE($B$3,12,1),0),NETWORKDAYS.INTL(DATE($B$3,12,16),DATE($B$3,12,16),1,'Non-working days'!$A$6:$A$45)=0),"",IF(COUNTIFS('Leave log'!$A$7:$A$306,Employees!$A$34,'Leave log'!$B$7:$B$306,"&lt;="&amp;DATE($B$3,12,16),'Leave log'!$C$7:$C$306,"&gt;="&amp;DATE($B$3,12,16),'Leave log'!$F$7:$F$306,"Approved")&gt;0,"A",""))="A","A",IF(OR(DATE($B$3,12,16)&gt;EOMONTH(DATE($B$3,12,1),0),NETWORKDAYS.INTL(DATE($B$3,12,16),DATE($B$3,12,16),1,'Non-working days'!$A$6:$A$45)=0),"",IF(COUNTIFS('Leave log'!$A$7:$A$306,Employees!$A$34,'Leave log'!$B$7:$B$306,"&lt;="&amp;DATE($B$3,12,16),'Leave log'!$C$7:$C$306,"&gt;="&amp;DATE($B$3,12,16),'Leave log'!$F$7:$F$306,"Pending")&gt;0,"P",""))))</f>
        <v/>
      </c>
      <c r="R409" s="23" t="str">
        <f>IF(A409="","",IF(IF(OR(DATE($B$3,12,17)&gt;EOMONTH(DATE($B$3,12,1),0),NETWORKDAYS.INTL(DATE($B$3,12,17),DATE($B$3,12,17),1,'Non-working days'!$A$6:$A$45)=0),"",IF(COUNTIFS('Leave log'!$A$7:$A$306,Employees!$A$34,'Leave log'!$B$7:$B$306,"&lt;="&amp;DATE($B$3,12,17),'Leave log'!$C$7:$C$306,"&gt;="&amp;DATE($B$3,12,17),'Leave log'!$F$7:$F$306,"Approved")&gt;0,"A",""))="A","A",IF(OR(DATE($B$3,12,17)&gt;EOMONTH(DATE($B$3,12,1),0),NETWORKDAYS.INTL(DATE($B$3,12,17),DATE($B$3,12,17),1,'Non-working days'!$A$6:$A$45)=0),"",IF(COUNTIFS('Leave log'!$A$7:$A$306,Employees!$A$34,'Leave log'!$B$7:$B$306,"&lt;="&amp;DATE($B$3,12,17),'Leave log'!$C$7:$C$306,"&gt;="&amp;DATE($B$3,12,17),'Leave log'!$F$7:$F$306,"Pending")&gt;0,"P",""))))</f>
        <v/>
      </c>
      <c r="S409" s="23" t="str">
        <f>IF(A409="","",IF(IF(OR(DATE($B$3,12,18)&gt;EOMONTH(DATE($B$3,12,1),0),NETWORKDAYS.INTL(DATE($B$3,12,18),DATE($B$3,12,18),1,'Non-working days'!$A$6:$A$45)=0),"",IF(COUNTIFS('Leave log'!$A$7:$A$306,Employees!$A$34,'Leave log'!$B$7:$B$306,"&lt;="&amp;DATE($B$3,12,18),'Leave log'!$C$7:$C$306,"&gt;="&amp;DATE($B$3,12,18),'Leave log'!$F$7:$F$306,"Approved")&gt;0,"A",""))="A","A",IF(OR(DATE($B$3,12,18)&gt;EOMONTH(DATE($B$3,12,1),0),NETWORKDAYS.INTL(DATE($B$3,12,18),DATE($B$3,12,18),1,'Non-working days'!$A$6:$A$45)=0),"",IF(COUNTIFS('Leave log'!$A$7:$A$306,Employees!$A$34,'Leave log'!$B$7:$B$306,"&lt;="&amp;DATE($B$3,12,18),'Leave log'!$C$7:$C$306,"&gt;="&amp;DATE($B$3,12,18),'Leave log'!$F$7:$F$306,"Pending")&gt;0,"P",""))))</f>
        <v/>
      </c>
      <c r="T409" s="23" t="str">
        <f>IF(A409="","",IF(IF(OR(DATE($B$3,12,19)&gt;EOMONTH(DATE($B$3,12,1),0),NETWORKDAYS.INTL(DATE($B$3,12,19),DATE($B$3,12,19),1,'Non-working days'!$A$6:$A$45)=0),"",IF(COUNTIFS('Leave log'!$A$7:$A$306,Employees!$A$34,'Leave log'!$B$7:$B$306,"&lt;="&amp;DATE($B$3,12,19),'Leave log'!$C$7:$C$306,"&gt;="&amp;DATE($B$3,12,19),'Leave log'!$F$7:$F$306,"Approved")&gt;0,"A",""))="A","A",IF(OR(DATE($B$3,12,19)&gt;EOMONTH(DATE($B$3,12,1),0),NETWORKDAYS.INTL(DATE($B$3,12,19),DATE($B$3,12,19),1,'Non-working days'!$A$6:$A$45)=0),"",IF(COUNTIFS('Leave log'!$A$7:$A$306,Employees!$A$34,'Leave log'!$B$7:$B$306,"&lt;="&amp;DATE($B$3,12,19),'Leave log'!$C$7:$C$306,"&gt;="&amp;DATE($B$3,12,19),'Leave log'!$F$7:$F$306,"Pending")&gt;0,"P",""))))</f>
        <v/>
      </c>
      <c r="U409" s="23" t="str">
        <f>IF(A409="","",IF(IF(OR(DATE($B$3,12,20)&gt;EOMONTH(DATE($B$3,12,1),0),NETWORKDAYS.INTL(DATE($B$3,12,20),DATE($B$3,12,20),1,'Non-working days'!$A$6:$A$45)=0),"",IF(COUNTIFS('Leave log'!$A$7:$A$306,Employees!$A$34,'Leave log'!$B$7:$B$306,"&lt;="&amp;DATE($B$3,12,20),'Leave log'!$C$7:$C$306,"&gt;="&amp;DATE($B$3,12,20),'Leave log'!$F$7:$F$306,"Approved")&gt;0,"A",""))="A","A",IF(OR(DATE($B$3,12,20)&gt;EOMONTH(DATE($B$3,12,1),0),NETWORKDAYS.INTL(DATE($B$3,12,20),DATE($B$3,12,20),1,'Non-working days'!$A$6:$A$45)=0),"",IF(COUNTIFS('Leave log'!$A$7:$A$306,Employees!$A$34,'Leave log'!$B$7:$B$306,"&lt;="&amp;DATE($B$3,12,20),'Leave log'!$C$7:$C$306,"&gt;="&amp;DATE($B$3,12,20),'Leave log'!$F$7:$F$306,"Pending")&gt;0,"P",""))))</f>
        <v/>
      </c>
      <c r="V409" s="23" t="str">
        <f>IF(A409="","",IF(IF(OR(DATE($B$3,12,21)&gt;EOMONTH(DATE($B$3,12,1),0),NETWORKDAYS.INTL(DATE($B$3,12,21),DATE($B$3,12,21),1,'Non-working days'!$A$6:$A$45)=0),"",IF(COUNTIFS('Leave log'!$A$7:$A$306,Employees!$A$34,'Leave log'!$B$7:$B$306,"&lt;="&amp;DATE($B$3,12,21),'Leave log'!$C$7:$C$306,"&gt;="&amp;DATE($B$3,12,21),'Leave log'!$F$7:$F$306,"Approved")&gt;0,"A",""))="A","A",IF(OR(DATE($B$3,12,21)&gt;EOMONTH(DATE($B$3,12,1),0),NETWORKDAYS.INTL(DATE($B$3,12,21),DATE($B$3,12,21),1,'Non-working days'!$A$6:$A$45)=0),"",IF(COUNTIFS('Leave log'!$A$7:$A$306,Employees!$A$34,'Leave log'!$B$7:$B$306,"&lt;="&amp;DATE($B$3,12,21),'Leave log'!$C$7:$C$306,"&gt;="&amp;DATE($B$3,12,21),'Leave log'!$F$7:$F$306,"Pending")&gt;0,"P",""))))</f>
        <v/>
      </c>
      <c r="W409" s="23" t="str">
        <f>IF(A409="","",IF(IF(OR(DATE($B$3,12,22)&gt;EOMONTH(DATE($B$3,12,1),0),NETWORKDAYS.INTL(DATE($B$3,12,22),DATE($B$3,12,22),1,'Non-working days'!$A$6:$A$45)=0),"",IF(COUNTIFS('Leave log'!$A$7:$A$306,Employees!$A$34,'Leave log'!$B$7:$B$306,"&lt;="&amp;DATE($B$3,12,22),'Leave log'!$C$7:$C$306,"&gt;="&amp;DATE($B$3,12,22),'Leave log'!$F$7:$F$306,"Approved")&gt;0,"A",""))="A","A",IF(OR(DATE($B$3,12,22)&gt;EOMONTH(DATE($B$3,12,1),0),NETWORKDAYS.INTL(DATE($B$3,12,22),DATE($B$3,12,22),1,'Non-working days'!$A$6:$A$45)=0),"",IF(COUNTIFS('Leave log'!$A$7:$A$306,Employees!$A$34,'Leave log'!$B$7:$B$306,"&lt;="&amp;DATE($B$3,12,22),'Leave log'!$C$7:$C$306,"&gt;="&amp;DATE($B$3,12,22),'Leave log'!$F$7:$F$306,"Pending")&gt;0,"P",""))))</f>
        <v/>
      </c>
      <c r="X409" s="23" t="str">
        <f>IF(A409="","",IF(IF(OR(DATE($B$3,12,23)&gt;EOMONTH(DATE($B$3,12,1),0),NETWORKDAYS.INTL(DATE($B$3,12,23),DATE($B$3,12,23),1,'Non-working days'!$A$6:$A$45)=0),"",IF(COUNTIFS('Leave log'!$A$7:$A$306,Employees!$A$34,'Leave log'!$B$7:$B$306,"&lt;="&amp;DATE($B$3,12,23),'Leave log'!$C$7:$C$306,"&gt;="&amp;DATE($B$3,12,23),'Leave log'!$F$7:$F$306,"Approved")&gt;0,"A",""))="A","A",IF(OR(DATE($B$3,12,23)&gt;EOMONTH(DATE($B$3,12,1),0),NETWORKDAYS.INTL(DATE($B$3,12,23),DATE($B$3,12,23),1,'Non-working days'!$A$6:$A$45)=0),"",IF(COUNTIFS('Leave log'!$A$7:$A$306,Employees!$A$34,'Leave log'!$B$7:$B$306,"&lt;="&amp;DATE($B$3,12,23),'Leave log'!$C$7:$C$306,"&gt;="&amp;DATE($B$3,12,23),'Leave log'!$F$7:$F$306,"Pending")&gt;0,"P",""))))</f>
        <v/>
      </c>
      <c r="Y409" s="23" t="str">
        <f>IF(A409="","",IF(IF(OR(DATE($B$3,12,24)&gt;EOMONTH(DATE($B$3,12,1),0),NETWORKDAYS.INTL(DATE($B$3,12,24),DATE($B$3,12,24),1,'Non-working days'!$A$6:$A$45)=0),"",IF(COUNTIFS('Leave log'!$A$7:$A$306,Employees!$A$34,'Leave log'!$B$7:$B$306,"&lt;="&amp;DATE($B$3,12,24),'Leave log'!$C$7:$C$306,"&gt;="&amp;DATE($B$3,12,24),'Leave log'!$F$7:$F$306,"Approved")&gt;0,"A",""))="A","A",IF(OR(DATE($B$3,12,24)&gt;EOMONTH(DATE($B$3,12,1),0),NETWORKDAYS.INTL(DATE($B$3,12,24),DATE($B$3,12,24),1,'Non-working days'!$A$6:$A$45)=0),"",IF(COUNTIFS('Leave log'!$A$7:$A$306,Employees!$A$34,'Leave log'!$B$7:$B$306,"&lt;="&amp;DATE($B$3,12,24),'Leave log'!$C$7:$C$306,"&gt;="&amp;DATE($B$3,12,24),'Leave log'!$F$7:$F$306,"Pending")&gt;0,"P",""))))</f>
        <v/>
      </c>
      <c r="Z409" s="23" t="str">
        <f>IF(A409="","",IF(IF(OR(DATE($B$3,12,25)&gt;EOMONTH(DATE($B$3,12,1),0),NETWORKDAYS.INTL(DATE($B$3,12,25),DATE($B$3,12,25),1,'Non-working days'!$A$6:$A$45)=0),"",IF(COUNTIFS('Leave log'!$A$7:$A$306,Employees!$A$34,'Leave log'!$B$7:$B$306,"&lt;="&amp;DATE($B$3,12,25),'Leave log'!$C$7:$C$306,"&gt;="&amp;DATE($B$3,12,25),'Leave log'!$F$7:$F$306,"Approved")&gt;0,"A",""))="A","A",IF(OR(DATE($B$3,12,25)&gt;EOMONTH(DATE($B$3,12,1),0),NETWORKDAYS.INTL(DATE($B$3,12,25),DATE($B$3,12,25),1,'Non-working days'!$A$6:$A$45)=0),"",IF(COUNTIFS('Leave log'!$A$7:$A$306,Employees!$A$34,'Leave log'!$B$7:$B$306,"&lt;="&amp;DATE($B$3,12,25),'Leave log'!$C$7:$C$306,"&gt;="&amp;DATE($B$3,12,25),'Leave log'!$F$7:$F$306,"Pending")&gt;0,"P",""))))</f>
        <v/>
      </c>
      <c r="AA409" s="23" t="str">
        <f>IF(A409="","",IF(IF(OR(DATE($B$3,12,26)&gt;EOMONTH(DATE($B$3,12,1),0),NETWORKDAYS.INTL(DATE($B$3,12,26),DATE($B$3,12,26),1,'Non-working days'!$A$6:$A$45)=0),"",IF(COUNTIFS('Leave log'!$A$7:$A$306,Employees!$A$34,'Leave log'!$B$7:$B$306,"&lt;="&amp;DATE($B$3,12,26),'Leave log'!$C$7:$C$306,"&gt;="&amp;DATE($B$3,12,26),'Leave log'!$F$7:$F$306,"Approved")&gt;0,"A",""))="A","A",IF(OR(DATE($B$3,12,26)&gt;EOMONTH(DATE($B$3,12,1),0),NETWORKDAYS.INTL(DATE($B$3,12,26),DATE($B$3,12,26),1,'Non-working days'!$A$6:$A$45)=0),"",IF(COUNTIFS('Leave log'!$A$7:$A$306,Employees!$A$34,'Leave log'!$B$7:$B$306,"&lt;="&amp;DATE($B$3,12,26),'Leave log'!$C$7:$C$306,"&gt;="&amp;DATE($B$3,12,26),'Leave log'!$F$7:$F$306,"Pending")&gt;0,"P",""))))</f>
        <v/>
      </c>
      <c r="AB409" s="23" t="str">
        <f>IF(A409="","",IF(IF(OR(DATE($B$3,12,27)&gt;EOMONTH(DATE($B$3,12,1),0),NETWORKDAYS.INTL(DATE($B$3,12,27),DATE($B$3,12,27),1,'Non-working days'!$A$6:$A$45)=0),"",IF(COUNTIFS('Leave log'!$A$7:$A$306,Employees!$A$34,'Leave log'!$B$7:$B$306,"&lt;="&amp;DATE($B$3,12,27),'Leave log'!$C$7:$C$306,"&gt;="&amp;DATE($B$3,12,27),'Leave log'!$F$7:$F$306,"Approved")&gt;0,"A",""))="A","A",IF(OR(DATE($B$3,12,27)&gt;EOMONTH(DATE($B$3,12,1),0),NETWORKDAYS.INTL(DATE($B$3,12,27),DATE($B$3,12,27),1,'Non-working days'!$A$6:$A$45)=0),"",IF(COUNTIFS('Leave log'!$A$7:$A$306,Employees!$A$34,'Leave log'!$B$7:$B$306,"&lt;="&amp;DATE($B$3,12,27),'Leave log'!$C$7:$C$306,"&gt;="&amp;DATE($B$3,12,27),'Leave log'!$F$7:$F$306,"Pending")&gt;0,"P",""))))</f>
        <v/>
      </c>
      <c r="AC409" s="23" t="str">
        <f>IF(A409="","",IF(IF(OR(DATE($B$3,12,28)&gt;EOMONTH(DATE($B$3,12,1),0),NETWORKDAYS.INTL(DATE($B$3,12,28),DATE($B$3,12,28),1,'Non-working days'!$A$6:$A$45)=0),"",IF(COUNTIFS('Leave log'!$A$7:$A$306,Employees!$A$34,'Leave log'!$B$7:$B$306,"&lt;="&amp;DATE($B$3,12,28),'Leave log'!$C$7:$C$306,"&gt;="&amp;DATE($B$3,12,28),'Leave log'!$F$7:$F$306,"Approved")&gt;0,"A",""))="A","A",IF(OR(DATE($B$3,12,28)&gt;EOMONTH(DATE($B$3,12,1),0),NETWORKDAYS.INTL(DATE($B$3,12,28),DATE($B$3,12,28),1,'Non-working days'!$A$6:$A$45)=0),"",IF(COUNTIFS('Leave log'!$A$7:$A$306,Employees!$A$34,'Leave log'!$B$7:$B$306,"&lt;="&amp;DATE($B$3,12,28),'Leave log'!$C$7:$C$306,"&gt;="&amp;DATE($B$3,12,28),'Leave log'!$F$7:$F$306,"Pending")&gt;0,"P",""))))</f>
        <v/>
      </c>
      <c r="AD409" s="23" t="str">
        <f>IF(A409="","",IF(IF(OR(DATE($B$3,12,29)&gt;EOMONTH(DATE($B$3,12,1),0),NETWORKDAYS.INTL(DATE($B$3,12,29),DATE($B$3,12,29),1,'Non-working days'!$A$6:$A$45)=0),"",IF(COUNTIFS('Leave log'!$A$7:$A$306,Employees!$A$34,'Leave log'!$B$7:$B$306,"&lt;="&amp;DATE($B$3,12,29),'Leave log'!$C$7:$C$306,"&gt;="&amp;DATE($B$3,12,29),'Leave log'!$F$7:$F$306,"Approved")&gt;0,"A",""))="A","A",IF(OR(DATE($B$3,12,29)&gt;EOMONTH(DATE($B$3,12,1),0),NETWORKDAYS.INTL(DATE($B$3,12,29),DATE($B$3,12,29),1,'Non-working days'!$A$6:$A$45)=0),"",IF(COUNTIFS('Leave log'!$A$7:$A$306,Employees!$A$34,'Leave log'!$B$7:$B$306,"&lt;="&amp;DATE($B$3,12,29),'Leave log'!$C$7:$C$306,"&gt;="&amp;DATE($B$3,12,29),'Leave log'!$F$7:$F$306,"Pending")&gt;0,"P",""))))</f>
        <v/>
      </c>
      <c r="AE409" s="23" t="str">
        <f>IF(A409="","",IF(IF(OR(DATE($B$3,12,30)&gt;EOMONTH(DATE($B$3,12,1),0),NETWORKDAYS.INTL(DATE($B$3,12,30),DATE($B$3,12,30),1,'Non-working days'!$A$6:$A$45)=0),"",IF(COUNTIFS('Leave log'!$A$7:$A$306,Employees!$A$34,'Leave log'!$B$7:$B$306,"&lt;="&amp;DATE($B$3,12,30),'Leave log'!$C$7:$C$306,"&gt;="&amp;DATE($B$3,12,30),'Leave log'!$F$7:$F$306,"Approved")&gt;0,"A",""))="A","A",IF(OR(DATE($B$3,12,30)&gt;EOMONTH(DATE($B$3,12,1),0),NETWORKDAYS.INTL(DATE($B$3,12,30),DATE($B$3,12,30),1,'Non-working days'!$A$6:$A$45)=0),"",IF(COUNTIFS('Leave log'!$A$7:$A$306,Employees!$A$34,'Leave log'!$B$7:$B$306,"&lt;="&amp;DATE($B$3,12,30),'Leave log'!$C$7:$C$306,"&gt;="&amp;DATE($B$3,12,30),'Leave log'!$F$7:$F$306,"Pending")&gt;0,"P",""))))</f>
        <v/>
      </c>
      <c r="AF409" s="23" t="str">
        <f>IF(A409="","",IF(IF(OR(DATE($B$3,12,31)&gt;EOMONTH(DATE($B$3,12,1),0),NETWORKDAYS.INTL(DATE($B$3,12,31),DATE($B$3,12,31),1,'Non-working days'!$A$6:$A$45)=0),"",IF(COUNTIFS('Leave log'!$A$7:$A$306,Employees!$A$34,'Leave log'!$B$7:$B$306,"&lt;="&amp;DATE($B$3,12,31),'Leave log'!$C$7:$C$306,"&gt;="&amp;DATE($B$3,12,31),'Leave log'!$F$7:$F$306,"Approved")&gt;0,"A",""))="A","A",IF(OR(DATE($B$3,12,31)&gt;EOMONTH(DATE($B$3,12,1),0),NETWORKDAYS.INTL(DATE($B$3,12,31),DATE($B$3,12,31),1,'Non-working days'!$A$6:$A$45)=0),"",IF(COUNTIFS('Leave log'!$A$7:$A$306,Employees!$A$34,'Leave log'!$B$7:$B$306,"&lt;="&amp;DATE($B$3,12,31),'Leave log'!$C$7:$C$306,"&gt;="&amp;DATE($B$3,12,31),'Leave log'!$F$7:$F$306,"Pending")&gt;0,"P",""))))</f>
        <v/>
      </c>
    </row>
    <row r="410" spans="1:32" ht="18" customHeight="1" x14ac:dyDescent="0.3">
      <c r="A410" s="22" t="str">
        <f>IF(Employees!F35="Yes",Employees!B35,"")</f>
        <v/>
      </c>
      <c r="B410" s="23" t="str">
        <f>IF(A410="","",IF(IF(OR(DATE($B$3,12,1)&gt;EOMONTH(DATE($B$3,12,1),0),NETWORKDAYS.INTL(DATE($B$3,12,1),DATE($B$3,12,1),1,'Non-working days'!$A$6:$A$45)=0),"",IF(COUNTIFS('Leave log'!$A$7:$A$306,Employees!$A$35,'Leave log'!$B$7:$B$306,"&lt;="&amp;DATE($B$3,12,1),'Leave log'!$C$7:$C$306,"&gt;="&amp;DATE($B$3,12,1),'Leave log'!$F$7:$F$306,"Approved")&gt;0,"A",""))="A","A",IF(OR(DATE($B$3,12,1)&gt;EOMONTH(DATE($B$3,12,1),0),NETWORKDAYS.INTL(DATE($B$3,12,1),DATE($B$3,12,1),1,'Non-working days'!$A$6:$A$45)=0),"",IF(COUNTIFS('Leave log'!$A$7:$A$306,Employees!$A$35,'Leave log'!$B$7:$B$306,"&lt;="&amp;DATE($B$3,12,1),'Leave log'!$C$7:$C$306,"&gt;="&amp;DATE($B$3,12,1),'Leave log'!$F$7:$F$306,"Pending")&gt;0,"P",""))))</f>
        <v/>
      </c>
      <c r="C410" s="23" t="str">
        <f>IF(A410="","",IF(IF(OR(DATE($B$3,12,2)&gt;EOMONTH(DATE($B$3,12,1),0),NETWORKDAYS.INTL(DATE($B$3,12,2),DATE($B$3,12,2),1,'Non-working days'!$A$6:$A$45)=0),"",IF(COUNTIFS('Leave log'!$A$7:$A$306,Employees!$A$35,'Leave log'!$B$7:$B$306,"&lt;="&amp;DATE($B$3,12,2),'Leave log'!$C$7:$C$306,"&gt;="&amp;DATE($B$3,12,2),'Leave log'!$F$7:$F$306,"Approved")&gt;0,"A",""))="A","A",IF(OR(DATE($B$3,12,2)&gt;EOMONTH(DATE($B$3,12,1),0),NETWORKDAYS.INTL(DATE($B$3,12,2),DATE($B$3,12,2),1,'Non-working days'!$A$6:$A$45)=0),"",IF(COUNTIFS('Leave log'!$A$7:$A$306,Employees!$A$35,'Leave log'!$B$7:$B$306,"&lt;="&amp;DATE($B$3,12,2),'Leave log'!$C$7:$C$306,"&gt;="&amp;DATE($B$3,12,2),'Leave log'!$F$7:$F$306,"Pending")&gt;0,"P",""))))</f>
        <v/>
      </c>
      <c r="D410" s="23" t="str">
        <f>IF(A410="","",IF(IF(OR(DATE($B$3,12,3)&gt;EOMONTH(DATE($B$3,12,1),0),NETWORKDAYS.INTL(DATE($B$3,12,3),DATE($B$3,12,3),1,'Non-working days'!$A$6:$A$45)=0),"",IF(COUNTIFS('Leave log'!$A$7:$A$306,Employees!$A$35,'Leave log'!$B$7:$B$306,"&lt;="&amp;DATE($B$3,12,3),'Leave log'!$C$7:$C$306,"&gt;="&amp;DATE($B$3,12,3),'Leave log'!$F$7:$F$306,"Approved")&gt;0,"A",""))="A","A",IF(OR(DATE($B$3,12,3)&gt;EOMONTH(DATE($B$3,12,1),0),NETWORKDAYS.INTL(DATE($B$3,12,3),DATE($B$3,12,3),1,'Non-working days'!$A$6:$A$45)=0),"",IF(COUNTIFS('Leave log'!$A$7:$A$306,Employees!$A$35,'Leave log'!$B$7:$B$306,"&lt;="&amp;DATE($B$3,12,3),'Leave log'!$C$7:$C$306,"&gt;="&amp;DATE($B$3,12,3),'Leave log'!$F$7:$F$306,"Pending")&gt;0,"P",""))))</f>
        <v/>
      </c>
      <c r="E410" s="23" t="str">
        <f>IF(A410="","",IF(IF(OR(DATE($B$3,12,4)&gt;EOMONTH(DATE($B$3,12,1),0),NETWORKDAYS.INTL(DATE($B$3,12,4),DATE($B$3,12,4),1,'Non-working days'!$A$6:$A$45)=0),"",IF(COUNTIFS('Leave log'!$A$7:$A$306,Employees!$A$35,'Leave log'!$B$7:$B$306,"&lt;="&amp;DATE($B$3,12,4),'Leave log'!$C$7:$C$306,"&gt;="&amp;DATE($B$3,12,4),'Leave log'!$F$7:$F$306,"Approved")&gt;0,"A",""))="A","A",IF(OR(DATE($B$3,12,4)&gt;EOMONTH(DATE($B$3,12,1),0),NETWORKDAYS.INTL(DATE($B$3,12,4),DATE($B$3,12,4),1,'Non-working days'!$A$6:$A$45)=0),"",IF(COUNTIFS('Leave log'!$A$7:$A$306,Employees!$A$35,'Leave log'!$B$7:$B$306,"&lt;="&amp;DATE($B$3,12,4),'Leave log'!$C$7:$C$306,"&gt;="&amp;DATE($B$3,12,4),'Leave log'!$F$7:$F$306,"Pending")&gt;0,"P",""))))</f>
        <v/>
      </c>
      <c r="F410" s="23" t="str">
        <f>IF(A410="","",IF(IF(OR(DATE($B$3,12,5)&gt;EOMONTH(DATE($B$3,12,1),0),NETWORKDAYS.INTL(DATE($B$3,12,5),DATE($B$3,12,5),1,'Non-working days'!$A$6:$A$45)=0),"",IF(COUNTIFS('Leave log'!$A$7:$A$306,Employees!$A$35,'Leave log'!$B$7:$B$306,"&lt;="&amp;DATE($B$3,12,5),'Leave log'!$C$7:$C$306,"&gt;="&amp;DATE($B$3,12,5),'Leave log'!$F$7:$F$306,"Approved")&gt;0,"A",""))="A","A",IF(OR(DATE($B$3,12,5)&gt;EOMONTH(DATE($B$3,12,1),0),NETWORKDAYS.INTL(DATE($B$3,12,5),DATE($B$3,12,5),1,'Non-working days'!$A$6:$A$45)=0),"",IF(COUNTIFS('Leave log'!$A$7:$A$306,Employees!$A$35,'Leave log'!$B$7:$B$306,"&lt;="&amp;DATE($B$3,12,5),'Leave log'!$C$7:$C$306,"&gt;="&amp;DATE($B$3,12,5),'Leave log'!$F$7:$F$306,"Pending")&gt;0,"P",""))))</f>
        <v/>
      </c>
      <c r="G410" s="23" t="str">
        <f>IF(A410="","",IF(IF(OR(DATE($B$3,12,6)&gt;EOMONTH(DATE($B$3,12,1),0),NETWORKDAYS.INTL(DATE($B$3,12,6),DATE($B$3,12,6),1,'Non-working days'!$A$6:$A$45)=0),"",IF(COUNTIFS('Leave log'!$A$7:$A$306,Employees!$A$35,'Leave log'!$B$7:$B$306,"&lt;="&amp;DATE($B$3,12,6),'Leave log'!$C$7:$C$306,"&gt;="&amp;DATE($B$3,12,6),'Leave log'!$F$7:$F$306,"Approved")&gt;0,"A",""))="A","A",IF(OR(DATE($B$3,12,6)&gt;EOMONTH(DATE($B$3,12,1),0),NETWORKDAYS.INTL(DATE($B$3,12,6),DATE($B$3,12,6),1,'Non-working days'!$A$6:$A$45)=0),"",IF(COUNTIFS('Leave log'!$A$7:$A$306,Employees!$A$35,'Leave log'!$B$7:$B$306,"&lt;="&amp;DATE($B$3,12,6),'Leave log'!$C$7:$C$306,"&gt;="&amp;DATE($B$3,12,6),'Leave log'!$F$7:$F$306,"Pending")&gt;0,"P",""))))</f>
        <v/>
      </c>
      <c r="H410" s="23" t="str">
        <f>IF(A410="","",IF(IF(OR(DATE($B$3,12,7)&gt;EOMONTH(DATE($B$3,12,1),0),NETWORKDAYS.INTL(DATE($B$3,12,7),DATE($B$3,12,7),1,'Non-working days'!$A$6:$A$45)=0),"",IF(COUNTIFS('Leave log'!$A$7:$A$306,Employees!$A$35,'Leave log'!$B$7:$B$306,"&lt;="&amp;DATE($B$3,12,7),'Leave log'!$C$7:$C$306,"&gt;="&amp;DATE($B$3,12,7),'Leave log'!$F$7:$F$306,"Approved")&gt;0,"A",""))="A","A",IF(OR(DATE($B$3,12,7)&gt;EOMONTH(DATE($B$3,12,1),0),NETWORKDAYS.INTL(DATE($B$3,12,7),DATE($B$3,12,7),1,'Non-working days'!$A$6:$A$45)=0),"",IF(COUNTIFS('Leave log'!$A$7:$A$306,Employees!$A$35,'Leave log'!$B$7:$B$306,"&lt;="&amp;DATE($B$3,12,7),'Leave log'!$C$7:$C$306,"&gt;="&amp;DATE($B$3,12,7),'Leave log'!$F$7:$F$306,"Pending")&gt;0,"P",""))))</f>
        <v/>
      </c>
      <c r="I410" s="23" t="str">
        <f>IF(A410="","",IF(IF(OR(DATE($B$3,12,8)&gt;EOMONTH(DATE($B$3,12,1),0),NETWORKDAYS.INTL(DATE($B$3,12,8),DATE($B$3,12,8),1,'Non-working days'!$A$6:$A$45)=0),"",IF(COUNTIFS('Leave log'!$A$7:$A$306,Employees!$A$35,'Leave log'!$B$7:$B$306,"&lt;="&amp;DATE($B$3,12,8),'Leave log'!$C$7:$C$306,"&gt;="&amp;DATE($B$3,12,8),'Leave log'!$F$7:$F$306,"Approved")&gt;0,"A",""))="A","A",IF(OR(DATE($B$3,12,8)&gt;EOMONTH(DATE($B$3,12,1),0),NETWORKDAYS.INTL(DATE($B$3,12,8),DATE($B$3,12,8),1,'Non-working days'!$A$6:$A$45)=0),"",IF(COUNTIFS('Leave log'!$A$7:$A$306,Employees!$A$35,'Leave log'!$B$7:$B$306,"&lt;="&amp;DATE($B$3,12,8),'Leave log'!$C$7:$C$306,"&gt;="&amp;DATE($B$3,12,8),'Leave log'!$F$7:$F$306,"Pending")&gt;0,"P",""))))</f>
        <v/>
      </c>
      <c r="J410" s="23" t="str">
        <f>IF(A410="","",IF(IF(OR(DATE($B$3,12,9)&gt;EOMONTH(DATE($B$3,12,1),0),NETWORKDAYS.INTL(DATE($B$3,12,9),DATE($B$3,12,9),1,'Non-working days'!$A$6:$A$45)=0),"",IF(COUNTIFS('Leave log'!$A$7:$A$306,Employees!$A$35,'Leave log'!$B$7:$B$306,"&lt;="&amp;DATE($B$3,12,9),'Leave log'!$C$7:$C$306,"&gt;="&amp;DATE($B$3,12,9),'Leave log'!$F$7:$F$306,"Approved")&gt;0,"A",""))="A","A",IF(OR(DATE($B$3,12,9)&gt;EOMONTH(DATE($B$3,12,1),0),NETWORKDAYS.INTL(DATE($B$3,12,9),DATE($B$3,12,9),1,'Non-working days'!$A$6:$A$45)=0),"",IF(COUNTIFS('Leave log'!$A$7:$A$306,Employees!$A$35,'Leave log'!$B$7:$B$306,"&lt;="&amp;DATE($B$3,12,9),'Leave log'!$C$7:$C$306,"&gt;="&amp;DATE($B$3,12,9),'Leave log'!$F$7:$F$306,"Pending")&gt;0,"P",""))))</f>
        <v/>
      </c>
      <c r="K410" s="23" t="str">
        <f>IF(A410="","",IF(IF(OR(DATE($B$3,12,10)&gt;EOMONTH(DATE($B$3,12,1),0),NETWORKDAYS.INTL(DATE($B$3,12,10),DATE($B$3,12,10),1,'Non-working days'!$A$6:$A$45)=0),"",IF(COUNTIFS('Leave log'!$A$7:$A$306,Employees!$A$35,'Leave log'!$B$7:$B$306,"&lt;="&amp;DATE($B$3,12,10),'Leave log'!$C$7:$C$306,"&gt;="&amp;DATE($B$3,12,10),'Leave log'!$F$7:$F$306,"Approved")&gt;0,"A",""))="A","A",IF(OR(DATE($B$3,12,10)&gt;EOMONTH(DATE($B$3,12,1),0),NETWORKDAYS.INTL(DATE($B$3,12,10),DATE($B$3,12,10),1,'Non-working days'!$A$6:$A$45)=0),"",IF(COUNTIFS('Leave log'!$A$7:$A$306,Employees!$A$35,'Leave log'!$B$7:$B$306,"&lt;="&amp;DATE($B$3,12,10),'Leave log'!$C$7:$C$306,"&gt;="&amp;DATE($B$3,12,10),'Leave log'!$F$7:$F$306,"Pending")&gt;0,"P",""))))</f>
        <v/>
      </c>
      <c r="L410" s="23" t="str">
        <f>IF(A410="","",IF(IF(OR(DATE($B$3,12,11)&gt;EOMONTH(DATE($B$3,12,1),0),NETWORKDAYS.INTL(DATE($B$3,12,11),DATE($B$3,12,11),1,'Non-working days'!$A$6:$A$45)=0),"",IF(COUNTIFS('Leave log'!$A$7:$A$306,Employees!$A$35,'Leave log'!$B$7:$B$306,"&lt;="&amp;DATE($B$3,12,11),'Leave log'!$C$7:$C$306,"&gt;="&amp;DATE($B$3,12,11),'Leave log'!$F$7:$F$306,"Approved")&gt;0,"A",""))="A","A",IF(OR(DATE($B$3,12,11)&gt;EOMONTH(DATE($B$3,12,1),0),NETWORKDAYS.INTL(DATE($B$3,12,11),DATE($B$3,12,11),1,'Non-working days'!$A$6:$A$45)=0),"",IF(COUNTIFS('Leave log'!$A$7:$A$306,Employees!$A$35,'Leave log'!$B$7:$B$306,"&lt;="&amp;DATE($B$3,12,11),'Leave log'!$C$7:$C$306,"&gt;="&amp;DATE($B$3,12,11),'Leave log'!$F$7:$F$306,"Pending")&gt;0,"P",""))))</f>
        <v/>
      </c>
      <c r="M410" s="23" t="str">
        <f>IF(A410="","",IF(IF(OR(DATE($B$3,12,12)&gt;EOMONTH(DATE($B$3,12,1),0),NETWORKDAYS.INTL(DATE($B$3,12,12),DATE($B$3,12,12),1,'Non-working days'!$A$6:$A$45)=0),"",IF(COUNTIFS('Leave log'!$A$7:$A$306,Employees!$A$35,'Leave log'!$B$7:$B$306,"&lt;="&amp;DATE($B$3,12,12),'Leave log'!$C$7:$C$306,"&gt;="&amp;DATE($B$3,12,12),'Leave log'!$F$7:$F$306,"Approved")&gt;0,"A",""))="A","A",IF(OR(DATE($B$3,12,12)&gt;EOMONTH(DATE($B$3,12,1),0),NETWORKDAYS.INTL(DATE($B$3,12,12),DATE($B$3,12,12),1,'Non-working days'!$A$6:$A$45)=0),"",IF(COUNTIFS('Leave log'!$A$7:$A$306,Employees!$A$35,'Leave log'!$B$7:$B$306,"&lt;="&amp;DATE($B$3,12,12),'Leave log'!$C$7:$C$306,"&gt;="&amp;DATE($B$3,12,12),'Leave log'!$F$7:$F$306,"Pending")&gt;0,"P",""))))</f>
        <v/>
      </c>
      <c r="N410" s="23" t="str">
        <f>IF(A410="","",IF(IF(OR(DATE($B$3,12,13)&gt;EOMONTH(DATE($B$3,12,1),0),NETWORKDAYS.INTL(DATE($B$3,12,13),DATE($B$3,12,13),1,'Non-working days'!$A$6:$A$45)=0),"",IF(COUNTIFS('Leave log'!$A$7:$A$306,Employees!$A$35,'Leave log'!$B$7:$B$306,"&lt;="&amp;DATE($B$3,12,13),'Leave log'!$C$7:$C$306,"&gt;="&amp;DATE($B$3,12,13),'Leave log'!$F$7:$F$306,"Approved")&gt;0,"A",""))="A","A",IF(OR(DATE($B$3,12,13)&gt;EOMONTH(DATE($B$3,12,1),0),NETWORKDAYS.INTL(DATE($B$3,12,13),DATE($B$3,12,13),1,'Non-working days'!$A$6:$A$45)=0),"",IF(COUNTIFS('Leave log'!$A$7:$A$306,Employees!$A$35,'Leave log'!$B$7:$B$306,"&lt;="&amp;DATE($B$3,12,13),'Leave log'!$C$7:$C$306,"&gt;="&amp;DATE($B$3,12,13),'Leave log'!$F$7:$F$306,"Pending")&gt;0,"P",""))))</f>
        <v/>
      </c>
      <c r="O410" s="23" t="str">
        <f>IF(A410="","",IF(IF(OR(DATE($B$3,12,14)&gt;EOMONTH(DATE($B$3,12,1),0),NETWORKDAYS.INTL(DATE($B$3,12,14),DATE($B$3,12,14),1,'Non-working days'!$A$6:$A$45)=0),"",IF(COUNTIFS('Leave log'!$A$7:$A$306,Employees!$A$35,'Leave log'!$B$7:$B$306,"&lt;="&amp;DATE($B$3,12,14),'Leave log'!$C$7:$C$306,"&gt;="&amp;DATE($B$3,12,14),'Leave log'!$F$7:$F$306,"Approved")&gt;0,"A",""))="A","A",IF(OR(DATE($B$3,12,14)&gt;EOMONTH(DATE($B$3,12,1),0),NETWORKDAYS.INTL(DATE($B$3,12,14),DATE($B$3,12,14),1,'Non-working days'!$A$6:$A$45)=0),"",IF(COUNTIFS('Leave log'!$A$7:$A$306,Employees!$A$35,'Leave log'!$B$7:$B$306,"&lt;="&amp;DATE($B$3,12,14),'Leave log'!$C$7:$C$306,"&gt;="&amp;DATE($B$3,12,14),'Leave log'!$F$7:$F$306,"Pending")&gt;0,"P",""))))</f>
        <v/>
      </c>
      <c r="P410" s="23" t="str">
        <f>IF(A410="","",IF(IF(OR(DATE($B$3,12,15)&gt;EOMONTH(DATE($B$3,12,1),0),NETWORKDAYS.INTL(DATE($B$3,12,15),DATE($B$3,12,15),1,'Non-working days'!$A$6:$A$45)=0),"",IF(COUNTIFS('Leave log'!$A$7:$A$306,Employees!$A$35,'Leave log'!$B$7:$B$306,"&lt;="&amp;DATE($B$3,12,15),'Leave log'!$C$7:$C$306,"&gt;="&amp;DATE($B$3,12,15),'Leave log'!$F$7:$F$306,"Approved")&gt;0,"A",""))="A","A",IF(OR(DATE($B$3,12,15)&gt;EOMONTH(DATE($B$3,12,1),0),NETWORKDAYS.INTL(DATE($B$3,12,15),DATE($B$3,12,15),1,'Non-working days'!$A$6:$A$45)=0),"",IF(COUNTIFS('Leave log'!$A$7:$A$306,Employees!$A$35,'Leave log'!$B$7:$B$306,"&lt;="&amp;DATE($B$3,12,15),'Leave log'!$C$7:$C$306,"&gt;="&amp;DATE($B$3,12,15),'Leave log'!$F$7:$F$306,"Pending")&gt;0,"P",""))))</f>
        <v/>
      </c>
      <c r="Q410" s="23" t="str">
        <f>IF(A410="","",IF(IF(OR(DATE($B$3,12,16)&gt;EOMONTH(DATE($B$3,12,1),0),NETWORKDAYS.INTL(DATE($B$3,12,16),DATE($B$3,12,16),1,'Non-working days'!$A$6:$A$45)=0),"",IF(COUNTIFS('Leave log'!$A$7:$A$306,Employees!$A$35,'Leave log'!$B$7:$B$306,"&lt;="&amp;DATE($B$3,12,16),'Leave log'!$C$7:$C$306,"&gt;="&amp;DATE($B$3,12,16),'Leave log'!$F$7:$F$306,"Approved")&gt;0,"A",""))="A","A",IF(OR(DATE($B$3,12,16)&gt;EOMONTH(DATE($B$3,12,1),0),NETWORKDAYS.INTL(DATE($B$3,12,16),DATE($B$3,12,16),1,'Non-working days'!$A$6:$A$45)=0),"",IF(COUNTIFS('Leave log'!$A$7:$A$306,Employees!$A$35,'Leave log'!$B$7:$B$306,"&lt;="&amp;DATE($B$3,12,16),'Leave log'!$C$7:$C$306,"&gt;="&amp;DATE($B$3,12,16),'Leave log'!$F$7:$F$306,"Pending")&gt;0,"P",""))))</f>
        <v/>
      </c>
      <c r="R410" s="23" t="str">
        <f>IF(A410="","",IF(IF(OR(DATE($B$3,12,17)&gt;EOMONTH(DATE($B$3,12,1),0),NETWORKDAYS.INTL(DATE($B$3,12,17),DATE($B$3,12,17),1,'Non-working days'!$A$6:$A$45)=0),"",IF(COUNTIFS('Leave log'!$A$7:$A$306,Employees!$A$35,'Leave log'!$B$7:$B$306,"&lt;="&amp;DATE($B$3,12,17),'Leave log'!$C$7:$C$306,"&gt;="&amp;DATE($B$3,12,17),'Leave log'!$F$7:$F$306,"Approved")&gt;0,"A",""))="A","A",IF(OR(DATE($B$3,12,17)&gt;EOMONTH(DATE($B$3,12,1),0),NETWORKDAYS.INTL(DATE($B$3,12,17),DATE($B$3,12,17),1,'Non-working days'!$A$6:$A$45)=0),"",IF(COUNTIFS('Leave log'!$A$7:$A$306,Employees!$A$35,'Leave log'!$B$7:$B$306,"&lt;="&amp;DATE($B$3,12,17),'Leave log'!$C$7:$C$306,"&gt;="&amp;DATE($B$3,12,17),'Leave log'!$F$7:$F$306,"Pending")&gt;0,"P",""))))</f>
        <v/>
      </c>
      <c r="S410" s="23" t="str">
        <f>IF(A410="","",IF(IF(OR(DATE($B$3,12,18)&gt;EOMONTH(DATE($B$3,12,1),0),NETWORKDAYS.INTL(DATE($B$3,12,18),DATE($B$3,12,18),1,'Non-working days'!$A$6:$A$45)=0),"",IF(COUNTIFS('Leave log'!$A$7:$A$306,Employees!$A$35,'Leave log'!$B$7:$B$306,"&lt;="&amp;DATE($B$3,12,18),'Leave log'!$C$7:$C$306,"&gt;="&amp;DATE($B$3,12,18),'Leave log'!$F$7:$F$306,"Approved")&gt;0,"A",""))="A","A",IF(OR(DATE($B$3,12,18)&gt;EOMONTH(DATE($B$3,12,1),0),NETWORKDAYS.INTL(DATE($B$3,12,18),DATE($B$3,12,18),1,'Non-working days'!$A$6:$A$45)=0),"",IF(COUNTIFS('Leave log'!$A$7:$A$306,Employees!$A$35,'Leave log'!$B$7:$B$306,"&lt;="&amp;DATE($B$3,12,18),'Leave log'!$C$7:$C$306,"&gt;="&amp;DATE($B$3,12,18),'Leave log'!$F$7:$F$306,"Pending")&gt;0,"P",""))))</f>
        <v/>
      </c>
      <c r="T410" s="23" t="str">
        <f>IF(A410="","",IF(IF(OR(DATE($B$3,12,19)&gt;EOMONTH(DATE($B$3,12,1),0),NETWORKDAYS.INTL(DATE($B$3,12,19),DATE($B$3,12,19),1,'Non-working days'!$A$6:$A$45)=0),"",IF(COUNTIFS('Leave log'!$A$7:$A$306,Employees!$A$35,'Leave log'!$B$7:$B$306,"&lt;="&amp;DATE($B$3,12,19),'Leave log'!$C$7:$C$306,"&gt;="&amp;DATE($B$3,12,19),'Leave log'!$F$7:$F$306,"Approved")&gt;0,"A",""))="A","A",IF(OR(DATE($B$3,12,19)&gt;EOMONTH(DATE($B$3,12,1),0),NETWORKDAYS.INTL(DATE($B$3,12,19),DATE($B$3,12,19),1,'Non-working days'!$A$6:$A$45)=0),"",IF(COUNTIFS('Leave log'!$A$7:$A$306,Employees!$A$35,'Leave log'!$B$7:$B$306,"&lt;="&amp;DATE($B$3,12,19),'Leave log'!$C$7:$C$306,"&gt;="&amp;DATE($B$3,12,19),'Leave log'!$F$7:$F$306,"Pending")&gt;0,"P",""))))</f>
        <v/>
      </c>
      <c r="U410" s="23" t="str">
        <f>IF(A410="","",IF(IF(OR(DATE($B$3,12,20)&gt;EOMONTH(DATE($B$3,12,1),0),NETWORKDAYS.INTL(DATE($B$3,12,20),DATE($B$3,12,20),1,'Non-working days'!$A$6:$A$45)=0),"",IF(COUNTIFS('Leave log'!$A$7:$A$306,Employees!$A$35,'Leave log'!$B$7:$B$306,"&lt;="&amp;DATE($B$3,12,20),'Leave log'!$C$7:$C$306,"&gt;="&amp;DATE($B$3,12,20),'Leave log'!$F$7:$F$306,"Approved")&gt;0,"A",""))="A","A",IF(OR(DATE($B$3,12,20)&gt;EOMONTH(DATE($B$3,12,1),0),NETWORKDAYS.INTL(DATE($B$3,12,20),DATE($B$3,12,20),1,'Non-working days'!$A$6:$A$45)=0),"",IF(COUNTIFS('Leave log'!$A$7:$A$306,Employees!$A$35,'Leave log'!$B$7:$B$306,"&lt;="&amp;DATE($B$3,12,20),'Leave log'!$C$7:$C$306,"&gt;="&amp;DATE($B$3,12,20),'Leave log'!$F$7:$F$306,"Pending")&gt;0,"P",""))))</f>
        <v/>
      </c>
      <c r="V410" s="23" t="str">
        <f>IF(A410="","",IF(IF(OR(DATE($B$3,12,21)&gt;EOMONTH(DATE($B$3,12,1),0),NETWORKDAYS.INTL(DATE($B$3,12,21),DATE($B$3,12,21),1,'Non-working days'!$A$6:$A$45)=0),"",IF(COUNTIFS('Leave log'!$A$7:$A$306,Employees!$A$35,'Leave log'!$B$7:$B$306,"&lt;="&amp;DATE($B$3,12,21),'Leave log'!$C$7:$C$306,"&gt;="&amp;DATE($B$3,12,21),'Leave log'!$F$7:$F$306,"Approved")&gt;0,"A",""))="A","A",IF(OR(DATE($B$3,12,21)&gt;EOMONTH(DATE($B$3,12,1),0),NETWORKDAYS.INTL(DATE($B$3,12,21),DATE($B$3,12,21),1,'Non-working days'!$A$6:$A$45)=0),"",IF(COUNTIFS('Leave log'!$A$7:$A$306,Employees!$A$35,'Leave log'!$B$7:$B$306,"&lt;="&amp;DATE($B$3,12,21),'Leave log'!$C$7:$C$306,"&gt;="&amp;DATE($B$3,12,21),'Leave log'!$F$7:$F$306,"Pending")&gt;0,"P",""))))</f>
        <v/>
      </c>
      <c r="W410" s="23" t="str">
        <f>IF(A410="","",IF(IF(OR(DATE($B$3,12,22)&gt;EOMONTH(DATE($B$3,12,1),0),NETWORKDAYS.INTL(DATE($B$3,12,22),DATE($B$3,12,22),1,'Non-working days'!$A$6:$A$45)=0),"",IF(COUNTIFS('Leave log'!$A$7:$A$306,Employees!$A$35,'Leave log'!$B$7:$B$306,"&lt;="&amp;DATE($B$3,12,22),'Leave log'!$C$7:$C$306,"&gt;="&amp;DATE($B$3,12,22),'Leave log'!$F$7:$F$306,"Approved")&gt;0,"A",""))="A","A",IF(OR(DATE($B$3,12,22)&gt;EOMONTH(DATE($B$3,12,1),0),NETWORKDAYS.INTL(DATE($B$3,12,22),DATE($B$3,12,22),1,'Non-working days'!$A$6:$A$45)=0),"",IF(COUNTIFS('Leave log'!$A$7:$A$306,Employees!$A$35,'Leave log'!$B$7:$B$306,"&lt;="&amp;DATE($B$3,12,22),'Leave log'!$C$7:$C$306,"&gt;="&amp;DATE($B$3,12,22),'Leave log'!$F$7:$F$306,"Pending")&gt;0,"P",""))))</f>
        <v/>
      </c>
      <c r="X410" s="23" t="str">
        <f>IF(A410="","",IF(IF(OR(DATE($B$3,12,23)&gt;EOMONTH(DATE($B$3,12,1),0),NETWORKDAYS.INTL(DATE($B$3,12,23),DATE($B$3,12,23),1,'Non-working days'!$A$6:$A$45)=0),"",IF(COUNTIFS('Leave log'!$A$7:$A$306,Employees!$A$35,'Leave log'!$B$7:$B$306,"&lt;="&amp;DATE($B$3,12,23),'Leave log'!$C$7:$C$306,"&gt;="&amp;DATE($B$3,12,23),'Leave log'!$F$7:$F$306,"Approved")&gt;0,"A",""))="A","A",IF(OR(DATE($B$3,12,23)&gt;EOMONTH(DATE($B$3,12,1),0),NETWORKDAYS.INTL(DATE($B$3,12,23),DATE($B$3,12,23),1,'Non-working days'!$A$6:$A$45)=0),"",IF(COUNTIFS('Leave log'!$A$7:$A$306,Employees!$A$35,'Leave log'!$B$7:$B$306,"&lt;="&amp;DATE($B$3,12,23),'Leave log'!$C$7:$C$306,"&gt;="&amp;DATE($B$3,12,23),'Leave log'!$F$7:$F$306,"Pending")&gt;0,"P",""))))</f>
        <v/>
      </c>
      <c r="Y410" s="23" t="str">
        <f>IF(A410="","",IF(IF(OR(DATE($B$3,12,24)&gt;EOMONTH(DATE($B$3,12,1),0),NETWORKDAYS.INTL(DATE($B$3,12,24),DATE($B$3,12,24),1,'Non-working days'!$A$6:$A$45)=0),"",IF(COUNTIFS('Leave log'!$A$7:$A$306,Employees!$A$35,'Leave log'!$B$7:$B$306,"&lt;="&amp;DATE($B$3,12,24),'Leave log'!$C$7:$C$306,"&gt;="&amp;DATE($B$3,12,24),'Leave log'!$F$7:$F$306,"Approved")&gt;0,"A",""))="A","A",IF(OR(DATE($B$3,12,24)&gt;EOMONTH(DATE($B$3,12,1),0),NETWORKDAYS.INTL(DATE($B$3,12,24),DATE($B$3,12,24),1,'Non-working days'!$A$6:$A$45)=0),"",IF(COUNTIFS('Leave log'!$A$7:$A$306,Employees!$A$35,'Leave log'!$B$7:$B$306,"&lt;="&amp;DATE($B$3,12,24),'Leave log'!$C$7:$C$306,"&gt;="&amp;DATE($B$3,12,24),'Leave log'!$F$7:$F$306,"Pending")&gt;0,"P",""))))</f>
        <v/>
      </c>
      <c r="Z410" s="23" t="str">
        <f>IF(A410="","",IF(IF(OR(DATE($B$3,12,25)&gt;EOMONTH(DATE($B$3,12,1),0),NETWORKDAYS.INTL(DATE($B$3,12,25),DATE($B$3,12,25),1,'Non-working days'!$A$6:$A$45)=0),"",IF(COUNTIFS('Leave log'!$A$7:$A$306,Employees!$A$35,'Leave log'!$B$7:$B$306,"&lt;="&amp;DATE($B$3,12,25),'Leave log'!$C$7:$C$306,"&gt;="&amp;DATE($B$3,12,25),'Leave log'!$F$7:$F$306,"Approved")&gt;0,"A",""))="A","A",IF(OR(DATE($B$3,12,25)&gt;EOMONTH(DATE($B$3,12,1),0),NETWORKDAYS.INTL(DATE($B$3,12,25),DATE($B$3,12,25),1,'Non-working days'!$A$6:$A$45)=0),"",IF(COUNTIFS('Leave log'!$A$7:$A$306,Employees!$A$35,'Leave log'!$B$7:$B$306,"&lt;="&amp;DATE($B$3,12,25),'Leave log'!$C$7:$C$306,"&gt;="&amp;DATE($B$3,12,25),'Leave log'!$F$7:$F$306,"Pending")&gt;0,"P",""))))</f>
        <v/>
      </c>
      <c r="AA410" s="23" t="str">
        <f>IF(A410="","",IF(IF(OR(DATE($B$3,12,26)&gt;EOMONTH(DATE($B$3,12,1),0),NETWORKDAYS.INTL(DATE($B$3,12,26),DATE($B$3,12,26),1,'Non-working days'!$A$6:$A$45)=0),"",IF(COUNTIFS('Leave log'!$A$7:$A$306,Employees!$A$35,'Leave log'!$B$7:$B$306,"&lt;="&amp;DATE($B$3,12,26),'Leave log'!$C$7:$C$306,"&gt;="&amp;DATE($B$3,12,26),'Leave log'!$F$7:$F$306,"Approved")&gt;0,"A",""))="A","A",IF(OR(DATE($B$3,12,26)&gt;EOMONTH(DATE($B$3,12,1),0),NETWORKDAYS.INTL(DATE($B$3,12,26),DATE($B$3,12,26),1,'Non-working days'!$A$6:$A$45)=0),"",IF(COUNTIFS('Leave log'!$A$7:$A$306,Employees!$A$35,'Leave log'!$B$7:$B$306,"&lt;="&amp;DATE($B$3,12,26),'Leave log'!$C$7:$C$306,"&gt;="&amp;DATE($B$3,12,26),'Leave log'!$F$7:$F$306,"Pending")&gt;0,"P",""))))</f>
        <v/>
      </c>
      <c r="AB410" s="23" t="str">
        <f>IF(A410="","",IF(IF(OR(DATE($B$3,12,27)&gt;EOMONTH(DATE($B$3,12,1),0),NETWORKDAYS.INTL(DATE($B$3,12,27),DATE($B$3,12,27),1,'Non-working days'!$A$6:$A$45)=0),"",IF(COUNTIFS('Leave log'!$A$7:$A$306,Employees!$A$35,'Leave log'!$B$7:$B$306,"&lt;="&amp;DATE($B$3,12,27),'Leave log'!$C$7:$C$306,"&gt;="&amp;DATE($B$3,12,27),'Leave log'!$F$7:$F$306,"Approved")&gt;0,"A",""))="A","A",IF(OR(DATE($B$3,12,27)&gt;EOMONTH(DATE($B$3,12,1),0),NETWORKDAYS.INTL(DATE($B$3,12,27),DATE($B$3,12,27),1,'Non-working days'!$A$6:$A$45)=0),"",IF(COUNTIFS('Leave log'!$A$7:$A$306,Employees!$A$35,'Leave log'!$B$7:$B$306,"&lt;="&amp;DATE($B$3,12,27),'Leave log'!$C$7:$C$306,"&gt;="&amp;DATE($B$3,12,27),'Leave log'!$F$7:$F$306,"Pending")&gt;0,"P",""))))</f>
        <v/>
      </c>
      <c r="AC410" s="23" t="str">
        <f>IF(A410="","",IF(IF(OR(DATE($B$3,12,28)&gt;EOMONTH(DATE($B$3,12,1),0),NETWORKDAYS.INTL(DATE($B$3,12,28),DATE($B$3,12,28),1,'Non-working days'!$A$6:$A$45)=0),"",IF(COUNTIFS('Leave log'!$A$7:$A$306,Employees!$A$35,'Leave log'!$B$7:$B$306,"&lt;="&amp;DATE($B$3,12,28),'Leave log'!$C$7:$C$306,"&gt;="&amp;DATE($B$3,12,28),'Leave log'!$F$7:$F$306,"Approved")&gt;0,"A",""))="A","A",IF(OR(DATE($B$3,12,28)&gt;EOMONTH(DATE($B$3,12,1),0),NETWORKDAYS.INTL(DATE($B$3,12,28),DATE($B$3,12,28),1,'Non-working days'!$A$6:$A$45)=0),"",IF(COUNTIFS('Leave log'!$A$7:$A$306,Employees!$A$35,'Leave log'!$B$7:$B$306,"&lt;="&amp;DATE($B$3,12,28),'Leave log'!$C$7:$C$306,"&gt;="&amp;DATE($B$3,12,28),'Leave log'!$F$7:$F$306,"Pending")&gt;0,"P",""))))</f>
        <v/>
      </c>
      <c r="AD410" s="23" t="str">
        <f>IF(A410="","",IF(IF(OR(DATE($B$3,12,29)&gt;EOMONTH(DATE($B$3,12,1),0),NETWORKDAYS.INTL(DATE($B$3,12,29),DATE($B$3,12,29),1,'Non-working days'!$A$6:$A$45)=0),"",IF(COUNTIFS('Leave log'!$A$7:$A$306,Employees!$A$35,'Leave log'!$B$7:$B$306,"&lt;="&amp;DATE($B$3,12,29),'Leave log'!$C$7:$C$306,"&gt;="&amp;DATE($B$3,12,29),'Leave log'!$F$7:$F$306,"Approved")&gt;0,"A",""))="A","A",IF(OR(DATE($B$3,12,29)&gt;EOMONTH(DATE($B$3,12,1),0),NETWORKDAYS.INTL(DATE($B$3,12,29),DATE($B$3,12,29),1,'Non-working days'!$A$6:$A$45)=0),"",IF(COUNTIFS('Leave log'!$A$7:$A$306,Employees!$A$35,'Leave log'!$B$7:$B$306,"&lt;="&amp;DATE($B$3,12,29),'Leave log'!$C$7:$C$306,"&gt;="&amp;DATE($B$3,12,29),'Leave log'!$F$7:$F$306,"Pending")&gt;0,"P",""))))</f>
        <v/>
      </c>
      <c r="AE410" s="23" t="str">
        <f>IF(A410="","",IF(IF(OR(DATE($B$3,12,30)&gt;EOMONTH(DATE($B$3,12,1),0),NETWORKDAYS.INTL(DATE($B$3,12,30),DATE($B$3,12,30),1,'Non-working days'!$A$6:$A$45)=0),"",IF(COUNTIFS('Leave log'!$A$7:$A$306,Employees!$A$35,'Leave log'!$B$7:$B$306,"&lt;="&amp;DATE($B$3,12,30),'Leave log'!$C$7:$C$306,"&gt;="&amp;DATE($B$3,12,30),'Leave log'!$F$7:$F$306,"Approved")&gt;0,"A",""))="A","A",IF(OR(DATE($B$3,12,30)&gt;EOMONTH(DATE($B$3,12,1),0),NETWORKDAYS.INTL(DATE($B$3,12,30),DATE($B$3,12,30),1,'Non-working days'!$A$6:$A$45)=0),"",IF(COUNTIFS('Leave log'!$A$7:$A$306,Employees!$A$35,'Leave log'!$B$7:$B$306,"&lt;="&amp;DATE($B$3,12,30),'Leave log'!$C$7:$C$306,"&gt;="&amp;DATE($B$3,12,30),'Leave log'!$F$7:$F$306,"Pending")&gt;0,"P",""))))</f>
        <v/>
      </c>
      <c r="AF410" s="23" t="str">
        <f>IF(A410="","",IF(IF(OR(DATE($B$3,12,31)&gt;EOMONTH(DATE($B$3,12,1),0),NETWORKDAYS.INTL(DATE($B$3,12,31),DATE($B$3,12,31),1,'Non-working days'!$A$6:$A$45)=0),"",IF(COUNTIFS('Leave log'!$A$7:$A$306,Employees!$A$35,'Leave log'!$B$7:$B$306,"&lt;="&amp;DATE($B$3,12,31),'Leave log'!$C$7:$C$306,"&gt;="&amp;DATE($B$3,12,31),'Leave log'!$F$7:$F$306,"Approved")&gt;0,"A",""))="A","A",IF(OR(DATE($B$3,12,31)&gt;EOMONTH(DATE($B$3,12,1),0),NETWORKDAYS.INTL(DATE($B$3,12,31),DATE($B$3,12,31),1,'Non-working days'!$A$6:$A$45)=0),"",IF(COUNTIFS('Leave log'!$A$7:$A$306,Employees!$A$35,'Leave log'!$B$7:$B$306,"&lt;="&amp;DATE($B$3,12,31),'Leave log'!$C$7:$C$306,"&gt;="&amp;DATE($B$3,12,31),'Leave log'!$F$7:$F$306,"Pending")&gt;0,"P",""))))</f>
        <v/>
      </c>
    </row>
  </sheetData>
  <sheetProtection sheet="1" selectLockedCells="1" selectUnlockedCells="1"/>
  <mergeCells count="14">
    <mergeCell ref="A1:AF1"/>
    <mergeCell ref="A5:AF5"/>
    <mergeCell ref="A141:AF141"/>
    <mergeCell ref="A311:AF311"/>
    <mergeCell ref="A209:AF209"/>
    <mergeCell ref="A39:AF39"/>
    <mergeCell ref="A73:AF73"/>
    <mergeCell ref="A2:AF2"/>
    <mergeCell ref="A243:AF243"/>
    <mergeCell ref="A107:AF107"/>
    <mergeCell ref="A345:AF345"/>
    <mergeCell ref="A175:AF175"/>
    <mergeCell ref="A277:AF277"/>
    <mergeCell ref="A379:AF379"/>
  </mergeCells>
  <conditionalFormatting sqref="B7:AF36">
    <cfRule type="expression" dxfId="35" priority="1">
      <formula>B7="A"</formula>
    </cfRule>
    <cfRule type="expression" dxfId="34" priority="2">
      <formula>B7="P"</formula>
    </cfRule>
    <cfRule type="expression" dxfId="33" priority="3">
      <formula>WEEKDAY(DATE($B$3,1,COLUMN()-1),2)&gt;5</formula>
    </cfRule>
  </conditionalFormatting>
  <conditionalFormatting sqref="B41:AF70">
    <cfRule type="expression" dxfId="32" priority="4">
      <formula>B41="A"</formula>
    </cfRule>
    <cfRule type="expression" dxfId="31" priority="5">
      <formula>B41="P"</formula>
    </cfRule>
    <cfRule type="expression" dxfId="30" priority="6">
      <formula>WEEKDAY(DATE($B$3,2,COLUMN()-1),2)&gt;5</formula>
    </cfRule>
  </conditionalFormatting>
  <conditionalFormatting sqref="B75:AF104">
    <cfRule type="expression" dxfId="29" priority="7">
      <formula>B75="A"</formula>
    </cfRule>
    <cfRule type="expression" dxfId="28" priority="8">
      <formula>B75="P"</formula>
    </cfRule>
    <cfRule type="expression" dxfId="27" priority="9">
      <formula>WEEKDAY(DATE($B$3,3,COLUMN()-1),2)&gt;5</formula>
    </cfRule>
  </conditionalFormatting>
  <conditionalFormatting sqref="B109:AF138">
    <cfRule type="expression" dxfId="26" priority="10">
      <formula>B109="A"</formula>
    </cfRule>
    <cfRule type="expression" dxfId="25" priority="11">
      <formula>B109="P"</formula>
    </cfRule>
    <cfRule type="expression" dxfId="24" priority="12">
      <formula>WEEKDAY(DATE($B$3,4,COLUMN()-1),2)&gt;5</formula>
    </cfRule>
  </conditionalFormatting>
  <conditionalFormatting sqref="B143:AF172">
    <cfRule type="expression" dxfId="23" priority="13">
      <formula>B143="A"</formula>
    </cfRule>
    <cfRule type="expression" dxfId="22" priority="14">
      <formula>B143="P"</formula>
    </cfRule>
    <cfRule type="expression" dxfId="21" priority="15">
      <formula>WEEKDAY(DATE($B$3,5,COLUMN()-1),2)&gt;5</formula>
    </cfRule>
  </conditionalFormatting>
  <conditionalFormatting sqref="B177:AF206">
    <cfRule type="expression" dxfId="20" priority="16">
      <formula>B177="A"</formula>
    </cfRule>
    <cfRule type="expression" dxfId="19" priority="17">
      <formula>B177="P"</formula>
    </cfRule>
    <cfRule type="expression" dxfId="18" priority="18">
      <formula>WEEKDAY(DATE($B$3,6,COLUMN()-1),2)&gt;5</formula>
    </cfRule>
  </conditionalFormatting>
  <conditionalFormatting sqref="B211:AF240">
    <cfRule type="expression" dxfId="17" priority="19">
      <formula>B211="A"</formula>
    </cfRule>
    <cfRule type="expression" dxfId="16" priority="20">
      <formula>B211="P"</formula>
    </cfRule>
    <cfRule type="expression" dxfId="15" priority="21">
      <formula>WEEKDAY(DATE($B$3,7,COLUMN()-1),2)&gt;5</formula>
    </cfRule>
  </conditionalFormatting>
  <conditionalFormatting sqref="B245:AF274">
    <cfRule type="expression" dxfId="14" priority="22">
      <formula>B245="A"</formula>
    </cfRule>
    <cfRule type="expression" dxfId="13" priority="23">
      <formula>B245="P"</formula>
    </cfRule>
    <cfRule type="expression" dxfId="12" priority="24">
      <formula>WEEKDAY(DATE($B$3,8,COLUMN()-1),2)&gt;5</formula>
    </cfRule>
  </conditionalFormatting>
  <conditionalFormatting sqref="B279:AF308">
    <cfRule type="expression" dxfId="11" priority="25">
      <formula>B279="A"</formula>
    </cfRule>
    <cfRule type="expression" dxfId="10" priority="26">
      <formula>B279="P"</formula>
    </cfRule>
    <cfRule type="expression" dxfId="9" priority="27">
      <formula>WEEKDAY(DATE($B$3,9,COLUMN()-1),2)&gt;5</formula>
    </cfRule>
  </conditionalFormatting>
  <conditionalFormatting sqref="B313:AF342">
    <cfRule type="expression" dxfId="8" priority="28">
      <formula>B313="A"</formula>
    </cfRule>
    <cfRule type="expression" dxfId="7" priority="29">
      <formula>B313="P"</formula>
    </cfRule>
    <cfRule type="expression" dxfId="6" priority="30">
      <formula>WEEKDAY(DATE($B$3,10,COLUMN()-1),2)&gt;5</formula>
    </cfRule>
  </conditionalFormatting>
  <conditionalFormatting sqref="B347:AF376">
    <cfRule type="expression" dxfId="5" priority="31">
      <formula>B347="A"</formula>
    </cfRule>
    <cfRule type="expression" dxfId="4" priority="32">
      <formula>B347="P"</formula>
    </cfRule>
    <cfRule type="expression" dxfId="3" priority="33">
      <formula>WEEKDAY(DATE($B$3,11,COLUMN()-1),2)&gt;5</formula>
    </cfRule>
  </conditionalFormatting>
  <conditionalFormatting sqref="B381:AF410">
    <cfRule type="expression" dxfId="2" priority="34">
      <formula>B381="A"</formula>
    </cfRule>
    <cfRule type="expression" dxfId="1" priority="35">
      <formula>B381="P"</formula>
    </cfRule>
    <cfRule type="expression" dxfId="0" priority="36">
      <formula>WEEKDAY(DATE($B$3,12,COLUMN()-1),2)&gt;5</formula>
    </cfRule>
  </conditionalFormatting>
  <dataValidations count="1">
    <dataValidation type="whole" showErrorMessage="1" error="Enter a year from 2020 to 2100." sqref="B3" xr:uid="{00000000-0002-0000-0500-000000000000}">
      <formula1>2020</formula1>
      <formula2>2100</formula2>
    </dataValidation>
  </dataValidation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Start here</vt:lpstr>
      <vt:lpstr>Employees</vt:lpstr>
      <vt:lpstr>Non-working days</vt:lpstr>
      <vt:lpstr>Leave log</vt:lpstr>
      <vt:lpstr>Summary</vt:lpstr>
      <vt:lpstr>Year calendar</vt:lpstr>
      <vt:lpstr>EmployeeIDs</vt:lpstr>
      <vt:lpstr>'Year calendar'!Print_Titles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TimeHR employee holiday tracker</dc:title>
  <dc:subject>Annual leave planning template for up to 30 people</dc:subject>
  <dc:creator>Mathies Ltd t/as TimeHR</dc:creator>
  <cp:lastModifiedBy>ATI Automation</cp:lastModifiedBy>
  <dcterms:created xsi:type="dcterms:W3CDTF">2026-08-21T06:45:06Z</dcterms:created>
  <dcterms:modified xsi:type="dcterms:W3CDTF">2026-08-21T06:45:12Z</dcterms:modified>
</cp:coreProperties>
</file>